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onsors 2024-25" sheetId="1" r:id="rId4"/>
    <sheet state="visible" name="Sites 2024-25" sheetId="2" r:id="rId5"/>
    <sheet state="visible" name="CEP Schedule 2024-25" sheetId="3" r:id="rId6"/>
    <sheet state="visible" name="SFSP Sites 2024" sheetId="4" r:id="rId7"/>
  </sheets>
  <definedNames>
    <definedName hidden="1" localSheetId="0" name="_xlnm._FilterDatabase">'Sponsors 2024-25'!$A$1:$O$219</definedName>
    <definedName hidden="1" localSheetId="1" name="_xlnm._FilterDatabase">'Sites 2024-25'!$A$1:$O$1840</definedName>
    <definedName hidden="1" localSheetId="2" name="_xlnm._FilterDatabase">'CEP Schedule 2024-25'!$A$1:$I$1358</definedName>
  </definedNames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1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left" vertical="bottom"/>
    </xf>
    <xf borderId="0" fillId="3" fontId="2" numFmtId="0" xfId="0" applyAlignment="1" applyFill="1" applyFont="1">
      <alignment horizontal="center"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5" fontId="2" numFmtId="0" xfId="0" applyAlignment="1" applyFill="1" applyFont="1">
      <alignment horizontal="center" vertical="bottom"/>
    </xf>
    <xf borderId="0" fillId="6" fontId="2" numFmtId="0" xfId="0" applyAlignment="1" applyFill="1" applyFont="1">
      <alignment horizontal="center" vertical="bottom"/>
    </xf>
    <xf borderId="0" fillId="7" fontId="2" numFmtId="0" xfId="0" applyAlignment="1" applyFill="1" applyFont="1">
      <alignment horizontal="center" vertical="bottom"/>
    </xf>
    <xf borderId="0" fillId="3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3" numFmtId="0" xfId="0" applyFont="1"/>
    <xf borderId="0" fillId="0" fontId="3" numFmtId="49" xfId="0" applyFont="1" applyNumberFormat="1"/>
    <xf borderId="0" fillId="0" fontId="3" numFmtId="0" xfId="0" applyAlignment="1" applyFont="1">
      <alignment horizontal="right"/>
    </xf>
    <xf borderId="0" fillId="2" fontId="1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/>
    </xf>
    <xf borderId="0" fillId="8" fontId="3" numFmtId="0" xfId="0" applyFill="1" applyFont="1"/>
    <xf borderId="0" fillId="8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11.5"/>
    <col customWidth="1" min="2" max="2" width="32.38"/>
    <col customWidth="1" min="3" max="3" width="11.25"/>
    <col customWidth="1" min="4" max="4" width="14.0"/>
    <col customWidth="1" min="5" max="5" width="12.63"/>
    <col customWidth="1" min="6" max="6" width="10.88"/>
    <col customWidth="1" min="7" max="7" width="9.38"/>
    <col customWidth="1" min="8" max="8" width="9.88"/>
    <col customWidth="1" min="9" max="9" width="12.38"/>
    <col customWidth="1" min="10" max="10" width="12.5"/>
    <col customWidth="1" min="11" max="11" width="12.38"/>
    <col customWidth="1" min="12" max="12" width="14.0"/>
    <col customWidth="1" min="13" max="13" width="12.88"/>
    <col customWidth="1" min="14" max="14" width="20.38"/>
    <col customWidth="1" min="15" max="15" width="14.38"/>
  </cols>
  <sheetData>
    <row r="1">
      <c r="A1" s="1" t="str">
        <f>IFERROR(__xludf.DUMMYFUNCTION("importrange(""https://docs.google.com/spreadsheets/d/1DFSlwt9ZlRKT_PkoQJfzrg8zKlOpfXCy8ogf6GGmJUE/edit?gid=2115936415#gid=2115936415"",""SponsorProfile _external!A:O"")"),"Sponsor #")</f>
        <v>Sponsor #</v>
      </c>
      <c r="B1" s="1" t="str">
        <f>IFERROR(__xludf.DUMMYFUNCTION("""COMPUTED_VALUE"""),"Sponsor Name")</f>
        <v>Sponsor Name</v>
      </c>
      <c r="C1" s="1" t="str">
        <f>IFERROR(__xludf.DUMMYFUNCTION("""COMPUTED_VALUE"""),"Sponsor Type")</f>
        <v>Sponsor Type</v>
      </c>
      <c r="D1" s="1" t="str">
        <f>IFERROR(__xludf.DUMMYFUNCTION("""COMPUTED_VALUE"""),"Sites Participating in SNP")</f>
        <v>Sites Participating in SNP</v>
      </c>
      <c r="E1" s="1" t="str">
        <f>IFERROR(__xludf.DUMMYFUNCTION("""COMPUTED_VALUE"""),"Breakfast (SBP)")</f>
        <v>Breakfast (SBP)</v>
      </c>
      <c r="F1" s="1" t="str">
        <f>IFERROR(__xludf.DUMMYFUNCTION("""COMPUTED_VALUE"""),"Lunch (NSLP)")</f>
        <v>Lunch (NSLP)</v>
      </c>
      <c r="G1" s="1" t="str">
        <f>IFERROR(__xludf.DUMMYFUNCTION("""COMPUTED_VALUE"""),"Milk (SMP)")</f>
        <v>Milk (SMP)</v>
      </c>
      <c r="H1" s="1" t="str">
        <f>IFERROR(__xludf.DUMMYFUNCTION("""COMPUTED_VALUE"""),"Snack (ASP)")</f>
        <v>Snack (ASP)</v>
      </c>
      <c r="I1" s="1" t="str">
        <f>IFERROR(__xludf.DUMMYFUNCTION("""COMPUTED_VALUE"""),"Fresh Fruit and Vegetable Program (FFVP)")</f>
        <v>Fresh Fruit and Vegetable Program (FFVP)</v>
      </c>
      <c r="J1" s="1" t="str">
        <f>IFERROR(__xludf.DUMMYFUNCTION("""COMPUTED_VALUE"""),"Summer Food Service Program (SFSP)")</f>
        <v>Summer Food Service Program (SFSP)</v>
      </c>
      <c r="K1" s="1" t="str">
        <f>IFERROR(__xludf.DUMMYFUNCTION("""COMPUTED_VALUE"""),"Healthy School Meals for All (HSMA)")</f>
        <v>Healthy School Meals for All (HSMA)</v>
      </c>
      <c r="L1" s="1" t="str">
        <f>IFERROR(__xludf.DUMMYFUNCTION("""COMPUTED_VALUE"""),"Community Eligibility Program (CEP)")</f>
        <v>Community Eligibility Program (CEP)</v>
      </c>
      <c r="M1" s="1" t="str">
        <f>IFERROR(__xludf.DUMMYFUNCTION("""COMPUTED_VALUE"""),"Provision 2")</f>
        <v>Provision 2</v>
      </c>
      <c r="N1" s="1" t="str">
        <f>IFERROR(__xludf.DUMMYFUNCTION("""COMPUTED_VALUE"""),"Food Service Management Company (FSMC) / Vended Meals")</f>
        <v>Food Service Management Company (FSMC) / Vended Meals</v>
      </c>
      <c r="O1" s="1" t="str">
        <f>IFERROR(__xludf.DUMMYFUNCTION("""COMPUTED_VALUE"""),"Rural Designation (SY23-24)")</f>
        <v>Rural Designation (SY23-24)</v>
      </c>
    </row>
    <row r="2">
      <c r="A2" s="2" t="str">
        <f>IFERROR(__xludf.DUMMYFUNCTION("""COMPUTED_VALUE"""),"0010")</f>
        <v>0010</v>
      </c>
      <c r="B2" s="2" t="str">
        <f>IFERROR(__xludf.DUMMYFUNCTION("""COMPUTED_VALUE"""),"MAPLETON 1")</f>
        <v>MAPLETON 1</v>
      </c>
      <c r="C2" s="2" t="str">
        <f>IFERROR(__xludf.DUMMYFUNCTION("""COMPUTED_VALUE"""),"Public")</f>
        <v>Public</v>
      </c>
      <c r="D2" s="3">
        <f>IFERROR(__xludf.DUMMYFUNCTION("""COMPUTED_VALUE"""),19.0)</f>
        <v>19</v>
      </c>
      <c r="E2" s="3" t="str">
        <f>IFERROR(__xludf.DUMMYFUNCTION("""COMPUTED_VALUE"""),"Y")</f>
        <v>Y</v>
      </c>
      <c r="F2" s="3" t="str">
        <f>IFERROR(__xludf.DUMMYFUNCTION("""COMPUTED_VALUE"""),"Y")</f>
        <v>Y</v>
      </c>
      <c r="G2" s="3" t="str">
        <f>IFERROR(__xludf.DUMMYFUNCTION("""COMPUTED_VALUE"""),"N")</f>
        <v>N</v>
      </c>
      <c r="H2" s="3" t="str">
        <f>IFERROR(__xludf.DUMMYFUNCTION("""COMPUTED_VALUE"""),"Y")</f>
        <v>Y</v>
      </c>
      <c r="I2" s="3" t="str">
        <f>IFERROR(__xludf.DUMMYFUNCTION("""COMPUTED_VALUE"""),"N")</f>
        <v>N</v>
      </c>
      <c r="J2" s="3" t="str">
        <f>IFERROR(__xludf.DUMMYFUNCTION("""COMPUTED_VALUE"""),"Y")</f>
        <v>Y</v>
      </c>
      <c r="K2" s="3" t="str">
        <f>IFERROR(__xludf.DUMMYFUNCTION("""COMPUTED_VALUE"""),"Y")</f>
        <v>Y</v>
      </c>
      <c r="L2" s="3" t="str">
        <f>IFERROR(__xludf.DUMMYFUNCTION("""COMPUTED_VALUE"""),"Districtwide")</f>
        <v>Districtwide</v>
      </c>
      <c r="M2" s="3" t="str">
        <f>IFERROR(__xludf.DUMMYFUNCTION("""COMPUTED_VALUE"""),"N")</f>
        <v>N</v>
      </c>
      <c r="N2" s="3" t="str">
        <f>IFERROR(__xludf.DUMMYFUNCTION("""COMPUTED_VALUE"""),"N")</f>
        <v>N</v>
      </c>
      <c r="O2" s="3" t="str">
        <f>IFERROR(__xludf.DUMMYFUNCTION("""COMPUTED_VALUE"""),"none")</f>
        <v>none</v>
      </c>
    </row>
    <row r="3">
      <c r="A3" s="2" t="str">
        <f>IFERROR(__xludf.DUMMYFUNCTION("""COMPUTED_VALUE"""),"0020")</f>
        <v>0020</v>
      </c>
      <c r="B3" s="2" t="str">
        <f>IFERROR(__xludf.DUMMYFUNCTION("""COMPUTED_VALUE"""),"Adams 12 Five Star Schools")</f>
        <v>Adams 12 Five Star Schools</v>
      </c>
      <c r="C3" s="2" t="str">
        <f>IFERROR(__xludf.DUMMYFUNCTION("""COMPUTED_VALUE"""),"Public")</f>
        <v>Public</v>
      </c>
      <c r="D3" s="3">
        <f>IFERROR(__xludf.DUMMYFUNCTION("""COMPUTED_VALUE"""),48.0)</f>
        <v>48</v>
      </c>
      <c r="E3" s="3" t="str">
        <f>IFERROR(__xludf.DUMMYFUNCTION("""COMPUTED_VALUE"""),"Y")</f>
        <v>Y</v>
      </c>
      <c r="F3" s="3" t="str">
        <f>IFERROR(__xludf.DUMMYFUNCTION("""COMPUTED_VALUE"""),"Y")</f>
        <v>Y</v>
      </c>
      <c r="G3" s="3" t="str">
        <f>IFERROR(__xludf.DUMMYFUNCTION("""COMPUTED_VALUE"""),"N")</f>
        <v>N</v>
      </c>
      <c r="H3" s="3" t="str">
        <f>IFERROR(__xludf.DUMMYFUNCTION("""COMPUTED_VALUE"""),"Y")</f>
        <v>Y</v>
      </c>
      <c r="I3" s="3" t="str">
        <f>IFERROR(__xludf.DUMMYFUNCTION("""COMPUTED_VALUE"""),"N")</f>
        <v>N</v>
      </c>
      <c r="J3" s="3" t="str">
        <f>IFERROR(__xludf.DUMMYFUNCTION("""COMPUTED_VALUE"""),"Y")</f>
        <v>Y</v>
      </c>
      <c r="K3" s="3" t="str">
        <f>IFERROR(__xludf.DUMMYFUNCTION("""COMPUTED_VALUE"""),"Y")</f>
        <v>Y</v>
      </c>
      <c r="L3" s="3" t="str">
        <f>IFERROR(__xludf.DUMMYFUNCTION("""COMPUTED_VALUE"""),"Y")</f>
        <v>Y</v>
      </c>
      <c r="M3" s="3" t="str">
        <f>IFERROR(__xludf.DUMMYFUNCTION("""COMPUTED_VALUE"""),"N")</f>
        <v>N</v>
      </c>
      <c r="N3" s="3" t="str">
        <f>IFERROR(__xludf.DUMMYFUNCTION("""COMPUTED_VALUE"""),"N")</f>
        <v>N</v>
      </c>
      <c r="O3" s="3" t="str">
        <f>IFERROR(__xludf.DUMMYFUNCTION("""COMPUTED_VALUE"""),"none")</f>
        <v>none</v>
      </c>
    </row>
    <row r="4">
      <c r="A4" s="2" t="str">
        <f>IFERROR(__xludf.DUMMYFUNCTION("""COMPUTED_VALUE"""),"0030")</f>
        <v>0030</v>
      </c>
      <c r="B4" s="2" t="str">
        <f>IFERROR(__xludf.DUMMYFUNCTION("""COMPUTED_VALUE"""),"ADAMS COUNTY 14")</f>
        <v>ADAMS COUNTY 14</v>
      </c>
      <c r="C4" s="2" t="str">
        <f>IFERROR(__xludf.DUMMYFUNCTION("""COMPUTED_VALUE"""),"Public")</f>
        <v>Public</v>
      </c>
      <c r="D4" s="3">
        <f>IFERROR(__xludf.DUMMYFUNCTION("""COMPUTED_VALUE"""),10.0)</f>
        <v>10</v>
      </c>
      <c r="E4" s="3" t="str">
        <f>IFERROR(__xludf.DUMMYFUNCTION("""COMPUTED_VALUE"""),"Y")</f>
        <v>Y</v>
      </c>
      <c r="F4" s="3" t="str">
        <f>IFERROR(__xludf.DUMMYFUNCTION("""COMPUTED_VALUE"""),"Y")</f>
        <v>Y</v>
      </c>
      <c r="G4" s="3" t="str">
        <f>IFERROR(__xludf.DUMMYFUNCTION("""COMPUTED_VALUE"""),"N")</f>
        <v>N</v>
      </c>
      <c r="H4" s="3" t="str">
        <f>IFERROR(__xludf.DUMMYFUNCTION("""COMPUTED_VALUE"""),"Y")</f>
        <v>Y</v>
      </c>
      <c r="I4" s="3" t="str">
        <f>IFERROR(__xludf.DUMMYFUNCTION("""COMPUTED_VALUE"""),"Y")</f>
        <v>Y</v>
      </c>
      <c r="J4" s="3" t="str">
        <f>IFERROR(__xludf.DUMMYFUNCTION("""COMPUTED_VALUE"""),"Y")</f>
        <v>Y</v>
      </c>
      <c r="K4" s="3" t="str">
        <f>IFERROR(__xludf.DUMMYFUNCTION("""COMPUTED_VALUE"""),"Y")</f>
        <v>Y</v>
      </c>
      <c r="L4" s="3" t="str">
        <f>IFERROR(__xludf.DUMMYFUNCTION("""COMPUTED_VALUE"""),"Districtwide")</f>
        <v>Districtwide</v>
      </c>
      <c r="M4" s="3" t="str">
        <f>IFERROR(__xludf.DUMMYFUNCTION("""COMPUTED_VALUE"""),"N")</f>
        <v>N</v>
      </c>
      <c r="N4" s="3" t="str">
        <f>IFERROR(__xludf.DUMMYFUNCTION("""COMPUTED_VALUE"""),"N")</f>
        <v>N</v>
      </c>
      <c r="O4" s="3" t="str">
        <f>IFERROR(__xludf.DUMMYFUNCTION("""COMPUTED_VALUE"""),"none")</f>
        <v>none</v>
      </c>
    </row>
    <row r="5">
      <c r="A5" s="2" t="str">
        <f>IFERROR(__xludf.DUMMYFUNCTION("""COMPUTED_VALUE"""),"0040")</f>
        <v>0040</v>
      </c>
      <c r="B5" s="2" t="str">
        <f>IFERROR(__xludf.DUMMYFUNCTION("""COMPUTED_VALUE"""),"School District 27J")</f>
        <v>School District 27J</v>
      </c>
      <c r="C5" s="2" t="str">
        <f>IFERROR(__xludf.DUMMYFUNCTION("""COMPUTED_VALUE"""),"Public")</f>
        <v>Public</v>
      </c>
      <c r="D5" s="3">
        <f>IFERROR(__xludf.DUMMYFUNCTION("""COMPUTED_VALUE"""),27.0)</f>
        <v>27</v>
      </c>
      <c r="E5" s="3" t="str">
        <f>IFERROR(__xludf.DUMMYFUNCTION("""COMPUTED_VALUE"""),"Y")</f>
        <v>Y</v>
      </c>
      <c r="F5" s="3" t="str">
        <f>IFERROR(__xludf.DUMMYFUNCTION("""COMPUTED_VALUE"""),"Y")</f>
        <v>Y</v>
      </c>
      <c r="G5" s="3" t="str">
        <f>IFERROR(__xludf.DUMMYFUNCTION("""COMPUTED_VALUE"""),"N")</f>
        <v>N</v>
      </c>
      <c r="H5" s="3" t="str">
        <f>IFERROR(__xludf.DUMMYFUNCTION("""COMPUTED_VALUE"""),"N")</f>
        <v>N</v>
      </c>
      <c r="I5" s="3" t="str">
        <f>IFERROR(__xludf.DUMMYFUNCTION("""COMPUTED_VALUE"""),"N")</f>
        <v>N</v>
      </c>
      <c r="J5" s="3" t="str">
        <f>IFERROR(__xludf.DUMMYFUNCTION("""COMPUTED_VALUE"""),"Y")</f>
        <v>Y</v>
      </c>
      <c r="K5" s="3" t="str">
        <f>IFERROR(__xludf.DUMMYFUNCTION("""COMPUTED_VALUE"""),"Y")</f>
        <v>Y</v>
      </c>
      <c r="L5" s="3" t="str">
        <f>IFERROR(__xludf.DUMMYFUNCTION("""COMPUTED_VALUE"""),"Districtwide")</f>
        <v>Districtwide</v>
      </c>
      <c r="M5" s="3" t="str">
        <f>IFERROR(__xludf.DUMMYFUNCTION("""COMPUTED_VALUE"""),"N")</f>
        <v>N</v>
      </c>
      <c r="N5" s="3" t="str">
        <f>IFERROR(__xludf.DUMMYFUNCTION("""COMPUTED_VALUE"""),"N")</f>
        <v>N</v>
      </c>
      <c r="O5" s="3" t="str">
        <f>IFERROR(__xludf.DUMMYFUNCTION("""COMPUTED_VALUE"""),"none")</f>
        <v>none</v>
      </c>
    </row>
    <row r="6">
      <c r="A6" s="2" t="str">
        <f>IFERROR(__xludf.DUMMYFUNCTION("""COMPUTED_VALUE"""),"0050")</f>
        <v>0050</v>
      </c>
      <c r="B6" s="2" t="str">
        <f>IFERROR(__xludf.DUMMYFUNCTION("""COMPUTED_VALUE"""),"BENNETT 29J")</f>
        <v>BENNETT 29J</v>
      </c>
      <c r="C6" s="2" t="str">
        <f>IFERROR(__xludf.DUMMYFUNCTION("""COMPUTED_VALUE"""),"Public")</f>
        <v>Public</v>
      </c>
      <c r="D6" s="3">
        <f>IFERROR(__xludf.DUMMYFUNCTION("""COMPUTED_VALUE"""),4.0)</f>
        <v>4</v>
      </c>
      <c r="E6" s="3" t="str">
        <f>IFERROR(__xludf.DUMMYFUNCTION("""COMPUTED_VALUE"""),"Y")</f>
        <v>Y</v>
      </c>
      <c r="F6" s="3" t="str">
        <f>IFERROR(__xludf.DUMMYFUNCTION("""COMPUTED_VALUE"""),"Y")</f>
        <v>Y</v>
      </c>
      <c r="G6" s="3" t="str">
        <f>IFERROR(__xludf.DUMMYFUNCTION("""COMPUTED_VALUE"""),"N")</f>
        <v>N</v>
      </c>
      <c r="H6" s="3" t="str">
        <f>IFERROR(__xludf.DUMMYFUNCTION("""COMPUTED_VALUE"""),"N")</f>
        <v>N</v>
      </c>
      <c r="I6" s="3" t="str">
        <f>IFERROR(__xludf.DUMMYFUNCTION("""COMPUTED_VALUE"""),"N")</f>
        <v>N</v>
      </c>
      <c r="J6" s="3" t="str">
        <f>IFERROR(__xludf.DUMMYFUNCTION("""COMPUTED_VALUE"""),"N")</f>
        <v>N</v>
      </c>
      <c r="K6" s="3" t="str">
        <f>IFERROR(__xludf.DUMMYFUNCTION("""COMPUTED_VALUE"""),"Y")</f>
        <v>Y</v>
      </c>
      <c r="L6" s="3" t="str">
        <f>IFERROR(__xludf.DUMMYFUNCTION("""COMPUTED_VALUE"""),"Y")</f>
        <v>Y</v>
      </c>
      <c r="M6" s="3" t="str">
        <f>IFERROR(__xludf.DUMMYFUNCTION("""COMPUTED_VALUE"""),"N")</f>
        <v>N</v>
      </c>
      <c r="N6" s="3" t="str">
        <f>IFERROR(__xludf.DUMMYFUNCTION("""COMPUTED_VALUE"""),"N")</f>
        <v>N</v>
      </c>
      <c r="O6" s="3" t="str">
        <f>IFERROR(__xludf.DUMMYFUNCTION("""COMPUTED_VALUE"""),"Rural")</f>
        <v>Rural</v>
      </c>
    </row>
    <row r="7">
      <c r="A7" s="2" t="str">
        <f>IFERROR(__xludf.DUMMYFUNCTION("""COMPUTED_VALUE"""),"0060")</f>
        <v>0060</v>
      </c>
      <c r="B7" s="2" t="str">
        <f>IFERROR(__xludf.DUMMYFUNCTION("""COMPUTED_VALUE"""),"STRASBURG 31J")</f>
        <v>STRASBURG 31J</v>
      </c>
      <c r="C7" s="2" t="str">
        <f>IFERROR(__xludf.DUMMYFUNCTION("""COMPUTED_VALUE"""),"Public")</f>
        <v>Public</v>
      </c>
      <c r="D7" s="3">
        <f>IFERROR(__xludf.DUMMYFUNCTION("""COMPUTED_VALUE"""),4.0)</f>
        <v>4</v>
      </c>
      <c r="E7" s="3" t="str">
        <f>IFERROR(__xludf.DUMMYFUNCTION("""COMPUTED_VALUE"""),"Y")</f>
        <v>Y</v>
      </c>
      <c r="F7" s="3" t="str">
        <f>IFERROR(__xludf.DUMMYFUNCTION("""COMPUTED_VALUE"""),"Y")</f>
        <v>Y</v>
      </c>
      <c r="G7" s="3" t="str">
        <f>IFERROR(__xludf.DUMMYFUNCTION("""COMPUTED_VALUE"""),"N")</f>
        <v>N</v>
      </c>
      <c r="H7" s="3" t="str">
        <f>IFERROR(__xludf.DUMMYFUNCTION("""COMPUTED_VALUE"""),"N")</f>
        <v>N</v>
      </c>
      <c r="I7" s="3" t="str">
        <f>IFERROR(__xludf.DUMMYFUNCTION("""COMPUTED_VALUE"""),"N")</f>
        <v>N</v>
      </c>
      <c r="J7" s="3" t="str">
        <f>IFERROR(__xludf.DUMMYFUNCTION("""COMPUTED_VALUE"""),"N")</f>
        <v>N</v>
      </c>
      <c r="K7" s="3" t="str">
        <f>IFERROR(__xludf.DUMMYFUNCTION("""COMPUTED_VALUE"""),"Y")</f>
        <v>Y</v>
      </c>
      <c r="L7" s="3" t="str">
        <f>IFERROR(__xludf.DUMMYFUNCTION("""COMPUTED_VALUE"""),"Y")</f>
        <v>Y</v>
      </c>
      <c r="M7" s="3" t="str">
        <f>IFERROR(__xludf.DUMMYFUNCTION("""COMPUTED_VALUE"""),"N")</f>
        <v>N</v>
      </c>
      <c r="N7" s="3" t="str">
        <f>IFERROR(__xludf.DUMMYFUNCTION("""COMPUTED_VALUE"""),"N")</f>
        <v>N</v>
      </c>
      <c r="O7" s="3" t="str">
        <f>IFERROR(__xludf.DUMMYFUNCTION("""COMPUTED_VALUE"""),"Rural")</f>
        <v>Rural</v>
      </c>
    </row>
    <row r="8">
      <c r="A8" s="2" t="str">
        <f>IFERROR(__xludf.DUMMYFUNCTION("""COMPUTED_VALUE"""),"0070")</f>
        <v>0070</v>
      </c>
      <c r="B8" s="2" t="str">
        <f>IFERROR(__xludf.DUMMYFUNCTION("""COMPUTED_VALUE"""),"Westminster Public Schools")</f>
        <v>Westminster Public Schools</v>
      </c>
      <c r="C8" s="2" t="str">
        <f>IFERROR(__xludf.DUMMYFUNCTION("""COMPUTED_VALUE"""),"Public")</f>
        <v>Public</v>
      </c>
      <c r="D8" s="3">
        <f>IFERROR(__xludf.DUMMYFUNCTION("""COMPUTED_VALUE"""),18.0)</f>
        <v>18</v>
      </c>
      <c r="E8" s="3" t="str">
        <f>IFERROR(__xludf.DUMMYFUNCTION("""COMPUTED_VALUE"""),"Y")</f>
        <v>Y</v>
      </c>
      <c r="F8" s="3" t="str">
        <f>IFERROR(__xludf.DUMMYFUNCTION("""COMPUTED_VALUE"""),"Y")</f>
        <v>Y</v>
      </c>
      <c r="G8" s="3" t="str">
        <f>IFERROR(__xludf.DUMMYFUNCTION("""COMPUTED_VALUE"""),"N")</f>
        <v>N</v>
      </c>
      <c r="H8" s="3" t="str">
        <f>IFERROR(__xludf.DUMMYFUNCTION("""COMPUTED_VALUE"""),"Y")</f>
        <v>Y</v>
      </c>
      <c r="I8" s="3" t="str">
        <f>IFERROR(__xludf.DUMMYFUNCTION("""COMPUTED_VALUE"""),"Y")</f>
        <v>Y</v>
      </c>
      <c r="J8" s="3" t="str">
        <f>IFERROR(__xludf.DUMMYFUNCTION("""COMPUTED_VALUE"""),"Y")</f>
        <v>Y</v>
      </c>
      <c r="K8" s="3" t="str">
        <f>IFERROR(__xludf.DUMMYFUNCTION("""COMPUTED_VALUE"""),"Y")</f>
        <v>Y</v>
      </c>
      <c r="L8" s="3" t="str">
        <f>IFERROR(__xludf.DUMMYFUNCTION("""COMPUTED_VALUE"""),"Districtwide")</f>
        <v>Districtwide</v>
      </c>
      <c r="M8" s="3" t="str">
        <f>IFERROR(__xludf.DUMMYFUNCTION("""COMPUTED_VALUE"""),"N")</f>
        <v>N</v>
      </c>
      <c r="N8" s="3" t="str">
        <f>IFERROR(__xludf.DUMMYFUNCTION("""COMPUTED_VALUE"""),"Y")</f>
        <v>Y</v>
      </c>
      <c r="O8" s="3" t="str">
        <f>IFERROR(__xludf.DUMMYFUNCTION("""COMPUTED_VALUE"""),"none")</f>
        <v>none</v>
      </c>
    </row>
    <row r="9">
      <c r="A9" s="2" t="str">
        <f>IFERROR(__xludf.DUMMYFUNCTION("""COMPUTED_VALUE"""),"0100")</f>
        <v>0100</v>
      </c>
      <c r="B9" s="2" t="str">
        <f>IFERROR(__xludf.DUMMYFUNCTION("""COMPUTED_VALUE"""),"ALAMOSA COUNTY SCHOOL DIST # 11J")</f>
        <v>ALAMOSA COUNTY SCHOOL DIST # 11J</v>
      </c>
      <c r="C9" s="2" t="str">
        <f>IFERROR(__xludf.DUMMYFUNCTION("""COMPUTED_VALUE"""),"Public")</f>
        <v>Public</v>
      </c>
      <c r="D9" s="3">
        <f>IFERROR(__xludf.DUMMYFUNCTION("""COMPUTED_VALUE"""),6.0)</f>
        <v>6</v>
      </c>
      <c r="E9" s="3" t="str">
        <f>IFERROR(__xludf.DUMMYFUNCTION("""COMPUTED_VALUE"""),"Y")</f>
        <v>Y</v>
      </c>
      <c r="F9" s="3" t="str">
        <f>IFERROR(__xludf.DUMMYFUNCTION("""COMPUTED_VALUE"""),"Y")</f>
        <v>Y</v>
      </c>
      <c r="G9" s="3" t="str">
        <f>IFERROR(__xludf.DUMMYFUNCTION("""COMPUTED_VALUE"""),"N")</f>
        <v>N</v>
      </c>
      <c r="H9" s="3" t="str">
        <f>IFERROR(__xludf.DUMMYFUNCTION("""COMPUTED_VALUE"""),"Y")</f>
        <v>Y</v>
      </c>
      <c r="I9" s="3" t="str">
        <f>IFERROR(__xludf.DUMMYFUNCTION("""COMPUTED_VALUE"""),"Y")</f>
        <v>Y</v>
      </c>
      <c r="J9" s="3" t="str">
        <f>IFERROR(__xludf.DUMMYFUNCTION("""COMPUTED_VALUE"""),"Y")</f>
        <v>Y</v>
      </c>
      <c r="K9" s="3" t="str">
        <f>IFERROR(__xludf.DUMMYFUNCTION("""COMPUTED_VALUE"""),"Y")</f>
        <v>Y</v>
      </c>
      <c r="L9" s="3" t="str">
        <f>IFERROR(__xludf.DUMMYFUNCTION("""COMPUTED_VALUE"""),"Districtwide")</f>
        <v>Districtwide</v>
      </c>
      <c r="M9" s="3" t="str">
        <f>IFERROR(__xludf.DUMMYFUNCTION("""COMPUTED_VALUE"""),"N")</f>
        <v>N</v>
      </c>
      <c r="N9" s="3" t="str">
        <f>IFERROR(__xludf.DUMMYFUNCTION("""COMPUTED_VALUE"""),"N")</f>
        <v>N</v>
      </c>
      <c r="O9" s="3" t="str">
        <f>IFERROR(__xludf.DUMMYFUNCTION("""COMPUTED_VALUE"""),"Rural")</f>
        <v>Rural</v>
      </c>
    </row>
    <row r="10">
      <c r="A10" s="2" t="str">
        <f>IFERROR(__xludf.DUMMYFUNCTION("""COMPUTED_VALUE"""),"0110")</f>
        <v>0110</v>
      </c>
      <c r="B10" s="2" t="str">
        <f>IFERROR(__xludf.DUMMYFUNCTION("""COMPUTED_VALUE"""),"SANGRE DE CRISTO RE-22J")</f>
        <v>SANGRE DE CRISTO RE-22J</v>
      </c>
      <c r="C10" s="2" t="str">
        <f>IFERROR(__xludf.DUMMYFUNCTION("""COMPUTED_VALUE"""),"Public")</f>
        <v>Public</v>
      </c>
      <c r="D10" s="3">
        <f>IFERROR(__xludf.DUMMYFUNCTION("""COMPUTED_VALUE"""),2.0)</f>
        <v>2</v>
      </c>
      <c r="E10" s="3" t="str">
        <f>IFERROR(__xludf.DUMMYFUNCTION("""COMPUTED_VALUE"""),"Y")</f>
        <v>Y</v>
      </c>
      <c r="F10" s="3" t="str">
        <f>IFERROR(__xludf.DUMMYFUNCTION("""COMPUTED_VALUE"""),"Y")</f>
        <v>Y</v>
      </c>
      <c r="G10" s="3" t="str">
        <f>IFERROR(__xludf.DUMMYFUNCTION("""COMPUTED_VALUE"""),"N")</f>
        <v>N</v>
      </c>
      <c r="H10" s="3" t="str">
        <f>IFERROR(__xludf.DUMMYFUNCTION("""COMPUTED_VALUE"""),"N")</f>
        <v>N</v>
      </c>
      <c r="I10" s="3" t="str">
        <f>IFERROR(__xludf.DUMMYFUNCTION("""COMPUTED_VALUE"""),"N")</f>
        <v>N</v>
      </c>
      <c r="J10" s="3" t="str">
        <f>IFERROR(__xludf.DUMMYFUNCTION("""COMPUTED_VALUE"""),"N")</f>
        <v>N</v>
      </c>
      <c r="K10" s="3" t="str">
        <f>IFERROR(__xludf.DUMMYFUNCTION("""COMPUTED_VALUE"""),"Y")</f>
        <v>Y</v>
      </c>
      <c r="L10" s="3" t="str">
        <f>IFERROR(__xludf.DUMMYFUNCTION("""COMPUTED_VALUE"""),"Districtwide")</f>
        <v>Districtwide</v>
      </c>
      <c r="M10" s="3" t="str">
        <f>IFERROR(__xludf.DUMMYFUNCTION("""COMPUTED_VALUE"""),"N")</f>
        <v>N</v>
      </c>
      <c r="N10" s="3" t="str">
        <f>IFERROR(__xludf.DUMMYFUNCTION("""COMPUTED_VALUE"""),"N")</f>
        <v>N</v>
      </c>
      <c r="O10" s="3" t="str">
        <f>IFERROR(__xludf.DUMMYFUNCTION("""COMPUTED_VALUE"""),"Small Rural")</f>
        <v>Small Rural</v>
      </c>
    </row>
    <row r="11">
      <c r="A11" s="2" t="str">
        <f>IFERROR(__xludf.DUMMYFUNCTION("""COMPUTED_VALUE"""),"0120")</f>
        <v>0120</v>
      </c>
      <c r="B11" s="2" t="str">
        <f>IFERROR(__xludf.DUMMYFUNCTION("""COMPUTED_VALUE"""),"ENGLEWOOD 1")</f>
        <v>ENGLEWOOD 1</v>
      </c>
      <c r="C11" s="2" t="str">
        <f>IFERROR(__xludf.DUMMYFUNCTION("""COMPUTED_VALUE"""),"Public")</f>
        <v>Public</v>
      </c>
      <c r="D11" s="3">
        <f>IFERROR(__xludf.DUMMYFUNCTION("""COMPUTED_VALUE"""),9.0)</f>
        <v>9</v>
      </c>
      <c r="E11" s="3" t="str">
        <f>IFERROR(__xludf.DUMMYFUNCTION("""COMPUTED_VALUE"""),"Y")</f>
        <v>Y</v>
      </c>
      <c r="F11" s="3" t="str">
        <f>IFERROR(__xludf.DUMMYFUNCTION("""COMPUTED_VALUE"""),"Y")</f>
        <v>Y</v>
      </c>
      <c r="G11" s="3" t="str">
        <f>IFERROR(__xludf.DUMMYFUNCTION("""COMPUTED_VALUE"""),"N")</f>
        <v>N</v>
      </c>
      <c r="H11" s="3" t="str">
        <f>IFERROR(__xludf.DUMMYFUNCTION("""COMPUTED_VALUE"""),"N")</f>
        <v>N</v>
      </c>
      <c r="I11" s="3" t="str">
        <f>IFERROR(__xludf.DUMMYFUNCTION("""COMPUTED_VALUE"""),"Y")</f>
        <v>Y</v>
      </c>
      <c r="J11" s="3" t="str">
        <f>IFERROR(__xludf.DUMMYFUNCTION("""COMPUTED_VALUE"""),"Y")</f>
        <v>Y</v>
      </c>
      <c r="K11" s="3" t="str">
        <f>IFERROR(__xludf.DUMMYFUNCTION("""COMPUTED_VALUE"""),"Y")</f>
        <v>Y</v>
      </c>
      <c r="L11" s="3" t="str">
        <f>IFERROR(__xludf.DUMMYFUNCTION("""COMPUTED_VALUE"""),"Districtwide")</f>
        <v>Districtwide</v>
      </c>
      <c r="M11" s="3" t="str">
        <f>IFERROR(__xludf.DUMMYFUNCTION("""COMPUTED_VALUE"""),"N")</f>
        <v>N</v>
      </c>
      <c r="N11" s="3" t="str">
        <f>IFERROR(__xludf.DUMMYFUNCTION("""COMPUTED_VALUE"""),"N")</f>
        <v>N</v>
      </c>
      <c r="O11" s="3" t="str">
        <f>IFERROR(__xludf.DUMMYFUNCTION("""COMPUTED_VALUE"""),"none")</f>
        <v>none</v>
      </c>
    </row>
    <row r="12">
      <c r="A12" s="2" t="str">
        <f>IFERROR(__xludf.DUMMYFUNCTION("""COMPUTED_VALUE"""),"0123")</f>
        <v>0123</v>
      </c>
      <c r="B12" s="2" t="str">
        <f>IFERROR(__xludf.DUMMYFUNCTION("""COMPUTED_VALUE"""),"SHERIDAN 2")</f>
        <v>SHERIDAN 2</v>
      </c>
      <c r="C12" s="2" t="str">
        <f>IFERROR(__xludf.DUMMYFUNCTION("""COMPUTED_VALUE"""),"Public")</f>
        <v>Public</v>
      </c>
      <c r="D12" s="3">
        <f>IFERROR(__xludf.DUMMYFUNCTION("""COMPUTED_VALUE"""),5.0)</f>
        <v>5</v>
      </c>
      <c r="E12" s="3" t="str">
        <f>IFERROR(__xludf.DUMMYFUNCTION("""COMPUTED_VALUE"""),"Y")</f>
        <v>Y</v>
      </c>
      <c r="F12" s="3" t="str">
        <f>IFERROR(__xludf.DUMMYFUNCTION("""COMPUTED_VALUE"""),"Y")</f>
        <v>Y</v>
      </c>
      <c r="G12" s="3" t="str">
        <f>IFERROR(__xludf.DUMMYFUNCTION("""COMPUTED_VALUE"""),"N")</f>
        <v>N</v>
      </c>
      <c r="H12" s="3" t="str">
        <f>IFERROR(__xludf.DUMMYFUNCTION("""COMPUTED_VALUE"""),"Y")</f>
        <v>Y</v>
      </c>
      <c r="I12" s="3" t="str">
        <f>IFERROR(__xludf.DUMMYFUNCTION("""COMPUTED_VALUE"""),"Y")</f>
        <v>Y</v>
      </c>
      <c r="J12" s="3" t="str">
        <f>IFERROR(__xludf.DUMMYFUNCTION("""COMPUTED_VALUE"""),"Y")</f>
        <v>Y</v>
      </c>
      <c r="K12" s="3" t="str">
        <f>IFERROR(__xludf.DUMMYFUNCTION("""COMPUTED_VALUE"""),"Y")</f>
        <v>Y</v>
      </c>
      <c r="L12" s="3" t="str">
        <f>IFERROR(__xludf.DUMMYFUNCTION("""COMPUTED_VALUE"""),"Districtwide")</f>
        <v>Districtwide</v>
      </c>
      <c r="M12" s="3" t="str">
        <f>IFERROR(__xludf.DUMMYFUNCTION("""COMPUTED_VALUE"""),"N")</f>
        <v>N</v>
      </c>
      <c r="N12" s="3" t="str">
        <f>IFERROR(__xludf.DUMMYFUNCTION("""COMPUTED_VALUE"""),"N")</f>
        <v>N</v>
      </c>
      <c r="O12" s="3" t="str">
        <f>IFERROR(__xludf.DUMMYFUNCTION("""COMPUTED_VALUE"""),"none")</f>
        <v>none</v>
      </c>
    </row>
    <row r="13">
      <c r="A13" s="2" t="str">
        <f>IFERROR(__xludf.DUMMYFUNCTION("""COMPUTED_VALUE"""),"0130")</f>
        <v>0130</v>
      </c>
      <c r="B13" s="2" t="str">
        <f>IFERROR(__xludf.DUMMYFUNCTION("""COMPUTED_VALUE"""),"CHERRY CREEK 5")</f>
        <v>CHERRY CREEK 5</v>
      </c>
      <c r="C13" s="2" t="str">
        <f>IFERROR(__xludf.DUMMYFUNCTION("""COMPUTED_VALUE"""),"Public")</f>
        <v>Public</v>
      </c>
      <c r="D13" s="3">
        <f>IFERROR(__xludf.DUMMYFUNCTION("""COMPUTED_VALUE"""),69.0)</f>
        <v>69</v>
      </c>
      <c r="E13" s="3" t="str">
        <f>IFERROR(__xludf.DUMMYFUNCTION("""COMPUTED_VALUE"""),"Y")</f>
        <v>Y</v>
      </c>
      <c r="F13" s="3" t="str">
        <f>IFERROR(__xludf.DUMMYFUNCTION("""COMPUTED_VALUE"""),"Y")</f>
        <v>Y</v>
      </c>
      <c r="G13" s="3" t="str">
        <f>IFERROR(__xludf.DUMMYFUNCTION("""COMPUTED_VALUE"""),"N")</f>
        <v>N</v>
      </c>
      <c r="H13" s="3" t="str">
        <f>IFERROR(__xludf.DUMMYFUNCTION("""COMPUTED_VALUE"""),"N")</f>
        <v>N</v>
      </c>
      <c r="I13" s="3" t="str">
        <f>IFERROR(__xludf.DUMMYFUNCTION("""COMPUTED_VALUE"""),"N")</f>
        <v>N</v>
      </c>
      <c r="J13" s="3" t="str">
        <f>IFERROR(__xludf.DUMMYFUNCTION("""COMPUTED_VALUE"""),"Y")</f>
        <v>Y</v>
      </c>
      <c r="K13" s="3" t="str">
        <f>IFERROR(__xludf.DUMMYFUNCTION("""COMPUTED_VALUE"""),"Y")</f>
        <v>Y</v>
      </c>
      <c r="L13" s="3" t="str">
        <f>IFERROR(__xludf.DUMMYFUNCTION("""COMPUTED_VALUE"""),"Y")</f>
        <v>Y</v>
      </c>
      <c r="M13" s="3" t="str">
        <f>IFERROR(__xludf.DUMMYFUNCTION("""COMPUTED_VALUE"""),"N")</f>
        <v>N</v>
      </c>
      <c r="N13" s="3" t="str">
        <f>IFERROR(__xludf.DUMMYFUNCTION("""COMPUTED_VALUE"""),"N")</f>
        <v>N</v>
      </c>
      <c r="O13" s="3" t="str">
        <f>IFERROR(__xludf.DUMMYFUNCTION("""COMPUTED_VALUE"""),"none")</f>
        <v>none</v>
      </c>
    </row>
    <row r="14">
      <c r="A14" s="2" t="str">
        <f>IFERROR(__xludf.DUMMYFUNCTION("""COMPUTED_VALUE"""),"0140")</f>
        <v>0140</v>
      </c>
      <c r="B14" s="2" t="str">
        <f>IFERROR(__xludf.DUMMYFUNCTION("""COMPUTED_VALUE"""),"Littleton School District 6")</f>
        <v>Littleton School District 6</v>
      </c>
      <c r="C14" s="2" t="str">
        <f>IFERROR(__xludf.DUMMYFUNCTION("""COMPUTED_VALUE"""),"Public")</f>
        <v>Public</v>
      </c>
      <c r="D14" s="3">
        <f>IFERROR(__xludf.DUMMYFUNCTION("""COMPUTED_VALUE"""),20.0)</f>
        <v>20</v>
      </c>
      <c r="E14" s="3" t="str">
        <f>IFERROR(__xludf.DUMMYFUNCTION("""COMPUTED_VALUE"""),"Y")</f>
        <v>Y</v>
      </c>
      <c r="F14" s="3" t="str">
        <f>IFERROR(__xludf.DUMMYFUNCTION("""COMPUTED_VALUE"""),"Y")</f>
        <v>Y</v>
      </c>
      <c r="G14" s="3" t="str">
        <f>IFERROR(__xludf.DUMMYFUNCTION("""COMPUTED_VALUE"""),"N")</f>
        <v>N</v>
      </c>
      <c r="H14" s="3" t="str">
        <f>IFERROR(__xludf.DUMMYFUNCTION("""COMPUTED_VALUE"""),"Y")</f>
        <v>Y</v>
      </c>
      <c r="I14" s="3" t="str">
        <f>IFERROR(__xludf.DUMMYFUNCTION("""COMPUTED_VALUE"""),"Y")</f>
        <v>Y</v>
      </c>
      <c r="J14" s="3" t="str">
        <f>IFERROR(__xludf.DUMMYFUNCTION("""COMPUTED_VALUE"""),"N")</f>
        <v>N</v>
      </c>
      <c r="K14" s="3" t="str">
        <f>IFERROR(__xludf.DUMMYFUNCTION("""COMPUTED_VALUE"""),"Y")</f>
        <v>Y</v>
      </c>
      <c r="L14" s="3" t="str">
        <f>IFERROR(__xludf.DUMMYFUNCTION("""COMPUTED_VALUE"""),"Y")</f>
        <v>Y</v>
      </c>
      <c r="M14" s="3" t="str">
        <f>IFERROR(__xludf.DUMMYFUNCTION("""COMPUTED_VALUE"""),"N")</f>
        <v>N</v>
      </c>
      <c r="N14" s="3" t="str">
        <f>IFERROR(__xludf.DUMMYFUNCTION("""COMPUTED_VALUE"""),"N")</f>
        <v>N</v>
      </c>
      <c r="O14" s="3" t="str">
        <f>IFERROR(__xludf.DUMMYFUNCTION("""COMPUTED_VALUE"""),"none")</f>
        <v>none</v>
      </c>
    </row>
    <row r="15">
      <c r="A15" s="2" t="str">
        <f>IFERROR(__xludf.DUMMYFUNCTION("""COMPUTED_VALUE"""),"0170")</f>
        <v>0170</v>
      </c>
      <c r="B15" s="2" t="str">
        <f>IFERROR(__xludf.DUMMYFUNCTION("""COMPUTED_VALUE"""),"DEER TRAIL 26J")</f>
        <v>DEER TRAIL 26J</v>
      </c>
      <c r="C15" s="2" t="str">
        <f>IFERROR(__xludf.DUMMYFUNCTION("""COMPUTED_VALUE"""),"Public")</f>
        <v>Public</v>
      </c>
      <c r="D15" s="3">
        <f>IFERROR(__xludf.DUMMYFUNCTION("""COMPUTED_VALUE"""),2.0)</f>
        <v>2</v>
      </c>
      <c r="E15" s="3" t="str">
        <f>IFERROR(__xludf.DUMMYFUNCTION("""COMPUTED_VALUE"""),"Y")</f>
        <v>Y</v>
      </c>
      <c r="F15" s="3" t="str">
        <f>IFERROR(__xludf.DUMMYFUNCTION("""COMPUTED_VALUE"""),"Y")</f>
        <v>Y</v>
      </c>
      <c r="G15" s="3" t="str">
        <f>IFERROR(__xludf.DUMMYFUNCTION("""COMPUTED_VALUE"""),"N")</f>
        <v>N</v>
      </c>
      <c r="H15" s="3" t="str">
        <f>IFERROR(__xludf.DUMMYFUNCTION("""COMPUTED_VALUE"""),"N")</f>
        <v>N</v>
      </c>
      <c r="I15" s="3" t="str">
        <f>IFERROR(__xludf.DUMMYFUNCTION("""COMPUTED_VALUE"""),"N")</f>
        <v>N</v>
      </c>
      <c r="J15" s="3" t="str">
        <f>IFERROR(__xludf.DUMMYFUNCTION("""COMPUTED_VALUE"""),"N")</f>
        <v>N</v>
      </c>
      <c r="K15" s="3" t="str">
        <f>IFERROR(__xludf.DUMMYFUNCTION("""COMPUTED_VALUE"""),"Y")</f>
        <v>Y</v>
      </c>
      <c r="L15" s="3" t="str">
        <f>IFERROR(__xludf.DUMMYFUNCTION("""COMPUTED_VALUE"""),"Districtwide")</f>
        <v>Districtwide</v>
      </c>
      <c r="M15" s="3" t="str">
        <f>IFERROR(__xludf.DUMMYFUNCTION("""COMPUTED_VALUE"""),"N")</f>
        <v>N</v>
      </c>
      <c r="N15" s="3" t="str">
        <f>IFERROR(__xludf.DUMMYFUNCTION("""COMPUTED_VALUE"""),"N")</f>
        <v>N</v>
      </c>
      <c r="O15" s="3" t="str">
        <f>IFERROR(__xludf.DUMMYFUNCTION("""COMPUTED_VALUE"""),"Small Rural")</f>
        <v>Small Rural</v>
      </c>
    </row>
    <row r="16">
      <c r="A16" s="2" t="str">
        <f>IFERROR(__xludf.DUMMYFUNCTION("""COMPUTED_VALUE"""),"0180")</f>
        <v>0180</v>
      </c>
      <c r="B16" s="2" t="str">
        <f>IFERROR(__xludf.DUMMYFUNCTION("""COMPUTED_VALUE"""),"ADAMS-ARAPAHOE 28J")</f>
        <v>ADAMS-ARAPAHOE 28J</v>
      </c>
      <c r="C16" s="2" t="str">
        <f>IFERROR(__xludf.DUMMYFUNCTION("""COMPUTED_VALUE"""),"Public")</f>
        <v>Public</v>
      </c>
      <c r="D16" s="3">
        <f>IFERROR(__xludf.DUMMYFUNCTION("""COMPUTED_VALUE"""),59.0)</f>
        <v>59</v>
      </c>
      <c r="E16" s="3" t="str">
        <f>IFERROR(__xludf.DUMMYFUNCTION("""COMPUTED_VALUE"""),"Y")</f>
        <v>Y</v>
      </c>
      <c r="F16" s="3" t="str">
        <f>IFERROR(__xludf.DUMMYFUNCTION("""COMPUTED_VALUE"""),"Y")</f>
        <v>Y</v>
      </c>
      <c r="G16" s="3" t="str">
        <f>IFERROR(__xludf.DUMMYFUNCTION("""COMPUTED_VALUE"""),"N")</f>
        <v>N</v>
      </c>
      <c r="H16" s="3" t="str">
        <f>IFERROR(__xludf.DUMMYFUNCTION("""COMPUTED_VALUE"""),"N")</f>
        <v>N</v>
      </c>
      <c r="I16" s="3" t="str">
        <f>IFERROR(__xludf.DUMMYFUNCTION("""COMPUTED_VALUE"""),"N")</f>
        <v>N</v>
      </c>
      <c r="J16" s="3" t="str">
        <f>IFERROR(__xludf.DUMMYFUNCTION("""COMPUTED_VALUE"""),"Y")</f>
        <v>Y</v>
      </c>
      <c r="K16" s="3" t="str">
        <f>IFERROR(__xludf.DUMMYFUNCTION("""COMPUTED_VALUE"""),"Y")</f>
        <v>Y</v>
      </c>
      <c r="L16" s="3" t="str">
        <f>IFERROR(__xludf.DUMMYFUNCTION("""COMPUTED_VALUE"""),"Y")</f>
        <v>Y</v>
      </c>
      <c r="M16" s="3" t="str">
        <f>IFERROR(__xludf.DUMMYFUNCTION("""COMPUTED_VALUE"""),"N")</f>
        <v>N</v>
      </c>
      <c r="N16" s="3" t="str">
        <f>IFERROR(__xludf.DUMMYFUNCTION("""COMPUTED_VALUE"""),"N")</f>
        <v>N</v>
      </c>
      <c r="O16" s="3" t="str">
        <f>IFERROR(__xludf.DUMMYFUNCTION("""COMPUTED_VALUE"""),"none")</f>
        <v>none</v>
      </c>
    </row>
    <row r="17">
      <c r="A17" s="2" t="str">
        <f>IFERROR(__xludf.DUMMYFUNCTION("""COMPUTED_VALUE"""),"0190")</f>
        <v>0190</v>
      </c>
      <c r="B17" s="2" t="str">
        <f>IFERROR(__xludf.DUMMYFUNCTION("""COMPUTED_VALUE"""),"BYERS 32J")</f>
        <v>BYERS 32J</v>
      </c>
      <c r="C17" s="2" t="str">
        <f>IFERROR(__xludf.DUMMYFUNCTION("""COMPUTED_VALUE"""),"Public")</f>
        <v>Public</v>
      </c>
      <c r="D17" s="3">
        <f>IFERROR(__xludf.DUMMYFUNCTION("""COMPUTED_VALUE"""),2.0)</f>
        <v>2</v>
      </c>
      <c r="E17" s="3" t="str">
        <f>IFERROR(__xludf.DUMMYFUNCTION("""COMPUTED_VALUE"""),"Y")</f>
        <v>Y</v>
      </c>
      <c r="F17" s="3" t="str">
        <f>IFERROR(__xludf.DUMMYFUNCTION("""COMPUTED_VALUE"""),"Y")</f>
        <v>Y</v>
      </c>
      <c r="G17" s="3" t="str">
        <f>IFERROR(__xludf.DUMMYFUNCTION("""COMPUTED_VALUE"""),"N")</f>
        <v>N</v>
      </c>
      <c r="H17" s="3" t="str">
        <f>IFERROR(__xludf.DUMMYFUNCTION("""COMPUTED_VALUE"""),"N")</f>
        <v>N</v>
      </c>
      <c r="I17" s="3" t="str">
        <f>IFERROR(__xludf.DUMMYFUNCTION("""COMPUTED_VALUE"""),"N")</f>
        <v>N</v>
      </c>
      <c r="J17" s="3" t="str">
        <f>IFERROR(__xludf.DUMMYFUNCTION("""COMPUTED_VALUE"""),"N")</f>
        <v>N</v>
      </c>
      <c r="K17" s="3" t="str">
        <f>IFERROR(__xludf.DUMMYFUNCTION("""COMPUTED_VALUE"""),"Y")</f>
        <v>Y</v>
      </c>
      <c r="L17" s="3" t="str">
        <f>IFERROR(__xludf.DUMMYFUNCTION("""COMPUTED_VALUE"""),"Districtwide")</f>
        <v>Districtwide</v>
      </c>
      <c r="M17" s="3" t="str">
        <f>IFERROR(__xludf.DUMMYFUNCTION("""COMPUTED_VALUE"""),"N")</f>
        <v>N</v>
      </c>
      <c r="N17" s="3" t="str">
        <f>IFERROR(__xludf.DUMMYFUNCTION("""COMPUTED_VALUE"""),"N")</f>
        <v>N</v>
      </c>
      <c r="O17" s="3" t="str">
        <f>IFERROR(__xludf.DUMMYFUNCTION("""COMPUTED_VALUE"""),"Rural")</f>
        <v>Rural</v>
      </c>
    </row>
    <row r="18">
      <c r="A18" s="2" t="str">
        <f>IFERROR(__xludf.DUMMYFUNCTION("""COMPUTED_VALUE"""),"0220")</f>
        <v>0220</v>
      </c>
      <c r="B18" s="2" t="str">
        <f>IFERROR(__xludf.DUMMYFUNCTION("""COMPUTED_VALUE"""),"ARCHULETA COUNTY 50 JT")</f>
        <v>ARCHULETA COUNTY 50 JT</v>
      </c>
      <c r="C18" s="2" t="str">
        <f>IFERROR(__xludf.DUMMYFUNCTION("""COMPUTED_VALUE"""),"Public")</f>
        <v>Public</v>
      </c>
      <c r="D18" s="3">
        <f>IFERROR(__xludf.DUMMYFUNCTION("""COMPUTED_VALUE"""),4.0)</f>
        <v>4</v>
      </c>
      <c r="E18" s="3" t="str">
        <f>IFERROR(__xludf.DUMMYFUNCTION("""COMPUTED_VALUE"""),"Y")</f>
        <v>Y</v>
      </c>
      <c r="F18" s="3" t="str">
        <f>IFERROR(__xludf.DUMMYFUNCTION("""COMPUTED_VALUE"""),"Y")</f>
        <v>Y</v>
      </c>
      <c r="G18" s="3" t="str">
        <f>IFERROR(__xludf.DUMMYFUNCTION("""COMPUTED_VALUE"""),"N")</f>
        <v>N</v>
      </c>
      <c r="H18" s="3" t="str">
        <f>IFERROR(__xludf.DUMMYFUNCTION("""COMPUTED_VALUE"""),"N")</f>
        <v>N</v>
      </c>
      <c r="I18" s="3" t="str">
        <f>IFERROR(__xludf.DUMMYFUNCTION("""COMPUTED_VALUE"""),"N")</f>
        <v>N</v>
      </c>
      <c r="J18" s="3" t="str">
        <f>IFERROR(__xludf.DUMMYFUNCTION("""COMPUTED_VALUE"""),"N")</f>
        <v>N</v>
      </c>
      <c r="K18" s="3" t="str">
        <f>IFERROR(__xludf.DUMMYFUNCTION("""COMPUTED_VALUE"""),"Y")</f>
        <v>Y</v>
      </c>
      <c r="L18" s="3" t="str">
        <f>IFERROR(__xludf.DUMMYFUNCTION("""COMPUTED_VALUE"""),"Districtwide")</f>
        <v>Districtwide</v>
      </c>
      <c r="M18" s="3" t="str">
        <f>IFERROR(__xludf.DUMMYFUNCTION("""COMPUTED_VALUE"""),"N")</f>
        <v>N</v>
      </c>
      <c r="N18" s="3" t="str">
        <f>IFERROR(__xludf.DUMMYFUNCTION("""COMPUTED_VALUE"""),"N")</f>
        <v>N</v>
      </c>
      <c r="O18" s="3" t="str">
        <f>IFERROR(__xludf.DUMMYFUNCTION("""COMPUTED_VALUE"""),"Rural")</f>
        <v>Rural</v>
      </c>
    </row>
    <row r="19">
      <c r="A19" s="2" t="str">
        <f>IFERROR(__xludf.DUMMYFUNCTION("""COMPUTED_VALUE"""),"0230")</f>
        <v>0230</v>
      </c>
      <c r="B19" s="2" t="str">
        <f>IFERROR(__xludf.DUMMYFUNCTION("""COMPUTED_VALUE"""),"WALSH RE-1")</f>
        <v>WALSH RE-1</v>
      </c>
      <c r="C19" s="2" t="str">
        <f>IFERROR(__xludf.DUMMYFUNCTION("""COMPUTED_VALUE"""),"Public")</f>
        <v>Public</v>
      </c>
      <c r="D19" s="3">
        <f>IFERROR(__xludf.DUMMYFUNCTION("""COMPUTED_VALUE"""),2.0)</f>
        <v>2</v>
      </c>
      <c r="E19" s="3" t="str">
        <f>IFERROR(__xludf.DUMMYFUNCTION("""COMPUTED_VALUE"""),"Y")</f>
        <v>Y</v>
      </c>
      <c r="F19" s="3" t="str">
        <f>IFERROR(__xludf.DUMMYFUNCTION("""COMPUTED_VALUE"""),"Y")</f>
        <v>Y</v>
      </c>
      <c r="G19" s="3" t="str">
        <f>IFERROR(__xludf.DUMMYFUNCTION("""COMPUTED_VALUE"""),"N")</f>
        <v>N</v>
      </c>
      <c r="H19" s="3" t="str">
        <f>IFERROR(__xludf.DUMMYFUNCTION("""COMPUTED_VALUE"""),"N")</f>
        <v>N</v>
      </c>
      <c r="I19" s="3" t="str">
        <f>IFERROR(__xludf.DUMMYFUNCTION("""COMPUTED_VALUE"""),"Y")</f>
        <v>Y</v>
      </c>
      <c r="J19" s="3" t="str">
        <f>IFERROR(__xludf.DUMMYFUNCTION("""COMPUTED_VALUE"""),"N")</f>
        <v>N</v>
      </c>
      <c r="K19" s="3" t="str">
        <f>IFERROR(__xludf.DUMMYFUNCTION("""COMPUTED_VALUE"""),"Y")</f>
        <v>Y</v>
      </c>
      <c r="L19" s="3" t="str">
        <f>IFERROR(__xludf.DUMMYFUNCTION("""COMPUTED_VALUE"""),"Districtwide")</f>
        <v>Districtwide</v>
      </c>
      <c r="M19" s="3" t="str">
        <f>IFERROR(__xludf.DUMMYFUNCTION("""COMPUTED_VALUE"""),"N")</f>
        <v>N</v>
      </c>
      <c r="N19" s="3" t="str">
        <f>IFERROR(__xludf.DUMMYFUNCTION("""COMPUTED_VALUE"""),"N")</f>
        <v>N</v>
      </c>
      <c r="O19" s="3" t="str">
        <f>IFERROR(__xludf.DUMMYFUNCTION("""COMPUTED_VALUE"""),"Small Rural")</f>
        <v>Small Rural</v>
      </c>
    </row>
    <row r="20">
      <c r="A20" s="2" t="str">
        <f>IFERROR(__xludf.DUMMYFUNCTION("""COMPUTED_VALUE"""),"0240")</f>
        <v>0240</v>
      </c>
      <c r="B20" s="2" t="str">
        <f>IFERROR(__xludf.DUMMYFUNCTION("""COMPUTED_VALUE"""),"PRITCHETT RE-3")</f>
        <v>PRITCHETT RE-3</v>
      </c>
      <c r="C20" s="2" t="str">
        <f>IFERROR(__xludf.DUMMYFUNCTION("""COMPUTED_VALUE"""),"Public")</f>
        <v>Public</v>
      </c>
      <c r="D20" s="3">
        <f>IFERROR(__xludf.DUMMYFUNCTION("""COMPUTED_VALUE"""),3.0)</f>
        <v>3</v>
      </c>
      <c r="E20" s="3" t="str">
        <f>IFERROR(__xludf.DUMMYFUNCTION("""COMPUTED_VALUE"""),"Y")</f>
        <v>Y</v>
      </c>
      <c r="F20" s="3" t="str">
        <f>IFERROR(__xludf.DUMMYFUNCTION("""COMPUTED_VALUE"""),"Y")</f>
        <v>Y</v>
      </c>
      <c r="G20" s="3" t="str">
        <f>IFERROR(__xludf.DUMMYFUNCTION("""COMPUTED_VALUE"""),"N")</f>
        <v>N</v>
      </c>
      <c r="H20" s="3" t="str">
        <f>IFERROR(__xludf.DUMMYFUNCTION("""COMPUTED_VALUE"""),"N")</f>
        <v>N</v>
      </c>
      <c r="I20" s="3" t="str">
        <f>IFERROR(__xludf.DUMMYFUNCTION("""COMPUTED_VALUE"""),"N")</f>
        <v>N</v>
      </c>
      <c r="J20" s="3" t="str">
        <f>IFERROR(__xludf.DUMMYFUNCTION("""COMPUTED_VALUE"""),"N")</f>
        <v>N</v>
      </c>
      <c r="K20" s="3" t="str">
        <f>IFERROR(__xludf.DUMMYFUNCTION("""COMPUTED_VALUE"""),"Y")</f>
        <v>Y</v>
      </c>
      <c r="L20" s="3" t="str">
        <f>IFERROR(__xludf.DUMMYFUNCTION("""COMPUTED_VALUE"""),"Y")</f>
        <v>Y</v>
      </c>
      <c r="M20" s="3" t="str">
        <f>IFERROR(__xludf.DUMMYFUNCTION("""COMPUTED_VALUE"""),"N")</f>
        <v>N</v>
      </c>
      <c r="N20" s="3" t="str">
        <f>IFERROR(__xludf.DUMMYFUNCTION("""COMPUTED_VALUE"""),"N")</f>
        <v>N</v>
      </c>
      <c r="O20" s="3" t="str">
        <f>IFERROR(__xludf.DUMMYFUNCTION("""COMPUTED_VALUE"""),"Small Rural")</f>
        <v>Small Rural</v>
      </c>
    </row>
    <row r="21">
      <c r="A21" s="2" t="str">
        <f>IFERROR(__xludf.DUMMYFUNCTION("""COMPUTED_VALUE"""),"0250")</f>
        <v>0250</v>
      </c>
      <c r="B21" s="2" t="str">
        <f>IFERROR(__xludf.DUMMYFUNCTION("""COMPUTED_VALUE"""),"SPRINGFIELD RE-4")</f>
        <v>SPRINGFIELD RE-4</v>
      </c>
      <c r="C21" s="2" t="str">
        <f>IFERROR(__xludf.DUMMYFUNCTION("""COMPUTED_VALUE"""),"Public")</f>
        <v>Public</v>
      </c>
      <c r="D21" s="3">
        <f>IFERROR(__xludf.DUMMYFUNCTION("""COMPUTED_VALUE"""),2.0)</f>
        <v>2</v>
      </c>
      <c r="E21" s="3" t="str">
        <f>IFERROR(__xludf.DUMMYFUNCTION("""COMPUTED_VALUE"""),"Y")</f>
        <v>Y</v>
      </c>
      <c r="F21" s="3" t="str">
        <f>IFERROR(__xludf.DUMMYFUNCTION("""COMPUTED_VALUE"""),"Y")</f>
        <v>Y</v>
      </c>
      <c r="G21" s="3" t="str">
        <f>IFERROR(__xludf.DUMMYFUNCTION("""COMPUTED_VALUE"""),"N")</f>
        <v>N</v>
      </c>
      <c r="H21" s="3" t="str">
        <f>IFERROR(__xludf.DUMMYFUNCTION("""COMPUTED_VALUE"""),"Y")</f>
        <v>Y</v>
      </c>
      <c r="I21" s="3" t="str">
        <f>IFERROR(__xludf.DUMMYFUNCTION("""COMPUTED_VALUE"""),"N")</f>
        <v>N</v>
      </c>
      <c r="J21" s="3" t="str">
        <f>IFERROR(__xludf.DUMMYFUNCTION("""COMPUTED_VALUE"""),"Y")</f>
        <v>Y</v>
      </c>
      <c r="K21" s="3" t="str">
        <f>IFERROR(__xludf.DUMMYFUNCTION("""COMPUTED_VALUE"""),"Y")</f>
        <v>Y</v>
      </c>
      <c r="L21" s="3" t="str">
        <f>IFERROR(__xludf.DUMMYFUNCTION("""COMPUTED_VALUE"""),"Districtwide")</f>
        <v>Districtwide</v>
      </c>
      <c r="M21" s="3" t="str">
        <f>IFERROR(__xludf.DUMMYFUNCTION("""COMPUTED_VALUE"""),"N")</f>
        <v>N</v>
      </c>
      <c r="N21" s="3" t="str">
        <f>IFERROR(__xludf.DUMMYFUNCTION("""COMPUTED_VALUE"""),"N")</f>
        <v>N</v>
      </c>
      <c r="O21" s="3" t="str">
        <f>IFERROR(__xludf.DUMMYFUNCTION("""COMPUTED_VALUE"""),"Small Rural")</f>
        <v>Small Rural</v>
      </c>
    </row>
    <row r="22">
      <c r="A22" s="2" t="str">
        <f>IFERROR(__xludf.DUMMYFUNCTION("""COMPUTED_VALUE"""),"0260")</f>
        <v>0260</v>
      </c>
      <c r="B22" s="2" t="str">
        <f>IFERROR(__xludf.DUMMYFUNCTION("""COMPUTED_VALUE"""),"VILAS RE-5")</f>
        <v>VILAS RE-5</v>
      </c>
      <c r="C22" s="2" t="str">
        <f>IFERROR(__xludf.DUMMYFUNCTION("""COMPUTED_VALUE"""),"Public")</f>
        <v>Public</v>
      </c>
      <c r="D22" s="3">
        <f>IFERROR(__xludf.DUMMYFUNCTION("""COMPUTED_VALUE"""),2.0)</f>
        <v>2</v>
      </c>
      <c r="E22" s="3" t="str">
        <f>IFERROR(__xludf.DUMMYFUNCTION("""COMPUTED_VALUE"""),"Y")</f>
        <v>Y</v>
      </c>
      <c r="F22" s="3" t="str">
        <f>IFERROR(__xludf.DUMMYFUNCTION("""COMPUTED_VALUE"""),"Y")</f>
        <v>Y</v>
      </c>
      <c r="G22" s="3" t="str">
        <f>IFERROR(__xludf.DUMMYFUNCTION("""COMPUTED_VALUE"""),"N")</f>
        <v>N</v>
      </c>
      <c r="H22" s="3" t="str">
        <f>IFERROR(__xludf.DUMMYFUNCTION("""COMPUTED_VALUE"""),"N")</f>
        <v>N</v>
      </c>
      <c r="I22" s="3" t="str">
        <f>IFERROR(__xludf.DUMMYFUNCTION("""COMPUTED_VALUE"""),"N")</f>
        <v>N</v>
      </c>
      <c r="J22" s="3" t="str">
        <f>IFERROR(__xludf.DUMMYFUNCTION("""COMPUTED_VALUE"""),"N")</f>
        <v>N</v>
      </c>
      <c r="K22" s="3" t="str">
        <f>IFERROR(__xludf.DUMMYFUNCTION("""COMPUTED_VALUE"""),"Y")</f>
        <v>Y</v>
      </c>
      <c r="L22" s="3" t="str">
        <f>IFERROR(__xludf.DUMMYFUNCTION("""COMPUTED_VALUE"""),"Districtwide")</f>
        <v>Districtwide</v>
      </c>
      <c r="M22" s="3" t="str">
        <f>IFERROR(__xludf.DUMMYFUNCTION("""COMPUTED_VALUE"""),"N")</f>
        <v>N</v>
      </c>
      <c r="N22" s="3" t="str">
        <f>IFERROR(__xludf.DUMMYFUNCTION("""COMPUTED_VALUE"""),"N")</f>
        <v>N</v>
      </c>
      <c r="O22" s="3" t="str">
        <f>IFERROR(__xludf.DUMMYFUNCTION("""COMPUTED_VALUE"""),"Small Rural")</f>
        <v>Small Rural</v>
      </c>
    </row>
    <row r="23">
      <c r="A23" s="2" t="str">
        <f>IFERROR(__xludf.DUMMYFUNCTION("""COMPUTED_VALUE"""),"0270")</f>
        <v>0270</v>
      </c>
      <c r="B23" s="2" t="str">
        <f>IFERROR(__xludf.DUMMYFUNCTION("""COMPUTED_VALUE"""),"CAMPO RE-6")</f>
        <v>CAMPO RE-6</v>
      </c>
      <c r="C23" s="2" t="str">
        <f>IFERROR(__xludf.DUMMYFUNCTION("""COMPUTED_VALUE"""),"Public")</f>
        <v>Public</v>
      </c>
      <c r="D23" s="3">
        <f>IFERROR(__xludf.DUMMYFUNCTION("""COMPUTED_VALUE"""),2.0)</f>
        <v>2</v>
      </c>
      <c r="E23" s="3" t="str">
        <f>IFERROR(__xludf.DUMMYFUNCTION("""COMPUTED_VALUE"""),"Y")</f>
        <v>Y</v>
      </c>
      <c r="F23" s="3" t="str">
        <f>IFERROR(__xludf.DUMMYFUNCTION("""COMPUTED_VALUE"""),"Y")</f>
        <v>Y</v>
      </c>
      <c r="G23" s="3" t="str">
        <f>IFERROR(__xludf.DUMMYFUNCTION("""COMPUTED_VALUE"""),"N")</f>
        <v>N</v>
      </c>
      <c r="H23" s="3" t="str">
        <f>IFERROR(__xludf.DUMMYFUNCTION("""COMPUTED_VALUE"""),"N")</f>
        <v>N</v>
      </c>
      <c r="I23" s="3" t="str">
        <f>IFERROR(__xludf.DUMMYFUNCTION("""COMPUTED_VALUE"""),"N")</f>
        <v>N</v>
      </c>
      <c r="J23" s="3" t="str">
        <f>IFERROR(__xludf.DUMMYFUNCTION("""COMPUTED_VALUE"""),"N")</f>
        <v>N</v>
      </c>
      <c r="K23" s="3" t="str">
        <f>IFERROR(__xludf.DUMMYFUNCTION("""COMPUTED_VALUE"""),"Y")</f>
        <v>Y</v>
      </c>
      <c r="L23" s="3" t="str">
        <f>IFERROR(__xludf.DUMMYFUNCTION("""COMPUTED_VALUE"""),"Districtwide")</f>
        <v>Districtwide</v>
      </c>
      <c r="M23" s="3" t="str">
        <f>IFERROR(__xludf.DUMMYFUNCTION("""COMPUTED_VALUE"""),"N")</f>
        <v>N</v>
      </c>
      <c r="N23" s="3" t="str">
        <f>IFERROR(__xludf.DUMMYFUNCTION("""COMPUTED_VALUE"""),"N")</f>
        <v>N</v>
      </c>
      <c r="O23" s="3" t="str">
        <f>IFERROR(__xludf.DUMMYFUNCTION("""COMPUTED_VALUE"""),"Small Rural")</f>
        <v>Small Rural</v>
      </c>
    </row>
    <row r="24">
      <c r="A24" s="2" t="str">
        <f>IFERROR(__xludf.DUMMYFUNCTION("""COMPUTED_VALUE"""),"0290")</f>
        <v>0290</v>
      </c>
      <c r="B24" s="2" t="str">
        <f>IFERROR(__xludf.DUMMYFUNCTION("""COMPUTED_VALUE"""),"Bent County School District #1")</f>
        <v>Bent County School District #1</v>
      </c>
      <c r="C24" s="2" t="str">
        <f>IFERROR(__xludf.DUMMYFUNCTION("""COMPUTED_VALUE"""),"Public")</f>
        <v>Public</v>
      </c>
      <c r="D24" s="3">
        <f>IFERROR(__xludf.DUMMYFUNCTION("""COMPUTED_VALUE"""),3.0)</f>
        <v>3</v>
      </c>
      <c r="E24" s="3" t="str">
        <f>IFERROR(__xludf.DUMMYFUNCTION("""COMPUTED_VALUE"""),"Y")</f>
        <v>Y</v>
      </c>
      <c r="F24" s="3" t="str">
        <f>IFERROR(__xludf.DUMMYFUNCTION("""COMPUTED_VALUE"""),"Y")</f>
        <v>Y</v>
      </c>
      <c r="G24" s="3" t="str">
        <f>IFERROR(__xludf.DUMMYFUNCTION("""COMPUTED_VALUE"""),"N")</f>
        <v>N</v>
      </c>
      <c r="H24" s="3" t="str">
        <f>IFERROR(__xludf.DUMMYFUNCTION("""COMPUTED_VALUE"""),"N")</f>
        <v>N</v>
      </c>
      <c r="I24" s="3" t="str">
        <f>IFERROR(__xludf.DUMMYFUNCTION("""COMPUTED_VALUE"""),"N")</f>
        <v>N</v>
      </c>
      <c r="J24" s="3" t="str">
        <f>IFERROR(__xludf.DUMMYFUNCTION("""COMPUTED_VALUE"""),"Y")</f>
        <v>Y</v>
      </c>
      <c r="K24" s="3" t="str">
        <f>IFERROR(__xludf.DUMMYFUNCTION("""COMPUTED_VALUE"""),"Y")</f>
        <v>Y</v>
      </c>
      <c r="L24" s="3" t="str">
        <f>IFERROR(__xludf.DUMMYFUNCTION("""COMPUTED_VALUE"""),"Districtwide")</f>
        <v>Districtwide</v>
      </c>
      <c r="M24" s="3" t="str">
        <f>IFERROR(__xludf.DUMMYFUNCTION("""COMPUTED_VALUE"""),"N")</f>
        <v>N</v>
      </c>
      <c r="N24" s="3" t="str">
        <f>IFERROR(__xludf.DUMMYFUNCTION("""COMPUTED_VALUE"""),"N")</f>
        <v>N</v>
      </c>
      <c r="O24" s="3" t="str">
        <f>IFERROR(__xludf.DUMMYFUNCTION("""COMPUTED_VALUE"""),"Small Rural")</f>
        <v>Small Rural</v>
      </c>
    </row>
    <row r="25">
      <c r="A25" s="2" t="str">
        <f>IFERROR(__xludf.DUMMYFUNCTION("""COMPUTED_VALUE"""),"0310")</f>
        <v>0310</v>
      </c>
      <c r="B25" s="2" t="str">
        <f>IFERROR(__xludf.DUMMYFUNCTION("""COMPUTED_VALUE"""),"McCLAVE RE-2")</f>
        <v>McCLAVE RE-2</v>
      </c>
      <c r="C25" s="2" t="str">
        <f>IFERROR(__xludf.DUMMYFUNCTION("""COMPUTED_VALUE"""),"Public")</f>
        <v>Public</v>
      </c>
      <c r="D25" s="3">
        <f>IFERROR(__xludf.DUMMYFUNCTION("""COMPUTED_VALUE"""),2.0)</f>
        <v>2</v>
      </c>
      <c r="E25" s="3" t="str">
        <f>IFERROR(__xludf.DUMMYFUNCTION("""COMPUTED_VALUE"""),"Y")</f>
        <v>Y</v>
      </c>
      <c r="F25" s="3" t="str">
        <f>IFERROR(__xludf.DUMMYFUNCTION("""COMPUTED_VALUE"""),"Y")</f>
        <v>Y</v>
      </c>
      <c r="G25" s="3" t="str">
        <f>IFERROR(__xludf.DUMMYFUNCTION("""COMPUTED_VALUE"""),"N")</f>
        <v>N</v>
      </c>
      <c r="H25" s="3" t="str">
        <f>IFERROR(__xludf.DUMMYFUNCTION("""COMPUTED_VALUE"""),"N")</f>
        <v>N</v>
      </c>
      <c r="I25" s="3" t="str">
        <f>IFERROR(__xludf.DUMMYFUNCTION("""COMPUTED_VALUE"""),"N")</f>
        <v>N</v>
      </c>
      <c r="J25" s="3" t="str">
        <f>IFERROR(__xludf.DUMMYFUNCTION("""COMPUTED_VALUE"""),"N")</f>
        <v>N</v>
      </c>
      <c r="K25" s="3" t="str">
        <f>IFERROR(__xludf.DUMMYFUNCTION("""COMPUTED_VALUE"""),"Y")</f>
        <v>Y</v>
      </c>
      <c r="L25" s="3" t="str">
        <f>IFERROR(__xludf.DUMMYFUNCTION("""COMPUTED_VALUE"""),"Districtwide")</f>
        <v>Districtwide</v>
      </c>
      <c r="M25" s="3" t="str">
        <f>IFERROR(__xludf.DUMMYFUNCTION("""COMPUTED_VALUE"""),"N")</f>
        <v>N</v>
      </c>
      <c r="N25" s="3" t="str">
        <f>IFERROR(__xludf.DUMMYFUNCTION("""COMPUTED_VALUE"""),"N")</f>
        <v>N</v>
      </c>
      <c r="O25" s="3" t="str">
        <f>IFERROR(__xludf.DUMMYFUNCTION("""COMPUTED_VALUE"""),"Small Rural")</f>
        <v>Small Rural</v>
      </c>
    </row>
    <row r="26">
      <c r="A26" s="2" t="str">
        <f>IFERROR(__xludf.DUMMYFUNCTION("""COMPUTED_VALUE"""),"0470")</f>
        <v>0470</v>
      </c>
      <c r="B26" s="2" t="str">
        <f>IFERROR(__xludf.DUMMYFUNCTION("""COMPUTED_VALUE"""),"ST VRAIN VALLEY RE-1J")</f>
        <v>ST VRAIN VALLEY RE-1J</v>
      </c>
      <c r="C26" s="2" t="str">
        <f>IFERROR(__xludf.DUMMYFUNCTION("""COMPUTED_VALUE"""),"Public")</f>
        <v>Public</v>
      </c>
      <c r="D26" s="3">
        <f>IFERROR(__xludf.DUMMYFUNCTION("""COMPUTED_VALUE"""),52.0)</f>
        <v>52</v>
      </c>
      <c r="E26" s="3" t="str">
        <f>IFERROR(__xludf.DUMMYFUNCTION("""COMPUTED_VALUE"""),"Y")</f>
        <v>Y</v>
      </c>
      <c r="F26" s="3" t="str">
        <f>IFERROR(__xludf.DUMMYFUNCTION("""COMPUTED_VALUE"""),"Y")</f>
        <v>Y</v>
      </c>
      <c r="G26" s="3" t="str">
        <f>IFERROR(__xludf.DUMMYFUNCTION("""COMPUTED_VALUE"""),"N")</f>
        <v>N</v>
      </c>
      <c r="H26" s="3" t="str">
        <f>IFERROR(__xludf.DUMMYFUNCTION("""COMPUTED_VALUE"""),"Y")</f>
        <v>Y</v>
      </c>
      <c r="I26" s="3" t="str">
        <f>IFERROR(__xludf.DUMMYFUNCTION("""COMPUTED_VALUE"""),"N")</f>
        <v>N</v>
      </c>
      <c r="J26" s="3" t="str">
        <f>IFERROR(__xludf.DUMMYFUNCTION("""COMPUTED_VALUE"""),"Y")</f>
        <v>Y</v>
      </c>
      <c r="K26" s="3" t="str">
        <f>IFERROR(__xludf.DUMMYFUNCTION("""COMPUTED_VALUE"""),"Y")</f>
        <v>Y</v>
      </c>
      <c r="L26" s="3" t="str">
        <f>IFERROR(__xludf.DUMMYFUNCTION("""COMPUTED_VALUE"""),"Y")</f>
        <v>Y</v>
      </c>
      <c r="M26" s="3" t="str">
        <f>IFERROR(__xludf.DUMMYFUNCTION("""COMPUTED_VALUE"""),"N")</f>
        <v>N</v>
      </c>
      <c r="N26" s="3" t="str">
        <f>IFERROR(__xludf.DUMMYFUNCTION("""COMPUTED_VALUE"""),"N")</f>
        <v>N</v>
      </c>
      <c r="O26" s="3" t="str">
        <f>IFERROR(__xludf.DUMMYFUNCTION("""COMPUTED_VALUE"""),"none")</f>
        <v>none</v>
      </c>
    </row>
    <row r="27">
      <c r="A27" s="2" t="str">
        <f>IFERROR(__xludf.DUMMYFUNCTION("""COMPUTED_VALUE"""),"0480")</f>
        <v>0480</v>
      </c>
      <c r="B27" s="2" t="str">
        <f>IFERROR(__xludf.DUMMYFUNCTION("""COMPUTED_VALUE"""),"BOULDER VALLEY RE 2")</f>
        <v>BOULDER VALLEY RE 2</v>
      </c>
      <c r="C27" s="2" t="str">
        <f>IFERROR(__xludf.DUMMYFUNCTION("""COMPUTED_VALUE"""),"Public")</f>
        <v>Public</v>
      </c>
      <c r="D27" s="3">
        <f>IFERROR(__xludf.DUMMYFUNCTION("""COMPUTED_VALUE"""),51.0)</f>
        <v>51</v>
      </c>
      <c r="E27" s="3" t="str">
        <f>IFERROR(__xludf.DUMMYFUNCTION("""COMPUTED_VALUE"""),"Y")</f>
        <v>Y</v>
      </c>
      <c r="F27" s="3" t="str">
        <f>IFERROR(__xludf.DUMMYFUNCTION("""COMPUTED_VALUE"""),"Y")</f>
        <v>Y</v>
      </c>
      <c r="G27" s="3" t="str">
        <f>IFERROR(__xludf.DUMMYFUNCTION("""COMPUTED_VALUE"""),"N")</f>
        <v>N</v>
      </c>
      <c r="H27" s="3" t="str">
        <f>IFERROR(__xludf.DUMMYFUNCTION("""COMPUTED_VALUE"""),"Y")</f>
        <v>Y</v>
      </c>
      <c r="I27" s="3" t="str">
        <f>IFERROR(__xludf.DUMMYFUNCTION("""COMPUTED_VALUE"""),"Y")</f>
        <v>Y</v>
      </c>
      <c r="J27" s="3" t="str">
        <f>IFERROR(__xludf.DUMMYFUNCTION("""COMPUTED_VALUE"""),"Y")</f>
        <v>Y</v>
      </c>
      <c r="K27" s="3" t="str">
        <f>IFERROR(__xludf.DUMMYFUNCTION("""COMPUTED_VALUE"""),"Y")</f>
        <v>Y</v>
      </c>
      <c r="L27" s="3" t="str">
        <f>IFERROR(__xludf.DUMMYFUNCTION("""COMPUTED_VALUE"""),"Y")</f>
        <v>Y</v>
      </c>
      <c r="M27" s="3" t="str">
        <f>IFERROR(__xludf.DUMMYFUNCTION("""COMPUTED_VALUE"""),"N")</f>
        <v>N</v>
      </c>
      <c r="N27" s="3" t="str">
        <f>IFERROR(__xludf.DUMMYFUNCTION("""COMPUTED_VALUE"""),"N")</f>
        <v>N</v>
      </c>
      <c r="O27" s="3" t="str">
        <f>IFERROR(__xludf.DUMMYFUNCTION("""COMPUTED_VALUE"""),"none")</f>
        <v>none</v>
      </c>
    </row>
    <row r="28">
      <c r="A28" s="2" t="str">
        <f>IFERROR(__xludf.DUMMYFUNCTION("""COMPUTED_VALUE"""),"0490")</f>
        <v>0490</v>
      </c>
      <c r="B28" s="2" t="str">
        <f>IFERROR(__xludf.DUMMYFUNCTION("""COMPUTED_VALUE"""),"BUENA VISTA R-31")</f>
        <v>BUENA VISTA R-31</v>
      </c>
      <c r="C28" s="2" t="str">
        <f>IFERROR(__xludf.DUMMYFUNCTION("""COMPUTED_VALUE"""),"Public")</f>
        <v>Public</v>
      </c>
      <c r="D28" s="3">
        <f>IFERROR(__xludf.DUMMYFUNCTION("""COMPUTED_VALUE"""),5.0)</f>
        <v>5</v>
      </c>
      <c r="E28" s="3" t="str">
        <f>IFERROR(__xludf.DUMMYFUNCTION("""COMPUTED_VALUE"""),"Y")</f>
        <v>Y</v>
      </c>
      <c r="F28" s="3" t="str">
        <f>IFERROR(__xludf.DUMMYFUNCTION("""COMPUTED_VALUE"""),"Y")</f>
        <v>Y</v>
      </c>
      <c r="G28" s="3" t="str">
        <f>IFERROR(__xludf.DUMMYFUNCTION("""COMPUTED_VALUE"""),"N")</f>
        <v>N</v>
      </c>
      <c r="H28" s="3" t="str">
        <f>IFERROR(__xludf.DUMMYFUNCTION("""COMPUTED_VALUE"""),"N")</f>
        <v>N</v>
      </c>
      <c r="I28" s="3" t="str">
        <f>IFERROR(__xludf.DUMMYFUNCTION("""COMPUTED_VALUE"""),"N")</f>
        <v>N</v>
      </c>
      <c r="J28" s="3" t="str">
        <f>IFERROR(__xludf.DUMMYFUNCTION("""COMPUTED_VALUE"""),"N")</f>
        <v>N</v>
      </c>
      <c r="K28" s="3" t="str">
        <f>IFERROR(__xludf.DUMMYFUNCTION("""COMPUTED_VALUE"""),"Y")</f>
        <v>Y</v>
      </c>
      <c r="L28" s="3" t="str">
        <f>IFERROR(__xludf.DUMMYFUNCTION("""COMPUTED_VALUE"""),"Districtwide")</f>
        <v>Districtwide</v>
      </c>
      <c r="M28" s="3" t="str">
        <f>IFERROR(__xludf.DUMMYFUNCTION("""COMPUTED_VALUE"""),"N")</f>
        <v>N</v>
      </c>
      <c r="N28" s="3" t="str">
        <f>IFERROR(__xludf.DUMMYFUNCTION("""COMPUTED_VALUE"""),"N")</f>
        <v>N</v>
      </c>
      <c r="O28" s="3" t="str">
        <f>IFERROR(__xludf.DUMMYFUNCTION("""COMPUTED_VALUE"""),"Small Rural")</f>
        <v>Small Rural</v>
      </c>
    </row>
    <row r="29">
      <c r="A29" s="2" t="str">
        <f>IFERROR(__xludf.DUMMYFUNCTION("""COMPUTED_VALUE"""),"0500")</f>
        <v>0500</v>
      </c>
      <c r="B29" s="2" t="str">
        <f>IFERROR(__xludf.DUMMYFUNCTION("""COMPUTED_VALUE"""),"SALIDA R-32")</f>
        <v>SALIDA R-32</v>
      </c>
      <c r="C29" s="2" t="str">
        <f>IFERROR(__xludf.DUMMYFUNCTION("""COMPUTED_VALUE"""),"Public")</f>
        <v>Public</v>
      </c>
      <c r="D29" s="3">
        <f>IFERROR(__xludf.DUMMYFUNCTION("""COMPUTED_VALUE"""),5.0)</f>
        <v>5</v>
      </c>
      <c r="E29" s="3" t="str">
        <f>IFERROR(__xludf.DUMMYFUNCTION("""COMPUTED_VALUE"""),"Y")</f>
        <v>Y</v>
      </c>
      <c r="F29" s="3" t="str">
        <f>IFERROR(__xludf.DUMMYFUNCTION("""COMPUTED_VALUE"""),"Y")</f>
        <v>Y</v>
      </c>
      <c r="G29" s="3" t="str">
        <f>IFERROR(__xludf.DUMMYFUNCTION("""COMPUTED_VALUE"""),"N")</f>
        <v>N</v>
      </c>
      <c r="H29" s="3" t="str">
        <f>IFERROR(__xludf.DUMMYFUNCTION("""COMPUTED_VALUE"""),"N")</f>
        <v>N</v>
      </c>
      <c r="I29" s="3" t="str">
        <f>IFERROR(__xludf.DUMMYFUNCTION("""COMPUTED_VALUE"""),"N")</f>
        <v>N</v>
      </c>
      <c r="J29" s="3" t="str">
        <f>IFERROR(__xludf.DUMMYFUNCTION("""COMPUTED_VALUE"""),"N")</f>
        <v>N</v>
      </c>
      <c r="K29" s="3" t="str">
        <f>IFERROR(__xludf.DUMMYFUNCTION("""COMPUTED_VALUE"""),"Y")</f>
        <v>Y</v>
      </c>
      <c r="L29" s="3" t="str">
        <f>IFERROR(__xludf.DUMMYFUNCTION("""COMPUTED_VALUE"""),"Districtwide")</f>
        <v>Districtwide</v>
      </c>
      <c r="M29" s="3" t="str">
        <f>IFERROR(__xludf.DUMMYFUNCTION("""COMPUTED_VALUE"""),"N")</f>
        <v>N</v>
      </c>
      <c r="N29" s="3" t="str">
        <f>IFERROR(__xludf.DUMMYFUNCTION("""COMPUTED_VALUE"""),"N")</f>
        <v>N</v>
      </c>
      <c r="O29" s="3" t="str">
        <f>IFERROR(__xludf.DUMMYFUNCTION("""COMPUTED_VALUE"""),"Rural")</f>
        <v>Rural</v>
      </c>
    </row>
    <row r="30">
      <c r="A30" s="2" t="str">
        <f>IFERROR(__xludf.DUMMYFUNCTION("""COMPUTED_VALUE"""),"0510")</f>
        <v>0510</v>
      </c>
      <c r="B30" s="2" t="str">
        <f>IFERROR(__xludf.DUMMYFUNCTION("""COMPUTED_VALUE"""),"KIT CARSON R-1")</f>
        <v>KIT CARSON R-1</v>
      </c>
      <c r="C30" s="2" t="str">
        <f>IFERROR(__xludf.DUMMYFUNCTION("""COMPUTED_VALUE"""),"Public")</f>
        <v>Public</v>
      </c>
      <c r="D30" s="3">
        <f>IFERROR(__xludf.DUMMYFUNCTION("""COMPUTED_VALUE"""),2.0)</f>
        <v>2</v>
      </c>
      <c r="E30" s="3" t="str">
        <f>IFERROR(__xludf.DUMMYFUNCTION("""COMPUTED_VALUE"""),"Y")</f>
        <v>Y</v>
      </c>
      <c r="F30" s="3" t="str">
        <f>IFERROR(__xludf.DUMMYFUNCTION("""COMPUTED_VALUE"""),"Y")</f>
        <v>Y</v>
      </c>
      <c r="G30" s="3" t="str">
        <f>IFERROR(__xludf.DUMMYFUNCTION("""COMPUTED_VALUE"""),"N")</f>
        <v>N</v>
      </c>
      <c r="H30" s="3" t="str">
        <f>IFERROR(__xludf.DUMMYFUNCTION("""COMPUTED_VALUE"""),"N")</f>
        <v>N</v>
      </c>
      <c r="I30" s="3" t="str">
        <f>IFERROR(__xludf.DUMMYFUNCTION("""COMPUTED_VALUE"""),"N")</f>
        <v>N</v>
      </c>
      <c r="J30" s="3" t="str">
        <f>IFERROR(__xludf.DUMMYFUNCTION("""COMPUTED_VALUE"""),"N")</f>
        <v>N</v>
      </c>
      <c r="K30" s="3" t="str">
        <f>IFERROR(__xludf.DUMMYFUNCTION("""COMPUTED_VALUE"""),"Y")</f>
        <v>Y</v>
      </c>
      <c r="L30" s="3" t="str">
        <f>IFERROR(__xludf.DUMMYFUNCTION("""COMPUTED_VALUE"""),"Districtwide")</f>
        <v>Districtwide</v>
      </c>
      <c r="M30" s="3" t="str">
        <f>IFERROR(__xludf.DUMMYFUNCTION("""COMPUTED_VALUE"""),"N")</f>
        <v>N</v>
      </c>
      <c r="N30" s="3" t="str">
        <f>IFERROR(__xludf.DUMMYFUNCTION("""COMPUTED_VALUE"""),"N")</f>
        <v>N</v>
      </c>
      <c r="O30" s="3" t="str">
        <f>IFERROR(__xludf.DUMMYFUNCTION("""COMPUTED_VALUE"""),"Small Rural")</f>
        <v>Small Rural</v>
      </c>
    </row>
    <row r="31">
      <c r="A31" s="2" t="str">
        <f>IFERROR(__xludf.DUMMYFUNCTION("""COMPUTED_VALUE"""),"0520")</f>
        <v>0520</v>
      </c>
      <c r="B31" s="2" t="str">
        <f>IFERROR(__xludf.DUMMYFUNCTION("""COMPUTED_VALUE"""),"CHEYENNE COUNTY RE-5")</f>
        <v>CHEYENNE COUNTY RE-5</v>
      </c>
      <c r="C31" s="2" t="str">
        <f>IFERROR(__xludf.DUMMYFUNCTION("""COMPUTED_VALUE"""),"Public")</f>
        <v>Public</v>
      </c>
      <c r="D31" s="3">
        <f>IFERROR(__xludf.DUMMYFUNCTION("""COMPUTED_VALUE"""),2.0)</f>
        <v>2</v>
      </c>
      <c r="E31" s="3" t="str">
        <f>IFERROR(__xludf.DUMMYFUNCTION("""COMPUTED_VALUE"""),"Y")</f>
        <v>Y</v>
      </c>
      <c r="F31" s="3" t="str">
        <f>IFERROR(__xludf.DUMMYFUNCTION("""COMPUTED_VALUE"""),"Y")</f>
        <v>Y</v>
      </c>
      <c r="G31" s="3" t="str">
        <f>IFERROR(__xludf.DUMMYFUNCTION("""COMPUTED_VALUE"""),"N")</f>
        <v>N</v>
      </c>
      <c r="H31" s="3" t="str">
        <f>IFERROR(__xludf.DUMMYFUNCTION("""COMPUTED_VALUE"""),"N")</f>
        <v>N</v>
      </c>
      <c r="I31" s="3" t="str">
        <f>IFERROR(__xludf.DUMMYFUNCTION("""COMPUTED_VALUE"""),"N")</f>
        <v>N</v>
      </c>
      <c r="J31" s="3" t="str">
        <f>IFERROR(__xludf.DUMMYFUNCTION("""COMPUTED_VALUE"""),"N")</f>
        <v>N</v>
      </c>
      <c r="K31" s="3" t="str">
        <f>IFERROR(__xludf.DUMMYFUNCTION("""COMPUTED_VALUE"""),"Y")</f>
        <v>Y</v>
      </c>
      <c r="L31" s="3" t="str">
        <f>IFERROR(__xludf.DUMMYFUNCTION("""COMPUTED_VALUE"""),"Districtwide")</f>
        <v>Districtwide</v>
      </c>
      <c r="M31" s="3" t="str">
        <f>IFERROR(__xludf.DUMMYFUNCTION("""COMPUTED_VALUE"""),"N")</f>
        <v>N</v>
      </c>
      <c r="N31" s="3" t="str">
        <f>IFERROR(__xludf.DUMMYFUNCTION("""COMPUTED_VALUE"""),"N")</f>
        <v>N</v>
      </c>
      <c r="O31" s="3" t="str">
        <f>IFERROR(__xludf.DUMMYFUNCTION("""COMPUTED_VALUE"""),"Small Rural")</f>
        <v>Small Rural</v>
      </c>
    </row>
    <row r="32">
      <c r="A32" s="2" t="str">
        <f>IFERROR(__xludf.DUMMYFUNCTION("""COMPUTED_VALUE"""),"0540")</f>
        <v>0540</v>
      </c>
      <c r="B32" s="2" t="str">
        <f>IFERROR(__xludf.DUMMYFUNCTION("""COMPUTED_VALUE"""),"CLEAR CREEK RE-1")</f>
        <v>CLEAR CREEK RE-1</v>
      </c>
      <c r="C32" s="2" t="str">
        <f>IFERROR(__xludf.DUMMYFUNCTION("""COMPUTED_VALUE"""),"Public")</f>
        <v>Public</v>
      </c>
      <c r="D32" s="3">
        <f>IFERROR(__xludf.DUMMYFUNCTION("""COMPUTED_VALUE"""),5.0)</f>
        <v>5</v>
      </c>
      <c r="E32" s="3" t="str">
        <f>IFERROR(__xludf.DUMMYFUNCTION("""COMPUTED_VALUE"""),"Y")</f>
        <v>Y</v>
      </c>
      <c r="F32" s="3" t="str">
        <f>IFERROR(__xludf.DUMMYFUNCTION("""COMPUTED_VALUE"""),"Y")</f>
        <v>Y</v>
      </c>
      <c r="G32" s="3" t="str">
        <f>IFERROR(__xludf.DUMMYFUNCTION("""COMPUTED_VALUE"""),"N")</f>
        <v>N</v>
      </c>
      <c r="H32" s="3" t="str">
        <f>IFERROR(__xludf.DUMMYFUNCTION("""COMPUTED_VALUE"""),"Y")</f>
        <v>Y</v>
      </c>
      <c r="I32" s="3" t="str">
        <f>IFERROR(__xludf.DUMMYFUNCTION("""COMPUTED_VALUE"""),"N")</f>
        <v>N</v>
      </c>
      <c r="J32" s="3" t="str">
        <f>IFERROR(__xludf.DUMMYFUNCTION("""COMPUTED_VALUE"""),"N")</f>
        <v>N</v>
      </c>
      <c r="K32" s="3" t="str">
        <f>IFERROR(__xludf.DUMMYFUNCTION("""COMPUTED_VALUE"""),"Y")</f>
        <v>Y</v>
      </c>
      <c r="L32" s="3" t="str">
        <f>IFERROR(__xludf.DUMMYFUNCTION("""COMPUTED_VALUE"""),"Y")</f>
        <v>Y</v>
      </c>
      <c r="M32" s="3" t="str">
        <f>IFERROR(__xludf.DUMMYFUNCTION("""COMPUTED_VALUE"""),"N")</f>
        <v>N</v>
      </c>
      <c r="N32" s="3" t="str">
        <f>IFERROR(__xludf.DUMMYFUNCTION("""COMPUTED_VALUE"""),"N")</f>
        <v>N</v>
      </c>
      <c r="O32" s="3" t="str">
        <f>IFERROR(__xludf.DUMMYFUNCTION("""COMPUTED_VALUE"""),"Small Rural")</f>
        <v>Small Rural</v>
      </c>
    </row>
    <row r="33">
      <c r="A33" s="2" t="str">
        <f>IFERROR(__xludf.DUMMYFUNCTION("""COMPUTED_VALUE"""),"0550")</f>
        <v>0550</v>
      </c>
      <c r="B33" s="2" t="str">
        <f>IFERROR(__xludf.DUMMYFUNCTION("""COMPUTED_VALUE"""),"NORTH CONEJOS RE-1J")</f>
        <v>NORTH CONEJOS RE-1J</v>
      </c>
      <c r="C33" s="2" t="str">
        <f>IFERROR(__xludf.DUMMYFUNCTION("""COMPUTED_VALUE"""),"Public")</f>
        <v>Public</v>
      </c>
      <c r="D33" s="3">
        <f>IFERROR(__xludf.DUMMYFUNCTION("""COMPUTED_VALUE"""),5.0)</f>
        <v>5</v>
      </c>
      <c r="E33" s="3" t="str">
        <f>IFERROR(__xludf.DUMMYFUNCTION("""COMPUTED_VALUE"""),"Y")</f>
        <v>Y</v>
      </c>
      <c r="F33" s="3" t="str">
        <f>IFERROR(__xludf.DUMMYFUNCTION("""COMPUTED_VALUE"""),"Y")</f>
        <v>Y</v>
      </c>
      <c r="G33" s="3" t="str">
        <f>IFERROR(__xludf.DUMMYFUNCTION("""COMPUTED_VALUE"""),"N")</f>
        <v>N</v>
      </c>
      <c r="H33" s="3" t="str">
        <f>IFERROR(__xludf.DUMMYFUNCTION("""COMPUTED_VALUE"""),"N")</f>
        <v>N</v>
      </c>
      <c r="I33" s="3" t="str">
        <f>IFERROR(__xludf.DUMMYFUNCTION("""COMPUTED_VALUE"""),"N")</f>
        <v>N</v>
      </c>
      <c r="J33" s="3" t="str">
        <f>IFERROR(__xludf.DUMMYFUNCTION("""COMPUTED_VALUE"""),"N")</f>
        <v>N</v>
      </c>
      <c r="K33" s="3" t="str">
        <f>IFERROR(__xludf.DUMMYFUNCTION("""COMPUTED_VALUE"""),"Y")</f>
        <v>Y</v>
      </c>
      <c r="L33" s="3" t="str">
        <f>IFERROR(__xludf.DUMMYFUNCTION("""COMPUTED_VALUE"""),"Districtwide")</f>
        <v>Districtwide</v>
      </c>
      <c r="M33" s="3" t="str">
        <f>IFERROR(__xludf.DUMMYFUNCTION("""COMPUTED_VALUE"""),"N")</f>
        <v>N</v>
      </c>
      <c r="N33" s="3" t="str">
        <f>IFERROR(__xludf.DUMMYFUNCTION("""COMPUTED_VALUE"""),"N")</f>
        <v>N</v>
      </c>
      <c r="O33" s="3" t="str">
        <f>IFERROR(__xludf.DUMMYFUNCTION("""COMPUTED_VALUE"""),"Small Rural")</f>
        <v>Small Rural</v>
      </c>
    </row>
    <row r="34">
      <c r="A34" s="2" t="str">
        <f>IFERROR(__xludf.DUMMYFUNCTION("""COMPUTED_VALUE"""),"0560")</f>
        <v>0560</v>
      </c>
      <c r="B34" s="2" t="str">
        <f>IFERROR(__xludf.DUMMYFUNCTION("""COMPUTED_VALUE"""),"SANFORD 6J")</f>
        <v>SANFORD 6J</v>
      </c>
      <c r="C34" s="2" t="str">
        <f>IFERROR(__xludf.DUMMYFUNCTION("""COMPUTED_VALUE"""),"Public")</f>
        <v>Public</v>
      </c>
      <c r="D34" s="3">
        <f>IFERROR(__xludf.DUMMYFUNCTION("""COMPUTED_VALUE"""),2.0)</f>
        <v>2</v>
      </c>
      <c r="E34" s="3" t="str">
        <f>IFERROR(__xludf.DUMMYFUNCTION("""COMPUTED_VALUE"""),"Y")</f>
        <v>Y</v>
      </c>
      <c r="F34" s="3" t="str">
        <f>IFERROR(__xludf.DUMMYFUNCTION("""COMPUTED_VALUE"""),"Y")</f>
        <v>Y</v>
      </c>
      <c r="G34" s="3" t="str">
        <f>IFERROR(__xludf.DUMMYFUNCTION("""COMPUTED_VALUE"""),"Y")</f>
        <v>Y</v>
      </c>
      <c r="H34" s="3" t="str">
        <f>IFERROR(__xludf.DUMMYFUNCTION("""COMPUTED_VALUE"""),"N")</f>
        <v>N</v>
      </c>
      <c r="I34" s="3" t="str">
        <f>IFERROR(__xludf.DUMMYFUNCTION("""COMPUTED_VALUE"""),"N")</f>
        <v>N</v>
      </c>
      <c r="J34" s="3" t="str">
        <f>IFERROR(__xludf.DUMMYFUNCTION("""COMPUTED_VALUE"""),"N")</f>
        <v>N</v>
      </c>
      <c r="K34" s="3" t="str">
        <f>IFERROR(__xludf.DUMMYFUNCTION("""COMPUTED_VALUE"""),"Y")</f>
        <v>Y</v>
      </c>
      <c r="L34" s="3" t="str">
        <f>IFERROR(__xludf.DUMMYFUNCTION("""COMPUTED_VALUE"""),"Districtwide")</f>
        <v>Districtwide</v>
      </c>
      <c r="M34" s="3" t="str">
        <f>IFERROR(__xludf.DUMMYFUNCTION("""COMPUTED_VALUE"""),"N")</f>
        <v>N</v>
      </c>
      <c r="N34" s="3" t="str">
        <f>IFERROR(__xludf.DUMMYFUNCTION("""COMPUTED_VALUE"""),"N")</f>
        <v>N</v>
      </c>
      <c r="O34" s="3" t="str">
        <f>IFERROR(__xludf.DUMMYFUNCTION("""COMPUTED_VALUE"""),"Small Rural")</f>
        <v>Small Rural</v>
      </c>
    </row>
    <row r="35">
      <c r="A35" s="2" t="str">
        <f>IFERROR(__xludf.DUMMYFUNCTION("""COMPUTED_VALUE"""),"0580")</f>
        <v>0580</v>
      </c>
      <c r="B35" s="2" t="str">
        <f>IFERROR(__xludf.DUMMYFUNCTION("""COMPUTED_VALUE"""),"SOUTH CONEJOS RE-10")</f>
        <v>SOUTH CONEJOS RE-10</v>
      </c>
      <c r="C35" s="2" t="str">
        <f>IFERROR(__xludf.DUMMYFUNCTION("""COMPUTED_VALUE"""),"Public")</f>
        <v>Public</v>
      </c>
      <c r="D35" s="3">
        <f>IFERROR(__xludf.DUMMYFUNCTION("""COMPUTED_VALUE"""),3.0)</f>
        <v>3</v>
      </c>
      <c r="E35" s="3" t="str">
        <f>IFERROR(__xludf.DUMMYFUNCTION("""COMPUTED_VALUE"""),"Y")</f>
        <v>Y</v>
      </c>
      <c r="F35" s="3" t="str">
        <f>IFERROR(__xludf.DUMMYFUNCTION("""COMPUTED_VALUE"""),"Y")</f>
        <v>Y</v>
      </c>
      <c r="G35" s="3" t="str">
        <f>IFERROR(__xludf.DUMMYFUNCTION("""COMPUTED_VALUE"""),"N")</f>
        <v>N</v>
      </c>
      <c r="H35" s="3" t="str">
        <f>IFERROR(__xludf.DUMMYFUNCTION("""COMPUTED_VALUE"""),"Y")</f>
        <v>Y</v>
      </c>
      <c r="I35" s="3" t="str">
        <f>IFERROR(__xludf.DUMMYFUNCTION("""COMPUTED_VALUE"""),"Y")</f>
        <v>Y</v>
      </c>
      <c r="J35" s="3" t="str">
        <f>IFERROR(__xludf.DUMMYFUNCTION("""COMPUTED_VALUE"""),"Y")</f>
        <v>Y</v>
      </c>
      <c r="K35" s="3" t="str">
        <f>IFERROR(__xludf.DUMMYFUNCTION("""COMPUTED_VALUE"""),"Y")</f>
        <v>Y</v>
      </c>
      <c r="L35" s="3" t="str">
        <f>IFERROR(__xludf.DUMMYFUNCTION("""COMPUTED_VALUE"""),"Y")</f>
        <v>Y</v>
      </c>
      <c r="M35" s="3" t="str">
        <f>IFERROR(__xludf.DUMMYFUNCTION("""COMPUTED_VALUE"""),"N")</f>
        <v>N</v>
      </c>
      <c r="N35" s="3" t="str">
        <f>IFERROR(__xludf.DUMMYFUNCTION("""COMPUTED_VALUE"""),"N")</f>
        <v>N</v>
      </c>
      <c r="O35" s="3" t="str">
        <f>IFERROR(__xludf.DUMMYFUNCTION("""COMPUTED_VALUE"""),"Small Rural")</f>
        <v>Small Rural</v>
      </c>
    </row>
    <row r="36">
      <c r="A36" s="2" t="str">
        <f>IFERROR(__xludf.DUMMYFUNCTION("""COMPUTED_VALUE"""),"0640")</f>
        <v>0640</v>
      </c>
      <c r="B36" s="2" t="str">
        <f>IFERROR(__xludf.DUMMYFUNCTION("""COMPUTED_VALUE"""),"CENTENNIAL R-1")</f>
        <v>CENTENNIAL R-1</v>
      </c>
      <c r="C36" s="2" t="str">
        <f>IFERROR(__xludf.DUMMYFUNCTION("""COMPUTED_VALUE"""),"Public")</f>
        <v>Public</v>
      </c>
      <c r="D36" s="3">
        <f>IFERROR(__xludf.DUMMYFUNCTION("""COMPUTED_VALUE"""),1.0)</f>
        <v>1</v>
      </c>
      <c r="E36" s="3" t="str">
        <f>IFERROR(__xludf.DUMMYFUNCTION("""COMPUTED_VALUE"""),"Y")</f>
        <v>Y</v>
      </c>
      <c r="F36" s="3" t="str">
        <f>IFERROR(__xludf.DUMMYFUNCTION("""COMPUTED_VALUE"""),"Y")</f>
        <v>Y</v>
      </c>
      <c r="G36" s="3" t="str">
        <f>IFERROR(__xludf.DUMMYFUNCTION("""COMPUTED_VALUE"""),"N")</f>
        <v>N</v>
      </c>
      <c r="H36" s="3" t="str">
        <f>IFERROR(__xludf.DUMMYFUNCTION("""COMPUTED_VALUE"""),"Y")</f>
        <v>Y</v>
      </c>
      <c r="I36" s="3" t="str">
        <f>IFERROR(__xludf.DUMMYFUNCTION("""COMPUTED_VALUE"""),"Y")</f>
        <v>Y</v>
      </c>
      <c r="J36" s="3" t="str">
        <f>IFERROR(__xludf.DUMMYFUNCTION("""COMPUTED_VALUE"""),"Y")</f>
        <v>Y</v>
      </c>
      <c r="K36" s="3" t="str">
        <f>IFERROR(__xludf.DUMMYFUNCTION("""COMPUTED_VALUE"""),"Y")</f>
        <v>Y</v>
      </c>
      <c r="L36" s="3" t="str">
        <f>IFERROR(__xludf.DUMMYFUNCTION("""COMPUTED_VALUE"""),"Districtwide")</f>
        <v>Districtwide</v>
      </c>
      <c r="M36" s="3" t="str">
        <f>IFERROR(__xludf.DUMMYFUNCTION("""COMPUTED_VALUE"""),"N")</f>
        <v>N</v>
      </c>
      <c r="N36" s="3" t="str">
        <f>IFERROR(__xludf.DUMMYFUNCTION("""COMPUTED_VALUE"""),"N")</f>
        <v>N</v>
      </c>
      <c r="O36" s="3" t="str">
        <f>IFERROR(__xludf.DUMMYFUNCTION("""COMPUTED_VALUE"""),"Small Rural")</f>
        <v>Small Rural</v>
      </c>
    </row>
    <row r="37">
      <c r="A37" s="2" t="str">
        <f>IFERROR(__xludf.DUMMYFUNCTION("""COMPUTED_VALUE"""),"0740")</f>
        <v>0740</v>
      </c>
      <c r="B37" s="2" t="str">
        <f>IFERROR(__xludf.DUMMYFUNCTION("""COMPUTED_VALUE"""),"SIERRA GRANDE R-30")</f>
        <v>SIERRA GRANDE R-30</v>
      </c>
      <c r="C37" s="2" t="str">
        <f>IFERROR(__xludf.DUMMYFUNCTION("""COMPUTED_VALUE"""),"Public")</f>
        <v>Public</v>
      </c>
      <c r="D37" s="3">
        <f>IFERROR(__xludf.DUMMYFUNCTION("""COMPUTED_VALUE"""),1.0)</f>
        <v>1</v>
      </c>
      <c r="E37" s="3" t="str">
        <f>IFERROR(__xludf.DUMMYFUNCTION("""COMPUTED_VALUE"""),"Y")</f>
        <v>Y</v>
      </c>
      <c r="F37" s="3" t="str">
        <f>IFERROR(__xludf.DUMMYFUNCTION("""COMPUTED_VALUE"""),"Y")</f>
        <v>Y</v>
      </c>
      <c r="G37" s="3" t="str">
        <f>IFERROR(__xludf.DUMMYFUNCTION("""COMPUTED_VALUE"""),"N")</f>
        <v>N</v>
      </c>
      <c r="H37" s="3" t="str">
        <f>IFERROR(__xludf.DUMMYFUNCTION("""COMPUTED_VALUE"""),"N")</f>
        <v>N</v>
      </c>
      <c r="I37" s="3" t="str">
        <f>IFERROR(__xludf.DUMMYFUNCTION("""COMPUTED_VALUE"""),"Y")</f>
        <v>Y</v>
      </c>
      <c r="J37" s="3" t="str">
        <f>IFERROR(__xludf.DUMMYFUNCTION("""COMPUTED_VALUE"""),"N")</f>
        <v>N</v>
      </c>
      <c r="K37" s="3" t="str">
        <f>IFERROR(__xludf.DUMMYFUNCTION("""COMPUTED_VALUE"""),"Y")</f>
        <v>Y</v>
      </c>
      <c r="L37" s="3" t="str">
        <f>IFERROR(__xludf.DUMMYFUNCTION("""COMPUTED_VALUE"""),"Districtwide")</f>
        <v>Districtwide</v>
      </c>
      <c r="M37" s="3" t="str">
        <f>IFERROR(__xludf.DUMMYFUNCTION("""COMPUTED_VALUE"""),"N")</f>
        <v>N</v>
      </c>
      <c r="N37" s="3" t="str">
        <f>IFERROR(__xludf.DUMMYFUNCTION("""COMPUTED_VALUE"""),"N")</f>
        <v>N</v>
      </c>
      <c r="O37" s="3" t="str">
        <f>IFERROR(__xludf.DUMMYFUNCTION("""COMPUTED_VALUE"""),"Small Rural")</f>
        <v>Small Rural</v>
      </c>
    </row>
    <row r="38">
      <c r="A38" s="2" t="str">
        <f>IFERROR(__xludf.DUMMYFUNCTION("""COMPUTED_VALUE"""),"0770")</f>
        <v>0770</v>
      </c>
      <c r="B38" s="2" t="str">
        <f>IFERROR(__xludf.DUMMYFUNCTION("""COMPUTED_VALUE"""),"Crowley County School District RE 1-J")</f>
        <v>Crowley County School District RE 1-J</v>
      </c>
      <c r="C38" s="2" t="str">
        <f>IFERROR(__xludf.DUMMYFUNCTION("""COMPUTED_VALUE"""),"Public")</f>
        <v>Public</v>
      </c>
      <c r="D38" s="3">
        <f>IFERROR(__xludf.DUMMYFUNCTION("""COMPUTED_VALUE"""),2.0)</f>
        <v>2</v>
      </c>
      <c r="E38" s="3" t="str">
        <f>IFERROR(__xludf.DUMMYFUNCTION("""COMPUTED_VALUE"""),"Y")</f>
        <v>Y</v>
      </c>
      <c r="F38" s="3" t="str">
        <f>IFERROR(__xludf.DUMMYFUNCTION("""COMPUTED_VALUE"""),"Y")</f>
        <v>Y</v>
      </c>
      <c r="G38" s="3" t="str">
        <f>IFERROR(__xludf.DUMMYFUNCTION("""COMPUTED_VALUE"""),"N")</f>
        <v>N</v>
      </c>
      <c r="H38" s="3" t="str">
        <f>IFERROR(__xludf.DUMMYFUNCTION("""COMPUTED_VALUE"""),"Y")</f>
        <v>Y</v>
      </c>
      <c r="I38" s="3" t="str">
        <f>IFERROR(__xludf.DUMMYFUNCTION("""COMPUTED_VALUE"""),"Y")</f>
        <v>Y</v>
      </c>
      <c r="J38" s="3" t="str">
        <f>IFERROR(__xludf.DUMMYFUNCTION("""COMPUTED_VALUE"""),"Y")</f>
        <v>Y</v>
      </c>
      <c r="K38" s="3" t="str">
        <f>IFERROR(__xludf.DUMMYFUNCTION("""COMPUTED_VALUE"""),"Y")</f>
        <v>Y</v>
      </c>
      <c r="L38" s="3" t="str">
        <f>IFERROR(__xludf.DUMMYFUNCTION("""COMPUTED_VALUE"""),"Districtwide")</f>
        <v>Districtwide</v>
      </c>
      <c r="M38" s="3" t="str">
        <f>IFERROR(__xludf.DUMMYFUNCTION("""COMPUTED_VALUE"""),"N")</f>
        <v>N</v>
      </c>
      <c r="N38" s="3" t="str">
        <f>IFERROR(__xludf.DUMMYFUNCTION("""COMPUTED_VALUE"""),"Y")</f>
        <v>Y</v>
      </c>
      <c r="O38" s="3" t="str">
        <f>IFERROR(__xludf.DUMMYFUNCTION("""COMPUTED_VALUE"""),"Small Rural")</f>
        <v>Small Rural</v>
      </c>
    </row>
    <row r="39">
      <c r="A39" s="2" t="str">
        <f>IFERROR(__xludf.DUMMYFUNCTION("""COMPUTED_VALUE"""),"0860")</f>
        <v>0860</v>
      </c>
      <c r="B39" s="2" t="str">
        <f>IFERROR(__xludf.DUMMYFUNCTION("""COMPUTED_VALUE"""),"CUSTER COUNTY SCHOOL DISTRICT C-1")</f>
        <v>CUSTER COUNTY SCHOOL DISTRICT C-1</v>
      </c>
      <c r="C39" s="2" t="str">
        <f>IFERROR(__xludf.DUMMYFUNCTION("""COMPUTED_VALUE"""),"Public")</f>
        <v>Public</v>
      </c>
      <c r="D39" s="3">
        <f>IFERROR(__xludf.DUMMYFUNCTION("""COMPUTED_VALUE"""),3.0)</f>
        <v>3</v>
      </c>
      <c r="E39" s="3" t="str">
        <f>IFERROR(__xludf.DUMMYFUNCTION("""COMPUTED_VALUE"""),"Y")</f>
        <v>Y</v>
      </c>
      <c r="F39" s="3" t="str">
        <f>IFERROR(__xludf.DUMMYFUNCTION("""COMPUTED_VALUE"""),"Y")</f>
        <v>Y</v>
      </c>
      <c r="G39" s="3" t="str">
        <f>IFERROR(__xludf.DUMMYFUNCTION("""COMPUTED_VALUE"""),"N")</f>
        <v>N</v>
      </c>
      <c r="H39" s="3" t="str">
        <f>IFERROR(__xludf.DUMMYFUNCTION("""COMPUTED_VALUE"""),"Y")</f>
        <v>Y</v>
      </c>
      <c r="I39" s="3" t="str">
        <f>IFERROR(__xludf.DUMMYFUNCTION("""COMPUTED_VALUE"""),"N")</f>
        <v>N</v>
      </c>
      <c r="J39" s="3" t="str">
        <f>IFERROR(__xludf.DUMMYFUNCTION("""COMPUTED_VALUE"""),"N")</f>
        <v>N</v>
      </c>
      <c r="K39" s="3" t="str">
        <f>IFERROR(__xludf.DUMMYFUNCTION("""COMPUTED_VALUE"""),"Y")</f>
        <v>Y</v>
      </c>
      <c r="L39" s="3" t="str">
        <f>IFERROR(__xludf.DUMMYFUNCTION("""COMPUTED_VALUE"""),"Districtwide")</f>
        <v>Districtwide</v>
      </c>
      <c r="M39" s="3" t="str">
        <f>IFERROR(__xludf.DUMMYFUNCTION("""COMPUTED_VALUE"""),"N")</f>
        <v>N</v>
      </c>
      <c r="N39" s="3" t="str">
        <f>IFERROR(__xludf.DUMMYFUNCTION("""COMPUTED_VALUE"""),"N")</f>
        <v>N</v>
      </c>
      <c r="O39" s="3" t="str">
        <f>IFERROR(__xludf.DUMMYFUNCTION("""COMPUTED_VALUE"""),"Small Rural")</f>
        <v>Small Rural</v>
      </c>
    </row>
    <row r="40">
      <c r="A40" s="2" t="str">
        <f>IFERROR(__xludf.DUMMYFUNCTION("""COMPUTED_VALUE"""),"0870")</f>
        <v>0870</v>
      </c>
      <c r="B40" s="2" t="str">
        <f>IFERROR(__xludf.DUMMYFUNCTION("""COMPUTED_VALUE"""),"DELTA COUNTY 50(J)")</f>
        <v>DELTA COUNTY 50(J)</v>
      </c>
      <c r="C40" s="2" t="str">
        <f>IFERROR(__xludf.DUMMYFUNCTION("""COMPUTED_VALUE"""),"Public")</f>
        <v>Public</v>
      </c>
      <c r="D40" s="3">
        <f>IFERROR(__xludf.DUMMYFUNCTION("""COMPUTED_VALUE"""),14.0)</f>
        <v>14</v>
      </c>
      <c r="E40" s="3" t="str">
        <f>IFERROR(__xludf.DUMMYFUNCTION("""COMPUTED_VALUE"""),"Y")</f>
        <v>Y</v>
      </c>
      <c r="F40" s="3" t="str">
        <f>IFERROR(__xludf.DUMMYFUNCTION("""COMPUTED_VALUE"""),"Y")</f>
        <v>Y</v>
      </c>
      <c r="G40" s="3" t="str">
        <f>IFERROR(__xludf.DUMMYFUNCTION("""COMPUTED_VALUE"""),"N")</f>
        <v>N</v>
      </c>
      <c r="H40" s="3" t="str">
        <f>IFERROR(__xludf.DUMMYFUNCTION("""COMPUTED_VALUE"""),"N")</f>
        <v>N</v>
      </c>
      <c r="I40" s="3" t="str">
        <f>IFERROR(__xludf.DUMMYFUNCTION("""COMPUTED_VALUE"""),"N")</f>
        <v>N</v>
      </c>
      <c r="J40" s="3" t="str">
        <f>IFERROR(__xludf.DUMMYFUNCTION("""COMPUTED_VALUE"""),"Y")</f>
        <v>Y</v>
      </c>
      <c r="K40" s="3" t="str">
        <f>IFERROR(__xludf.DUMMYFUNCTION("""COMPUTED_VALUE"""),"Y")</f>
        <v>Y</v>
      </c>
      <c r="L40" s="3" t="str">
        <f>IFERROR(__xludf.DUMMYFUNCTION("""COMPUTED_VALUE"""),"Districtwide")</f>
        <v>Districtwide</v>
      </c>
      <c r="M40" s="3" t="str">
        <f>IFERROR(__xludf.DUMMYFUNCTION("""COMPUTED_VALUE"""),"N")</f>
        <v>N</v>
      </c>
      <c r="N40" s="3" t="str">
        <f>IFERROR(__xludf.DUMMYFUNCTION("""COMPUTED_VALUE"""),"N")</f>
        <v>N</v>
      </c>
      <c r="O40" s="3" t="str">
        <f>IFERROR(__xludf.DUMMYFUNCTION("""COMPUTED_VALUE"""),"Rural")</f>
        <v>Rural</v>
      </c>
    </row>
    <row r="41">
      <c r="A41" s="2" t="str">
        <f>IFERROR(__xludf.DUMMYFUNCTION("""COMPUTED_VALUE"""),"0880")</f>
        <v>0880</v>
      </c>
      <c r="B41" s="2" t="str">
        <f>IFERROR(__xludf.DUMMYFUNCTION("""COMPUTED_VALUE"""),"DENVER COUNTY 1")</f>
        <v>DENVER COUNTY 1</v>
      </c>
      <c r="C41" s="2" t="str">
        <f>IFERROR(__xludf.DUMMYFUNCTION("""COMPUTED_VALUE"""),"Public")</f>
        <v>Public</v>
      </c>
      <c r="D41" s="3">
        <f>IFERROR(__xludf.DUMMYFUNCTION("""COMPUTED_VALUE"""),189.0)</f>
        <v>189</v>
      </c>
      <c r="E41" s="3" t="str">
        <f>IFERROR(__xludf.DUMMYFUNCTION("""COMPUTED_VALUE"""),"Y")</f>
        <v>Y</v>
      </c>
      <c r="F41" s="3" t="str">
        <f>IFERROR(__xludf.DUMMYFUNCTION("""COMPUTED_VALUE"""),"Y")</f>
        <v>Y</v>
      </c>
      <c r="G41" s="3" t="str">
        <f>IFERROR(__xludf.DUMMYFUNCTION("""COMPUTED_VALUE"""),"N")</f>
        <v>N</v>
      </c>
      <c r="H41" s="3" t="str">
        <f>IFERROR(__xludf.DUMMYFUNCTION("""COMPUTED_VALUE"""),"Y")</f>
        <v>Y</v>
      </c>
      <c r="I41" s="3" t="str">
        <f>IFERROR(__xludf.DUMMYFUNCTION("""COMPUTED_VALUE"""),"Y")</f>
        <v>Y</v>
      </c>
      <c r="J41" s="3" t="str">
        <f>IFERROR(__xludf.DUMMYFUNCTION("""COMPUTED_VALUE"""),"Y")</f>
        <v>Y</v>
      </c>
      <c r="K41" s="3" t="str">
        <f>IFERROR(__xludf.DUMMYFUNCTION("""COMPUTED_VALUE"""),"Y")</f>
        <v>Y</v>
      </c>
      <c r="L41" s="3" t="str">
        <f>IFERROR(__xludf.DUMMYFUNCTION("""COMPUTED_VALUE"""),"Y")</f>
        <v>Y</v>
      </c>
      <c r="M41" s="3" t="str">
        <f>IFERROR(__xludf.DUMMYFUNCTION("""COMPUTED_VALUE"""),"N")</f>
        <v>N</v>
      </c>
      <c r="N41" s="3" t="str">
        <f>IFERROR(__xludf.DUMMYFUNCTION("""COMPUTED_VALUE"""),"N")</f>
        <v>N</v>
      </c>
      <c r="O41" s="3" t="str">
        <f>IFERROR(__xludf.DUMMYFUNCTION("""COMPUTED_VALUE"""),"none")</f>
        <v>none</v>
      </c>
    </row>
    <row r="42">
      <c r="A42" s="2" t="str">
        <f>IFERROR(__xludf.DUMMYFUNCTION("""COMPUTED_VALUE"""),"0890")</f>
        <v>0890</v>
      </c>
      <c r="B42" s="2" t="str">
        <f>IFERROR(__xludf.DUMMYFUNCTION("""COMPUTED_VALUE"""),"DOLORES COUNTY RE NO.2")</f>
        <v>DOLORES COUNTY RE NO.2</v>
      </c>
      <c r="C42" s="2" t="str">
        <f>IFERROR(__xludf.DUMMYFUNCTION("""COMPUTED_VALUE"""),"Public")</f>
        <v>Public</v>
      </c>
      <c r="D42" s="3">
        <f>IFERROR(__xludf.DUMMYFUNCTION("""COMPUTED_VALUE"""),2.0)</f>
        <v>2</v>
      </c>
      <c r="E42" s="3" t="str">
        <f>IFERROR(__xludf.DUMMYFUNCTION("""COMPUTED_VALUE"""),"Y")</f>
        <v>Y</v>
      </c>
      <c r="F42" s="3" t="str">
        <f>IFERROR(__xludf.DUMMYFUNCTION("""COMPUTED_VALUE"""),"Y")</f>
        <v>Y</v>
      </c>
      <c r="G42" s="3" t="str">
        <f>IFERROR(__xludf.DUMMYFUNCTION("""COMPUTED_VALUE"""),"N")</f>
        <v>N</v>
      </c>
      <c r="H42" s="3" t="str">
        <f>IFERROR(__xludf.DUMMYFUNCTION("""COMPUTED_VALUE"""),"N")</f>
        <v>N</v>
      </c>
      <c r="I42" s="3" t="str">
        <f>IFERROR(__xludf.DUMMYFUNCTION("""COMPUTED_VALUE"""),"Y")</f>
        <v>Y</v>
      </c>
      <c r="J42" s="3" t="str">
        <f>IFERROR(__xludf.DUMMYFUNCTION("""COMPUTED_VALUE"""),"N")</f>
        <v>N</v>
      </c>
      <c r="K42" s="3" t="str">
        <f>IFERROR(__xludf.DUMMYFUNCTION("""COMPUTED_VALUE"""),"Y")</f>
        <v>Y</v>
      </c>
      <c r="L42" s="3" t="str">
        <f>IFERROR(__xludf.DUMMYFUNCTION("""COMPUTED_VALUE"""),"Districtwide")</f>
        <v>Districtwide</v>
      </c>
      <c r="M42" s="3" t="str">
        <f>IFERROR(__xludf.DUMMYFUNCTION("""COMPUTED_VALUE"""),"N")</f>
        <v>N</v>
      </c>
      <c r="N42" s="3" t="str">
        <f>IFERROR(__xludf.DUMMYFUNCTION("""COMPUTED_VALUE"""),"N")</f>
        <v>N</v>
      </c>
      <c r="O42" s="3" t="str">
        <f>IFERROR(__xludf.DUMMYFUNCTION("""COMPUTED_VALUE"""),"Small Rural")</f>
        <v>Small Rural</v>
      </c>
    </row>
    <row r="43">
      <c r="A43" s="2" t="str">
        <f>IFERROR(__xludf.DUMMYFUNCTION("""COMPUTED_VALUE"""),"0900")</f>
        <v>0900</v>
      </c>
      <c r="B43" s="2" t="str">
        <f>IFERROR(__xludf.DUMMYFUNCTION("""COMPUTED_VALUE"""),"DOUGLAS COUNTY RE 1")</f>
        <v>DOUGLAS COUNTY RE 1</v>
      </c>
      <c r="C43" s="2" t="str">
        <f>IFERROR(__xludf.DUMMYFUNCTION("""COMPUTED_VALUE"""),"Public")</f>
        <v>Public</v>
      </c>
      <c r="D43" s="3">
        <f>IFERROR(__xludf.DUMMYFUNCTION("""COMPUTED_VALUE"""),84.0)</f>
        <v>84</v>
      </c>
      <c r="E43" s="3" t="str">
        <f>IFERROR(__xludf.DUMMYFUNCTION("""COMPUTED_VALUE"""),"Y")</f>
        <v>Y</v>
      </c>
      <c r="F43" s="3" t="str">
        <f>IFERROR(__xludf.DUMMYFUNCTION("""COMPUTED_VALUE"""),"Y")</f>
        <v>Y</v>
      </c>
      <c r="G43" s="3" t="str">
        <f>IFERROR(__xludf.DUMMYFUNCTION("""COMPUTED_VALUE"""),"N")</f>
        <v>N</v>
      </c>
      <c r="H43" s="3" t="str">
        <f>IFERROR(__xludf.DUMMYFUNCTION("""COMPUTED_VALUE"""),"N")</f>
        <v>N</v>
      </c>
      <c r="I43" s="3" t="str">
        <f>IFERROR(__xludf.DUMMYFUNCTION("""COMPUTED_VALUE"""),"N")</f>
        <v>N</v>
      </c>
      <c r="J43" s="3" t="str">
        <f>IFERROR(__xludf.DUMMYFUNCTION("""COMPUTED_VALUE"""),"Y")</f>
        <v>Y</v>
      </c>
      <c r="K43" s="3" t="str">
        <f>IFERROR(__xludf.DUMMYFUNCTION("""COMPUTED_VALUE"""),"Y")</f>
        <v>Y</v>
      </c>
      <c r="L43" s="3" t="str">
        <f>IFERROR(__xludf.DUMMYFUNCTION("""COMPUTED_VALUE"""),"Y")</f>
        <v>Y</v>
      </c>
      <c r="M43" s="3" t="str">
        <f>IFERROR(__xludf.DUMMYFUNCTION("""COMPUTED_VALUE"""),"N")</f>
        <v>N</v>
      </c>
      <c r="N43" s="3" t="str">
        <f>IFERROR(__xludf.DUMMYFUNCTION("""COMPUTED_VALUE"""),"N")</f>
        <v>N</v>
      </c>
      <c r="O43" s="3" t="str">
        <f>IFERROR(__xludf.DUMMYFUNCTION("""COMPUTED_VALUE"""),"none")</f>
        <v>none</v>
      </c>
    </row>
    <row r="44">
      <c r="A44" s="2" t="str">
        <f>IFERROR(__xludf.DUMMYFUNCTION("""COMPUTED_VALUE"""),"0910")</f>
        <v>0910</v>
      </c>
      <c r="B44" s="2" t="str">
        <f>IFERROR(__xludf.DUMMYFUNCTION("""COMPUTED_VALUE"""),"EAGLE COUNTY RE 50")</f>
        <v>EAGLE COUNTY RE 50</v>
      </c>
      <c r="C44" s="2" t="str">
        <f>IFERROR(__xludf.DUMMYFUNCTION("""COMPUTED_VALUE"""),"Public")</f>
        <v>Public</v>
      </c>
      <c r="D44" s="3">
        <f>IFERROR(__xludf.DUMMYFUNCTION("""COMPUTED_VALUE"""),16.0)</f>
        <v>16</v>
      </c>
      <c r="E44" s="3" t="str">
        <f>IFERROR(__xludf.DUMMYFUNCTION("""COMPUTED_VALUE"""),"Y")</f>
        <v>Y</v>
      </c>
      <c r="F44" s="3" t="str">
        <f>IFERROR(__xludf.DUMMYFUNCTION("""COMPUTED_VALUE"""),"Y")</f>
        <v>Y</v>
      </c>
      <c r="G44" s="3" t="str">
        <f>IFERROR(__xludf.DUMMYFUNCTION("""COMPUTED_VALUE"""),"N")</f>
        <v>N</v>
      </c>
      <c r="H44" s="3" t="str">
        <f>IFERROR(__xludf.DUMMYFUNCTION("""COMPUTED_VALUE"""),"N")</f>
        <v>N</v>
      </c>
      <c r="I44" s="3" t="str">
        <f>IFERROR(__xludf.DUMMYFUNCTION("""COMPUTED_VALUE"""),"N")</f>
        <v>N</v>
      </c>
      <c r="J44" s="3" t="str">
        <f>IFERROR(__xludf.DUMMYFUNCTION("""COMPUTED_VALUE"""),"N")</f>
        <v>N</v>
      </c>
      <c r="K44" s="3" t="str">
        <f>IFERROR(__xludf.DUMMYFUNCTION("""COMPUTED_VALUE"""),"Y")</f>
        <v>Y</v>
      </c>
      <c r="L44" s="3" t="str">
        <f>IFERROR(__xludf.DUMMYFUNCTION("""COMPUTED_VALUE"""),"Y")</f>
        <v>Y</v>
      </c>
      <c r="M44" s="3" t="str">
        <f>IFERROR(__xludf.DUMMYFUNCTION("""COMPUTED_VALUE"""),"N")</f>
        <v>N</v>
      </c>
      <c r="N44" s="3" t="str">
        <f>IFERROR(__xludf.DUMMYFUNCTION("""COMPUTED_VALUE"""),"N")</f>
        <v>N</v>
      </c>
      <c r="O44" s="3" t="str">
        <f>IFERROR(__xludf.DUMMYFUNCTION("""COMPUTED_VALUE"""),"Rural")</f>
        <v>Rural</v>
      </c>
    </row>
    <row r="45">
      <c r="A45" s="2" t="str">
        <f>IFERROR(__xludf.DUMMYFUNCTION("""COMPUTED_VALUE"""),"0920")</f>
        <v>0920</v>
      </c>
      <c r="B45" s="2" t="str">
        <f>IFERROR(__xludf.DUMMYFUNCTION("""COMPUTED_VALUE"""),"ELIZABETH SCHOOL DISTRICT")</f>
        <v>ELIZABETH SCHOOL DISTRICT</v>
      </c>
      <c r="C45" s="2" t="str">
        <f>IFERROR(__xludf.DUMMYFUNCTION("""COMPUTED_VALUE"""),"Public")</f>
        <v>Public</v>
      </c>
      <c r="D45" s="3">
        <f>IFERROR(__xludf.DUMMYFUNCTION("""COMPUTED_VALUE"""),5.0)</f>
        <v>5</v>
      </c>
      <c r="E45" s="3" t="str">
        <f>IFERROR(__xludf.DUMMYFUNCTION("""COMPUTED_VALUE"""),"Y")</f>
        <v>Y</v>
      </c>
      <c r="F45" s="3" t="str">
        <f>IFERROR(__xludf.DUMMYFUNCTION("""COMPUTED_VALUE"""),"Y")</f>
        <v>Y</v>
      </c>
      <c r="G45" s="3" t="str">
        <f>IFERROR(__xludf.DUMMYFUNCTION("""COMPUTED_VALUE"""),"N")</f>
        <v>N</v>
      </c>
      <c r="H45" s="3" t="str">
        <f>IFERROR(__xludf.DUMMYFUNCTION("""COMPUTED_VALUE"""),"N")</f>
        <v>N</v>
      </c>
      <c r="I45" s="3" t="str">
        <f>IFERROR(__xludf.DUMMYFUNCTION("""COMPUTED_VALUE"""),"N")</f>
        <v>N</v>
      </c>
      <c r="J45" s="3" t="str">
        <f>IFERROR(__xludf.DUMMYFUNCTION("""COMPUTED_VALUE"""),"N")</f>
        <v>N</v>
      </c>
      <c r="K45" s="3" t="str">
        <f>IFERROR(__xludf.DUMMYFUNCTION("""COMPUTED_VALUE"""),"Y")</f>
        <v>Y</v>
      </c>
      <c r="L45" s="3" t="str">
        <f>IFERROR(__xludf.DUMMYFUNCTION("""COMPUTED_VALUE"""),"N")</f>
        <v>N</v>
      </c>
      <c r="M45" s="3" t="str">
        <f>IFERROR(__xludf.DUMMYFUNCTION("""COMPUTED_VALUE"""),"N")</f>
        <v>N</v>
      </c>
      <c r="N45" s="3" t="str">
        <f>IFERROR(__xludf.DUMMYFUNCTION("""COMPUTED_VALUE"""),"N")</f>
        <v>N</v>
      </c>
      <c r="O45" s="3" t="str">
        <f>IFERROR(__xludf.DUMMYFUNCTION("""COMPUTED_VALUE"""),"Rural")</f>
        <v>Rural</v>
      </c>
    </row>
    <row r="46">
      <c r="A46" s="2" t="str">
        <f>IFERROR(__xludf.DUMMYFUNCTION("""COMPUTED_VALUE"""),"0930")</f>
        <v>0930</v>
      </c>
      <c r="B46" s="2" t="str">
        <f>IFERROR(__xludf.DUMMYFUNCTION("""COMPUTED_VALUE"""),"KIOWA C-2")</f>
        <v>KIOWA C-2</v>
      </c>
      <c r="C46" s="2" t="str">
        <f>IFERROR(__xludf.DUMMYFUNCTION("""COMPUTED_VALUE"""),"Public")</f>
        <v>Public</v>
      </c>
      <c r="D46" s="3">
        <f>IFERROR(__xludf.DUMMYFUNCTION("""COMPUTED_VALUE"""),3.0)</f>
        <v>3</v>
      </c>
      <c r="E46" s="3" t="str">
        <f>IFERROR(__xludf.DUMMYFUNCTION("""COMPUTED_VALUE"""),"Y")</f>
        <v>Y</v>
      </c>
      <c r="F46" s="3" t="str">
        <f>IFERROR(__xludf.DUMMYFUNCTION("""COMPUTED_VALUE"""),"Y")</f>
        <v>Y</v>
      </c>
      <c r="G46" s="3" t="str">
        <f>IFERROR(__xludf.DUMMYFUNCTION("""COMPUTED_VALUE"""),"N")</f>
        <v>N</v>
      </c>
      <c r="H46" s="3" t="str">
        <f>IFERROR(__xludf.DUMMYFUNCTION("""COMPUTED_VALUE"""),"N")</f>
        <v>N</v>
      </c>
      <c r="I46" s="3" t="str">
        <f>IFERROR(__xludf.DUMMYFUNCTION("""COMPUTED_VALUE"""),"N")</f>
        <v>N</v>
      </c>
      <c r="J46" s="3" t="str">
        <f>IFERROR(__xludf.DUMMYFUNCTION("""COMPUTED_VALUE"""),"N")</f>
        <v>N</v>
      </c>
      <c r="K46" s="3" t="str">
        <f>IFERROR(__xludf.DUMMYFUNCTION("""COMPUTED_VALUE"""),"Y")</f>
        <v>Y</v>
      </c>
      <c r="L46" s="3" t="str">
        <f>IFERROR(__xludf.DUMMYFUNCTION("""COMPUTED_VALUE"""),"Districtwide")</f>
        <v>Districtwide</v>
      </c>
      <c r="M46" s="3" t="str">
        <f>IFERROR(__xludf.DUMMYFUNCTION("""COMPUTED_VALUE"""),"N")</f>
        <v>N</v>
      </c>
      <c r="N46" s="3" t="str">
        <f>IFERROR(__xludf.DUMMYFUNCTION("""COMPUTED_VALUE"""),"N")</f>
        <v>N</v>
      </c>
      <c r="O46" s="3" t="str">
        <f>IFERROR(__xludf.DUMMYFUNCTION("""COMPUTED_VALUE"""),"Small Rural")</f>
        <v>Small Rural</v>
      </c>
    </row>
    <row r="47">
      <c r="A47" s="2" t="str">
        <f>IFERROR(__xludf.DUMMYFUNCTION("""COMPUTED_VALUE"""),"0940")</f>
        <v>0940</v>
      </c>
      <c r="B47" s="2" t="str">
        <f>IFERROR(__xludf.DUMMYFUNCTION("""COMPUTED_VALUE"""),"BIG SANDY 100J")</f>
        <v>BIG SANDY 100J</v>
      </c>
      <c r="C47" s="2" t="str">
        <f>IFERROR(__xludf.DUMMYFUNCTION("""COMPUTED_VALUE"""),"Public")</f>
        <v>Public</v>
      </c>
      <c r="D47" s="3">
        <f>IFERROR(__xludf.DUMMYFUNCTION("""COMPUTED_VALUE"""),3.0)</f>
        <v>3</v>
      </c>
      <c r="E47" s="3" t="str">
        <f>IFERROR(__xludf.DUMMYFUNCTION("""COMPUTED_VALUE"""),"N")</f>
        <v>N</v>
      </c>
      <c r="F47" s="3" t="str">
        <f>IFERROR(__xludf.DUMMYFUNCTION("""COMPUTED_VALUE"""),"Y")</f>
        <v>Y</v>
      </c>
      <c r="G47" s="3" t="str">
        <f>IFERROR(__xludf.DUMMYFUNCTION("""COMPUTED_VALUE"""),"Y")</f>
        <v>Y</v>
      </c>
      <c r="H47" s="3" t="str">
        <f>IFERROR(__xludf.DUMMYFUNCTION("""COMPUTED_VALUE"""),"N")</f>
        <v>N</v>
      </c>
      <c r="I47" s="3" t="str">
        <f>IFERROR(__xludf.DUMMYFUNCTION("""COMPUTED_VALUE"""),"N")</f>
        <v>N</v>
      </c>
      <c r="J47" s="3" t="str">
        <f>IFERROR(__xludf.DUMMYFUNCTION("""COMPUTED_VALUE"""),"N")</f>
        <v>N</v>
      </c>
      <c r="K47" s="3" t="str">
        <f>IFERROR(__xludf.DUMMYFUNCTION("""COMPUTED_VALUE"""),"Y")</f>
        <v>Y</v>
      </c>
      <c r="L47" s="3" t="str">
        <f>IFERROR(__xludf.DUMMYFUNCTION("""COMPUTED_VALUE"""),"N")</f>
        <v>N</v>
      </c>
      <c r="M47" s="3" t="str">
        <f>IFERROR(__xludf.DUMMYFUNCTION("""COMPUTED_VALUE"""),"N")</f>
        <v>N</v>
      </c>
      <c r="N47" s="3" t="str">
        <f>IFERROR(__xludf.DUMMYFUNCTION("""COMPUTED_VALUE"""),"N")</f>
        <v>N</v>
      </c>
      <c r="O47" s="3" t="str">
        <f>IFERROR(__xludf.DUMMYFUNCTION("""COMPUTED_VALUE"""),"Small Rural")</f>
        <v>Small Rural</v>
      </c>
    </row>
    <row r="48">
      <c r="A48" s="2" t="str">
        <f>IFERROR(__xludf.DUMMYFUNCTION("""COMPUTED_VALUE"""),"0950")</f>
        <v>0950</v>
      </c>
      <c r="B48" s="2" t="str">
        <f>IFERROR(__xludf.DUMMYFUNCTION("""COMPUTED_VALUE"""),"ELBERT 200")</f>
        <v>ELBERT 200</v>
      </c>
      <c r="C48" s="2" t="str">
        <f>IFERROR(__xludf.DUMMYFUNCTION("""COMPUTED_VALUE"""),"Public")</f>
        <v>Public</v>
      </c>
      <c r="D48" s="3">
        <f>IFERROR(__xludf.DUMMYFUNCTION("""COMPUTED_VALUE"""),2.0)</f>
        <v>2</v>
      </c>
      <c r="E48" s="3" t="str">
        <f>IFERROR(__xludf.DUMMYFUNCTION("""COMPUTED_VALUE"""),"N")</f>
        <v>N</v>
      </c>
      <c r="F48" s="3" t="str">
        <f>IFERROR(__xludf.DUMMYFUNCTION("""COMPUTED_VALUE"""),"Y")</f>
        <v>Y</v>
      </c>
      <c r="G48" s="3" t="str">
        <f>IFERROR(__xludf.DUMMYFUNCTION("""COMPUTED_VALUE"""),"N")</f>
        <v>N</v>
      </c>
      <c r="H48" s="3" t="str">
        <f>IFERROR(__xludf.DUMMYFUNCTION("""COMPUTED_VALUE"""),"N")</f>
        <v>N</v>
      </c>
      <c r="I48" s="3" t="str">
        <f>IFERROR(__xludf.DUMMYFUNCTION("""COMPUTED_VALUE"""),"N")</f>
        <v>N</v>
      </c>
      <c r="J48" s="3" t="str">
        <f>IFERROR(__xludf.DUMMYFUNCTION("""COMPUTED_VALUE"""),"N")</f>
        <v>N</v>
      </c>
      <c r="K48" s="3" t="str">
        <f>IFERROR(__xludf.DUMMYFUNCTION("""COMPUTED_VALUE"""),"Y")</f>
        <v>Y</v>
      </c>
      <c r="L48" s="3" t="str">
        <f>IFERROR(__xludf.DUMMYFUNCTION("""COMPUTED_VALUE"""),"N")</f>
        <v>N</v>
      </c>
      <c r="M48" s="3" t="str">
        <f>IFERROR(__xludf.DUMMYFUNCTION("""COMPUTED_VALUE"""),"N")</f>
        <v>N</v>
      </c>
      <c r="N48" s="3" t="str">
        <f>IFERROR(__xludf.DUMMYFUNCTION("""COMPUTED_VALUE"""),"N")</f>
        <v>N</v>
      </c>
      <c r="O48" s="3" t="str">
        <f>IFERROR(__xludf.DUMMYFUNCTION("""COMPUTED_VALUE"""),"Small Rural")</f>
        <v>Small Rural</v>
      </c>
    </row>
    <row r="49">
      <c r="A49" s="2" t="str">
        <f>IFERROR(__xludf.DUMMYFUNCTION("""COMPUTED_VALUE"""),"0960")</f>
        <v>0960</v>
      </c>
      <c r="B49" s="2" t="str">
        <f>IFERROR(__xludf.DUMMYFUNCTION("""COMPUTED_VALUE"""),"AGATE 300")</f>
        <v>AGATE 300</v>
      </c>
      <c r="C49" s="2" t="str">
        <f>IFERROR(__xludf.DUMMYFUNCTION("""COMPUTED_VALUE"""),"Public")</f>
        <v>Public</v>
      </c>
      <c r="D49" s="3">
        <f>IFERROR(__xludf.DUMMYFUNCTION("""COMPUTED_VALUE"""),2.0)</f>
        <v>2</v>
      </c>
      <c r="E49" s="3" t="str">
        <f>IFERROR(__xludf.DUMMYFUNCTION("""COMPUTED_VALUE"""),"Y")</f>
        <v>Y</v>
      </c>
      <c r="F49" s="3" t="str">
        <f>IFERROR(__xludf.DUMMYFUNCTION("""COMPUTED_VALUE"""),"Y")</f>
        <v>Y</v>
      </c>
      <c r="G49" s="3" t="str">
        <f>IFERROR(__xludf.DUMMYFUNCTION("""COMPUTED_VALUE"""),"N")</f>
        <v>N</v>
      </c>
      <c r="H49" s="3" t="str">
        <f>IFERROR(__xludf.DUMMYFUNCTION("""COMPUTED_VALUE"""),"N")</f>
        <v>N</v>
      </c>
      <c r="I49" s="3" t="str">
        <f>IFERROR(__xludf.DUMMYFUNCTION("""COMPUTED_VALUE"""),"N")</f>
        <v>N</v>
      </c>
      <c r="J49" s="3" t="str">
        <f>IFERROR(__xludf.DUMMYFUNCTION("""COMPUTED_VALUE"""),"N")</f>
        <v>N</v>
      </c>
      <c r="K49" s="3" t="str">
        <f>IFERROR(__xludf.DUMMYFUNCTION("""COMPUTED_VALUE"""),"Y")</f>
        <v>Y</v>
      </c>
      <c r="L49" s="3" t="str">
        <f>IFERROR(__xludf.DUMMYFUNCTION("""COMPUTED_VALUE"""),"Districtwide")</f>
        <v>Districtwide</v>
      </c>
      <c r="M49" s="3" t="str">
        <f>IFERROR(__xludf.DUMMYFUNCTION("""COMPUTED_VALUE"""),"N")</f>
        <v>N</v>
      </c>
      <c r="N49" s="3" t="str">
        <f>IFERROR(__xludf.DUMMYFUNCTION("""COMPUTED_VALUE"""),"N")</f>
        <v>N</v>
      </c>
      <c r="O49" s="3" t="str">
        <f>IFERROR(__xludf.DUMMYFUNCTION("""COMPUTED_VALUE"""),"Small Rural")</f>
        <v>Small Rural</v>
      </c>
    </row>
    <row r="50">
      <c r="A50" s="2" t="str">
        <f>IFERROR(__xludf.DUMMYFUNCTION("""COMPUTED_VALUE"""),"0970")</f>
        <v>0970</v>
      </c>
      <c r="B50" s="2" t="str">
        <f>IFERROR(__xludf.DUMMYFUNCTION("""COMPUTED_VALUE"""),"CALHAN RJ-1")</f>
        <v>CALHAN RJ-1</v>
      </c>
      <c r="C50" s="2" t="str">
        <f>IFERROR(__xludf.DUMMYFUNCTION("""COMPUTED_VALUE"""),"Public")</f>
        <v>Public</v>
      </c>
      <c r="D50" s="3">
        <f>IFERROR(__xludf.DUMMYFUNCTION("""COMPUTED_VALUE"""),2.0)</f>
        <v>2</v>
      </c>
      <c r="E50" s="3" t="str">
        <f>IFERROR(__xludf.DUMMYFUNCTION("""COMPUTED_VALUE"""),"Y")</f>
        <v>Y</v>
      </c>
      <c r="F50" s="3" t="str">
        <f>IFERROR(__xludf.DUMMYFUNCTION("""COMPUTED_VALUE"""),"Y")</f>
        <v>Y</v>
      </c>
      <c r="G50" s="3" t="str">
        <f>IFERROR(__xludf.DUMMYFUNCTION("""COMPUTED_VALUE"""),"N")</f>
        <v>N</v>
      </c>
      <c r="H50" s="3" t="str">
        <f>IFERROR(__xludf.DUMMYFUNCTION("""COMPUTED_VALUE"""),"Y")</f>
        <v>Y</v>
      </c>
      <c r="I50" s="3" t="str">
        <f>IFERROR(__xludf.DUMMYFUNCTION("""COMPUTED_VALUE"""),"N")</f>
        <v>N</v>
      </c>
      <c r="J50" s="3" t="str">
        <f>IFERROR(__xludf.DUMMYFUNCTION("""COMPUTED_VALUE"""),"N")</f>
        <v>N</v>
      </c>
      <c r="K50" s="3" t="str">
        <f>IFERROR(__xludf.DUMMYFUNCTION("""COMPUTED_VALUE"""),"Y")</f>
        <v>Y</v>
      </c>
      <c r="L50" s="3" t="str">
        <f>IFERROR(__xludf.DUMMYFUNCTION("""COMPUTED_VALUE"""),"Districtwide")</f>
        <v>Districtwide</v>
      </c>
      <c r="M50" s="3" t="str">
        <f>IFERROR(__xludf.DUMMYFUNCTION("""COMPUTED_VALUE"""),"N")</f>
        <v>N</v>
      </c>
      <c r="N50" s="3" t="str">
        <f>IFERROR(__xludf.DUMMYFUNCTION("""COMPUTED_VALUE"""),"N")</f>
        <v>N</v>
      </c>
      <c r="O50" s="3" t="str">
        <f>IFERROR(__xludf.DUMMYFUNCTION("""COMPUTED_VALUE"""),"Small Rural")</f>
        <v>Small Rural</v>
      </c>
    </row>
    <row r="51">
      <c r="A51" s="2" t="str">
        <f>IFERROR(__xludf.DUMMYFUNCTION("""COMPUTED_VALUE"""),"0980")</f>
        <v>0980</v>
      </c>
      <c r="B51" s="2" t="str">
        <f>IFERROR(__xludf.DUMMYFUNCTION("""COMPUTED_VALUE"""),"HARRISON 2")</f>
        <v>HARRISON 2</v>
      </c>
      <c r="C51" s="2" t="str">
        <f>IFERROR(__xludf.DUMMYFUNCTION("""COMPUTED_VALUE"""),"Public")</f>
        <v>Public</v>
      </c>
      <c r="D51" s="3">
        <f>IFERROR(__xludf.DUMMYFUNCTION("""COMPUTED_VALUE"""),20.0)</f>
        <v>20</v>
      </c>
      <c r="E51" s="3" t="str">
        <f>IFERROR(__xludf.DUMMYFUNCTION("""COMPUTED_VALUE"""),"Y")</f>
        <v>Y</v>
      </c>
      <c r="F51" s="3" t="str">
        <f>IFERROR(__xludf.DUMMYFUNCTION("""COMPUTED_VALUE"""),"Y")</f>
        <v>Y</v>
      </c>
      <c r="G51" s="3" t="str">
        <f>IFERROR(__xludf.DUMMYFUNCTION("""COMPUTED_VALUE"""),"N")</f>
        <v>N</v>
      </c>
      <c r="H51" s="3" t="str">
        <f>IFERROR(__xludf.DUMMYFUNCTION("""COMPUTED_VALUE"""),"Y")</f>
        <v>Y</v>
      </c>
      <c r="I51" s="3" t="str">
        <f>IFERROR(__xludf.DUMMYFUNCTION("""COMPUTED_VALUE"""),"N")</f>
        <v>N</v>
      </c>
      <c r="J51" s="3" t="str">
        <f>IFERROR(__xludf.DUMMYFUNCTION("""COMPUTED_VALUE"""),"Y")</f>
        <v>Y</v>
      </c>
      <c r="K51" s="3" t="str">
        <f>IFERROR(__xludf.DUMMYFUNCTION("""COMPUTED_VALUE"""),"Y")</f>
        <v>Y</v>
      </c>
      <c r="L51" s="3" t="str">
        <f>IFERROR(__xludf.DUMMYFUNCTION("""COMPUTED_VALUE"""),"Districtwide")</f>
        <v>Districtwide</v>
      </c>
      <c r="M51" s="3" t="str">
        <f>IFERROR(__xludf.DUMMYFUNCTION("""COMPUTED_VALUE"""),"N")</f>
        <v>N</v>
      </c>
      <c r="N51" s="3" t="str">
        <f>IFERROR(__xludf.DUMMYFUNCTION("""COMPUTED_VALUE"""),"N")</f>
        <v>N</v>
      </c>
      <c r="O51" s="3" t="str">
        <f>IFERROR(__xludf.DUMMYFUNCTION("""COMPUTED_VALUE"""),"none")</f>
        <v>none</v>
      </c>
    </row>
    <row r="52">
      <c r="A52" s="2" t="str">
        <f>IFERROR(__xludf.DUMMYFUNCTION("""COMPUTED_VALUE"""),"0990")</f>
        <v>0990</v>
      </c>
      <c r="B52" s="2" t="str">
        <f>IFERROR(__xludf.DUMMYFUNCTION("""COMPUTED_VALUE"""),"WIDEFIELD 3")</f>
        <v>WIDEFIELD 3</v>
      </c>
      <c r="C52" s="2" t="str">
        <f>IFERROR(__xludf.DUMMYFUNCTION("""COMPUTED_VALUE"""),"Public")</f>
        <v>Public</v>
      </c>
      <c r="D52" s="3">
        <f>IFERROR(__xludf.DUMMYFUNCTION("""COMPUTED_VALUE"""),17.0)</f>
        <v>17</v>
      </c>
      <c r="E52" s="3" t="str">
        <f>IFERROR(__xludf.DUMMYFUNCTION("""COMPUTED_VALUE"""),"Y")</f>
        <v>Y</v>
      </c>
      <c r="F52" s="3" t="str">
        <f>IFERROR(__xludf.DUMMYFUNCTION("""COMPUTED_VALUE"""),"Y")</f>
        <v>Y</v>
      </c>
      <c r="G52" s="3" t="str">
        <f>IFERROR(__xludf.DUMMYFUNCTION("""COMPUTED_VALUE"""),"N")</f>
        <v>N</v>
      </c>
      <c r="H52" s="3" t="str">
        <f>IFERROR(__xludf.DUMMYFUNCTION("""COMPUTED_VALUE"""),"Y")</f>
        <v>Y</v>
      </c>
      <c r="I52" s="3" t="str">
        <f>IFERROR(__xludf.DUMMYFUNCTION("""COMPUTED_VALUE"""),"N")</f>
        <v>N</v>
      </c>
      <c r="J52" s="3" t="str">
        <f>IFERROR(__xludf.DUMMYFUNCTION("""COMPUTED_VALUE"""),"Y")</f>
        <v>Y</v>
      </c>
      <c r="K52" s="3" t="str">
        <f>IFERROR(__xludf.DUMMYFUNCTION("""COMPUTED_VALUE"""),"Y")</f>
        <v>Y</v>
      </c>
      <c r="L52" s="3" t="str">
        <f>IFERROR(__xludf.DUMMYFUNCTION("""COMPUTED_VALUE"""),"Districtwide")</f>
        <v>Districtwide</v>
      </c>
      <c r="M52" s="3" t="str">
        <f>IFERROR(__xludf.DUMMYFUNCTION("""COMPUTED_VALUE"""),"N")</f>
        <v>N</v>
      </c>
      <c r="N52" s="3" t="str">
        <f>IFERROR(__xludf.DUMMYFUNCTION("""COMPUTED_VALUE"""),"N")</f>
        <v>N</v>
      </c>
      <c r="O52" s="3" t="str">
        <f>IFERROR(__xludf.DUMMYFUNCTION("""COMPUTED_VALUE"""),"none")</f>
        <v>none</v>
      </c>
    </row>
    <row r="53">
      <c r="A53" s="2" t="str">
        <f>IFERROR(__xludf.DUMMYFUNCTION("""COMPUTED_VALUE"""),"1000")</f>
        <v>1000</v>
      </c>
      <c r="B53" s="2" t="str">
        <f>IFERROR(__xludf.DUMMYFUNCTION("""COMPUTED_VALUE"""),"FOUNTAIN 8")</f>
        <v>FOUNTAIN 8</v>
      </c>
      <c r="C53" s="2" t="str">
        <f>IFERROR(__xludf.DUMMYFUNCTION("""COMPUTED_VALUE"""),"Public")</f>
        <v>Public</v>
      </c>
      <c r="D53" s="3">
        <f>IFERROR(__xludf.DUMMYFUNCTION("""COMPUTED_VALUE"""),13.0)</f>
        <v>13</v>
      </c>
      <c r="E53" s="3" t="str">
        <f>IFERROR(__xludf.DUMMYFUNCTION("""COMPUTED_VALUE"""),"Y")</f>
        <v>Y</v>
      </c>
      <c r="F53" s="3" t="str">
        <f>IFERROR(__xludf.DUMMYFUNCTION("""COMPUTED_VALUE"""),"Y")</f>
        <v>Y</v>
      </c>
      <c r="G53" s="3" t="str">
        <f>IFERROR(__xludf.DUMMYFUNCTION("""COMPUTED_VALUE"""),"Y")</f>
        <v>Y</v>
      </c>
      <c r="H53" s="3" t="str">
        <f>IFERROR(__xludf.DUMMYFUNCTION("""COMPUTED_VALUE"""),"Y")</f>
        <v>Y</v>
      </c>
      <c r="I53" s="3" t="str">
        <f>IFERROR(__xludf.DUMMYFUNCTION("""COMPUTED_VALUE"""),"N")</f>
        <v>N</v>
      </c>
      <c r="J53" s="3" t="str">
        <f>IFERROR(__xludf.DUMMYFUNCTION("""COMPUTED_VALUE"""),"Y")</f>
        <v>Y</v>
      </c>
      <c r="K53" s="3" t="str">
        <f>IFERROR(__xludf.DUMMYFUNCTION("""COMPUTED_VALUE"""),"Y")</f>
        <v>Y</v>
      </c>
      <c r="L53" s="3" t="str">
        <f>IFERROR(__xludf.DUMMYFUNCTION("""COMPUTED_VALUE"""),"Y")</f>
        <v>Y</v>
      </c>
      <c r="M53" s="3" t="str">
        <f>IFERROR(__xludf.DUMMYFUNCTION("""COMPUTED_VALUE"""),"N")</f>
        <v>N</v>
      </c>
      <c r="N53" s="3" t="str">
        <f>IFERROR(__xludf.DUMMYFUNCTION("""COMPUTED_VALUE"""),"Y")</f>
        <v>Y</v>
      </c>
      <c r="O53" s="3" t="str">
        <f>IFERROR(__xludf.DUMMYFUNCTION("""COMPUTED_VALUE"""),"none")</f>
        <v>none</v>
      </c>
    </row>
    <row r="54">
      <c r="A54" s="2" t="str">
        <f>IFERROR(__xludf.DUMMYFUNCTION("""COMPUTED_VALUE"""),"1010")</f>
        <v>1010</v>
      </c>
      <c r="B54" s="2" t="str">
        <f>IFERROR(__xludf.DUMMYFUNCTION("""COMPUTED_VALUE"""),"COLORADO SPRINGS 11")</f>
        <v>COLORADO SPRINGS 11</v>
      </c>
      <c r="C54" s="2" t="str">
        <f>IFERROR(__xludf.DUMMYFUNCTION("""COMPUTED_VALUE"""),"Public")</f>
        <v>Public</v>
      </c>
      <c r="D54" s="3">
        <f>IFERROR(__xludf.DUMMYFUNCTION("""COMPUTED_VALUE"""),66.0)</f>
        <v>66</v>
      </c>
      <c r="E54" s="3" t="str">
        <f>IFERROR(__xludf.DUMMYFUNCTION("""COMPUTED_VALUE"""),"Y")</f>
        <v>Y</v>
      </c>
      <c r="F54" s="3" t="str">
        <f>IFERROR(__xludf.DUMMYFUNCTION("""COMPUTED_VALUE"""),"Y")</f>
        <v>Y</v>
      </c>
      <c r="G54" s="3" t="str">
        <f>IFERROR(__xludf.DUMMYFUNCTION("""COMPUTED_VALUE"""),"N")</f>
        <v>N</v>
      </c>
      <c r="H54" s="3" t="str">
        <f>IFERROR(__xludf.DUMMYFUNCTION("""COMPUTED_VALUE"""),"Y")</f>
        <v>Y</v>
      </c>
      <c r="I54" s="3" t="str">
        <f>IFERROR(__xludf.DUMMYFUNCTION("""COMPUTED_VALUE"""),"N")</f>
        <v>N</v>
      </c>
      <c r="J54" s="3" t="str">
        <f>IFERROR(__xludf.DUMMYFUNCTION("""COMPUTED_VALUE"""),"Y")</f>
        <v>Y</v>
      </c>
      <c r="K54" s="3" t="str">
        <f>IFERROR(__xludf.DUMMYFUNCTION("""COMPUTED_VALUE"""),"Y")</f>
        <v>Y</v>
      </c>
      <c r="L54" s="3" t="str">
        <f>IFERROR(__xludf.DUMMYFUNCTION("""COMPUTED_VALUE"""),"Y")</f>
        <v>Y</v>
      </c>
      <c r="M54" s="3" t="str">
        <f>IFERROR(__xludf.DUMMYFUNCTION("""COMPUTED_VALUE"""),"N")</f>
        <v>N</v>
      </c>
      <c r="N54" s="3" t="str">
        <f>IFERROR(__xludf.DUMMYFUNCTION("""COMPUTED_VALUE"""),"N")</f>
        <v>N</v>
      </c>
      <c r="O54" s="3" t="str">
        <f>IFERROR(__xludf.DUMMYFUNCTION("""COMPUTED_VALUE"""),"none")</f>
        <v>none</v>
      </c>
    </row>
    <row r="55">
      <c r="A55" s="2" t="str">
        <f>IFERROR(__xludf.DUMMYFUNCTION("""COMPUTED_VALUE"""),"1020")</f>
        <v>1020</v>
      </c>
      <c r="B55" s="2" t="str">
        <f>IFERROR(__xludf.DUMMYFUNCTION("""COMPUTED_VALUE"""),"CHEYENNE MOUNTAIN 12")</f>
        <v>CHEYENNE MOUNTAIN 12</v>
      </c>
      <c r="C55" s="2" t="str">
        <f>IFERROR(__xludf.DUMMYFUNCTION("""COMPUTED_VALUE"""),"Public")</f>
        <v>Public</v>
      </c>
      <c r="D55" s="3">
        <f>IFERROR(__xludf.DUMMYFUNCTION("""COMPUTED_VALUE"""),8.0)</f>
        <v>8</v>
      </c>
      <c r="E55" s="3" t="str">
        <f>IFERROR(__xludf.DUMMYFUNCTION("""COMPUTED_VALUE"""),"Y")</f>
        <v>Y</v>
      </c>
      <c r="F55" s="3" t="str">
        <f>IFERROR(__xludf.DUMMYFUNCTION("""COMPUTED_VALUE"""),"Y")</f>
        <v>Y</v>
      </c>
      <c r="G55" s="3" t="str">
        <f>IFERROR(__xludf.DUMMYFUNCTION("""COMPUTED_VALUE"""),"N")</f>
        <v>N</v>
      </c>
      <c r="H55" s="3" t="str">
        <f>IFERROR(__xludf.DUMMYFUNCTION("""COMPUTED_VALUE"""),"N")</f>
        <v>N</v>
      </c>
      <c r="I55" s="3" t="str">
        <f>IFERROR(__xludf.DUMMYFUNCTION("""COMPUTED_VALUE"""),"N")</f>
        <v>N</v>
      </c>
      <c r="J55" s="3" t="str">
        <f>IFERROR(__xludf.DUMMYFUNCTION("""COMPUTED_VALUE"""),"N")</f>
        <v>N</v>
      </c>
      <c r="K55" s="3" t="str">
        <f>IFERROR(__xludf.DUMMYFUNCTION("""COMPUTED_VALUE"""),"Y")</f>
        <v>Y</v>
      </c>
      <c r="L55" s="3" t="str">
        <f>IFERROR(__xludf.DUMMYFUNCTION("""COMPUTED_VALUE"""),"Y")</f>
        <v>Y</v>
      </c>
      <c r="M55" s="3" t="str">
        <f>IFERROR(__xludf.DUMMYFUNCTION("""COMPUTED_VALUE"""),"N")</f>
        <v>N</v>
      </c>
      <c r="N55" s="3" t="str">
        <f>IFERROR(__xludf.DUMMYFUNCTION("""COMPUTED_VALUE"""),"N")</f>
        <v>N</v>
      </c>
      <c r="O55" s="3" t="str">
        <f>IFERROR(__xludf.DUMMYFUNCTION("""COMPUTED_VALUE"""),"none")</f>
        <v>none</v>
      </c>
    </row>
    <row r="56">
      <c r="A56" s="2" t="str">
        <f>IFERROR(__xludf.DUMMYFUNCTION("""COMPUTED_VALUE"""),"1030")</f>
        <v>1030</v>
      </c>
      <c r="B56" s="2" t="str">
        <f>IFERROR(__xludf.DUMMYFUNCTION("""COMPUTED_VALUE"""),"MANITOU SPRINGS 14")</f>
        <v>MANITOU SPRINGS 14</v>
      </c>
      <c r="C56" s="2" t="str">
        <f>IFERROR(__xludf.DUMMYFUNCTION("""COMPUTED_VALUE"""),"Public")</f>
        <v>Public</v>
      </c>
      <c r="D56" s="3">
        <f>IFERROR(__xludf.DUMMYFUNCTION("""COMPUTED_VALUE"""),4.0)</f>
        <v>4</v>
      </c>
      <c r="E56" s="3" t="str">
        <f>IFERROR(__xludf.DUMMYFUNCTION("""COMPUTED_VALUE"""),"Y")</f>
        <v>Y</v>
      </c>
      <c r="F56" s="3" t="str">
        <f>IFERROR(__xludf.DUMMYFUNCTION("""COMPUTED_VALUE"""),"Y")</f>
        <v>Y</v>
      </c>
      <c r="G56" s="3" t="str">
        <f>IFERROR(__xludf.DUMMYFUNCTION("""COMPUTED_VALUE"""),"N")</f>
        <v>N</v>
      </c>
      <c r="H56" s="3" t="str">
        <f>IFERROR(__xludf.DUMMYFUNCTION("""COMPUTED_VALUE"""),"N")</f>
        <v>N</v>
      </c>
      <c r="I56" s="3" t="str">
        <f>IFERROR(__xludf.DUMMYFUNCTION("""COMPUTED_VALUE"""),"N")</f>
        <v>N</v>
      </c>
      <c r="J56" s="3" t="str">
        <f>IFERROR(__xludf.DUMMYFUNCTION("""COMPUTED_VALUE"""),"N")</f>
        <v>N</v>
      </c>
      <c r="K56" s="3" t="str">
        <f>IFERROR(__xludf.DUMMYFUNCTION("""COMPUTED_VALUE"""),"Y")</f>
        <v>Y</v>
      </c>
      <c r="L56" s="3" t="str">
        <f>IFERROR(__xludf.DUMMYFUNCTION("""COMPUTED_VALUE"""),"Districtwide")</f>
        <v>Districtwide</v>
      </c>
      <c r="M56" s="3" t="str">
        <f>IFERROR(__xludf.DUMMYFUNCTION("""COMPUTED_VALUE"""),"N")</f>
        <v>N</v>
      </c>
      <c r="N56" s="3" t="str">
        <f>IFERROR(__xludf.DUMMYFUNCTION("""COMPUTED_VALUE"""),"N")</f>
        <v>N</v>
      </c>
      <c r="O56" s="3" t="str">
        <f>IFERROR(__xludf.DUMMYFUNCTION("""COMPUTED_VALUE"""),"none")</f>
        <v>none</v>
      </c>
    </row>
    <row r="57">
      <c r="A57" s="2" t="str">
        <f>IFERROR(__xludf.DUMMYFUNCTION("""COMPUTED_VALUE"""),"1040")</f>
        <v>1040</v>
      </c>
      <c r="B57" s="2" t="str">
        <f>IFERROR(__xludf.DUMMYFUNCTION("""COMPUTED_VALUE"""),"ACADEMY 20")</f>
        <v>ACADEMY 20</v>
      </c>
      <c r="C57" s="2" t="str">
        <f>IFERROR(__xludf.DUMMYFUNCTION("""COMPUTED_VALUE"""),"Public")</f>
        <v>Public</v>
      </c>
      <c r="D57" s="3">
        <f>IFERROR(__xludf.DUMMYFUNCTION("""COMPUTED_VALUE"""),38.0)</f>
        <v>38</v>
      </c>
      <c r="E57" s="3" t="str">
        <f>IFERROR(__xludf.DUMMYFUNCTION("""COMPUTED_VALUE"""),"Y")</f>
        <v>Y</v>
      </c>
      <c r="F57" s="3" t="str">
        <f>IFERROR(__xludf.DUMMYFUNCTION("""COMPUTED_VALUE"""),"Y")</f>
        <v>Y</v>
      </c>
      <c r="G57" s="3" t="str">
        <f>IFERROR(__xludf.DUMMYFUNCTION("""COMPUTED_VALUE"""),"N")</f>
        <v>N</v>
      </c>
      <c r="H57" s="3" t="str">
        <f>IFERROR(__xludf.DUMMYFUNCTION("""COMPUTED_VALUE"""),"N")</f>
        <v>N</v>
      </c>
      <c r="I57" s="3" t="str">
        <f>IFERROR(__xludf.DUMMYFUNCTION("""COMPUTED_VALUE"""),"N")</f>
        <v>N</v>
      </c>
      <c r="J57" s="3" t="str">
        <f>IFERROR(__xludf.DUMMYFUNCTION("""COMPUTED_VALUE"""),"N")</f>
        <v>N</v>
      </c>
      <c r="K57" s="3" t="str">
        <f>IFERROR(__xludf.DUMMYFUNCTION("""COMPUTED_VALUE"""),"Y")</f>
        <v>Y</v>
      </c>
      <c r="L57" s="3" t="str">
        <f>IFERROR(__xludf.DUMMYFUNCTION("""COMPUTED_VALUE"""),"Y")</f>
        <v>Y</v>
      </c>
      <c r="M57" s="3" t="str">
        <f>IFERROR(__xludf.DUMMYFUNCTION("""COMPUTED_VALUE"""),"N")</f>
        <v>N</v>
      </c>
      <c r="N57" s="3" t="str">
        <f>IFERROR(__xludf.DUMMYFUNCTION("""COMPUTED_VALUE"""),"Y")</f>
        <v>Y</v>
      </c>
      <c r="O57" s="3" t="str">
        <f>IFERROR(__xludf.DUMMYFUNCTION("""COMPUTED_VALUE"""),"none")</f>
        <v>none</v>
      </c>
    </row>
    <row r="58">
      <c r="A58" s="2" t="str">
        <f>IFERROR(__xludf.DUMMYFUNCTION("""COMPUTED_VALUE"""),"1050")</f>
        <v>1050</v>
      </c>
      <c r="B58" s="2" t="str">
        <f>IFERROR(__xludf.DUMMYFUNCTION("""COMPUTED_VALUE"""),"ELLICOTT 22")</f>
        <v>ELLICOTT 22</v>
      </c>
      <c r="C58" s="2" t="str">
        <f>IFERROR(__xludf.DUMMYFUNCTION("""COMPUTED_VALUE"""),"Public")</f>
        <v>Public</v>
      </c>
      <c r="D58" s="3">
        <f>IFERROR(__xludf.DUMMYFUNCTION("""COMPUTED_VALUE"""),4.0)</f>
        <v>4</v>
      </c>
      <c r="E58" s="3" t="str">
        <f>IFERROR(__xludf.DUMMYFUNCTION("""COMPUTED_VALUE"""),"Y")</f>
        <v>Y</v>
      </c>
      <c r="F58" s="3" t="str">
        <f>IFERROR(__xludf.DUMMYFUNCTION("""COMPUTED_VALUE"""),"Y")</f>
        <v>Y</v>
      </c>
      <c r="G58" s="3" t="str">
        <f>IFERROR(__xludf.DUMMYFUNCTION("""COMPUTED_VALUE"""),"N")</f>
        <v>N</v>
      </c>
      <c r="H58" s="3" t="str">
        <f>IFERROR(__xludf.DUMMYFUNCTION("""COMPUTED_VALUE"""),"Y")</f>
        <v>Y</v>
      </c>
      <c r="I58" s="3" t="str">
        <f>IFERROR(__xludf.DUMMYFUNCTION("""COMPUTED_VALUE"""),"N")</f>
        <v>N</v>
      </c>
      <c r="J58" s="3" t="str">
        <f>IFERROR(__xludf.DUMMYFUNCTION("""COMPUTED_VALUE"""),"Y")</f>
        <v>Y</v>
      </c>
      <c r="K58" s="3" t="str">
        <f>IFERROR(__xludf.DUMMYFUNCTION("""COMPUTED_VALUE"""),"Y")</f>
        <v>Y</v>
      </c>
      <c r="L58" s="3" t="str">
        <f>IFERROR(__xludf.DUMMYFUNCTION("""COMPUTED_VALUE"""),"Y")</f>
        <v>Y</v>
      </c>
      <c r="M58" s="3" t="str">
        <f>IFERROR(__xludf.DUMMYFUNCTION("""COMPUTED_VALUE"""),"Provision 2")</f>
        <v>Provision 2</v>
      </c>
      <c r="N58" s="3" t="str">
        <f>IFERROR(__xludf.DUMMYFUNCTION("""COMPUTED_VALUE"""),"N")</f>
        <v>N</v>
      </c>
      <c r="O58" s="3" t="str">
        <f>IFERROR(__xludf.DUMMYFUNCTION("""COMPUTED_VALUE"""),"Small Rural")</f>
        <v>Small Rural</v>
      </c>
    </row>
    <row r="59">
      <c r="A59" s="2" t="str">
        <f>IFERROR(__xludf.DUMMYFUNCTION("""COMPUTED_VALUE"""),"1060")</f>
        <v>1060</v>
      </c>
      <c r="B59" s="2" t="str">
        <f>IFERROR(__xludf.DUMMYFUNCTION("""COMPUTED_VALUE"""),"PEYTON 23 JT")</f>
        <v>PEYTON 23 JT</v>
      </c>
      <c r="C59" s="2" t="str">
        <f>IFERROR(__xludf.DUMMYFUNCTION("""COMPUTED_VALUE"""),"Public")</f>
        <v>Public</v>
      </c>
      <c r="D59" s="3">
        <f>IFERROR(__xludf.DUMMYFUNCTION("""COMPUTED_VALUE"""),3.0)</f>
        <v>3</v>
      </c>
      <c r="E59" s="3" t="str">
        <f>IFERROR(__xludf.DUMMYFUNCTION("""COMPUTED_VALUE"""),"Y")</f>
        <v>Y</v>
      </c>
      <c r="F59" s="3" t="str">
        <f>IFERROR(__xludf.DUMMYFUNCTION("""COMPUTED_VALUE"""),"Y")</f>
        <v>Y</v>
      </c>
      <c r="G59" s="3" t="str">
        <f>IFERROR(__xludf.DUMMYFUNCTION("""COMPUTED_VALUE"""),"N")</f>
        <v>N</v>
      </c>
      <c r="H59" s="3" t="str">
        <f>IFERROR(__xludf.DUMMYFUNCTION("""COMPUTED_VALUE"""),"N")</f>
        <v>N</v>
      </c>
      <c r="I59" s="3" t="str">
        <f>IFERROR(__xludf.DUMMYFUNCTION("""COMPUTED_VALUE"""),"N")</f>
        <v>N</v>
      </c>
      <c r="J59" s="3" t="str">
        <f>IFERROR(__xludf.DUMMYFUNCTION("""COMPUTED_VALUE"""),"N")</f>
        <v>N</v>
      </c>
      <c r="K59" s="3" t="str">
        <f>IFERROR(__xludf.DUMMYFUNCTION("""COMPUTED_VALUE"""),"Y")</f>
        <v>Y</v>
      </c>
      <c r="L59" s="3" t="str">
        <f>IFERROR(__xludf.DUMMYFUNCTION("""COMPUTED_VALUE"""),"Districtwide")</f>
        <v>Districtwide</v>
      </c>
      <c r="M59" s="3" t="str">
        <f>IFERROR(__xludf.DUMMYFUNCTION("""COMPUTED_VALUE"""),"N")</f>
        <v>N</v>
      </c>
      <c r="N59" s="3" t="str">
        <f>IFERROR(__xludf.DUMMYFUNCTION("""COMPUTED_VALUE"""),"N")</f>
        <v>N</v>
      </c>
      <c r="O59" s="3" t="str">
        <f>IFERROR(__xludf.DUMMYFUNCTION("""COMPUTED_VALUE"""),"Small Rural")</f>
        <v>Small Rural</v>
      </c>
    </row>
    <row r="60">
      <c r="A60" s="2" t="str">
        <f>IFERROR(__xludf.DUMMYFUNCTION("""COMPUTED_VALUE"""),"1070")</f>
        <v>1070</v>
      </c>
      <c r="B60" s="2" t="str">
        <f>IFERROR(__xludf.DUMMYFUNCTION("""COMPUTED_VALUE"""),"Hanover School District 28")</f>
        <v>Hanover School District 28</v>
      </c>
      <c r="C60" s="2" t="str">
        <f>IFERROR(__xludf.DUMMYFUNCTION("""COMPUTED_VALUE"""),"Public")</f>
        <v>Public</v>
      </c>
      <c r="D60" s="3">
        <f>IFERROR(__xludf.DUMMYFUNCTION("""COMPUTED_VALUE"""),2.0)</f>
        <v>2</v>
      </c>
      <c r="E60" s="3" t="str">
        <f>IFERROR(__xludf.DUMMYFUNCTION("""COMPUTED_VALUE"""),"Y")</f>
        <v>Y</v>
      </c>
      <c r="F60" s="3" t="str">
        <f>IFERROR(__xludf.DUMMYFUNCTION("""COMPUTED_VALUE"""),"Y")</f>
        <v>Y</v>
      </c>
      <c r="G60" s="3" t="str">
        <f>IFERROR(__xludf.DUMMYFUNCTION("""COMPUTED_VALUE"""),"N")</f>
        <v>N</v>
      </c>
      <c r="H60" s="3" t="str">
        <f>IFERROR(__xludf.DUMMYFUNCTION("""COMPUTED_VALUE"""),"Y")</f>
        <v>Y</v>
      </c>
      <c r="I60" s="3" t="str">
        <f>IFERROR(__xludf.DUMMYFUNCTION("""COMPUTED_VALUE"""),"N")</f>
        <v>N</v>
      </c>
      <c r="J60" s="3" t="str">
        <f>IFERROR(__xludf.DUMMYFUNCTION("""COMPUTED_VALUE"""),"Y")</f>
        <v>Y</v>
      </c>
      <c r="K60" s="3" t="str">
        <f>IFERROR(__xludf.DUMMYFUNCTION("""COMPUTED_VALUE"""),"Y")</f>
        <v>Y</v>
      </c>
      <c r="L60" s="3" t="str">
        <f>IFERROR(__xludf.DUMMYFUNCTION("""COMPUTED_VALUE"""),"Districtwide")</f>
        <v>Districtwide</v>
      </c>
      <c r="M60" s="3" t="str">
        <f>IFERROR(__xludf.DUMMYFUNCTION("""COMPUTED_VALUE"""),"N")</f>
        <v>N</v>
      </c>
      <c r="N60" s="3" t="str">
        <f>IFERROR(__xludf.DUMMYFUNCTION("""COMPUTED_VALUE"""),"N")</f>
        <v>N</v>
      </c>
      <c r="O60" s="3" t="str">
        <f>IFERROR(__xludf.DUMMYFUNCTION("""COMPUTED_VALUE"""),"Small Rural")</f>
        <v>Small Rural</v>
      </c>
    </row>
    <row r="61">
      <c r="A61" s="2" t="str">
        <f>IFERROR(__xludf.DUMMYFUNCTION("""COMPUTED_VALUE"""),"1080")</f>
        <v>1080</v>
      </c>
      <c r="B61" s="2" t="str">
        <f>IFERROR(__xludf.DUMMYFUNCTION("""COMPUTED_VALUE"""),"LEWIS-PALMER 38")</f>
        <v>LEWIS-PALMER 38</v>
      </c>
      <c r="C61" s="2" t="str">
        <f>IFERROR(__xludf.DUMMYFUNCTION("""COMPUTED_VALUE"""),"Public")</f>
        <v>Public</v>
      </c>
      <c r="D61" s="3">
        <f>IFERROR(__xludf.DUMMYFUNCTION("""COMPUTED_VALUE"""),10.0)</f>
        <v>10</v>
      </c>
      <c r="E61" s="3" t="str">
        <f>IFERROR(__xludf.DUMMYFUNCTION("""COMPUTED_VALUE"""),"Y")</f>
        <v>Y</v>
      </c>
      <c r="F61" s="3" t="str">
        <f>IFERROR(__xludf.DUMMYFUNCTION("""COMPUTED_VALUE"""),"Y")</f>
        <v>Y</v>
      </c>
      <c r="G61" s="3" t="str">
        <f>IFERROR(__xludf.DUMMYFUNCTION("""COMPUTED_VALUE"""),"Y")</f>
        <v>Y</v>
      </c>
      <c r="H61" s="3" t="str">
        <f>IFERROR(__xludf.DUMMYFUNCTION("""COMPUTED_VALUE"""),"N")</f>
        <v>N</v>
      </c>
      <c r="I61" s="3" t="str">
        <f>IFERROR(__xludf.DUMMYFUNCTION("""COMPUTED_VALUE"""),"N")</f>
        <v>N</v>
      </c>
      <c r="J61" s="3" t="str">
        <f>IFERROR(__xludf.DUMMYFUNCTION("""COMPUTED_VALUE"""),"N")</f>
        <v>N</v>
      </c>
      <c r="K61" s="3" t="str">
        <f>IFERROR(__xludf.DUMMYFUNCTION("""COMPUTED_VALUE"""),"Y")</f>
        <v>Y</v>
      </c>
      <c r="L61" s="3" t="str">
        <f>IFERROR(__xludf.DUMMYFUNCTION("""COMPUTED_VALUE"""),"N")</f>
        <v>N</v>
      </c>
      <c r="M61" s="3" t="str">
        <f>IFERROR(__xludf.DUMMYFUNCTION("""COMPUTED_VALUE"""),"N")</f>
        <v>N</v>
      </c>
      <c r="N61" s="3" t="str">
        <f>IFERROR(__xludf.DUMMYFUNCTION("""COMPUTED_VALUE"""),"N")</f>
        <v>N</v>
      </c>
      <c r="O61" s="3" t="str">
        <f>IFERROR(__xludf.DUMMYFUNCTION("""COMPUTED_VALUE"""),"none")</f>
        <v>none</v>
      </c>
    </row>
    <row r="62">
      <c r="A62" s="2" t="str">
        <f>IFERROR(__xludf.DUMMYFUNCTION("""COMPUTED_VALUE"""),"1110")</f>
        <v>1110</v>
      </c>
      <c r="B62" s="2" t="str">
        <f>IFERROR(__xludf.DUMMYFUNCTION("""COMPUTED_VALUE"""),"DISTRICT 49")</f>
        <v>DISTRICT 49</v>
      </c>
      <c r="C62" s="2" t="str">
        <f>IFERROR(__xludf.DUMMYFUNCTION("""COMPUTED_VALUE"""),"Public")</f>
        <v>Public</v>
      </c>
      <c r="D62" s="3">
        <f>IFERROR(__xludf.DUMMYFUNCTION("""COMPUTED_VALUE"""),25.0)</f>
        <v>25</v>
      </c>
      <c r="E62" s="3" t="str">
        <f>IFERROR(__xludf.DUMMYFUNCTION("""COMPUTED_VALUE"""),"Y")</f>
        <v>Y</v>
      </c>
      <c r="F62" s="3" t="str">
        <f>IFERROR(__xludf.DUMMYFUNCTION("""COMPUTED_VALUE"""),"Y")</f>
        <v>Y</v>
      </c>
      <c r="G62" s="3" t="str">
        <f>IFERROR(__xludf.DUMMYFUNCTION("""COMPUTED_VALUE"""),"N")</f>
        <v>N</v>
      </c>
      <c r="H62" s="3" t="str">
        <f>IFERROR(__xludf.DUMMYFUNCTION("""COMPUTED_VALUE"""),"N")</f>
        <v>N</v>
      </c>
      <c r="I62" s="3" t="str">
        <f>IFERROR(__xludf.DUMMYFUNCTION("""COMPUTED_VALUE"""),"N")</f>
        <v>N</v>
      </c>
      <c r="J62" s="3" t="str">
        <f>IFERROR(__xludf.DUMMYFUNCTION("""COMPUTED_VALUE"""),"Y")</f>
        <v>Y</v>
      </c>
      <c r="K62" s="3" t="str">
        <f>IFERROR(__xludf.DUMMYFUNCTION("""COMPUTED_VALUE"""),"Y")</f>
        <v>Y</v>
      </c>
      <c r="L62" s="3" t="str">
        <f>IFERROR(__xludf.DUMMYFUNCTION("""COMPUTED_VALUE"""),"Y")</f>
        <v>Y</v>
      </c>
      <c r="M62" s="3" t="str">
        <f>IFERROR(__xludf.DUMMYFUNCTION("""COMPUTED_VALUE"""),"N")</f>
        <v>N</v>
      </c>
      <c r="N62" s="3" t="str">
        <f>IFERROR(__xludf.DUMMYFUNCTION("""COMPUTED_VALUE"""),"N")</f>
        <v>N</v>
      </c>
      <c r="O62" s="3" t="str">
        <f>IFERROR(__xludf.DUMMYFUNCTION("""COMPUTED_VALUE"""),"none")</f>
        <v>none</v>
      </c>
    </row>
    <row r="63">
      <c r="A63" s="2" t="str">
        <f>IFERROR(__xludf.DUMMYFUNCTION("""COMPUTED_VALUE"""),"1120")</f>
        <v>1120</v>
      </c>
      <c r="B63" s="2" t="str">
        <f>IFERROR(__xludf.DUMMYFUNCTION("""COMPUTED_VALUE"""),"EDISON 54 JT")</f>
        <v>EDISON 54 JT</v>
      </c>
      <c r="C63" s="2" t="str">
        <f>IFERROR(__xludf.DUMMYFUNCTION("""COMPUTED_VALUE"""),"Public")</f>
        <v>Public</v>
      </c>
      <c r="D63" s="3">
        <f>IFERROR(__xludf.DUMMYFUNCTION("""COMPUTED_VALUE"""),2.0)</f>
        <v>2</v>
      </c>
      <c r="E63" s="3" t="str">
        <f>IFERROR(__xludf.DUMMYFUNCTION("""COMPUTED_VALUE"""),"Y")</f>
        <v>Y</v>
      </c>
      <c r="F63" s="3" t="str">
        <f>IFERROR(__xludf.DUMMYFUNCTION("""COMPUTED_VALUE"""),"Y")</f>
        <v>Y</v>
      </c>
      <c r="G63" s="3" t="str">
        <f>IFERROR(__xludf.DUMMYFUNCTION("""COMPUTED_VALUE"""),"N")</f>
        <v>N</v>
      </c>
      <c r="H63" s="3" t="str">
        <f>IFERROR(__xludf.DUMMYFUNCTION("""COMPUTED_VALUE"""),"N")</f>
        <v>N</v>
      </c>
      <c r="I63" s="3" t="str">
        <f>IFERROR(__xludf.DUMMYFUNCTION("""COMPUTED_VALUE"""),"N")</f>
        <v>N</v>
      </c>
      <c r="J63" s="3" t="str">
        <f>IFERROR(__xludf.DUMMYFUNCTION("""COMPUTED_VALUE"""),"N")</f>
        <v>N</v>
      </c>
      <c r="K63" s="3" t="str">
        <f>IFERROR(__xludf.DUMMYFUNCTION("""COMPUTED_VALUE"""),"Y")</f>
        <v>Y</v>
      </c>
      <c r="L63" s="3" t="str">
        <f>IFERROR(__xludf.DUMMYFUNCTION("""COMPUTED_VALUE"""),"Districtwide")</f>
        <v>Districtwide</v>
      </c>
      <c r="M63" s="3" t="str">
        <f>IFERROR(__xludf.DUMMYFUNCTION("""COMPUTED_VALUE"""),"N")</f>
        <v>N</v>
      </c>
      <c r="N63" s="3" t="str">
        <f>IFERROR(__xludf.DUMMYFUNCTION("""COMPUTED_VALUE"""),"N")</f>
        <v>N</v>
      </c>
      <c r="O63" s="3" t="str">
        <f>IFERROR(__xludf.DUMMYFUNCTION("""COMPUTED_VALUE"""),"Small Rural")</f>
        <v>Small Rural</v>
      </c>
    </row>
    <row r="64">
      <c r="A64" s="2" t="str">
        <f>IFERROR(__xludf.DUMMYFUNCTION("""COMPUTED_VALUE"""),"1130")</f>
        <v>1130</v>
      </c>
      <c r="B64" s="2" t="str">
        <f>IFERROR(__xludf.DUMMYFUNCTION("""COMPUTED_VALUE"""),"MIAMI/YODER 60 JT")</f>
        <v>MIAMI/YODER 60 JT</v>
      </c>
      <c r="C64" s="2" t="str">
        <f>IFERROR(__xludf.DUMMYFUNCTION("""COMPUTED_VALUE"""),"Public")</f>
        <v>Public</v>
      </c>
      <c r="D64" s="3">
        <f>IFERROR(__xludf.DUMMYFUNCTION("""COMPUTED_VALUE"""),2.0)</f>
        <v>2</v>
      </c>
      <c r="E64" s="3" t="str">
        <f>IFERROR(__xludf.DUMMYFUNCTION("""COMPUTED_VALUE"""),"Y")</f>
        <v>Y</v>
      </c>
      <c r="F64" s="3" t="str">
        <f>IFERROR(__xludf.DUMMYFUNCTION("""COMPUTED_VALUE"""),"Y")</f>
        <v>Y</v>
      </c>
      <c r="G64" s="3" t="str">
        <f>IFERROR(__xludf.DUMMYFUNCTION("""COMPUTED_VALUE"""),"N")</f>
        <v>N</v>
      </c>
      <c r="H64" s="3" t="str">
        <f>IFERROR(__xludf.DUMMYFUNCTION("""COMPUTED_VALUE"""),"N")</f>
        <v>N</v>
      </c>
      <c r="I64" s="3" t="str">
        <f>IFERROR(__xludf.DUMMYFUNCTION("""COMPUTED_VALUE"""),"Y")</f>
        <v>Y</v>
      </c>
      <c r="J64" s="3" t="str">
        <f>IFERROR(__xludf.DUMMYFUNCTION("""COMPUTED_VALUE"""),"N")</f>
        <v>N</v>
      </c>
      <c r="K64" s="3" t="str">
        <f>IFERROR(__xludf.DUMMYFUNCTION("""COMPUTED_VALUE"""),"Y")</f>
        <v>Y</v>
      </c>
      <c r="L64" s="3" t="str">
        <f>IFERROR(__xludf.DUMMYFUNCTION("""COMPUTED_VALUE"""),"Districtwide")</f>
        <v>Districtwide</v>
      </c>
      <c r="M64" s="3" t="str">
        <f>IFERROR(__xludf.DUMMYFUNCTION("""COMPUTED_VALUE"""),"N")</f>
        <v>N</v>
      </c>
      <c r="N64" s="3" t="str">
        <f>IFERROR(__xludf.DUMMYFUNCTION("""COMPUTED_VALUE"""),"N")</f>
        <v>N</v>
      </c>
      <c r="O64" s="3" t="str">
        <f>IFERROR(__xludf.DUMMYFUNCTION("""COMPUTED_VALUE"""),"Small Rural")</f>
        <v>Small Rural</v>
      </c>
    </row>
    <row r="65">
      <c r="A65" s="2" t="str">
        <f>IFERROR(__xludf.DUMMYFUNCTION("""COMPUTED_VALUE"""),"1140")</f>
        <v>1140</v>
      </c>
      <c r="B65" s="2" t="str">
        <f>IFERROR(__xludf.DUMMYFUNCTION("""COMPUTED_VALUE"""),"CANON CITY RE-1")</f>
        <v>CANON CITY RE-1</v>
      </c>
      <c r="C65" s="2" t="str">
        <f>IFERROR(__xludf.DUMMYFUNCTION("""COMPUTED_VALUE"""),"Public")</f>
        <v>Public</v>
      </c>
      <c r="D65" s="3">
        <f>IFERROR(__xludf.DUMMYFUNCTION("""COMPUTED_VALUE"""),8.0)</f>
        <v>8</v>
      </c>
      <c r="E65" s="3" t="str">
        <f>IFERROR(__xludf.DUMMYFUNCTION("""COMPUTED_VALUE"""),"Y")</f>
        <v>Y</v>
      </c>
      <c r="F65" s="3" t="str">
        <f>IFERROR(__xludf.DUMMYFUNCTION("""COMPUTED_VALUE"""),"Y")</f>
        <v>Y</v>
      </c>
      <c r="G65" s="3" t="str">
        <f>IFERROR(__xludf.DUMMYFUNCTION("""COMPUTED_VALUE"""),"N")</f>
        <v>N</v>
      </c>
      <c r="H65" s="3" t="str">
        <f>IFERROR(__xludf.DUMMYFUNCTION("""COMPUTED_VALUE"""),"N")</f>
        <v>N</v>
      </c>
      <c r="I65" s="3" t="str">
        <f>IFERROR(__xludf.DUMMYFUNCTION("""COMPUTED_VALUE"""),"N")</f>
        <v>N</v>
      </c>
      <c r="J65" s="3" t="str">
        <f>IFERROR(__xludf.DUMMYFUNCTION("""COMPUTED_VALUE"""),"Y")</f>
        <v>Y</v>
      </c>
      <c r="K65" s="3" t="str">
        <f>IFERROR(__xludf.DUMMYFUNCTION("""COMPUTED_VALUE"""),"Y")</f>
        <v>Y</v>
      </c>
      <c r="L65" s="3" t="str">
        <f>IFERROR(__xludf.DUMMYFUNCTION("""COMPUTED_VALUE"""),"Y")</f>
        <v>Y</v>
      </c>
      <c r="M65" s="3" t="str">
        <f>IFERROR(__xludf.DUMMYFUNCTION("""COMPUTED_VALUE"""),"N")</f>
        <v>N</v>
      </c>
      <c r="N65" s="3" t="str">
        <f>IFERROR(__xludf.DUMMYFUNCTION("""COMPUTED_VALUE"""),"N")</f>
        <v>N</v>
      </c>
      <c r="O65" s="3" t="str">
        <f>IFERROR(__xludf.DUMMYFUNCTION("""COMPUTED_VALUE"""),"Rural")</f>
        <v>Rural</v>
      </c>
    </row>
    <row r="66">
      <c r="A66" s="2" t="str">
        <f>IFERROR(__xludf.DUMMYFUNCTION("""COMPUTED_VALUE"""),"1150")</f>
        <v>1150</v>
      </c>
      <c r="B66" s="2" t="str">
        <f>IFERROR(__xludf.DUMMYFUNCTION("""COMPUTED_VALUE"""),"FREMONT RE-2")</f>
        <v>FREMONT RE-2</v>
      </c>
      <c r="C66" s="2" t="str">
        <f>IFERROR(__xludf.DUMMYFUNCTION("""COMPUTED_VALUE"""),"Public")</f>
        <v>Public</v>
      </c>
      <c r="D66" s="3">
        <f>IFERROR(__xludf.DUMMYFUNCTION("""COMPUTED_VALUE"""),3.0)</f>
        <v>3</v>
      </c>
      <c r="E66" s="3" t="str">
        <f>IFERROR(__xludf.DUMMYFUNCTION("""COMPUTED_VALUE"""),"Y")</f>
        <v>Y</v>
      </c>
      <c r="F66" s="3" t="str">
        <f>IFERROR(__xludf.DUMMYFUNCTION("""COMPUTED_VALUE"""),"Y")</f>
        <v>Y</v>
      </c>
      <c r="G66" s="3" t="str">
        <f>IFERROR(__xludf.DUMMYFUNCTION("""COMPUTED_VALUE"""),"N")</f>
        <v>N</v>
      </c>
      <c r="H66" s="3" t="str">
        <f>IFERROR(__xludf.DUMMYFUNCTION("""COMPUTED_VALUE"""),"Y")</f>
        <v>Y</v>
      </c>
      <c r="I66" s="3" t="str">
        <f>IFERROR(__xludf.DUMMYFUNCTION("""COMPUTED_VALUE"""),"N")</f>
        <v>N</v>
      </c>
      <c r="J66" s="3" t="str">
        <f>IFERROR(__xludf.DUMMYFUNCTION("""COMPUTED_VALUE"""),"N")</f>
        <v>N</v>
      </c>
      <c r="K66" s="3" t="str">
        <f>IFERROR(__xludf.DUMMYFUNCTION("""COMPUTED_VALUE"""),"Y")</f>
        <v>Y</v>
      </c>
      <c r="L66" s="3" t="str">
        <f>IFERROR(__xludf.DUMMYFUNCTION("""COMPUTED_VALUE"""),"Districtwide")</f>
        <v>Districtwide</v>
      </c>
      <c r="M66" s="3" t="str">
        <f>IFERROR(__xludf.DUMMYFUNCTION("""COMPUTED_VALUE"""),"N")</f>
        <v>N</v>
      </c>
      <c r="N66" s="3" t="str">
        <f>IFERROR(__xludf.DUMMYFUNCTION("""COMPUTED_VALUE"""),"N")</f>
        <v>N</v>
      </c>
      <c r="O66" s="3" t="str">
        <f>IFERROR(__xludf.DUMMYFUNCTION("""COMPUTED_VALUE"""),"Rural")</f>
        <v>Rural</v>
      </c>
    </row>
    <row r="67">
      <c r="A67" s="2" t="str">
        <f>IFERROR(__xludf.DUMMYFUNCTION("""COMPUTED_VALUE"""),"1160")</f>
        <v>1160</v>
      </c>
      <c r="B67" s="2" t="str">
        <f>IFERROR(__xludf.DUMMYFUNCTION("""COMPUTED_VALUE"""),"COTOPAXI RE-3")</f>
        <v>COTOPAXI RE-3</v>
      </c>
      <c r="C67" s="2" t="str">
        <f>IFERROR(__xludf.DUMMYFUNCTION("""COMPUTED_VALUE"""),"Public")</f>
        <v>Public</v>
      </c>
      <c r="D67" s="3">
        <f>IFERROR(__xludf.DUMMYFUNCTION("""COMPUTED_VALUE"""),3.0)</f>
        <v>3</v>
      </c>
      <c r="E67" s="3" t="str">
        <f>IFERROR(__xludf.DUMMYFUNCTION("""COMPUTED_VALUE"""),"Y")</f>
        <v>Y</v>
      </c>
      <c r="F67" s="3" t="str">
        <f>IFERROR(__xludf.DUMMYFUNCTION("""COMPUTED_VALUE"""),"Y")</f>
        <v>Y</v>
      </c>
      <c r="G67" s="3" t="str">
        <f>IFERROR(__xludf.DUMMYFUNCTION("""COMPUTED_VALUE"""),"N")</f>
        <v>N</v>
      </c>
      <c r="H67" s="3" t="str">
        <f>IFERROR(__xludf.DUMMYFUNCTION("""COMPUTED_VALUE"""),"Y")</f>
        <v>Y</v>
      </c>
      <c r="I67" s="3" t="str">
        <f>IFERROR(__xludf.DUMMYFUNCTION("""COMPUTED_VALUE"""),"N")</f>
        <v>N</v>
      </c>
      <c r="J67" s="3" t="str">
        <f>IFERROR(__xludf.DUMMYFUNCTION("""COMPUTED_VALUE"""),"N")</f>
        <v>N</v>
      </c>
      <c r="K67" s="3" t="str">
        <f>IFERROR(__xludf.DUMMYFUNCTION("""COMPUTED_VALUE"""),"Y")</f>
        <v>Y</v>
      </c>
      <c r="L67" s="3" t="str">
        <f>IFERROR(__xludf.DUMMYFUNCTION("""COMPUTED_VALUE"""),"Districtwide")</f>
        <v>Districtwide</v>
      </c>
      <c r="M67" s="3" t="str">
        <f>IFERROR(__xludf.DUMMYFUNCTION("""COMPUTED_VALUE"""),"N")</f>
        <v>N</v>
      </c>
      <c r="N67" s="3" t="str">
        <f>IFERROR(__xludf.DUMMYFUNCTION("""COMPUTED_VALUE"""),"N")</f>
        <v>N</v>
      </c>
      <c r="O67" s="3" t="str">
        <f>IFERROR(__xludf.DUMMYFUNCTION("""COMPUTED_VALUE"""),"Small Rural")</f>
        <v>Small Rural</v>
      </c>
    </row>
    <row r="68">
      <c r="A68" s="2" t="str">
        <f>IFERROR(__xludf.DUMMYFUNCTION("""COMPUTED_VALUE"""),"1180")</f>
        <v>1180</v>
      </c>
      <c r="B68" s="2" t="str">
        <f>IFERROR(__xludf.DUMMYFUNCTION("""COMPUTED_VALUE"""),"ROARING FORK RE-1")</f>
        <v>ROARING FORK RE-1</v>
      </c>
      <c r="C68" s="2" t="str">
        <f>IFERROR(__xludf.DUMMYFUNCTION("""COMPUTED_VALUE"""),"Public")</f>
        <v>Public</v>
      </c>
      <c r="D68" s="3">
        <f>IFERROR(__xludf.DUMMYFUNCTION("""COMPUTED_VALUE"""),15.0)</f>
        <v>15</v>
      </c>
      <c r="E68" s="3" t="str">
        <f>IFERROR(__xludf.DUMMYFUNCTION("""COMPUTED_VALUE"""),"Y")</f>
        <v>Y</v>
      </c>
      <c r="F68" s="3" t="str">
        <f>IFERROR(__xludf.DUMMYFUNCTION("""COMPUTED_VALUE"""),"Y")</f>
        <v>Y</v>
      </c>
      <c r="G68" s="3" t="str">
        <f>IFERROR(__xludf.DUMMYFUNCTION("""COMPUTED_VALUE"""),"N")</f>
        <v>N</v>
      </c>
      <c r="H68" s="3" t="str">
        <f>IFERROR(__xludf.DUMMYFUNCTION("""COMPUTED_VALUE"""),"N")</f>
        <v>N</v>
      </c>
      <c r="I68" s="3" t="str">
        <f>IFERROR(__xludf.DUMMYFUNCTION("""COMPUTED_VALUE"""),"N")</f>
        <v>N</v>
      </c>
      <c r="J68" s="3" t="str">
        <f>IFERROR(__xludf.DUMMYFUNCTION("""COMPUTED_VALUE"""),"Y")</f>
        <v>Y</v>
      </c>
      <c r="K68" s="3" t="str">
        <f>IFERROR(__xludf.DUMMYFUNCTION("""COMPUTED_VALUE"""),"Y")</f>
        <v>Y</v>
      </c>
      <c r="L68" s="3" t="str">
        <f>IFERROR(__xludf.DUMMYFUNCTION("""COMPUTED_VALUE"""),"N")</f>
        <v>N</v>
      </c>
      <c r="M68" s="3" t="str">
        <f>IFERROR(__xludf.DUMMYFUNCTION("""COMPUTED_VALUE"""),"N")</f>
        <v>N</v>
      </c>
      <c r="N68" s="3" t="str">
        <f>IFERROR(__xludf.DUMMYFUNCTION("""COMPUTED_VALUE"""),"N")</f>
        <v>N</v>
      </c>
      <c r="O68" s="3" t="str">
        <f>IFERROR(__xludf.DUMMYFUNCTION("""COMPUTED_VALUE"""),"Rural")</f>
        <v>Rural</v>
      </c>
    </row>
    <row r="69">
      <c r="A69" s="2" t="str">
        <f>IFERROR(__xludf.DUMMYFUNCTION("""COMPUTED_VALUE"""),"1195")</f>
        <v>1195</v>
      </c>
      <c r="B69" s="2" t="str">
        <f>IFERROR(__xludf.DUMMYFUNCTION("""COMPUTED_VALUE"""),"GARFIELD RE-2")</f>
        <v>GARFIELD RE-2</v>
      </c>
      <c r="C69" s="2" t="str">
        <f>IFERROR(__xludf.DUMMYFUNCTION("""COMPUTED_VALUE"""),"Public")</f>
        <v>Public</v>
      </c>
      <c r="D69" s="3">
        <f>IFERROR(__xludf.DUMMYFUNCTION("""COMPUTED_VALUE"""),10.0)</f>
        <v>10</v>
      </c>
      <c r="E69" s="3" t="str">
        <f>IFERROR(__xludf.DUMMYFUNCTION("""COMPUTED_VALUE"""),"Y")</f>
        <v>Y</v>
      </c>
      <c r="F69" s="3" t="str">
        <f>IFERROR(__xludf.DUMMYFUNCTION("""COMPUTED_VALUE"""),"Y")</f>
        <v>Y</v>
      </c>
      <c r="G69" s="3" t="str">
        <f>IFERROR(__xludf.DUMMYFUNCTION("""COMPUTED_VALUE"""),"N")</f>
        <v>N</v>
      </c>
      <c r="H69" s="3" t="str">
        <f>IFERROR(__xludf.DUMMYFUNCTION("""COMPUTED_VALUE"""),"N")</f>
        <v>N</v>
      </c>
      <c r="I69" s="3" t="str">
        <f>IFERROR(__xludf.DUMMYFUNCTION("""COMPUTED_VALUE"""),"N")</f>
        <v>N</v>
      </c>
      <c r="J69" s="3" t="str">
        <f>IFERROR(__xludf.DUMMYFUNCTION("""COMPUTED_VALUE"""),"Y")</f>
        <v>Y</v>
      </c>
      <c r="K69" s="3" t="str">
        <f>IFERROR(__xludf.DUMMYFUNCTION("""COMPUTED_VALUE"""),"Y")</f>
        <v>Y</v>
      </c>
      <c r="L69" s="3" t="str">
        <f>IFERROR(__xludf.DUMMYFUNCTION("""COMPUTED_VALUE"""),"Districtwide")</f>
        <v>Districtwide</v>
      </c>
      <c r="M69" s="3" t="str">
        <f>IFERROR(__xludf.DUMMYFUNCTION("""COMPUTED_VALUE"""),"N")</f>
        <v>N</v>
      </c>
      <c r="N69" s="3" t="str">
        <f>IFERROR(__xludf.DUMMYFUNCTION("""COMPUTED_VALUE"""),"N")</f>
        <v>N</v>
      </c>
      <c r="O69" s="3" t="str">
        <f>IFERROR(__xludf.DUMMYFUNCTION("""COMPUTED_VALUE"""),"Rural")</f>
        <v>Rural</v>
      </c>
    </row>
    <row r="70">
      <c r="A70" s="2" t="str">
        <f>IFERROR(__xludf.DUMMYFUNCTION("""COMPUTED_VALUE"""),"1220")</f>
        <v>1220</v>
      </c>
      <c r="B70" s="2" t="str">
        <f>IFERROR(__xludf.DUMMYFUNCTION("""COMPUTED_VALUE"""),"GARFIELD 16")</f>
        <v>GARFIELD 16</v>
      </c>
      <c r="C70" s="2" t="str">
        <f>IFERROR(__xludf.DUMMYFUNCTION("""COMPUTED_VALUE"""),"Public")</f>
        <v>Public</v>
      </c>
      <c r="D70" s="3">
        <f>IFERROR(__xludf.DUMMYFUNCTION("""COMPUTED_VALUE"""),4.0)</f>
        <v>4</v>
      </c>
      <c r="E70" s="3" t="str">
        <f>IFERROR(__xludf.DUMMYFUNCTION("""COMPUTED_VALUE"""),"Y")</f>
        <v>Y</v>
      </c>
      <c r="F70" s="3" t="str">
        <f>IFERROR(__xludf.DUMMYFUNCTION("""COMPUTED_VALUE"""),"Y")</f>
        <v>Y</v>
      </c>
      <c r="G70" s="3" t="str">
        <f>IFERROR(__xludf.DUMMYFUNCTION("""COMPUTED_VALUE"""),"N")</f>
        <v>N</v>
      </c>
      <c r="H70" s="3" t="str">
        <f>IFERROR(__xludf.DUMMYFUNCTION("""COMPUTED_VALUE"""),"Y")</f>
        <v>Y</v>
      </c>
      <c r="I70" s="3" t="str">
        <f>IFERROR(__xludf.DUMMYFUNCTION("""COMPUTED_VALUE"""),"N")</f>
        <v>N</v>
      </c>
      <c r="J70" s="3" t="str">
        <f>IFERROR(__xludf.DUMMYFUNCTION("""COMPUTED_VALUE"""),"Y")</f>
        <v>Y</v>
      </c>
      <c r="K70" s="3" t="str">
        <f>IFERROR(__xludf.DUMMYFUNCTION("""COMPUTED_VALUE"""),"Y")</f>
        <v>Y</v>
      </c>
      <c r="L70" s="3" t="str">
        <f>IFERROR(__xludf.DUMMYFUNCTION("""COMPUTED_VALUE"""),"Districtwide")</f>
        <v>Districtwide</v>
      </c>
      <c r="M70" s="3" t="str">
        <f>IFERROR(__xludf.DUMMYFUNCTION("""COMPUTED_VALUE"""),"N")</f>
        <v>N</v>
      </c>
      <c r="N70" s="3" t="str">
        <f>IFERROR(__xludf.DUMMYFUNCTION("""COMPUTED_VALUE"""),"N")</f>
        <v>N</v>
      </c>
      <c r="O70" s="3" t="str">
        <f>IFERROR(__xludf.DUMMYFUNCTION("""COMPUTED_VALUE"""),"Rural")</f>
        <v>Rural</v>
      </c>
    </row>
    <row r="71">
      <c r="A71" s="2" t="str">
        <f>IFERROR(__xludf.DUMMYFUNCTION("""COMPUTED_VALUE"""),"1325")</f>
        <v>1325</v>
      </c>
      <c r="B71" s="2" t="str">
        <f>IFERROR(__xludf.DUMMYFUNCTION("""COMPUTED_VALUE"""),"ANNUNCIATION CATHOLIC SCHOOL")</f>
        <v>ANNUNCIATION CATHOLIC SCHOOL</v>
      </c>
      <c r="C71" s="2" t="str">
        <f>IFERROR(__xludf.DUMMYFUNCTION("""COMPUTED_VALUE"""),"Private")</f>
        <v>Private</v>
      </c>
      <c r="D71" s="3">
        <f>IFERROR(__xludf.DUMMYFUNCTION("""COMPUTED_VALUE"""),1.0)</f>
        <v>1</v>
      </c>
      <c r="E71" s="3" t="str">
        <f>IFERROR(__xludf.DUMMYFUNCTION("""COMPUTED_VALUE"""),"Y")</f>
        <v>Y</v>
      </c>
      <c r="F71" s="3" t="str">
        <f>IFERROR(__xludf.DUMMYFUNCTION("""COMPUTED_VALUE"""),"Y")</f>
        <v>Y</v>
      </c>
      <c r="G71" s="3" t="str">
        <f>IFERROR(__xludf.DUMMYFUNCTION("""COMPUTED_VALUE"""),"N")</f>
        <v>N</v>
      </c>
      <c r="H71" s="3" t="str">
        <f>IFERROR(__xludf.DUMMYFUNCTION("""COMPUTED_VALUE"""),"Y")</f>
        <v>Y</v>
      </c>
      <c r="I71" s="3" t="str">
        <f>IFERROR(__xludf.DUMMYFUNCTION("""COMPUTED_VALUE"""),"N")</f>
        <v>N</v>
      </c>
      <c r="J71" s="3" t="str">
        <f>IFERROR(__xludf.DUMMYFUNCTION("""COMPUTED_VALUE"""),"N")</f>
        <v>N</v>
      </c>
      <c r="K71" s="3" t="str">
        <f>IFERROR(__xludf.DUMMYFUNCTION("""COMPUTED_VALUE"""),"Not eligibile")</f>
        <v>Not eligibile</v>
      </c>
      <c r="L71" s="3" t="str">
        <f>IFERROR(__xludf.DUMMYFUNCTION("""COMPUTED_VALUE"""),"Districtwide")</f>
        <v>Districtwide</v>
      </c>
      <c r="M71" s="3" t="str">
        <f>IFERROR(__xludf.DUMMYFUNCTION("""COMPUTED_VALUE"""),"N")</f>
        <v>N</v>
      </c>
      <c r="N71" s="3" t="str">
        <f>IFERROR(__xludf.DUMMYFUNCTION("""COMPUTED_VALUE"""),"N")</f>
        <v>N</v>
      </c>
      <c r="O71" s="3" t="str">
        <f>IFERROR(__xludf.DUMMYFUNCTION("""COMPUTED_VALUE"""),"none")</f>
        <v>none</v>
      </c>
    </row>
    <row r="72">
      <c r="A72" s="2" t="str">
        <f>IFERROR(__xludf.DUMMYFUNCTION("""COMPUTED_VALUE"""),"1330")</f>
        <v>1330</v>
      </c>
      <c r="B72" s="2" t="str">
        <f>IFERROR(__xludf.DUMMYFUNCTION("""COMPUTED_VALUE"""),"GILPIN COUNTY RE-1")</f>
        <v>GILPIN COUNTY RE-1</v>
      </c>
      <c r="C72" s="2" t="str">
        <f>IFERROR(__xludf.DUMMYFUNCTION("""COMPUTED_VALUE"""),"Public")</f>
        <v>Public</v>
      </c>
      <c r="D72" s="3">
        <f>IFERROR(__xludf.DUMMYFUNCTION("""COMPUTED_VALUE"""),2.0)</f>
        <v>2</v>
      </c>
      <c r="E72" s="3" t="str">
        <f>IFERROR(__xludf.DUMMYFUNCTION("""COMPUTED_VALUE"""),"Y")</f>
        <v>Y</v>
      </c>
      <c r="F72" s="3" t="str">
        <f>IFERROR(__xludf.DUMMYFUNCTION("""COMPUTED_VALUE"""),"Y")</f>
        <v>Y</v>
      </c>
      <c r="G72" s="3" t="str">
        <f>IFERROR(__xludf.DUMMYFUNCTION("""COMPUTED_VALUE"""),"N")</f>
        <v>N</v>
      </c>
      <c r="H72" s="3" t="str">
        <f>IFERROR(__xludf.DUMMYFUNCTION("""COMPUTED_VALUE"""),"N")</f>
        <v>N</v>
      </c>
      <c r="I72" s="3" t="str">
        <f>IFERROR(__xludf.DUMMYFUNCTION("""COMPUTED_VALUE"""),"N")</f>
        <v>N</v>
      </c>
      <c r="J72" s="3" t="str">
        <f>IFERROR(__xludf.DUMMYFUNCTION("""COMPUTED_VALUE"""),"N")</f>
        <v>N</v>
      </c>
      <c r="K72" s="3" t="str">
        <f>IFERROR(__xludf.DUMMYFUNCTION("""COMPUTED_VALUE"""),"Y")</f>
        <v>Y</v>
      </c>
      <c r="L72" s="3" t="str">
        <f>IFERROR(__xludf.DUMMYFUNCTION("""COMPUTED_VALUE"""),"Districtwide")</f>
        <v>Districtwide</v>
      </c>
      <c r="M72" s="3" t="str">
        <f>IFERROR(__xludf.DUMMYFUNCTION("""COMPUTED_VALUE"""),"N")</f>
        <v>N</v>
      </c>
      <c r="N72" s="3" t="str">
        <f>IFERROR(__xludf.DUMMYFUNCTION("""COMPUTED_VALUE"""),"N")</f>
        <v>N</v>
      </c>
      <c r="O72" s="3" t="str">
        <f>IFERROR(__xludf.DUMMYFUNCTION("""COMPUTED_VALUE"""),"Small Rural")</f>
        <v>Small Rural</v>
      </c>
    </row>
    <row r="73">
      <c r="A73" s="2" t="str">
        <f>IFERROR(__xludf.DUMMYFUNCTION("""COMPUTED_VALUE"""),"1340")</f>
        <v>1340</v>
      </c>
      <c r="B73" s="2" t="str">
        <f>IFERROR(__xludf.DUMMYFUNCTION("""COMPUTED_VALUE"""),"WEST GRAND 1-JT")</f>
        <v>WEST GRAND 1-JT</v>
      </c>
      <c r="C73" s="2" t="str">
        <f>IFERROR(__xludf.DUMMYFUNCTION("""COMPUTED_VALUE"""),"Public")</f>
        <v>Public</v>
      </c>
      <c r="D73" s="3">
        <f>IFERROR(__xludf.DUMMYFUNCTION("""COMPUTED_VALUE"""),2.0)</f>
        <v>2</v>
      </c>
      <c r="E73" s="3" t="str">
        <f>IFERROR(__xludf.DUMMYFUNCTION("""COMPUTED_VALUE"""),"Y")</f>
        <v>Y</v>
      </c>
      <c r="F73" s="3" t="str">
        <f>IFERROR(__xludf.DUMMYFUNCTION("""COMPUTED_VALUE"""),"Y")</f>
        <v>Y</v>
      </c>
      <c r="G73" s="3" t="str">
        <f>IFERROR(__xludf.DUMMYFUNCTION("""COMPUTED_VALUE"""),"N")</f>
        <v>N</v>
      </c>
      <c r="H73" s="3" t="str">
        <f>IFERROR(__xludf.DUMMYFUNCTION("""COMPUTED_VALUE"""),"N")</f>
        <v>N</v>
      </c>
      <c r="I73" s="3" t="str">
        <f>IFERROR(__xludf.DUMMYFUNCTION("""COMPUTED_VALUE"""),"N")</f>
        <v>N</v>
      </c>
      <c r="J73" s="3" t="str">
        <f>IFERROR(__xludf.DUMMYFUNCTION("""COMPUTED_VALUE"""),"N")</f>
        <v>N</v>
      </c>
      <c r="K73" s="3" t="str">
        <f>IFERROR(__xludf.DUMMYFUNCTION("""COMPUTED_VALUE"""),"Y")</f>
        <v>Y</v>
      </c>
      <c r="L73" s="3" t="str">
        <f>IFERROR(__xludf.DUMMYFUNCTION("""COMPUTED_VALUE"""),"N")</f>
        <v>N</v>
      </c>
      <c r="M73" s="3" t="str">
        <f>IFERROR(__xludf.DUMMYFUNCTION("""COMPUTED_VALUE"""),"N")</f>
        <v>N</v>
      </c>
      <c r="N73" s="3" t="str">
        <f>IFERROR(__xludf.DUMMYFUNCTION("""COMPUTED_VALUE"""),"N")</f>
        <v>N</v>
      </c>
      <c r="O73" s="3" t="str">
        <f>IFERROR(__xludf.DUMMYFUNCTION("""COMPUTED_VALUE"""),"Small Rural")</f>
        <v>Small Rural</v>
      </c>
    </row>
    <row r="74">
      <c r="A74" s="2" t="str">
        <f>IFERROR(__xludf.DUMMYFUNCTION("""COMPUTED_VALUE"""),"1350")</f>
        <v>1350</v>
      </c>
      <c r="B74" s="2" t="str">
        <f>IFERROR(__xludf.DUMMYFUNCTION("""COMPUTED_VALUE"""),"EAST GRAND 2")</f>
        <v>EAST GRAND 2</v>
      </c>
      <c r="C74" s="2" t="str">
        <f>IFERROR(__xludf.DUMMYFUNCTION("""COMPUTED_VALUE"""),"Public")</f>
        <v>Public</v>
      </c>
      <c r="D74" s="3">
        <f>IFERROR(__xludf.DUMMYFUNCTION("""COMPUTED_VALUE"""),4.0)</f>
        <v>4</v>
      </c>
      <c r="E74" s="3" t="str">
        <f>IFERROR(__xludf.DUMMYFUNCTION("""COMPUTED_VALUE"""),"Y")</f>
        <v>Y</v>
      </c>
      <c r="F74" s="3" t="str">
        <f>IFERROR(__xludf.DUMMYFUNCTION("""COMPUTED_VALUE"""),"Y")</f>
        <v>Y</v>
      </c>
      <c r="G74" s="3" t="str">
        <f>IFERROR(__xludf.DUMMYFUNCTION("""COMPUTED_VALUE"""),"N")</f>
        <v>N</v>
      </c>
      <c r="H74" s="3" t="str">
        <f>IFERROR(__xludf.DUMMYFUNCTION("""COMPUTED_VALUE"""),"N")</f>
        <v>N</v>
      </c>
      <c r="I74" s="3" t="str">
        <f>IFERROR(__xludf.DUMMYFUNCTION("""COMPUTED_VALUE"""),"N")</f>
        <v>N</v>
      </c>
      <c r="J74" s="3" t="str">
        <f>IFERROR(__xludf.DUMMYFUNCTION("""COMPUTED_VALUE"""),"N")</f>
        <v>N</v>
      </c>
      <c r="K74" s="3" t="str">
        <f>IFERROR(__xludf.DUMMYFUNCTION("""COMPUTED_VALUE"""),"Y")</f>
        <v>Y</v>
      </c>
      <c r="L74" s="3" t="str">
        <f>IFERROR(__xludf.DUMMYFUNCTION("""COMPUTED_VALUE"""),"Y")</f>
        <v>Y</v>
      </c>
      <c r="M74" s="3" t="str">
        <f>IFERROR(__xludf.DUMMYFUNCTION("""COMPUTED_VALUE"""),"N")</f>
        <v>N</v>
      </c>
      <c r="N74" s="3" t="str">
        <f>IFERROR(__xludf.DUMMYFUNCTION("""COMPUTED_VALUE"""),"N")</f>
        <v>N</v>
      </c>
      <c r="O74" s="3" t="str">
        <f>IFERROR(__xludf.DUMMYFUNCTION("""COMPUTED_VALUE"""),"Rural")</f>
        <v>Rural</v>
      </c>
    </row>
    <row r="75">
      <c r="A75" s="2" t="str">
        <f>IFERROR(__xludf.DUMMYFUNCTION("""COMPUTED_VALUE"""),"1360")</f>
        <v>1360</v>
      </c>
      <c r="B75" s="2" t="str">
        <f>IFERROR(__xludf.DUMMYFUNCTION("""COMPUTED_VALUE"""),"GUNNISON WATERSHED RE1J")</f>
        <v>GUNNISON WATERSHED RE1J</v>
      </c>
      <c r="C75" s="2" t="str">
        <f>IFERROR(__xludf.DUMMYFUNCTION("""COMPUTED_VALUE"""),"Public")</f>
        <v>Public</v>
      </c>
      <c r="D75" s="3">
        <f>IFERROR(__xludf.DUMMYFUNCTION("""COMPUTED_VALUE"""),6.0)</f>
        <v>6</v>
      </c>
      <c r="E75" s="3" t="str">
        <f>IFERROR(__xludf.DUMMYFUNCTION("""COMPUTED_VALUE"""),"Y")</f>
        <v>Y</v>
      </c>
      <c r="F75" s="3" t="str">
        <f>IFERROR(__xludf.DUMMYFUNCTION("""COMPUTED_VALUE"""),"Y")</f>
        <v>Y</v>
      </c>
      <c r="G75" s="3" t="str">
        <f>IFERROR(__xludf.DUMMYFUNCTION("""COMPUTED_VALUE"""),"N")</f>
        <v>N</v>
      </c>
      <c r="H75" s="3" t="str">
        <f>IFERROR(__xludf.DUMMYFUNCTION("""COMPUTED_VALUE"""),"N")</f>
        <v>N</v>
      </c>
      <c r="I75" s="3" t="str">
        <f>IFERROR(__xludf.DUMMYFUNCTION("""COMPUTED_VALUE"""),"N")</f>
        <v>N</v>
      </c>
      <c r="J75" s="3" t="str">
        <f>IFERROR(__xludf.DUMMYFUNCTION("""COMPUTED_VALUE"""),"Y")</f>
        <v>Y</v>
      </c>
      <c r="K75" s="3" t="str">
        <f>IFERROR(__xludf.DUMMYFUNCTION("""COMPUTED_VALUE"""),"Y")</f>
        <v>Y</v>
      </c>
      <c r="L75" s="3" t="str">
        <f>IFERROR(__xludf.DUMMYFUNCTION("""COMPUTED_VALUE"""),"N")</f>
        <v>N</v>
      </c>
      <c r="M75" s="3" t="str">
        <f>IFERROR(__xludf.DUMMYFUNCTION("""COMPUTED_VALUE"""),"N")</f>
        <v>N</v>
      </c>
      <c r="N75" s="3" t="str">
        <f>IFERROR(__xludf.DUMMYFUNCTION("""COMPUTED_VALUE"""),"N")</f>
        <v>N</v>
      </c>
      <c r="O75" s="3" t="str">
        <f>IFERROR(__xludf.DUMMYFUNCTION("""COMPUTED_VALUE"""),"Rural")</f>
        <v>Rural</v>
      </c>
    </row>
    <row r="76">
      <c r="A76" s="2" t="str">
        <f>IFERROR(__xludf.DUMMYFUNCTION("""COMPUTED_VALUE"""),"1380")</f>
        <v>1380</v>
      </c>
      <c r="B76" s="2" t="str">
        <f>IFERROR(__xludf.DUMMYFUNCTION("""COMPUTED_VALUE"""),"HINSDALE COUNTY RE 1")</f>
        <v>HINSDALE COUNTY RE 1</v>
      </c>
      <c r="C76" s="2" t="str">
        <f>IFERROR(__xludf.DUMMYFUNCTION("""COMPUTED_VALUE"""),"Public")</f>
        <v>Public</v>
      </c>
      <c r="D76" s="3">
        <f>IFERROR(__xludf.DUMMYFUNCTION("""COMPUTED_VALUE"""),1.0)</f>
        <v>1</v>
      </c>
      <c r="E76" s="3" t="str">
        <f>IFERROR(__xludf.DUMMYFUNCTION("""COMPUTED_VALUE"""),"Y")</f>
        <v>Y</v>
      </c>
      <c r="F76" s="3" t="str">
        <f>IFERROR(__xludf.DUMMYFUNCTION("""COMPUTED_VALUE"""),"Y")</f>
        <v>Y</v>
      </c>
      <c r="G76" s="3" t="str">
        <f>IFERROR(__xludf.DUMMYFUNCTION("""COMPUTED_VALUE"""),"N")</f>
        <v>N</v>
      </c>
      <c r="H76" s="3" t="str">
        <f>IFERROR(__xludf.DUMMYFUNCTION("""COMPUTED_VALUE"""),"N")</f>
        <v>N</v>
      </c>
      <c r="I76" s="3" t="str">
        <f>IFERROR(__xludf.DUMMYFUNCTION("""COMPUTED_VALUE"""),"N")</f>
        <v>N</v>
      </c>
      <c r="J76" s="3" t="str">
        <f>IFERROR(__xludf.DUMMYFUNCTION("""COMPUTED_VALUE"""),"N")</f>
        <v>N</v>
      </c>
      <c r="K76" s="3" t="str">
        <f>IFERROR(__xludf.DUMMYFUNCTION("""COMPUTED_VALUE"""),"Y")</f>
        <v>Y</v>
      </c>
      <c r="L76" s="3" t="str">
        <f>IFERROR(__xludf.DUMMYFUNCTION("""COMPUTED_VALUE"""),"Districtwide")</f>
        <v>Districtwide</v>
      </c>
      <c r="M76" s="3" t="str">
        <f>IFERROR(__xludf.DUMMYFUNCTION("""COMPUTED_VALUE"""),"N")</f>
        <v>N</v>
      </c>
      <c r="N76" s="3" t="str">
        <f>IFERROR(__xludf.DUMMYFUNCTION("""COMPUTED_VALUE"""),"N")</f>
        <v>N</v>
      </c>
      <c r="O76" s="3" t="str">
        <f>IFERROR(__xludf.DUMMYFUNCTION("""COMPUTED_VALUE"""),"Small Rural")</f>
        <v>Small Rural</v>
      </c>
    </row>
    <row r="77">
      <c r="A77" s="2" t="str">
        <f>IFERROR(__xludf.DUMMYFUNCTION("""COMPUTED_VALUE"""),"1390")</f>
        <v>1390</v>
      </c>
      <c r="B77" s="2" t="str">
        <f>IFERROR(__xludf.DUMMYFUNCTION("""COMPUTED_VALUE"""),"HUERFANO RE-1")</f>
        <v>HUERFANO RE-1</v>
      </c>
      <c r="C77" s="2" t="str">
        <f>IFERROR(__xludf.DUMMYFUNCTION("""COMPUTED_VALUE"""),"Public")</f>
        <v>Public</v>
      </c>
      <c r="D77" s="3">
        <f>IFERROR(__xludf.DUMMYFUNCTION("""COMPUTED_VALUE"""),3.0)</f>
        <v>3</v>
      </c>
      <c r="E77" s="3" t="str">
        <f>IFERROR(__xludf.DUMMYFUNCTION("""COMPUTED_VALUE"""),"Y")</f>
        <v>Y</v>
      </c>
      <c r="F77" s="3" t="str">
        <f>IFERROR(__xludf.DUMMYFUNCTION("""COMPUTED_VALUE"""),"Y")</f>
        <v>Y</v>
      </c>
      <c r="G77" s="3" t="str">
        <f>IFERROR(__xludf.DUMMYFUNCTION("""COMPUTED_VALUE"""),"N")</f>
        <v>N</v>
      </c>
      <c r="H77" s="3" t="str">
        <f>IFERROR(__xludf.DUMMYFUNCTION("""COMPUTED_VALUE"""),"Y")</f>
        <v>Y</v>
      </c>
      <c r="I77" s="3" t="str">
        <f>IFERROR(__xludf.DUMMYFUNCTION("""COMPUTED_VALUE"""),"N")</f>
        <v>N</v>
      </c>
      <c r="J77" s="3" t="str">
        <f>IFERROR(__xludf.DUMMYFUNCTION("""COMPUTED_VALUE"""),"N")</f>
        <v>N</v>
      </c>
      <c r="K77" s="3" t="str">
        <f>IFERROR(__xludf.DUMMYFUNCTION("""COMPUTED_VALUE"""),"Y")</f>
        <v>Y</v>
      </c>
      <c r="L77" s="3" t="str">
        <f>IFERROR(__xludf.DUMMYFUNCTION("""COMPUTED_VALUE"""),"Districtwide")</f>
        <v>Districtwide</v>
      </c>
      <c r="M77" s="3" t="str">
        <f>IFERROR(__xludf.DUMMYFUNCTION("""COMPUTED_VALUE"""),"N")</f>
        <v>N</v>
      </c>
      <c r="N77" s="3" t="str">
        <f>IFERROR(__xludf.DUMMYFUNCTION("""COMPUTED_VALUE"""),"N")</f>
        <v>N</v>
      </c>
      <c r="O77" s="3" t="str">
        <f>IFERROR(__xludf.DUMMYFUNCTION("""COMPUTED_VALUE"""),"Small Rural")</f>
        <v>Small Rural</v>
      </c>
    </row>
    <row r="78">
      <c r="A78" s="2" t="str">
        <f>IFERROR(__xludf.DUMMYFUNCTION("""COMPUTED_VALUE"""),"1400")</f>
        <v>1400</v>
      </c>
      <c r="B78" s="2" t="str">
        <f>IFERROR(__xludf.DUMMYFUNCTION("""COMPUTED_VALUE"""),"LA VETA RE-2")</f>
        <v>LA VETA RE-2</v>
      </c>
      <c r="C78" s="2" t="str">
        <f>IFERROR(__xludf.DUMMYFUNCTION("""COMPUTED_VALUE"""),"Public")</f>
        <v>Public</v>
      </c>
      <c r="D78" s="3">
        <f>IFERROR(__xludf.DUMMYFUNCTION("""COMPUTED_VALUE"""),2.0)</f>
        <v>2</v>
      </c>
      <c r="E78" s="3" t="str">
        <f>IFERROR(__xludf.DUMMYFUNCTION("""COMPUTED_VALUE"""),"Y")</f>
        <v>Y</v>
      </c>
      <c r="F78" s="3" t="str">
        <f>IFERROR(__xludf.DUMMYFUNCTION("""COMPUTED_VALUE"""),"Y")</f>
        <v>Y</v>
      </c>
      <c r="G78" s="3" t="str">
        <f>IFERROR(__xludf.DUMMYFUNCTION("""COMPUTED_VALUE"""),"N")</f>
        <v>N</v>
      </c>
      <c r="H78" s="3" t="str">
        <f>IFERROR(__xludf.DUMMYFUNCTION("""COMPUTED_VALUE"""),"N")</f>
        <v>N</v>
      </c>
      <c r="I78" s="3" t="str">
        <f>IFERROR(__xludf.DUMMYFUNCTION("""COMPUTED_VALUE"""),"Y")</f>
        <v>Y</v>
      </c>
      <c r="J78" s="3" t="str">
        <f>IFERROR(__xludf.DUMMYFUNCTION("""COMPUTED_VALUE"""),"N")</f>
        <v>N</v>
      </c>
      <c r="K78" s="3" t="str">
        <f>IFERROR(__xludf.DUMMYFUNCTION("""COMPUTED_VALUE"""),"Y")</f>
        <v>Y</v>
      </c>
      <c r="L78" s="3" t="str">
        <f>IFERROR(__xludf.DUMMYFUNCTION("""COMPUTED_VALUE"""),"Districtwide")</f>
        <v>Districtwide</v>
      </c>
      <c r="M78" s="3" t="str">
        <f>IFERROR(__xludf.DUMMYFUNCTION("""COMPUTED_VALUE"""),"N")</f>
        <v>N</v>
      </c>
      <c r="N78" s="3" t="str">
        <f>IFERROR(__xludf.DUMMYFUNCTION("""COMPUTED_VALUE"""),"N")</f>
        <v>N</v>
      </c>
      <c r="O78" s="3" t="str">
        <f>IFERROR(__xludf.DUMMYFUNCTION("""COMPUTED_VALUE"""),"Small Rural")</f>
        <v>Small Rural</v>
      </c>
    </row>
    <row r="79">
      <c r="A79" s="2" t="str">
        <f>IFERROR(__xludf.DUMMYFUNCTION("""COMPUTED_VALUE"""),"1410")</f>
        <v>1410</v>
      </c>
      <c r="B79" s="2" t="str">
        <f>IFERROR(__xludf.DUMMYFUNCTION("""COMPUTED_VALUE"""),"NORTH PARK R-1")</f>
        <v>NORTH PARK R-1</v>
      </c>
      <c r="C79" s="2" t="str">
        <f>IFERROR(__xludf.DUMMYFUNCTION("""COMPUTED_VALUE"""),"Public")</f>
        <v>Public</v>
      </c>
      <c r="D79" s="3">
        <f>IFERROR(__xludf.DUMMYFUNCTION("""COMPUTED_VALUE"""),1.0)</f>
        <v>1</v>
      </c>
      <c r="E79" s="3" t="str">
        <f>IFERROR(__xludf.DUMMYFUNCTION("""COMPUTED_VALUE"""),"Y")</f>
        <v>Y</v>
      </c>
      <c r="F79" s="3" t="str">
        <f>IFERROR(__xludf.DUMMYFUNCTION("""COMPUTED_VALUE"""),"Y")</f>
        <v>Y</v>
      </c>
      <c r="G79" s="3" t="str">
        <f>IFERROR(__xludf.DUMMYFUNCTION("""COMPUTED_VALUE"""),"N")</f>
        <v>N</v>
      </c>
      <c r="H79" s="3" t="str">
        <f>IFERROR(__xludf.DUMMYFUNCTION("""COMPUTED_VALUE"""),"N")</f>
        <v>N</v>
      </c>
      <c r="I79" s="3" t="str">
        <f>IFERROR(__xludf.DUMMYFUNCTION("""COMPUTED_VALUE"""),"N")</f>
        <v>N</v>
      </c>
      <c r="J79" s="3" t="str">
        <f>IFERROR(__xludf.DUMMYFUNCTION("""COMPUTED_VALUE"""),"N")</f>
        <v>N</v>
      </c>
      <c r="K79" s="3" t="str">
        <f>IFERROR(__xludf.DUMMYFUNCTION("""COMPUTED_VALUE"""),"Y")</f>
        <v>Y</v>
      </c>
      <c r="L79" s="3" t="str">
        <f>IFERROR(__xludf.DUMMYFUNCTION("""COMPUTED_VALUE"""),"N")</f>
        <v>N</v>
      </c>
      <c r="M79" s="3" t="str">
        <f>IFERROR(__xludf.DUMMYFUNCTION("""COMPUTED_VALUE"""),"Provision 2")</f>
        <v>Provision 2</v>
      </c>
      <c r="N79" s="3" t="str">
        <f>IFERROR(__xludf.DUMMYFUNCTION("""COMPUTED_VALUE"""),"N")</f>
        <v>N</v>
      </c>
      <c r="O79" s="3" t="str">
        <f>IFERROR(__xludf.DUMMYFUNCTION("""COMPUTED_VALUE"""),"Small Rural")</f>
        <v>Small Rural</v>
      </c>
    </row>
    <row r="80">
      <c r="A80" s="2" t="str">
        <f>IFERROR(__xludf.DUMMYFUNCTION("""COMPUTED_VALUE"""),"1420")</f>
        <v>1420</v>
      </c>
      <c r="B80" s="2" t="str">
        <f>IFERROR(__xludf.DUMMYFUNCTION("""COMPUTED_VALUE"""),"JEFFERSON COUNTY R-1")</f>
        <v>JEFFERSON COUNTY R-1</v>
      </c>
      <c r="C80" s="2" t="str">
        <f>IFERROR(__xludf.DUMMYFUNCTION("""COMPUTED_VALUE"""),"Public")</f>
        <v>Public</v>
      </c>
      <c r="D80" s="3">
        <f>IFERROR(__xludf.DUMMYFUNCTION("""COMPUTED_VALUE"""),129.0)</f>
        <v>129</v>
      </c>
      <c r="E80" s="3" t="str">
        <f>IFERROR(__xludf.DUMMYFUNCTION("""COMPUTED_VALUE"""),"Y")</f>
        <v>Y</v>
      </c>
      <c r="F80" s="3" t="str">
        <f>IFERROR(__xludf.DUMMYFUNCTION("""COMPUTED_VALUE"""),"Y")</f>
        <v>Y</v>
      </c>
      <c r="G80" s="3" t="str">
        <f>IFERROR(__xludf.DUMMYFUNCTION("""COMPUTED_VALUE"""),"N")</f>
        <v>N</v>
      </c>
      <c r="H80" s="3" t="str">
        <f>IFERROR(__xludf.DUMMYFUNCTION("""COMPUTED_VALUE"""),"Y")</f>
        <v>Y</v>
      </c>
      <c r="I80" s="3" t="str">
        <f>IFERROR(__xludf.DUMMYFUNCTION("""COMPUTED_VALUE"""),"Y")</f>
        <v>Y</v>
      </c>
      <c r="J80" s="3" t="str">
        <f>IFERROR(__xludf.DUMMYFUNCTION("""COMPUTED_VALUE"""),"Y")</f>
        <v>Y</v>
      </c>
      <c r="K80" s="3" t="str">
        <f>IFERROR(__xludf.DUMMYFUNCTION("""COMPUTED_VALUE"""),"Y")</f>
        <v>Y</v>
      </c>
      <c r="L80" s="3" t="str">
        <f>IFERROR(__xludf.DUMMYFUNCTION("""COMPUTED_VALUE"""),"Y")</f>
        <v>Y</v>
      </c>
      <c r="M80" s="3" t="str">
        <f>IFERROR(__xludf.DUMMYFUNCTION("""COMPUTED_VALUE"""),"N")</f>
        <v>N</v>
      </c>
      <c r="N80" s="3" t="str">
        <f>IFERROR(__xludf.DUMMYFUNCTION("""COMPUTED_VALUE"""),"N")</f>
        <v>N</v>
      </c>
      <c r="O80" s="3" t="str">
        <f>IFERROR(__xludf.DUMMYFUNCTION("""COMPUTED_VALUE"""),"none")</f>
        <v>none</v>
      </c>
    </row>
    <row r="81">
      <c r="A81" s="2" t="str">
        <f>IFERROR(__xludf.DUMMYFUNCTION("""COMPUTED_VALUE"""),"1430")</f>
        <v>1430</v>
      </c>
      <c r="B81" s="2" t="str">
        <f>IFERROR(__xludf.DUMMYFUNCTION("""COMPUTED_VALUE"""),"EADS RE-1")</f>
        <v>EADS RE-1</v>
      </c>
      <c r="C81" s="2" t="str">
        <f>IFERROR(__xludf.DUMMYFUNCTION("""COMPUTED_VALUE"""),"Public")</f>
        <v>Public</v>
      </c>
      <c r="D81" s="3">
        <f>IFERROR(__xludf.DUMMYFUNCTION("""COMPUTED_VALUE"""),3.0)</f>
        <v>3</v>
      </c>
      <c r="E81" s="3" t="str">
        <f>IFERROR(__xludf.DUMMYFUNCTION("""COMPUTED_VALUE"""),"Y")</f>
        <v>Y</v>
      </c>
      <c r="F81" s="3" t="str">
        <f>IFERROR(__xludf.DUMMYFUNCTION("""COMPUTED_VALUE"""),"Y")</f>
        <v>Y</v>
      </c>
      <c r="G81" s="3" t="str">
        <f>IFERROR(__xludf.DUMMYFUNCTION("""COMPUTED_VALUE"""),"Y")</f>
        <v>Y</v>
      </c>
      <c r="H81" s="3" t="str">
        <f>IFERROR(__xludf.DUMMYFUNCTION("""COMPUTED_VALUE"""),"N")</f>
        <v>N</v>
      </c>
      <c r="I81" s="3" t="str">
        <f>IFERROR(__xludf.DUMMYFUNCTION("""COMPUTED_VALUE"""),"N")</f>
        <v>N</v>
      </c>
      <c r="J81" s="3" t="str">
        <f>IFERROR(__xludf.DUMMYFUNCTION("""COMPUTED_VALUE"""),"N")</f>
        <v>N</v>
      </c>
      <c r="K81" s="3" t="str">
        <f>IFERROR(__xludf.DUMMYFUNCTION("""COMPUTED_VALUE"""),"Y")</f>
        <v>Y</v>
      </c>
      <c r="L81" s="3" t="str">
        <f>IFERROR(__xludf.DUMMYFUNCTION("""COMPUTED_VALUE"""),"Districtwide")</f>
        <v>Districtwide</v>
      </c>
      <c r="M81" s="3" t="str">
        <f>IFERROR(__xludf.DUMMYFUNCTION("""COMPUTED_VALUE"""),"N")</f>
        <v>N</v>
      </c>
      <c r="N81" s="3" t="str">
        <f>IFERROR(__xludf.DUMMYFUNCTION("""COMPUTED_VALUE"""),"N")</f>
        <v>N</v>
      </c>
      <c r="O81" s="3" t="str">
        <f>IFERROR(__xludf.DUMMYFUNCTION("""COMPUTED_VALUE"""),"Small Rural")</f>
        <v>Small Rural</v>
      </c>
    </row>
    <row r="82">
      <c r="A82" s="2" t="str">
        <f>IFERROR(__xludf.DUMMYFUNCTION("""COMPUTED_VALUE"""),"1440")</f>
        <v>1440</v>
      </c>
      <c r="B82" s="2" t="str">
        <f>IFERROR(__xludf.DUMMYFUNCTION("""COMPUTED_VALUE"""),"PLAINVIEW RE-2")</f>
        <v>PLAINVIEW RE-2</v>
      </c>
      <c r="C82" s="2" t="str">
        <f>IFERROR(__xludf.DUMMYFUNCTION("""COMPUTED_VALUE"""),"Public")</f>
        <v>Public</v>
      </c>
      <c r="D82" s="3">
        <f>IFERROR(__xludf.DUMMYFUNCTION("""COMPUTED_VALUE"""),2.0)</f>
        <v>2</v>
      </c>
      <c r="E82" s="3" t="str">
        <f>IFERROR(__xludf.DUMMYFUNCTION("""COMPUTED_VALUE"""),"Y")</f>
        <v>Y</v>
      </c>
      <c r="F82" s="3" t="str">
        <f>IFERROR(__xludf.DUMMYFUNCTION("""COMPUTED_VALUE"""),"Y")</f>
        <v>Y</v>
      </c>
      <c r="G82" s="3" t="str">
        <f>IFERROR(__xludf.DUMMYFUNCTION("""COMPUTED_VALUE"""),"N")</f>
        <v>N</v>
      </c>
      <c r="H82" s="3" t="str">
        <f>IFERROR(__xludf.DUMMYFUNCTION("""COMPUTED_VALUE"""),"N")</f>
        <v>N</v>
      </c>
      <c r="I82" s="3" t="str">
        <f>IFERROR(__xludf.DUMMYFUNCTION("""COMPUTED_VALUE"""),"N")</f>
        <v>N</v>
      </c>
      <c r="J82" s="3" t="str">
        <f>IFERROR(__xludf.DUMMYFUNCTION("""COMPUTED_VALUE"""),"N")</f>
        <v>N</v>
      </c>
      <c r="K82" s="3" t="str">
        <f>IFERROR(__xludf.DUMMYFUNCTION("""COMPUTED_VALUE"""),"Y")</f>
        <v>Y</v>
      </c>
      <c r="L82" s="3" t="str">
        <f>IFERROR(__xludf.DUMMYFUNCTION("""COMPUTED_VALUE"""),"N")</f>
        <v>N</v>
      </c>
      <c r="M82" s="3" t="str">
        <f>IFERROR(__xludf.DUMMYFUNCTION("""COMPUTED_VALUE"""),"Provision 2")</f>
        <v>Provision 2</v>
      </c>
      <c r="N82" s="3" t="str">
        <f>IFERROR(__xludf.DUMMYFUNCTION("""COMPUTED_VALUE"""),"N")</f>
        <v>N</v>
      </c>
      <c r="O82" s="3" t="str">
        <f>IFERROR(__xludf.DUMMYFUNCTION("""COMPUTED_VALUE"""),"Small Rural")</f>
        <v>Small Rural</v>
      </c>
    </row>
    <row r="83">
      <c r="A83" s="2" t="str">
        <f>IFERROR(__xludf.DUMMYFUNCTION("""COMPUTED_VALUE"""),"1450")</f>
        <v>1450</v>
      </c>
      <c r="B83" s="2" t="str">
        <f>IFERROR(__xludf.DUMMYFUNCTION("""COMPUTED_VALUE"""),"ARRIBA-FLAGLER C-20")</f>
        <v>ARRIBA-FLAGLER C-20</v>
      </c>
      <c r="C83" s="2" t="str">
        <f>IFERROR(__xludf.DUMMYFUNCTION("""COMPUTED_VALUE"""),"Public")</f>
        <v>Public</v>
      </c>
      <c r="D83" s="3">
        <f>IFERROR(__xludf.DUMMYFUNCTION("""COMPUTED_VALUE"""),1.0)</f>
        <v>1</v>
      </c>
      <c r="E83" s="3" t="str">
        <f>IFERROR(__xludf.DUMMYFUNCTION("""COMPUTED_VALUE"""),"Y")</f>
        <v>Y</v>
      </c>
      <c r="F83" s="3" t="str">
        <f>IFERROR(__xludf.DUMMYFUNCTION("""COMPUTED_VALUE"""),"Y")</f>
        <v>Y</v>
      </c>
      <c r="G83" s="3" t="str">
        <f>IFERROR(__xludf.DUMMYFUNCTION("""COMPUTED_VALUE"""),"N")</f>
        <v>N</v>
      </c>
      <c r="H83" s="3" t="str">
        <f>IFERROR(__xludf.DUMMYFUNCTION("""COMPUTED_VALUE"""),"N")</f>
        <v>N</v>
      </c>
      <c r="I83" s="3" t="str">
        <f>IFERROR(__xludf.DUMMYFUNCTION("""COMPUTED_VALUE"""),"N")</f>
        <v>N</v>
      </c>
      <c r="J83" s="3" t="str">
        <f>IFERROR(__xludf.DUMMYFUNCTION("""COMPUTED_VALUE"""),"N")</f>
        <v>N</v>
      </c>
      <c r="K83" s="3" t="str">
        <f>IFERROR(__xludf.DUMMYFUNCTION("""COMPUTED_VALUE"""),"Y")</f>
        <v>Y</v>
      </c>
      <c r="L83" s="3" t="str">
        <f>IFERROR(__xludf.DUMMYFUNCTION("""COMPUTED_VALUE"""),"Districtwide")</f>
        <v>Districtwide</v>
      </c>
      <c r="M83" s="3" t="str">
        <f>IFERROR(__xludf.DUMMYFUNCTION("""COMPUTED_VALUE"""),"N")</f>
        <v>N</v>
      </c>
      <c r="N83" s="3" t="str">
        <f>IFERROR(__xludf.DUMMYFUNCTION("""COMPUTED_VALUE"""),"N")</f>
        <v>N</v>
      </c>
      <c r="O83" s="3" t="str">
        <f>IFERROR(__xludf.DUMMYFUNCTION("""COMPUTED_VALUE"""),"Small Rural")</f>
        <v>Small Rural</v>
      </c>
    </row>
    <row r="84">
      <c r="A84" s="2" t="str">
        <f>IFERROR(__xludf.DUMMYFUNCTION("""COMPUTED_VALUE"""),"1460")</f>
        <v>1460</v>
      </c>
      <c r="B84" s="2" t="str">
        <f>IFERROR(__xludf.DUMMYFUNCTION("""COMPUTED_VALUE"""),"HI-PLAINS R-23")</f>
        <v>HI-PLAINS R-23</v>
      </c>
      <c r="C84" s="2" t="str">
        <f>IFERROR(__xludf.DUMMYFUNCTION("""COMPUTED_VALUE"""),"Public")</f>
        <v>Public</v>
      </c>
      <c r="D84" s="3">
        <f>IFERROR(__xludf.DUMMYFUNCTION("""COMPUTED_VALUE"""),1.0)</f>
        <v>1</v>
      </c>
      <c r="E84" s="3" t="str">
        <f>IFERROR(__xludf.DUMMYFUNCTION("""COMPUTED_VALUE"""),"Y")</f>
        <v>Y</v>
      </c>
      <c r="F84" s="3" t="str">
        <f>IFERROR(__xludf.DUMMYFUNCTION("""COMPUTED_VALUE"""),"Y")</f>
        <v>Y</v>
      </c>
      <c r="G84" s="3" t="str">
        <f>IFERROR(__xludf.DUMMYFUNCTION("""COMPUTED_VALUE"""),"N")</f>
        <v>N</v>
      </c>
      <c r="H84" s="3" t="str">
        <f>IFERROR(__xludf.DUMMYFUNCTION("""COMPUTED_VALUE"""),"N")</f>
        <v>N</v>
      </c>
      <c r="I84" s="3" t="str">
        <f>IFERROR(__xludf.DUMMYFUNCTION("""COMPUTED_VALUE"""),"N")</f>
        <v>N</v>
      </c>
      <c r="J84" s="3" t="str">
        <f>IFERROR(__xludf.DUMMYFUNCTION("""COMPUTED_VALUE"""),"N")</f>
        <v>N</v>
      </c>
      <c r="K84" s="3" t="str">
        <f>IFERROR(__xludf.DUMMYFUNCTION("""COMPUTED_VALUE"""),"Y")</f>
        <v>Y</v>
      </c>
      <c r="L84" s="3" t="str">
        <f>IFERROR(__xludf.DUMMYFUNCTION("""COMPUTED_VALUE"""),"Districtwide")</f>
        <v>Districtwide</v>
      </c>
      <c r="M84" s="3" t="str">
        <f>IFERROR(__xludf.DUMMYFUNCTION("""COMPUTED_VALUE"""),"N")</f>
        <v>N</v>
      </c>
      <c r="N84" s="3" t="str">
        <f>IFERROR(__xludf.DUMMYFUNCTION("""COMPUTED_VALUE"""),"N")</f>
        <v>N</v>
      </c>
      <c r="O84" s="3" t="str">
        <f>IFERROR(__xludf.DUMMYFUNCTION("""COMPUTED_VALUE"""),"Small Rural")</f>
        <v>Small Rural</v>
      </c>
    </row>
    <row r="85">
      <c r="A85" s="2" t="str">
        <f>IFERROR(__xludf.DUMMYFUNCTION("""COMPUTED_VALUE"""),"1480")</f>
        <v>1480</v>
      </c>
      <c r="B85" s="2" t="str">
        <f>IFERROR(__xludf.DUMMYFUNCTION("""COMPUTED_VALUE"""),"STRATTON R-4")</f>
        <v>STRATTON R-4</v>
      </c>
      <c r="C85" s="2" t="str">
        <f>IFERROR(__xludf.DUMMYFUNCTION("""COMPUTED_VALUE"""),"Public")</f>
        <v>Public</v>
      </c>
      <c r="D85" s="3">
        <f>IFERROR(__xludf.DUMMYFUNCTION("""COMPUTED_VALUE"""),3.0)</f>
        <v>3</v>
      </c>
      <c r="E85" s="3" t="str">
        <f>IFERROR(__xludf.DUMMYFUNCTION("""COMPUTED_VALUE"""),"Y")</f>
        <v>Y</v>
      </c>
      <c r="F85" s="3" t="str">
        <f>IFERROR(__xludf.DUMMYFUNCTION("""COMPUTED_VALUE"""),"Y")</f>
        <v>Y</v>
      </c>
      <c r="G85" s="3" t="str">
        <f>IFERROR(__xludf.DUMMYFUNCTION("""COMPUTED_VALUE"""),"N")</f>
        <v>N</v>
      </c>
      <c r="H85" s="3" t="str">
        <f>IFERROR(__xludf.DUMMYFUNCTION("""COMPUTED_VALUE"""),"N")</f>
        <v>N</v>
      </c>
      <c r="I85" s="3" t="str">
        <f>IFERROR(__xludf.DUMMYFUNCTION("""COMPUTED_VALUE"""),"N")</f>
        <v>N</v>
      </c>
      <c r="J85" s="3" t="str">
        <f>IFERROR(__xludf.DUMMYFUNCTION("""COMPUTED_VALUE"""),"N")</f>
        <v>N</v>
      </c>
      <c r="K85" s="3" t="str">
        <f>IFERROR(__xludf.DUMMYFUNCTION("""COMPUTED_VALUE"""),"Y")</f>
        <v>Y</v>
      </c>
      <c r="L85" s="3" t="str">
        <f>IFERROR(__xludf.DUMMYFUNCTION("""COMPUTED_VALUE"""),"Districtwide")</f>
        <v>Districtwide</v>
      </c>
      <c r="M85" s="3" t="str">
        <f>IFERROR(__xludf.DUMMYFUNCTION("""COMPUTED_VALUE"""),"N")</f>
        <v>N</v>
      </c>
      <c r="N85" s="3" t="str">
        <f>IFERROR(__xludf.DUMMYFUNCTION("""COMPUTED_VALUE"""),"N")</f>
        <v>N</v>
      </c>
      <c r="O85" s="3" t="str">
        <f>IFERROR(__xludf.DUMMYFUNCTION("""COMPUTED_VALUE"""),"Small Rural")</f>
        <v>Small Rural</v>
      </c>
    </row>
    <row r="86">
      <c r="A86" s="2" t="str">
        <f>IFERROR(__xludf.DUMMYFUNCTION("""COMPUTED_VALUE"""),"1490")</f>
        <v>1490</v>
      </c>
      <c r="B86" s="2" t="str">
        <f>IFERROR(__xludf.DUMMYFUNCTION("""COMPUTED_VALUE"""),"BETHUNE R-5")</f>
        <v>BETHUNE R-5</v>
      </c>
      <c r="C86" s="2" t="str">
        <f>IFERROR(__xludf.DUMMYFUNCTION("""COMPUTED_VALUE"""),"Public")</f>
        <v>Public</v>
      </c>
      <c r="D86" s="3">
        <f>IFERROR(__xludf.DUMMYFUNCTION("""COMPUTED_VALUE"""),1.0)</f>
        <v>1</v>
      </c>
      <c r="E86" s="3" t="str">
        <f>IFERROR(__xludf.DUMMYFUNCTION("""COMPUTED_VALUE"""),"Y")</f>
        <v>Y</v>
      </c>
      <c r="F86" s="3" t="str">
        <f>IFERROR(__xludf.DUMMYFUNCTION("""COMPUTED_VALUE"""),"Y")</f>
        <v>Y</v>
      </c>
      <c r="G86" s="3" t="str">
        <f>IFERROR(__xludf.DUMMYFUNCTION("""COMPUTED_VALUE"""),"N")</f>
        <v>N</v>
      </c>
      <c r="H86" s="3" t="str">
        <f>IFERROR(__xludf.DUMMYFUNCTION("""COMPUTED_VALUE"""),"Y")</f>
        <v>Y</v>
      </c>
      <c r="I86" s="3" t="str">
        <f>IFERROR(__xludf.DUMMYFUNCTION("""COMPUTED_VALUE"""),"N")</f>
        <v>N</v>
      </c>
      <c r="J86" s="3" t="str">
        <f>IFERROR(__xludf.DUMMYFUNCTION("""COMPUTED_VALUE"""),"N")</f>
        <v>N</v>
      </c>
      <c r="K86" s="3" t="str">
        <f>IFERROR(__xludf.DUMMYFUNCTION("""COMPUTED_VALUE"""),"Y")</f>
        <v>Y</v>
      </c>
      <c r="L86" s="3" t="str">
        <f>IFERROR(__xludf.DUMMYFUNCTION("""COMPUTED_VALUE"""),"Districtwide")</f>
        <v>Districtwide</v>
      </c>
      <c r="M86" s="3" t="str">
        <f>IFERROR(__xludf.DUMMYFUNCTION("""COMPUTED_VALUE"""),"N")</f>
        <v>N</v>
      </c>
      <c r="N86" s="3" t="str">
        <f>IFERROR(__xludf.DUMMYFUNCTION("""COMPUTED_VALUE"""),"N")</f>
        <v>N</v>
      </c>
      <c r="O86" s="3" t="str">
        <f>IFERROR(__xludf.DUMMYFUNCTION("""COMPUTED_VALUE"""),"Small Rural")</f>
        <v>Small Rural</v>
      </c>
    </row>
    <row r="87">
      <c r="A87" s="2" t="str">
        <f>IFERROR(__xludf.DUMMYFUNCTION("""COMPUTED_VALUE"""),"1500")</f>
        <v>1500</v>
      </c>
      <c r="B87" s="2" t="str">
        <f>IFERROR(__xludf.DUMMYFUNCTION("""COMPUTED_VALUE"""),"BURLINGTON RE-6J")</f>
        <v>BURLINGTON RE-6J</v>
      </c>
      <c r="C87" s="2" t="str">
        <f>IFERROR(__xludf.DUMMYFUNCTION("""COMPUTED_VALUE"""),"Public")</f>
        <v>Public</v>
      </c>
      <c r="D87" s="3">
        <f>IFERROR(__xludf.DUMMYFUNCTION("""COMPUTED_VALUE"""),3.0)</f>
        <v>3</v>
      </c>
      <c r="E87" s="3" t="str">
        <f>IFERROR(__xludf.DUMMYFUNCTION("""COMPUTED_VALUE"""),"Y")</f>
        <v>Y</v>
      </c>
      <c r="F87" s="3" t="str">
        <f>IFERROR(__xludf.DUMMYFUNCTION("""COMPUTED_VALUE"""),"Y")</f>
        <v>Y</v>
      </c>
      <c r="G87" s="3" t="str">
        <f>IFERROR(__xludf.DUMMYFUNCTION("""COMPUTED_VALUE"""),"N")</f>
        <v>N</v>
      </c>
      <c r="H87" s="3" t="str">
        <f>IFERROR(__xludf.DUMMYFUNCTION("""COMPUTED_VALUE"""),"Y")</f>
        <v>Y</v>
      </c>
      <c r="I87" s="3" t="str">
        <f>IFERROR(__xludf.DUMMYFUNCTION("""COMPUTED_VALUE"""),"N")</f>
        <v>N</v>
      </c>
      <c r="J87" s="3" t="str">
        <f>IFERROR(__xludf.DUMMYFUNCTION("""COMPUTED_VALUE"""),"N")</f>
        <v>N</v>
      </c>
      <c r="K87" s="3" t="str">
        <f>IFERROR(__xludf.DUMMYFUNCTION("""COMPUTED_VALUE"""),"Y")</f>
        <v>Y</v>
      </c>
      <c r="L87" s="3" t="str">
        <f>IFERROR(__xludf.DUMMYFUNCTION("""COMPUTED_VALUE"""),"Districtwide")</f>
        <v>Districtwide</v>
      </c>
      <c r="M87" s="3" t="str">
        <f>IFERROR(__xludf.DUMMYFUNCTION("""COMPUTED_VALUE"""),"N")</f>
        <v>N</v>
      </c>
      <c r="N87" s="3" t="str">
        <f>IFERROR(__xludf.DUMMYFUNCTION("""COMPUTED_VALUE"""),"N")</f>
        <v>N</v>
      </c>
      <c r="O87" s="3" t="str">
        <f>IFERROR(__xludf.DUMMYFUNCTION("""COMPUTED_VALUE"""),"Small Rural")</f>
        <v>Small Rural</v>
      </c>
    </row>
    <row r="88">
      <c r="A88" s="2" t="str">
        <f>IFERROR(__xludf.DUMMYFUNCTION("""COMPUTED_VALUE"""),"1510")</f>
        <v>1510</v>
      </c>
      <c r="B88" s="2" t="str">
        <f>IFERROR(__xludf.DUMMYFUNCTION("""COMPUTED_VALUE"""),"LAKE COUNTY R-1")</f>
        <v>LAKE COUNTY R-1</v>
      </c>
      <c r="C88" s="2" t="str">
        <f>IFERROR(__xludf.DUMMYFUNCTION("""COMPUTED_VALUE"""),"Public")</f>
        <v>Public</v>
      </c>
      <c r="D88" s="3">
        <f>IFERROR(__xludf.DUMMYFUNCTION("""COMPUTED_VALUE"""),4.0)</f>
        <v>4</v>
      </c>
      <c r="E88" s="3" t="str">
        <f>IFERROR(__xludf.DUMMYFUNCTION("""COMPUTED_VALUE"""),"Y")</f>
        <v>Y</v>
      </c>
      <c r="F88" s="3" t="str">
        <f>IFERROR(__xludf.DUMMYFUNCTION("""COMPUTED_VALUE"""),"Y")</f>
        <v>Y</v>
      </c>
      <c r="G88" s="3" t="str">
        <f>IFERROR(__xludf.DUMMYFUNCTION("""COMPUTED_VALUE"""),"N")</f>
        <v>N</v>
      </c>
      <c r="H88" s="3" t="str">
        <f>IFERROR(__xludf.DUMMYFUNCTION("""COMPUTED_VALUE"""),"N")</f>
        <v>N</v>
      </c>
      <c r="I88" s="3" t="str">
        <f>IFERROR(__xludf.DUMMYFUNCTION("""COMPUTED_VALUE"""),"Y")</f>
        <v>Y</v>
      </c>
      <c r="J88" s="3" t="str">
        <f>IFERROR(__xludf.DUMMYFUNCTION("""COMPUTED_VALUE"""),"Y")</f>
        <v>Y</v>
      </c>
      <c r="K88" s="3" t="str">
        <f>IFERROR(__xludf.DUMMYFUNCTION("""COMPUTED_VALUE"""),"Y")</f>
        <v>Y</v>
      </c>
      <c r="L88" s="3" t="str">
        <f>IFERROR(__xludf.DUMMYFUNCTION("""COMPUTED_VALUE"""),"Districtwide")</f>
        <v>Districtwide</v>
      </c>
      <c r="M88" s="3" t="str">
        <f>IFERROR(__xludf.DUMMYFUNCTION("""COMPUTED_VALUE"""),"N")</f>
        <v>N</v>
      </c>
      <c r="N88" s="3" t="str">
        <f>IFERROR(__xludf.DUMMYFUNCTION("""COMPUTED_VALUE"""),"N")</f>
        <v>N</v>
      </c>
      <c r="O88" s="3" t="str">
        <f>IFERROR(__xludf.DUMMYFUNCTION("""COMPUTED_VALUE"""),"Small Rural")</f>
        <v>Small Rural</v>
      </c>
    </row>
    <row r="89">
      <c r="A89" s="2" t="str">
        <f>IFERROR(__xludf.DUMMYFUNCTION("""COMPUTED_VALUE"""),"1520")</f>
        <v>1520</v>
      </c>
      <c r="B89" s="2" t="str">
        <f>IFERROR(__xludf.DUMMYFUNCTION("""COMPUTED_VALUE"""),"DURANGO 9-R")</f>
        <v>DURANGO 9-R</v>
      </c>
      <c r="C89" s="2" t="str">
        <f>IFERROR(__xludf.DUMMYFUNCTION("""COMPUTED_VALUE"""),"Public")</f>
        <v>Public</v>
      </c>
      <c r="D89" s="3">
        <f>IFERROR(__xludf.DUMMYFUNCTION("""COMPUTED_VALUE"""),14.0)</f>
        <v>14</v>
      </c>
      <c r="E89" s="3" t="str">
        <f>IFERROR(__xludf.DUMMYFUNCTION("""COMPUTED_VALUE"""),"Y")</f>
        <v>Y</v>
      </c>
      <c r="F89" s="3" t="str">
        <f>IFERROR(__xludf.DUMMYFUNCTION("""COMPUTED_VALUE"""),"Y")</f>
        <v>Y</v>
      </c>
      <c r="G89" s="3" t="str">
        <f>IFERROR(__xludf.DUMMYFUNCTION("""COMPUTED_VALUE"""),"N")</f>
        <v>N</v>
      </c>
      <c r="H89" s="3" t="str">
        <f>IFERROR(__xludf.DUMMYFUNCTION("""COMPUTED_VALUE"""),"Y")</f>
        <v>Y</v>
      </c>
      <c r="I89" s="3" t="str">
        <f>IFERROR(__xludf.DUMMYFUNCTION("""COMPUTED_VALUE"""),"Y")</f>
        <v>Y</v>
      </c>
      <c r="J89" s="3" t="str">
        <f>IFERROR(__xludf.DUMMYFUNCTION("""COMPUTED_VALUE"""),"Y")</f>
        <v>Y</v>
      </c>
      <c r="K89" s="3" t="str">
        <f>IFERROR(__xludf.DUMMYFUNCTION("""COMPUTED_VALUE"""),"Y")</f>
        <v>Y</v>
      </c>
      <c r="L89" s="3" t="str">
        <f>IFERROR(__xludf.DUMMYFUNCTION("""COMPUTED_VALUE"""),"Y")</f>
        <v>Y</v>
      </c>
      <c r="M89" s="3" t="str">
        <f>IFERROR(__xludf.DUMMYFUNCTION("""COMPUTED_VALUE"""),"N")</f>
        <v>N</v>
      </c>
      <c r="N89" s="3" t="str">
        <f>IFERROR(__xludf.DUMMYFUNCTION("""COMPUTED_VALUE"""),"N")</f>
        <v>N</v>
      </c>
      <c r="O89" s="3" t="str">
        <f>IFERROR(__xludf.DUMMYFUNCTION("""COMPUTED_VALUE"""),"Rural")</f>
        <v>Rural</v>
      </c>
    </row>
    <row r="90">
      <c r="A90" s="2" t="str">
        <f>IFERROR(__xludf.DUMMYFUNCTION("""COMPUTED_VALUE"""),"1530")</f>
        <v>1530</v>
      </c>
      <c r="B90" s="2" t="str">
        <f>IFERROR(__xludf.DUMMYFUNCTION("""COMPUTED_VALUE"""),"BAYFIELD 10 JT-R")</f>
        <v>BAYFIELD 10 JT-R</v>
      </c>
      <c r="C90" s="2" t="str">
        <f>IFERROR(__xludf.DUMMYFUNCTION("""COMPUTED_VALUE"""),"Public")</f>
        <v>Public</v>
      </c>
      <c r="D90" s="3">
        <f>IFERROR(__xludf.DUMMYFUNCTION("""COMPUTED_VALUE"""),4.0)</f>
        <v>4</v>
      </c>
      <c r="E90" s="3" t="str">
        <f>IFERROR(__xludf.DUMMYFUNCTION("""COMPUTED_VALUE"""),"Y")</f>
        <v>Y</v>
      </c>
      <c r="F90" s="3" t="str">
        <f>IFERROR(__xludf.DUMMYFUNCTION("""COMPUTED_VALUE"""),"Y")</f>
        <v>Y</v>
      </c>
      <c r="G90" s="3" t="str">
        <f>IFERROR(__xludf.DUMMYFUNCTION("""COMPUTED_VALUE"""),"N")</f>
        <v>N</v>
      </c>
      <c r="H90" s="3" t="str">
        <f>IFERROR(__xludf.DUMMYFUNCTION("""COMPUTED_VALUE"""),"N")</f>
        <v>N</v>
      </c>
      <c r="I90" s="3" t="str">
        <f>IFERROR(__xludf.DUMMYFUNCTION("""COMPUTED_VALUE"""),"N")</f>
        <v>N</v>
      </c>
      <c r="J90" s="3" t="str">
        <f>IFERROR(__xludf.DUMMYFUNCTION("""COMPUTED_VALUE"""),"N")</f>
        <v>N</v>
      </c>
      <c r="K90" s="3" t="str">
        <f>IFERROR(__xludf.DUMMYFUNCTION("""COMPUTED_VALUE"""),"Y")</f>
        <v>Y</v>
      </c>
      <c r="L90" s="3" t="str">
        <f>IFERROR(__xludf.DUMMYFUNCTION("""COMPUTED_VALUE"""),"Districtwide")</f>
        <v>Districtwide</v>
      </c>
      <c r="M90" s="3" t="str">
        <f>IFERROR(__xludf.DUMMYFUNCTION("""COMPUTED_VALUE"""),"N")</f>
        <v>N</v>
      </c>
      <c r="N90" s="3" t="str">
        <f>IFERROR(__xludf.DUMMYFUNCTION("""COMPUTED_VALUE"""),"N")</f>
        <v>N</v>
      </c>
      <c r="O90" s="3" t="str">
        <f>IFERROR(__xludf.DUMMYFUNCTION("""COMPUTED_VALUE"""),"Rural")</f>
        <v>Rural</v>
      </c>
    </row>
    <row r="91">
      <c r="A91" s="2" t="str">
        <f>IFERROR(__xludf.DUMMYFUNCTION("""COMPUTED_VALUE"""),"1540")</f>
        <v>1540</v>
      </c>
      <c r="B91" s="2" t="str">
        <f>IFERROR(__xludf.DUMMYFUNCTION("""COMPUTED_VALUE"""),"IGNACIO 11 JT")</f>
        <v>IGNACIO 11 JT</v>
      </c>
      <c r="C91" s="2" t="str">
        <f>IFERROR(__xludf.DUMMYFUNCTION("""COMPUTED_VALUE"""),"Public")</f>
        <v>Public</v>
      </c>
      <c r="D91" s="3">
        <f>IFERROR(__xludf.DUMMYFUNCTION("""COMPUTED_VALUE"""),5.0)</f>
        <v>5</v>
      </c>
      <c r="E91" s="3" t="str">
        <f>IFERROR(__xludf.DUMMYFUNCTION("""COMPUTED_VALUE"""),"Y")</f>
        <v>Y</v>
      </c>
      <c r="F91" s="3" t="str">
        <f>IFERROR(__xludf.DUMMYFUNCTION("""COMPUTED_VALUE"""),"Y")</f>
        <v>Y</v>
      </c>
      <c r="G91" s="3" t="str">
        <f>IFERROR(__xludf.DUMMYFUNCTION("""COMPUTED_VALUE"""),"N")</f>
        <v>N</v>
      </c>
      <c r="H91" s="3" t="str">
        <f>IFERROR(__xludf.DUMMYFUNCTION("""COMPUTED_VALUE"""),"N")</f>
        <v>N</v>
      </c>
      <c r="I91" s="3" t="str">
        <f>IFERROR(__xludf.DUMMYFUNCTION("""COMPUTED_VALUE"""),"N")</f>
        <v>N</v>
      </c>
      <c r="J91" s="3" t="str">
        <f>IFERROR(__xludf.DUMMYFUNCTION("""COMPUTED_VALUE"""),"N")</f>
        <v>N</v>
      </c>
      <c r="K91" s="3" t="str">
        <f>IFERROR(__xludf.DUMMYFUNCTION("""COMPUTED_VALUE"""),"Y")</f>
        <v>Y</v>
      </c>
      <c r="L91" s="3" t="str">
        <f>IFERROR(__xludf.DUMMYFUNCTION("""COMPUTED_VALUE"""),"Y")</f>
        <v>Y</v>
      </c>
      <c r="M91" s="3" t="str">
        <f>IFERROR(__xludf.DUMMYFUNCTION("""COMPUTED_VALUE"""),"N")</f>
        <v>N</v>
      </c>
      <c r="N91" s="3" t="str">
        <f>IFERROR(__xludf.DUMMYFUNCTION("""COMPUTED_VALUE"""),"N")</f>
        <v>N</v>
      </c>
      <c r="O91" s="3" t="str">
        <f>IFERROR(__xludf.DUMMYFUNCTION("""COMPUTED_VALUE"""),"Small Rural")</f>
        <v>Small Rural</v>
      </c>
    </row>
    <row r="92">
      <c r="A92" s="2" t="str">
        <f>IFERROR(__xludf.DUMMYFUNCTION("""COMPUTED_VALUE"""),"1550")</f>
        <v>1550</v>
      </c>
      <c r="B92" s="2" t="str">
        <f>IFERROR(__xludf.DUMMYFUNCTION("""COMPUTED_VALUE"""),"POUDRE R-1")</f>
        <v>POUDRE R-1</v>
      </c>
      <c r="C92" s="2" t="str">
        <f>IFERROR(__xludf.DUMMYFUNCTION("""COMPUTED_VALUE"""),"Public")</f>
        <v>Public</v>
      </c>
      <c r="D92" s="3">
        <f>IFERROR(__xludf.DUMMYFUNCTION("""COMPUTED_VALUE"""),47.0)</f>
        <v>47</v>
      </c>
      <c r="E92" s="3" t="str">
        <f>IFERROR(__xludf.DUMMYFUNCTION("""COMPUTED_VALUE"""),"Y")</f>
        <v>Y</v>
      </c>
      <c r="F92" s="3" t="str">
        <f>IFERROR(__xludf.DUMMYFUNCTION("""COMPUTED_VALUE"""),"Y")</f>
        <v>Y</v>
      </c>
      <c r="G92" s="3" t="str">
        <f>IFERROR(__xludf.DUMMYFUNCTION("""COMPUTED_VALUE"""),"N")</f>
        <v>N</v>
      </c>
      <c r="H92" s="3" t="str">
        <f>IFERROR(__xludf.DUMMYFUNCTION("""COMPUTED_VALUE"""),"N")</f>
        <v>N</v>
      </c>
      <c r="I92" s="3" t="str">
        <f>IFERROR(__xludf.DUMMYFUNCTION("""COMPUTED_VALUE"""),"N")</f>
        <v>N</v>
      </c>
      <c r="J92" s="3" t="str">
        <f>IFERROR(__xludf.DUMMYFUNCTION("""COMPUTED_VALUE"""),"Y")</f>
        <v>Y</v>
      </c>
      <c r="K92" s="3" t="str">
        <f>IFERROR(__xludf.DUMMYFUNCTION("""COMPUTED_VALUE"""),"Y")</f>
        <v>Y</v>
      </c>
      <c r="L92" s="3" t="str">
        <f>IFERROR(__xludf.DUMMYFUNCTION("""COMPUTED_VALUE"""),"Y")</f>
        <v>Y</v>
      </c>
      <c r="M92" s="3" t="str">
        <f>IFERROR(__xludf.DUMMYFUNCTION("""COMPUTED_VALUE"""),"N")</f>
        <v>N</v>
      </c>
      <c r="N92" s="3" t="str">
        <f>IFERROR(__xludf.DUMMYFUNCTION("""COMPUTED_VALUE"""),"N")</f>
        <v>N</v>
      </c>
      <c r="O92" s="3" t="str">
        <f>IFERROR(__xludf.DUMMYFUNCTION("""COMPUTED_VALUE"""),"none")</f>
        <v>none</v>
      </c>
    </row>
    <row r="93">
      <c r="A93" s="2" t="str">
        <f>IFERROR(__xludf.DUMMYFUNCTION("""COMPUTED_VALUE"""),"1560")</f>
        <v>1560</v>
      </c>
      <c r="B93" s="2" t="str">
        <f>IFERROR(__xludf.DUMMYFUNCTION("""COMPUTED_VALUE"""),"THOMPSON R2-J")</f>
        <v>THOMPSON R2-J</v>
      </c>
      <c r="C93" s="2" t="str">
        <f>IFERROR(__xludf.DUMMYFUNCTION("""COMPUTED_VALUE"""),"Public")</f>
        <v>Public</v>
      </c>
      <c r="D93" s="3">
        <f>IFERROR(__xludf.DUMMYFUNCTION("""COMPUTED_VALUE"""),31.0)</f>
        <v>31</v>
      </c>
      <c r="E93" s="3" t="str">
        <f>IFERROR(__xludf.DUMMYFUNCTION("""COMPUTED_VALUE"""),"Y")</f>
        <v>Y</v>
      </c>
      <c r="F93" s="3" t="str">
        <f>IFERROR(__xludf.DUMMYFUNCTION("""COMPUTED_VALUE"""),"Y")</f>
        <v>Y</v>
      </c>
      <c r="G93" s="3" t="str">
        <f>IFERROR(__xludf.DUMMYFUNCTION("""COMPUTED_VALUE"""),"N")</f>
        <v>N</v>
      </c>
      <c r="H93" s="3" t="str">
        <f>IFERROR(__xludf.DUMMYFUNCTION("""COMPUTED_VALUE"""),"N")</f>
        <v>N</v>
      </c>
      <c r="I93" s="3" t="str">
        <f>IFERROR(__xludf.DUMMYFUNCTION("""COMPUTED_VALUE"""),"N")</f>
        <v>N</v>
      </c>
      <c r="J93" s="3" t="str">
        <f>IFERROR(__xludf.DUMMYFUNCTION("""COMPUTED_VALUE"""),"Y")</f>
        <v>Y</v>
      </c>
      <c r="K93" s="3" t="str">
        <f>IFERROR(__xludf.DUMMYFUNCTION("""COMPUTED_VALUE"""),"Y")</f>
        <v>Y</v>
      </c>
      <c r="L93" s="3" t="str">
        <f>IFERROR(__xludf.DUMMYFUNCTION("""COMPUTED_VALUE"""),"Y")</f>
        <v>Y</v>
      </c>
      <c r="M93" s="3" t="str">
        <f>IFERROR(__xludf.DUMMYFUNCTION("""COMPUTED_VALUE"""),"N")</f>
        <v>N</v>
      </c>
      <c r="N93" s="3" t="str">
        <f>IFERROR(__xludf.DUMMYFUNCTION("""COMPUTED_VALUE"""),"N")</f>
        <v>N</v>
      </c>
      <c r="O93" s="3" t="str">
        <f>IFERROR(__xludf.DUMMYFUNCTION("""COMPUTED_VALUE"""),"none")</f>
        <v>none</v>
      </c>
    </row>
    <row r="94">
      <c r="A94" s="2" t="str">
        <f>IFERROR(__xludf.DUMMYFUNCTION("""COMPUTED_VALUE"""),"1570")</f>
        <v>1570</v>
      </c>
      <c r="B94" s="2" t="str">
        <f>IFERROR(__xludf.DUMMYFUNCTION("""COMPUTED_VALUE"""),"ESTES PARK R-3 SCHOOL DISTRICT")</f>
        <v>ESTES PARK R-3 SCHOOL DISTRICT</v>
      </c>
      <c r="C94" s="2" t="str">
        <f>IFERROR(__xludf.DUMMYFUNCTION("""COMPUTED_VALUE"""),"Public")</f>
        <v>Public</v>
      </c>
      <c r="D94" s="3">
        <f>IFERROR(__xludf.DUMMYFUNCTION("""COMPUTED_VALUE"""),3.0)</f>
        <v>3</v>
      </c>
      <c r="E94" s="3" t="str">
        <f>IFERROR(__xludf.DUMMYFUNCTION("""COMPUTED_VALUE"""),"Y")</f>
        <v>Y</v>
      </c>
      <c r="F94" s="3" t="str">
        <f>IFERROR(__xludf.DUMMYFUNCTION("""COMPUTED_VALUE"""),"Y")</f>
        <v>Y</v>
      </c>
      <c r="G94" s="3" t="str">
        <f>IFERROR(__xludf.DUMMYFUNCTION("""COMPUTED_VALUE"""),"N")</f>
        <v>N</v>
      </c>
      <c r="H94" s="3" t="str">
        <f>IFERROR(__xludf.DUMMYFUNCTION("""COMPUTED_VALUE"""),"Y")</f>
        <v>Y</v>
      </c>
      <c r="I94" s="3" t="str">
        <f>IFERROR(__xludf.DUMMYFUNCTION("""COMPUTED_VALUE"""),"N")</f>
        <v>N</v>
      </c>
      <c r="J94" s="3" t="str">
        <f>IFERROR(__xludf.DUMMYFUNCTION("""COMPUTED_VALUE"""),"Y")</f>
        <v>Y</v>
      </c>
      <c r="K94" s="3" t="str">
        <f>IFERROR(__xludf.DUMMYFUNCTION("""COMPUTED_VALUE"""),"Y")</f>
        <v>Y</v>
      </c>
      <c r="L94" s="3" t="str">
        <f>IFERROR(__xludf.DUMMYFUNCTION("""COMPUTED_VALUE"""),"Districtwide")</f>
        <v>Districtwide</v>
      </c>
      <c r="M94" s="3" t="str">
        <f>IFERROR(__xludf.DUMMYFUNCTION("""COMPUTED_VALUE"""),"N")</f>
        <v>N</v>
      </c>
      <c r="N94" s="3" t="str">
        <f>IFERROR(__xludf.DUMMYFUNCTION("""COMPUTED_VALUE"""),"N")</f>
        <v>N</v>
      </c>
      <c r="O94" s="3" t="str">
        <f>IFERROR(__xludf.DUMMYFUNCTION("""COMPUTED_VALUE"""),"Rural")</f>
        <v>Rural</v>
      </c>
    </row>
    <row r="95">
      <c r="A95" s="2" t="str">
        <f>IFERROR(__xludf.DUMMYFUNCTION("""COMPUTED_VALUE"""),"1580")</f>
        <v>1580</v>
      </c>
      <c r="B95" s="2" t="str">
        <f>IFERROR(__xludf.DUMMYFUNCTION("""COMPUTED_VALUE"""),"TRINIDAD 1")</f>
        <v>TRINIDAD 1</v>
      </c>
      <c r="C95" s="2" t="str">
        <f>IFERROR(__xludf.DUMMYFUNCTION("""COMPUTED_VALUE"""),"Public")</f>
        <v>Public</v>
      </c>
      <c r="D95" s="3">
        <f>IFERROR(__xludf.DUMMYFUNCTION("""COMPUTED_VALUE"""),3.0)</f>
        <v>3</v>
      </c>
      <c r="E95" s="3" t="str">
        <f>IFERROR(__xludf.DUMMYFUNCTION("""COMPUTED_VALUE"""),"Y")</f>
        <v>Y</v>
      </c>
      <c r="F95" s="3" t="str">
        <f>IFERROR(__xludf.DUMMYFUNCTION("""COMPUTED_VALUE"""),"Y")</f>
        <v>Y</v>
      </c>
      <c r="G95" s="3" t="str">
        <f>IFERROR(__xludf.DUMMYFUNCTION("""COMPUTED_VALUE"""),"N")</f>
        <v>N</v>
      </c>
      <c r="H95" s="3" t="str">
        <f>IFERROR(__xludf.DUMMYFUNCTION("""COMPUTED_VALUE"""),"N")</f>
        <v>N</v>
      </c>
      <c r="I95" s="3" t="str">
        <f>IFERROR(__xludf.DUMMYFUNCTION("""COMPUTED_VALUE"""),"N")</f>
        <v>N</v>
      </c>
      <c r="J95" s="3" t="str">
        <f>IFERROR(__xludf.DUMMYFUNCTION("""COMPUTED_VALUE"""),"Y")</f>
        <v>Y</v>
      </c>
      <c r="K95" s="3" t="str">
        <f>IFERROR(__xludf.DUMMYFUNCTION("""COMPUTED_VALUE"""),"Y")</f>
        <v>Y</v>
      </c>
      <c r="L95" s="3" t="str">
        <f>IFERROR(__xludf.DUMMYFUNCTION("""COMPUTED_VALUE"""),"Districtwide")</f>
        <v>Districtwide</v>
      </c>
      <c r="M95" s="3" t="str">
        <f>IFERROR(__xludf.DUMMYFUNCTION("""COMPUTED_VALUE"""),"N")</f>
        <v>N</v>
      </c>
      <c r="N95" s="3" t="str">
        <f>IFERROR(__xludf.DUMMYFUNCTION("""COMPUTED_VALUE"""),"N")</f>
        <v>N</v>
      </c>
      <c r="O95" s="3" t="str">
        <f>IFERROR(__xludf.DUMMYFUNCTION("""COMPUTED_VALUE"""),"Small Rural")</f>
        <v>Small Rural</v>
      </c>
    </row>
    <row r="96">
      <c r="A96" s="2" t="str">
        <f>IFERROR(__xludf.DUMMYFUNCTION("""COMPUTED_VALUE"""),"1590")</f>
        <v>1590</v>
      </c>
      <c r="B96" s="2" t="str">
        <f>IFERROR(__xludf.DUMMYFUNCTION("""COMPUTED_VALUE"""),"PRIMERO REORGANIZED 2")</f>
        <v>PRIMERO REORGANIZED 2</v>
      </c>
      <c r="C96" s="2" t="str">
        <f>IFERROR(__xludf.DUMMYFUNCTION("""COMPUTED_VALUE"""),"Public")</f>
        <v>Public</v>
      </c>
      <c r="D96" s="3">
        <f>IFERROR(__xludf.DUMMYFUNCTION("""COMPUTED_VALUE"""),2.0)</f>
        <v>2</v>
      </c>
      <c r="E96" s="3" t="str">
        <f>IFERROR(__xludf.DUMMYFUNCTION("""COMPUTED_VALUE"""),"Y")</f>
        <v>Y</v>
      </c>
      <c r="F96" s="3" t="str">
        <f>IFERROR(__xludf.DUMMYFUNCTION("""COMPUTED_VALUE"""),"Y")</f>
        <v>Y</v>
      </c>
      <c r="G96" s="3" t="str">
        <f>IFERROR(__xludf.DUMMYFUNCTION("""COMPUTED_VALUE"""),"N")</f>
        <v>N</v>
      </c>
      <c r="H96" s="3" t="str">
        <f>IFERROR(__xludf.DUMMYFUNCTION("""COMPUTED_VALUE"""),"N")</f>
        <v>N</v>
      </c>
      <c r="I96" s="3" t="str">
        <f>IFERROR(__xludf.DUMMYFUNCTION("""COMPUTED_VALUE"""),"N")</f>
        <v>N</v>
      </c>
      <c r="J96" s="3" t="str">
        <f>IFERROR(__xludf.DUMMYFUNCTION("""COMPUTED_VALUE"""),"N")</f>
        <v>N</v>
      </c>
      <c r="K96" s="3" t="str">
        <f>IFERROR(__xludf.DUMMYFUNCTION("""COMPUTED_VALUE"""),"Y")</f>
        <v>Y</v>
      </c>
      <c r="L96" s="3" t="str">
        <f>IFERROR(__xludf.DUMMYFUNCTION("""COMPUTED_VALUE"""),"N")</f>
        <v>N</v>
      </c>
      <c r="M96" s="3" t="str">
        <f>IFERROR(__xludf.DUMMYFUNCTION("""COMPUTED_VALUE"""),"Provision 2")</f>
        <v>Provision 2</v>
      </c>
      <c r="N96" s="3" t="str">
        <f>IFERROR(__xludf.DUMMYFUNCTION("""COMPUTED_VALUE"""),"N")</f>
        <v>N</v>
      </c>
      <c r="O96" s="3" t="str">
        <f>IFERROR(__xludf.DUMMYFUNCTION("""COMPUTED_VALUE"""),"Small Rural")</f>
        <v>Small Rural</v>
      </c>
    </row>
    <row r="97">
      <c r="A97" s="2" t="str">
        <f>IFERROR(__xludf.DUMMYFUNCTION("""COMPUTED_VALUE"""),"1600")</f>
        <v>1600</v>
      </c>
      <c r="B97" s="2" t="str">
        <f>IFERROR(__xludf.DUMMYFUNCTION("""COMPUTED_VALUE"""),"HOEHNE REORGANIZED 3")</f>
        <v>HOEHNE REORGANIZED 3</v>
      </c>
      <c r="C97" s="2" t="str">
        <f>IFERROR(__xludf.DUMMYFUNCTION("""COMPUTED_VALUE"""),"Public")</f>
        <v>Public</v>
      </c>
      <c r="D97" s="3">
        <f>IFERROR(__xludf.DUMMYFUNCTION("""COMPUTED_VALUE"""),1.0)</f>
        <v>1</v>
      </c>
      <c r="E97" s="3" t="str">
        <f>IFERROR(__xludf.DUMMYFUNCTION("""COMPUTED_VALUE"""),"Y")</f>
        <v>Y</v>
      </c>
      <c r="F97" s="3" t="str">
        <f>IFERROR(__xludf.DUMMYFUNCTION("""COMPUTED_VALUE"""),"Y")</f>
        <v>Y</v>
      </c>
      <c r="G97" s="3" t="str">
        <f>IFERROR(__xludf.DUMMYFUNCTION("""COMPUTED_VALUE"""),"N")</f>
        <v>N</v>
      </c>
      <c r="H97" s="3" t="str">
        <f>IFERROR(__xludf.DUMMYFUNCTION("""COMPUTED_VALUE"""),"N")</f>
        <v>N</v>
      </c>
      <c r="I97" s="3" t="str">
        <f>IFERROR(__xludf.DUMMYFUNCTION("""COMPUTED_VALUE"""),"N")</f>
        <v>N</v>
      </c>
      <c r="J97" s="3" t="str">
        <f>IFERROR(__xludf.DUMMYFUNCTION("""COMPUTED_VALUE"""),"N")</f>
        <v>N</v>
      </c>
      <c r="K97" s="3" t="str">
        <f>IFERROR(__xludf.DUMMYFUNCTION("""COMPUTED_VALUE"""),"Y")</f>
        <v>Y</v>
      </c>
      <c r="L97" s="3" t="str">
        <f>IFERROR(__xludf.DUMMYFUNCTION("""COMPUTED_VALUE"""),"N")</f>
        <v>N</v>
      </c>
      <c r="M97" s="3" t="str">
        <f>IFERROR(__xludf.DUMMYFUNCTION("""COMPUTED_VALUE"""),"N")</f>
        <v>N</v>
      </c>
      <c r="N97" s="3" t="str">
        <f>IFERROR(__xludf.DUMMYFUNCTION("""COMPUTED_VALUE"""),"N")</f>
        <v>N</v>
      </c>
      <c r="O97" s="3" t="str">
        <f>IFERROR(__xludf.DUMMYFUNCTION("""COMPUTED_VALUE"""),"Small Rural")</f>
        <v>Small Rural</v>
      </c>
    </row>
    <row r="98">
      <c r="A98" s="2" t="str">
        <f>IFERROR(__xludf.DUMMYFUNCTION("""COMPUTED_VALUE"""),"1620")</f>
        <v>1620</v>
      </c>
      <c r="B98" s="2" t="str">
        <f>IFERROR(__xludf.DUMMYFUNCTION("""COMPUTED_VALUE"""),"AGUILAR REORGANIZED 6")</f>
        <v>AGUILAR REORGANIZED 6</v>
      </c>
      <c r="C98" s="2" t="str">
        <f>IFERROR(__xludf.DUMMYFUNCTION("""COMPUTED_VALUE"""),"Public")</f>
        <v>Public</v>
      </c>
      <c r="D98" s="3">
        <f>IFERROR(__xludf.DUMMYFUNCTION("""COMPUTED_VALUE"""),2.0)</f>
        <v>2</v>
      </c>
      <c r="E98" s="3" t="str">
        <f>IFERROR(__xludf.DUMMYFUNCTION("""COMPUTED_VALUE"""),"Y")</f>
        <v>Y</v>
      </c>
      <c r="F98" s="3" t="str">
        <f>IFERROR(__xludf.DUMMYFUNCTION("""COMPUTED_VALUE"""),"Y")</f>
        <v>Y</v>
      </c>
      <c r="G98" s="3" t="str">
        <f>IFERROR(__xludf.DUMMYFUNCTION("""COMPUTED_VALUE"""),"N")</f>
        <v>N</v>
      </c>
      <c r="H98" s="3" t="str">
        <f>IFERROR(__xludf.DUMMYFUNCTION("""COMPUTED_VALUE"""),"N")</f>
        <v>N</v>
      </c>
      <c r="I98" s="3" t="str">
        <f>IFERROR(__xludf.DUMMYFUNCTION("""COMPUTED_VALUE"""),"N")</f>
        <v>N</v>
      </c>
      <c r="J98" s="3" t="str">
        <f>IFERROR(__xludf.DUMMYFUNCTION("""COMPUTED_VALUE"""),"N")</f>
        <v>N</v>
      </c>
      <c r="K98" s="3" t="str">
        <f>IFERROR(__xludf.DUMMYFUNCTION("""COMPUTED_VALUE"""),"Y")</f>
        <v>Y</v>
      </c>
      <c r="L98" s="3" t="str">
        <f>IFERROR(__xludf.DUMMYFUNCTION("""COMPUTED_VALUE"""),"Districtwide")</f>
        <v>Districtwide</v>
      </c>
      <c r="M98" s="3" t="str">
        <f>IFERROR(__xludf.DUMMYFUNCTION("""COMPUTED_VALUE"""),"N")</f>
        <v>N</v>
      </c>
      <c r="N98" s="3" t="str">
        <f>IFERROR(__xludf.DUMMYFUNCTION("""COMPUTED_VALUE"""),"N")</f>
        <v>N</v>
      </c>
      <c r="O98" s="3" t="str">
        <f>IFERROR(__xludf.DUMMYFUNCTION("""COMPUTED_VALUE"""),"Small Rural")</f>
        <v>Small Rural</v>
      </c>
    </row>
    <row r="99">
      <c r="A99" s="2" t="str">
        <f>IFERROR(__xludf.DUMMYFUNCTION("""COMPUTED_VALUE"""),"1750")</f>
        <v>1750</v>
      </c>
      <c r="B99" s="2" t="str">
        <f>IFERROR(__xludf.DUMMYFUNCTION("""COMPUTED_VALUE"""),"BRANSON REORGANIZED 82")</f>
        <v>BRANSON REORGANIZED 82</v>
      </c>
      <c r="C99" s="2" t="str">
        <f>IFERROR(__xludf.DUMMYFUNCTION("""COMPUTED_VALUE"""),"Public")</f>
        <v>Public</v>
      </c>
      <c r="D99" s="3">
        <f>IFERROR(__xludf.DUMMYFUNCTION("""COMPUTED_VALUE"""),1.0)</f>
        <v>1</v>
      </c>
      <c r="E99" s="3" t="str">
        <f>IFERROR(__xludf.DUMMYFUNCTION("""COMPUTED_VALUE"""),"Y")</f>
        <v>Y</v>
      </c>
      <c r="F99" s="3" t="str">
        <f>IFERROR(__xludf.DUMMYFUNCTION("""COMPUTED_VALUE"""),"Y")</f>
        <v>Y</v>
      </c>
      <c r="G99" s="3" t="str">
        <f>IFERROR(__xludf.DUMMYFUNCTION("""COMPUTED_VALUE"""),"N")</f>
        <v>N</v>
      </c>
      <c r="H99" s="3" t="str">
        <f>IFERROR(__xludf.DUMMYFUNCTION("""COMPUTED_VALUE"""),"N")</f>
        <v>N</v>
      </c>
      <c r="I99" s="3" t="str">
        <f>IFERROR(__xludf.DUMMYFUNCTION("""COMPUTED_VALUE"""),"Y")</f>
        <v>Y</v>
      </c>
      <c r="J99" s="3" t="str">
        <f>IFERROR(__xludf.DUMMYFUNCTION("""COMPUTED_VALUE"""),"N")</f>
        <v>N</v>
      </c>
      <c r="K99" s="3" t="str">
        <f>IFERROR(__xludf.DUMMYFUNCTION("""COMPUTED_VALUE"""),"Y")</f>
        <v>Y</v>
      </c>
      <c r="L99" s="3" t="str">
        <f>IFERROR(__xludf.DUMMYFUNCTION("""COMPUTED_VALUE"""),"Districtwide")</f>
        <v>Districtwide</v>
      </c>
      <c r="M99" s="3" t="str">
        <f>IFERROR(__xludf.DUMMYFUNCTION("""COMPUTED_VALUE"""),"N")</f>
        <v>N</v>
      </c>
      <c r="N99" s="3" t="str">
        <f>IFERROR(__xludf.DUMMYFUNCTION("""COMPUTED_VALUE"""),"N")</f>
        <v>N</v>
      </c>
      <c r="O99" s="3" t="str">
        <f>IFERROR(__xludf.DUMMYFUNCTION("""COMPUTED_VALUE"""),"Small Rural")</f>
        <v>Small Rural</v>
      </c>
    </row>
    <row r="100">
      <c r="A100" s="2" t="str">
        <f>IFERROR(__xludf.DUMMYFUNCTION("""COMPUTED_VALUE"""),"1760")</f>
        <v>1760</v>
      </c>
      <c r="B100" s="2" t="str">
        <f>IFERROR(__xludf.DUMMYFUNCTION("""COMPUTED_VALUE"""),"KIM REORGANIZED 88")</f>
        <v>KIM REORGANIZED 88</v>
      </c>
      <c r="C100" s="2" t="str">
        <f>IFERROR(__xludf.DUMMYFUNCTION("""COMPUTED_VALUE"""),"Public")</f>
        <v>Public</v>
      </c>
      <c r="D100" s="3">
        <f>IFERROR(__xludf.DUMMYFUNCTION("""COMPUTED_VALUE"""),2.0)</f>
        <v>2</v>
      </c>
      <c r="E100" s="3" t="str">
        <f>IFERROR(__xludf.DUMMYFUNCTION("""COMPUTED_VALUE"""),"Y")</f>
        <v>Y</v>
      </c>
      <c r="F100" s="3" t="str">
        <f>IFERROR(__xludf.DUMMYFUNCTION("""COMPUTED_VALUE"""),"Y")</f>
        <v>Y</v>
      </c>
      <c r="G100" s="3" t="str">
        <f>IFERROR(__xludf.DUMMYFUNCTION("""COMPUTED_VALUE"""),"N")</f>
        <v>N</v>
      </c>
      <c r="H100" s="3" t="str">
        <f>IFERROR(__xludf.DUMMYFUNCTION("""COMPUTED_VALUE"""),"N")</f>
        <v>N</v>
      </c>
      <c r="I100" s="3" t="str">
        <f>IFERROR(__xludf.DUMMYFUNCTION("""COMPUTED_VALUE"""),"N")</f>
        <v>N</v>
      </c>
      <c r="J100" s="3" t="str">
        <f>IFERROR(__xludf.DUMMYFUNCTION("""COMPUTED_VALUE"""),"N")</f>
        <v>N</v>
      </c>
      <c r="K100" s="3" t="str">
        <f>IFERROR(__xludf.DUMMYFUNCTION("""COMPUTED_VALUE"""),"Y")</f>
        <v>Y</v>
      </c>
      <c r="L100" s="3" t="str">
        <f>IFERROR(__xludf.DUMMYFUNCTION("""COMPUTED_VALUE"""),"Y")</f>
        <v>Y</v>
      </c>
      <c r="M100" s="3" t="str">
        <f>IFERROR(__xludf.DUMMYFUNCTION("""COMPUTED_VALUE"""),"Provision 2")</f>
        <v>Provision 2</v>
      </c>
      <c r="N100" s="3" t="str">
        <f>IFERROR(__xludf.DUMMYFUNCTION("""COMPUTED_VALUE"""),"N")</f>
        <v>N</v>
      </c>
      <c r="O100" s="3" t="str">
        <f>IFERROR(__xludf.DUMMYFUNCTION("""COMPUTED_VALUE"""),"Small Rural")</f>
        <v>Small Rural</v>
      </c>
    </row>
    <row r="101">
      <c r="A101" s="2" t="str">
        <f>IFERROR(__xludf.DUMMYFUNCTION("""COMPUTED_VALUE"""),"1780")</f>
        <v>1780</v>
      </c>
      <c r="B101" s="2" t="str">
        <f>IFERROR(__xludf.DUMMYFUNCTION("""COMPUTED_VALUE"""),"GENOA-HUGO C113")</f>
        <v>GENOA-HUGO C113</v>
      </c>
      <c r="C101" s="2" t="str">
        <f>IFERROR(__xludf.DUMMYFUNCTION("""COMPUTED_VALUE"""),"Public")</f>
        <v>Public</v>
      </c>
      <c r="D101" s="3">
        <f>IFERROR(__xludf.DUMMYFUNCTION("""COMPUTED_VALUE"""),1.0)</f>
        <v>1</v>
      </c>
      <c r="E101" s="3" t="str">
        <f>IFERROR(__xludf.DUMMYFUNCTION("""COMPUTED_VALUE"""),"Y")</f>
        <v>Y</v>
      </c>
      <c r="F101" s="3" t="str">
        <f>IFERROR(__xludf.DUMMYFUNCTION("""COMPUTED_VALUE"""),"Y")</f>
        <v>Y</v>
      </c>
      <c r="G101" s="3" t="str">
        <f>IFERROR(__xludf.DUMMYFUNCTION("""COMPUTED_VALUE"""),"N")</f>
        <v>N</v>
      </c>
      <c r="H101" s="3" t="str">
        <f>IFERROR(__xludf.DUMMYFUNCTION("""COMPUTED_VALUE"""),"N")</f>
        <v>N</v>
      </c>
      <c r="I101" s="3" t="str">
        <f>IFERROR(__xludf.DUMMYFUNCTION("""COMPUTED_VALUE"""),"N")</f>
        <v>N</v>
      </c>
      <c r="J101" s="3" t="str">
        <f>IFERROR(__xludf.DUMMYFUNCTION("""COMPUTED_VALUE"""),"N")</f>
        <v>N</v>
      </c>
      <c r="K101" s="3" t="str">
        <f>IFERROR(__xludf.DUMMYFUNCTION("""COMPUTED_VALUE"""),"Y")</f>
        <v>Y</v>
      </c>
      <c r="L101" s="3" t="str">
        <f>IFERROR(__xludf.DUMMYFUNCTION("""COMPUTED_VALUE"""),"Districtwide")</f>
        <v>Districtwide</v>
      </c>
      <c r="M101" s="3" t="str">
        <f>IFERROR(__xludf.DUMMYFUNCTION("""COMPUTED_VALUE"""),"N")</f>
        <v>N</v>
      </c>
      <c r="N101" s="3" t="str">
        <f>IFERROR(__xludf.DUMMYFUNCTION("""COMPUTED_VALUE"""),"N")</f>
        <v>N</v>
      </c>
      <c r="O101" s="3" t="str">
        <f>IFERROR(__xludf.DUMMYFUNCTION("""COMPUTED_VALUE"""),"Small Rural")</f>
        <v>Small Rural</v>
      </c>
    </row>
    <row r="102">
      <c r="A102" s="2" t="str">
        <f>IFERROR(__xludf.DUMMYFUNCTION("""COMPUTED_VALUE"""),"1790")</f>
        <v>1790</v>
      </c>
      <c r="B102" s="2" t="str">
        <f>IFERROR(__xludf.DUMMYFUNCTION("""COMPUTED_VALUE"""),"LIMON RE-4J")</f>
        <v>LIMON RE-4J</v>
      </c>
      <c r="C102" s="2" t="str">
        <f>IFERROR(__xludf.DUMMYFUNCTION("""COMPUTED_VALUE"""),"Public")</f>
        <v>Public</v>
      </c>
      <c r="D102" s="3">
        <f>IFERROR(__xludf.DUMMYFUNCTION("""COMPUTED_VALUE"""),2.0)</f>
        <v>2</v>
      </c>
      <c r="E102" s="3" t="str">
        <f>IFERROR(__xludf.DUMMYFUNCTION("""COMPUTED_VALUE"""),"Y")</f>
        <v>Y</v>
      </c>
      <c r="F102" s="3" t="str">
        <f>IFERROR(__xludf.DUMMYFUNCTION("""COMPUTED_VALUE"""),"Y")</f>
        <v>Y</v>
      </c>
      <c r="G102" s="3" t="str">
        <f>IFERROR(__xludf.DUMMYFUNCTION("""COMPUTED_VALUE"""),"N")</f>
        <v>N</v>
      </c>
      <c r="H102" s="3" t="str">
        <f>IFERROR(__xludf.DUMMYFUNCTION("""COMPUTED_VALUE"""),"N")</f>
        <v>N</v>
      </c>
      <c r="I102" s="3" t="str">
        <f>IFERROR(__xludf.DUMMYFUNCTION("""COMPUTED_VALUE"""),"N")</f>
        <v>N</v>
      </c>
      <c r="J102" s="3" t="str">
        <f>IFERROR(__xludf.DUMMYFUNCTION("""COMPUTED_VALUE"""),"N")</f>
        <v>N</v>
      </c>
      <c r="K102" s="3" t="str">
        <f>IFERROR(__xludf.DUMMYFUNCTION("""COMPUTED_VALUE"""),"Y")</f>
        <v>Y</v>
      </c>
      <c r="L102" s="3" t="str">
        <f>IFERROR(__xludf.DUMMYFUNCTION("""COMPUTED_VALUE"""),"Districtwide")</f>
        <v>Districtwide</v>
      </c>
      <c r="M102" s="3" t="str">
        <f>IFERROR(__xludf.DUMMYFUNCTION("""COMPUTED_VALUE"""),"N")</f>
        <v>N</v>
      </c>
      <c r="N102" s="3" t="str">
        <f>IFERROR(__xludf.DUMMYFUNCTION("""COMPUTED_VALUE"""),"N")</f>
        <v>N</v>
      </c>
      <c r="O102" s="3" t="str">
        <f>IFERROR(__xludf.DUMMYFUNCTION("""COMPUTED_VALUE"""),"Small Rural")</f>
        <v>Small Rural</v>
      </c>
    </row>
    <row r="103">
      <c r="A103" s="2" t="str">
        <f>IFERROR(__xludf.DUMMYFUNCTION("""COMPUTED_VALUE"""),"1810")</f>
        <v>1810</v>
      </c>
      <c r="B103" s="2" t="str">
        <f>IFERROR(__xludf.DUMMYFUNCTION("""COMPUTED_VALUE"""),"KARVAL RE-23")</f>
        <v>KARVAL RE-23</v>
      </c>
      <c r="C103" s="2" t="str">
        <f>IFERROR(__xludf.DUMMYFUNCTION("""COMPUTED_VALUE"""),"Public")</f>
        <v>Public</v>
      </c>
      <c r="D103" s="3">
        <f>IFERROR(__xludf.DUMMYFUNCTION("""COMPUTED_VALUE"""),2.0)</f>
        <v>2</v>
      </c>
      <c r="E103" s="3" t="str">
        <f>IFERROR(__xludf.DUMMYFUNCTION("""COMPUTED_VALUE"""),"N")</f>
        <v>N</v>
      </c>
      <c r="F103" s="3" t="str">
        <f>IFERROR(__xludf.DUMMYFUNCTION("""COMPUTED_VALUE"""),"Y")</f>
        <v>Y</v>
      </c>
      <c r="G103" s="3" t="str">
        <f>IFERROR(__xludf.DUMMYFUNCTION("""COMPUTED_VALUE"""),"N")</f>
        <v>N</v>
      </c>
      <c r="H103" s="3" t="str">
        <f>IFERROR(__xludf.DUMMYFUNCTION("""COMPUTED_VALUE"""),"N")</f>
        <v>N</v>
      </c>
      <c r="I103" s="3" t="str">
        <f>IFERROR(__xludf.DUMMYFUNCTION("""COMPUTED_VALUE"""),"N")</f>
        <v>N</v>
      </c>
      <c r="J103" s="3" t="str">
        <f>IFERROR(__xludf.DUMMYFUNCTION("""COMPUTED_VALUE"""),"N")</f>
        <v>N</v>
      </c>
      <c r="K103" s="3" t="str">
        <f>IFERROR(__xludf.DUMMYFUNCTION("""COMPUTED_VALUE"""),"Y")</f>
        <v>Y</v>
      </c>
      <c r="L103" s="3" t="str">
        <f>IFERROR(__xludf.DUMMYFUNCTION("""COMPUTED_VALUE"""),"N")</f>
        <v>N</v>
      </c>
      <c r="M103" s="3" t="str">
        <f>IFERROR(__xludf.DUMMYFUNCTION("""COMPUTED_VALUE"""),"Provision 2")</f>
        <v>Provision 2</v>
      </c>
      <c r="N103" s="3" t="str">
        <f>IFERROR(__xludf.DUMMYFUNCTION("""COMPUTED_VALUE"""),"N")</f>
        <v>N</v>
      </c>
      <c r="O103" s="3" t="str">
        <f>IFERROR(__xludf.DUMMYFUNCTION("""COMPUTED_VALUE"""),"Small Rural")</f>
        <v>Small Rural</v>
      </c>
    </row>
    <row r="104">
      <c r="A104" s="2" t="str">
        <f>IFERROR(__xludf.DUMMYFUNCTION("""COMPUTED_VALUE"""),"1828")</f>
        <v>1828</v>
      </c>
      <c r="B104" s="2" t="str">
        <f>IFERROR(__xludf.DUMMYFUNCTION("""COMPUTED_VALUE"""),"VALLEY RE-1")</f>
        <v>VALLEY RE-1</v>
      </c>
      <c r="C104" s="2" t="str">
        <f>IFERROR(__xludf.DUMMYFUNCTION("""COMPUTED_VALUE"""),"Public")</f>
        <v>Public</v>
      </c>
      <c r="D104" s="3">
        <f>IFERROR(__xludf.DUMMYFUNCTION("""COMPUTED_VALUE"""),7.0)</f>
        <v>7</v>
      </c>
      <c r="E104" s="3" t="str">
        <f>IFERROR(__xludf.DUMMYFUNCTION("""COMPUTED_VALUE"""),"Y")</f>
        <v>Y</v>
      </c>
      <c r="F104" s="3" t="str">
        <f>IFERROR(__xludf.DUMMYFUNCTION("""COMPUTED_VALUE"""),"Y")</f>
        <v>Y</v>
      </c>
      <c r="G104" s="3" t="str">
        <f>IFERROR(__xludf.DUMMYFUNCTION("""COMPUTED_VALUE"""),"N")</f>
        <v>N</v>
      </c>
      <c r="H104" s="3" t="str">
        <f>IFERROR(__xludf.DUMMYFUNCTION("""COMPUTED_VALUE"""),"N")</f>
        <v>N</v>
      </c>
      <c r="I104" s="3" t="str">
        <f>IFERROR(__xludf.DUMMYFUNCTION("""COMPUTED_VALUE"""),"N")</f>
        <v>N</v>
      </c>
      <c r="J104" s="3" t="str">
        <f>IFERROR(__xludf.DUMMYFUNCTION("""COMPUTED_VALUE"""),"Y")</f>
        <v>Y</v>
      </c>
      <c r="K104" s="3" t="str">
        <f>IFERROR(__xludf.DUMMYFUNCTION("""COMPUTED_VALUE"""),"Y")</f>
        <v>Y</v>
      </c>
      <c r="L104" s="3" t="str">
        <f>IFERROR(__xludf.DUMMYFUNCTION("""COMPUTED_VALUE"""),"Districtwide")</f>
        <v>Districtwide</v>
      </c>
      <c r="M104" s="3" t="str">
        <f>IFERROR(__xludf.DUMMYFUNCTION("""COMPUTED_VALUE"""),"N")</f>
        <v>N</v>
      </c>
      <c r="N104" s="3" t="str">
        <f>IFERROR(__xludf.DUMMYFUNCTION("""COMPUTED_VALUE"""),"N")</f>
        <v>N</v>
      </c>
      <c r="O104" s="3" t="str">
        <f>IFERROR(__xludf.DUMMYFUNCTION("""COMPUTED_VALUE"""),"Rural")</f>
        <v>Rural</v>
      </c>
    </row>
    <row r="105">
      <c r="A105" s="2" t="str">
        <f>IFERROR(__xludf.DUMMYFUNCTION("""COMPUTED_VALUE"""),"1850")</f>
        <v>1850</v>
      </c>
      <c r="B105" s="2" t="str">
        <f>IFERROR(__xludf.DUMMYFUNCTION("""COMPUTED_VALUE"""),"FRENCHMAN RE-3")</f>
        <v>FRENCHMAN RE-3</v>
      </c>
      <c r="C105" s="2" t="str">
        <f>IFERROR(__xludf.DUMMYFUNCTION("""COMPUTED_VALUE"""),"Public")</f>
        <v>Public</v>
      </c>
      <c r="D105" s="3">
        <f>IFERROR(__xludf.DUMMYFUNCTION("""COMPUTED_VALUE"""),2.0)</f>
        <v>2</v>
      </c>
      <c r="E105" s="3" t="str">
        <f>IFERROR(__xludf.DUMMYFUNCTION("""COMPUTED_VALUE"""),"Y")</f>
        <v>Y</v>
      </c>
      <c r="F105" s="3" t="str">
        <f>IFERROR(__xludf.DUMMYFUNCTION("""COMPUTED_VALUE"""),"Y")</f>
        <v>Y</v>
      </c>
      <c r="G105" s="3" t="str">
        <f>IFERROR(__xludf.DUMMYFUNCTION("""COMPUTED_VALUE"""),"N")</f>
        <v>N</v>
      </c>
      <c r="H105" s="3" t="str">
        <f>IFERROR(__xludf.DUMMYFUNCTION("""COMPUTED_VALUE"""),"N")</f>
        <v>N</v>
      </c>
      <c r="I105" s="3" t="str">
        <f>IFERROR(__xludf.DUMMYFUNCTION("""COMPUTED_VALUE"""),"N")</f>
        <v>N</v>
      </c>
      <c r="J105" s="3" t="str">
        <f>IFERROR(__xludf.DUMMYFUNCTION("""COMPUTED_VALUE"""),"N")</f>
        <v>N</v>
      </c>
      <c r="K105" s="3" t="str">
        <f>IFERROR(__xludf.DUMMYFUNCTION("""COMPUTED_VALUE"""),"Y")</f>
        <v>Y</v>
      </c>
      <c r="L105" s="3" t="str">
        <f>IFERROR(__xludf.DUMMYFUNCTION("""COMPUTED_VALUE"""),"N")</f>
        <v>N</v>
      </c>
      <c r="M105" s="3" t="str">
        <f>IFERROR(__xludf.DUMMYFUNCTION("""COMPUTED_VALUE"""),"Provision 2")</f>
        <v>Provision 2</v>
      </c>
      <c r="N105" s="3" t="str">
        <f>IFERROR(__xludf.DUMMYFUNCTION("""COMPUTED_VALUE"""),"N")</f>
        <v>N</v>
      </c>
      <c r="O105" s="3" t="str">
        <f>IFERROR(__xludf.DUMMYFUNCTION("""COMPUTED_VALUE"""),"Small Rural")</f>
        <v>Small Rural</v>
      </c>
    </row>
    <row r="106">
      <c r="A106" s="2" t="str">
        <f>IFERROR(__xludf.DUMMYFUNCTION("""COMPUTED_VALUE"""),"1860")</f>
        <v>1860</v>
      </c>
      <c r="B106" s="2" t="str">
        <f>IFERROR(__xludf.DUMMYFUNCTION("""COMPUTED_VALUE"""),"BUFFALO RE-4J")</f>
        <v>BUFFALO RE-4J</v>
      </c>
      <c r="C106" s="2" t="str">
        <f>IFERROR(__xludf.DUMMYFUNCTION("""COMPUTED_VALUE"""),"Public")</f>
        <v>Public</v>
      </c>
      <c r="D106" s="3">
        <f>IFERROR(__xludf.DUMMYFUNCTION("""COMPUTED_VALUE"""),3.0)</f>
        <v>3</v>
      </c>
      <c r="E106" s="3" t="str">
        <f>IFERROR(__xludf.DUMMYFUNCTION("""COMPUTED_VALUE"""),"Y")</f>
        <v>Y</v>
      </c>
      <c r="F106" s="3" t="str">
        <f>IFERROR(__xludf.DUMMYFUNCTION("""COMPUTED_VALUE"""),"Y")</f>
        <v>Y</v>
      </c>
      <c r="G106" s="3" t="str">
        <f>IFERROR(__xludf.DUMMYFUNCTION("""COMPUTED_VALUE"""),"N")</f>
        <v>N</v>
      </c>
      <c r="H106" s="3" t="str">
        <f>IFERROR(__xludf.DUMMYFUNCTION("""COMPUTED_VALUE"""),"N")</f>
        <v>N</v>
      </c>
      <c r="I106" s="3" t="str">
        <f>IFERROR(__xludf.DUMMYFUNCTION("""COMPUTED_VALUE"""),"N")</f>
        <v>N</v>
      </c>
      <c r="J106" s="3" t="str">
        <f>IFERROR(__xludf.DUMMYFUNCTION("""COMPUTED_VALUE"""),"N")</f>
        <v>N</v>
      </c>
      <c r="K106" s="3" t="str">
        <f>IFERROR(__xludf.DUMMYFUNCTION("""COMPUTED_VALUE"""),"Y")</f>
        <v>Y</v>
      </c>
      <c r="L106" s="3" t="str">
        <f>IFERROR(__xludf.DUMMYFUNCTION("""COMPUTED_VALUE"""),"Y")</f>
        <v>Y</v>
      </c>
      <c r="M106" s="3" t="str">
        <f>IFERROR(__xludf.DUMMYFUNCTION("""COMPUTED_VALUE"""),"N")</f>
        <v>N</v>
      </c>
      <c r="N106" s="3" t="str">
        <f>IFERROR(__xludf.DUMMYFUNCTION("""COMPUTED_VALUE"""),"Y")</f>
        <v>Y</v>
      </c>
      <c r="O106" s="3" t="str">
        <f>IFERROR(__xludf.DUMMYFUNCTION("""COMPUTED_VALUE"""),"Small Rural")</f>
        <v>Small Rural</v>
      </c>
    </row>
    <row r="107">
      <c r="A107" s="2" t="str">
        <f>IFERROR(__xludf.DUMMYFUNCTION("""COMPUTED_VALUE"""),"1870")</f>
        <v>1870</v>
      </c>
      <c r="B107" s="2" t="str">
        <f>IFERROR(__xludf.DUMMYFUNCTION("""COMPUTED_VALUE"""),"PEETZ PLATEAU RE-5")</f>
        <v>PEETZ PLATEAU RE-5</v>
      </c>
      <c r="C107" s="2" t="str">
        <f>IFERROR(__xludf.DUMMYFUNCTION("""COMPUTED_VALUE"""),"Public")</f>
        <v>Public</v>
      </c>
      <c r="D107" s="3">
        <f>IFERROR(__xludf.DUMMYFUNCTION("""COMPUTED_VALUE"""),2.0)</f>
        <v>2</v>
      </c>
      <c r="E107" s="3" t="str">
        <f>IFERROR(__xludf.DUMMYFUNCTION("""COMPUTED_VALUE"""),"N")</f>
        <v>N</v>
      </c>
      <c r="F107" s="3" t="str">
        <f>IFERROR(__xludf.DUMMYFUNCTION("""COMPUTED_VALUE"""),"Y")</f>
        <v>Y</v>
      </c>
      <c r="G107" s="3" t="str">
        <f>IFERROR(__xludf.DUMMYFUNCTION("""COMPUTED_VALUE"""),"N")</f>
        <v>N</v>
      </c>
      <c r="H107" s="3" t="str">
        <f>IFERROR(__xludf.DUMMYFUNCTION("""COMPUTED_VALUE"""),"N")</f>
        <v>N</v>
      </c>
      <c r="I107" s="3" t="str">
        <f>IFERROR(__xludf.DUMMYFUNCTION("""COMPUTED_VALUE"""),"N")</f>
        <v>N</v>
      </c>
      <c r="J107" s="3" t="str">
        <f>IFERROR(__xludf.DUMMYFUNCTION("""COMPUTED_VALUE"""),"N")</f>
        <v>N</v>
      </c>
      <c r="K107" s="3" t="str">
        <f>IFERROR(__xludf.DUMMYFUNCTION("""COMPUTED_VALUE"""),"Y")</f>
        <v>Y</v>
      </c>
      <c r="L107" s="3" t="str">
        <f>IFERROR(__xludf.DUMMYFUNCTION("""COMPUTED_VALUE"""),"N")</f>
        <v>N</v>
      </c>
      <c r="M107" s="3" t="str">
        <f>IFERROR(__xludf.DUMMYFUNCTION("""COMPUTED_VALUE"""),"N")</f>
        <v>N</v>
      </c>
      <c r="N107" s="3" t="str">
        <f>IFERROR(__xludf.DUMMYFUNCTION("""COMPUTED_VALUE"""),"N")</f>
        <v>N</v>
      </c>
      <c r="O107" s="3" t="str">
        <f>IFERROR(__xludf.DUMMYFUNCTION("""COMPUTED_VALUE"""),"Small Rural")</f>
        <v>Small Rural</v>
      </c>
    </row>
    <row r="108">
      <c r="A108" s="2" t="str">
        <f>IFERROR(__xludf.DUMMYFUNCTION("""COMPUTED_VALUE"""),"1980")</f>
        <v>1980</v>
      </c>
      <c r="B108" s="2" t="str">
        <f>IFERROR(__xludf.DUMMYFUNCTION("""COMPUTED_VALUE"""),"DE BEQUE 49JT")</f>
        <v>DE BEQUE 49JT</v>
      </c>
      <c r="C108" s="2" t="str">
        <f>IFERROR(__xludf.DUMMYFUNCTION("""COMPUTED_VALUE"""),"Public")</f>
        <v>Public</v>
      </c>
      <c r="D108" s="3">
        <f>IFERROR(__xludf.DUMMYFUNCTION("""COMPUTED_VALUE"""),1.0)</f>
        <v>1</v>
      </c>
      <c r="E108" s="3" t="str">
        <f>IFERROR(__xludf.DUMMYFUNCTION("""COMPUTED_VALUE"""),"Y")</f>
        <v>Y</v>
      </c>
      <c r="F108" s="3" t="str">
        <f>IFERROR(__xludf.DUMMYFUNCTION("""COMPUTED_VALUE"""),"Y")</f>
        <v>Y</v>
      </c>
      <c r="G108" s="3" t="str">
        <f>IFERROR(__xludf.DUMMYFUNCTION("""COMPUTED_VALUE"""),"N")</f>
        <v>N</v>
      </c>
      <c r="H108" s="3" t="str">
        <f>IFERROR(__xludf.DUMMYFUNCTION("""COMPUTED_VALUE"""),"N")</f>
        <v>N</v>
      </c>
      <c r="I108" s="3" t="str">
        <f>IFERROR(__xludf.DUMMYFUNCTION("""COMPUTED_VALUE"""),"N")</f>
        <v>N</v>
      </c>
      <c r="J108" s="3" t="str">
        <f>IFERROR(__xludf.DUMMYFUNCTION("""COMPUTED_VALUE"""),"N")</f>
        <v>N</v>
      </c>
      <c r="K108" s="3" t="str">
        <f>IFERROR(__xludf.DUMMYFUNCTION("""COMPUTED_VALUE"""),"Y")</f>
        <v>Y</v>
      </c>
      <c r="L108" s="3" t="str">
        <f>IFERROR(__xludf.DUMMYFUNCTION("""COMPUTED_VALUE"""),"Districtwide")</f>
        <v>Districtwide</v>
      </c>
      <c r="M108" s="3" t="str">
        <f>IFERROR(__xludf.DUMMYFUNCTION("""COMPUTED_VALUE"""),"N")</f>
        <v>N</v>
      </c>
      <c r="N108" s="3" t="str">
        <f>IFERROR(__xludf.DUMMYFUNCTION("""COMPUTED_VALUE"""),"N")</f>
        <v>N</v>
      </c>
      <c r="O108" s="3" t="str">
        <f>IFERROR(__xludf.DUMMYFUNCTION("""COMPUTED_VALUE"""),"Small Rural")</f>
        <v>Small Rural</v>
      </c>
    </row>
    <row r="109">
      <c r="A109" s="2" t="str">
        <f>IFERROR(__xludf.DUMMYFUNCTION("""COMPUTED_VALUE"""),"1990")</f>
        <v>1990</v>
      </c>
      <c r="B109" s="2" t="str">
        <f>IFERROR(__xludf.DUMMYFUNCTION("""COMPUTED_VALUE"""),"PLATEAU VALLEY 50")</f>
        <v>PLATEAU VALLEY 50</v>
      </c>
      <c r="C109" s="2" t="str">
        <f>IFERROR(__xludf.DUMMYFUNCTION("""COMPUTED_VALUE"""),"Public")</f>
        <v>Public</v>
      </c>
      <c r="D109" s="3">
        <f>IFERROR(__xludf.DUMMYFUNCTION("""COMPUTED_VALUE"""),3.0)</f>
        <v>3</v>
      </c>
      <c r="E109" s="3" t="str">
        <f>IFERROR(__xludf.DUMMYFUNCTION("""COMPUTED_VALUE"""),"Y")</f>
        <v>Y</v>
      </c>
      <c r="F109" s="3" t="str">
        <f>IFERROR(__xludf.DUMMYFUNCTION("""COMPUTED_VALUE"""),"Y")</f>
        <v>Y</v>
      </c>
      <c r="G109" s="3" t="str">
        <f>IFERROR(__xludf.DUMMYFUNCTION("""COMPUTED_VALUE"""),"N")</f>
        <v>N</v>
      </c>
      <c r="H109" s="3" t="str">
        <f>IFERROR(__xludf.DUMMYFUNCTION("""COMPUTED_VALUE"""),"N")</f>
        <v>N</v>
      </c>
      <c r="I109" s="3" t="str">
        <f>IFERROR(__xludf.DUMMYFUNCTION("""COMPUTED_VALUE"""),"N")</f>
        <v>N</v>
      </c>
      <c r="J109" s="3" t="str">
        <f>IFERROR(__xludf.DUMMYFUNCTION("""COMPUTED_VALUE"""),"N")</f>
        <v>N</v>
      </c>
      <c r="K109" s="3" t="str">
        <f>IFERROR(__xludf.DUMMYFUNCTION("""COMPUTED_VALUE"""),"Y")</f>
        <v>Y</v>
      </c>
      <c r="L109" s="3" t="str">
        <f>IFERROR(__xludf.DUMMYFUNCTION("""COMPUTED_VALUE"""),"Districtwide")</f>
        <v>Districtwide</v>
      </c>
      <c r="M109" s="3" t="str">
        <f>IFERROR(__xludf.DUMMYFUNCTION("""COMPUTED_VALUE"""),"N")</f>
        <v>N</v>
      </c>
      <c r="N109" s="3" t="str">
        <f>IFERROR(__xludf.DUMMYFUNCTION("""COMPUTED_VALUE"""),"N")</f>
        <v>N</v>
      </c>
      <c r="O109" s="3" t="str">
        <f>IFERROR(__xludf.DUMMYFUNCTION("""COMPUTED_VALUE"""),"Small Rural")</f>
        <v>Small Rural</v>
      </c>
    </row>
    <row r="110">
      <c r="A110" s="2" t="str">
        <f>IFERROR(__xludf.DUMMYFUNCTION("""COMPUTED_VALUE"""),"2000")</f>
        <v>2000</v>
      </c>
      <c r="B110" s="2" t="str">
        <f>IFERROR(__xludf.DUMMYFUNCTION("""COMPUTED_VALUE"""),"MESA COUNTY VALLEY 51")</f>
        <v>MESA COUNTY VALLEY 51</v>
      </c>
      <c r="C110" s="2" t="str">
        <f>IFERROR(__xludf.DUMMYFUNCTION("""COMPUTED_VALUE"""),"Public")</f>
        <v>Public</v>
      </c>
      <c r="D110" s="3">
        <f>IFERROR(__xludf.DUMMYFUNCTION("""COMPUTED_VALUE"""),42.0)</f>
        <v>42</v>
      </c>
      <c r="E110" s="3" t="str">
        <f>IFERROR(__xludf.DUMMYFUNCTION("""COMPUTED_VALUE"""),"Y")</f>
        <v>Y</v>
      </c>
      <c r="F110" s="3" t="str">
        <f>IFERROR(__xludf.DUMMYFUNCTION("""COMPUTED_VALUE"""),"Y")</f>
        <v>Y</v>
      </c>
      <c r="G110" s="3" t="str">
        <f>IFERROR(__xludf.DUMMYFUNCTION("""COMPUTED_VALUE"""),"N")</f>
        <v>N</v>
      </c>
      <c r="H110" s="3" t="str">
        <f>IFERROR(__xludf.DUMMYFUNCTION("""COMPUTED_VALUE"""),"N")</f>
        <v>N</v>
      </c>
      <c r="I110" s="3" t="str">
        <f>IFERROR(__xludf.DUMMYFUNCTION("""COMPUTED_VALUE"""),"N")</f>
        <v>N</v>
      </c>
      <c r="J110" s="3" t="str">
        <f>IFERROR(__xludf.DUMMYFUNCTION("""COMPUTED_VALUE"""),"Y")</f>
        <v>Y</v>
      </c>
      <c r="K110" s="3" t="str">
        <f>IFERROR(__xludf.DUMMYFUNCTION("""COMPUTED_VALUE"""),"Y")</f>
        <v>Y</v>
      </c>
      <c r="L110" s="3" t="str">
        <f>IFERROR(__xludf.DUMMYFUNCTION("""COMPUTED_VALUE"""),"Y")</f>
        <v>Y</v>
      </c>
      <c r="M110" s="3" t="str">
        <f>IFERROR(__xludf.DUMMYFUNCTION("""COMPUTED_VALUE"""),"N")</f>
        <v>N</v>
      </c>
      <c r="N110" s="3" t="str">
        <f>IFERROR(__xludf.DUMMYFUNCTION("""COMPUTED_VALUE"""),"N")</f>
        <v>N</v>
      </c>
      <c r="O110" s="3" t="str">
        <f>IFERROR(__xludf.DUMMYFUNCTION("""COMPUTED_VALUE"""),"none")</f>
        <v>none</v>
      </c>
    </row>
    <row r="111">
      <c r="A111" s="2" t="str">
        <f>IFERROR(__xludf.DUMMYFUNCTION("""COMPUTED_VALUE"""),"2010")</f>
        <v>2010</v>
      </c>
      <c r="B111" s="2" t="str">
        <f>IFERROR(__xludf.DUMMYFUNCTION("""COMPUTED_VALUE"""),"CREEDE SCHOOL DISTRICT")</f>
        <v>CREEDE SCHOOL DISTRICT</v>
      </c>
      <c r="C111" s="2" t="str">
        <f>IFERROR(__xludf.DUMMYFUNCTION("""COMPUTED_VALUE"""),"Public")</f>
        <v>Public</v>
      </c>
      <c r="D111" s="3">
        <f>IFERROR(__xludf.DUMMYFUNCTION("""COMPUTED_VALUE"""),1.0)</f>
        <v>1</v>
      </c>
      <c r="E111" s="3" t="str">
        <f>IFERROR(__xludf.DUMMYFUNCTION("""COMPUTED_VALUE"""),"N")</f>
        <v>N</v>
      </c>
      <c r="F111" s="3" t="str">
        <f>IFERROR(__xludf.DUMMYFUNCTION("""COMPUTED_VALUE"""),"Y")</f>
        <v>Y</v>
      </c>
      <c r="G111" s="3" t="str">
        <f>IFERROR(__xludf.DUMMYFUNCTION("""COMPUTED_VALUE"""),"N")</f>
        <v>N</v>
      </c>
      <c r="H111" s="3" t="str">
        <f>IFERROR(__xludf.DUMMYFUNCTION("""COMPUTED_VALUE"""),"N")</f>
        <v>N</v>
      </c>
      <c r="I111" s="3" t="str">
        <f>IFERROR(__xludf.DUMMYFUNCTION("""COMPUTED_VALUE"""),"N")</f>
        <v>N</v>
      </c>
      <c r="J111" s="3" t="str">
        <f>IFERROR(__xludf.DUMMYFUNCTION("""COMPUTED_VALUE"""),"N")</f>
        <v>N</v>
      </c>
      <c r="K111" s="3" t="str">
        <f>IFERROR(__xludf.DUMMYFUNCTION("""COMPUTED_VALUE"""),"Y")</f>
        <v>Y</v>
      </c>
      <c r="L111" s="3" t="str">
        <f>IFERROR(__xludf.DUMMYFUNCTION("""COMPUTED_VALUE"""),"N")</f>
        <v>N</v>
      </c>
      <c r="M111" s="3" t="str">
        <f>IFERROR(__xludf.DUMMYFUNCTION("""COMPUTED_VALUE"""),"N")</f>
        <v>N</v>
      </c>
      <c r="N111" s="3" t="str">
        <f>IFERROR(__xludf.DUMMYFUNCTION("""COMPUTED_VALUE"""),"N")</f>
        <v>N</v>
      </c>
      <c r="O111" s="3" t="str">
        <f>IFERROR(__xludf.DUMMYFUNCTION("""COMPUTED_VALUE"""),"Small Rural")</f>
        <v>Small Rural</v>
      </c>
    </row>
    <row r="112">
      <c r="A112" s="2" t="str">
        <f>IFERROR(__xludf.DUMMYFUNCTION("""COMPUTED_VALUE"""),"2020")</f>
        <v>2020</v>
      </c>
      <c r="B112" s="2" t="str">
        <f>IFERROR(__xludf.DUMMYFUNCTION("""COMPUTED_VALUE"""),"MOFFAT COUNTY RE:NO 1")</f>
        <v>MOFFAT COUNTY RE:NO 1</v>
      </c>
      <c r="C112" s="2" t="str">
        <f>IFERROR(__xludf.DUMMYFUNCTION("""COMPUTED_VALUE"""),"Public")</f>
        <v>Public</v>
      </c>
      <c r="D112" s="3">
        <f>IFERROR(__xludf.DUMMYFUNCTION("""COMPUTED_VALUE"""),7.0)</f>
        <v>7</v>
      </c>
      <c r="E112" s="3" t="str">
        <f>IFERROR(__xludf.DUMMYFUNCTION("""COMPUTED_VALUE"""),"Y")</f>
        <v>Y</v>
      </c>
      <c r="F112" s="3" t="str">
        <f>IFERROR(__xludf.DUMMYFUNCTION("""COMPUTED_VALUE"""),"Y")</f>
        <v>Y</v>
      </c>
      <c r="G112" s="3" t="str">
        <f>IFERROR(__xludf.DUMMYFUNCTION("""COMPUTED_VALUE"""),"N")</f>
        <v>N</v>
      </c>
      <c r="H112" s="3" t="str">
        <f>IFERROR(__xludf.DUMMYFUNCTION("""COMPUTED_VALUE"""),"N")</f>
        <v>N</v>
      </c>
      <c r="I112" s="3" t="str">
        <f>IFERROR(__xludf.DUMMYFUNCTION("""COMPUTED_VALUE"""),"N")</f>
        <v>N</v>
      </c>
      <c r="J112" s="3" t="str">
        <f>IFERROR(__xludf.DUMMYFUNCTION("""COMPUTED_VALUE"""),"Y")</f>
        <v>Y</v>
      </c>
      <c r="K112" s="3" t="str">
        <f>IFERROR(__xludf.DUMMYFUNCTION("""COMPUTED_VALUE"""),"Y")</f>
        <v>Y</v>
      </c>
      <c r="L112" s="3" t="str">
        <f>IFERROR(__xludf.DUMMYFUNCTION("""COMPUTED_VALUE"""),"Y")</f>
        <v>Y</v>
      </c>
      <c r="M112" s="3" t="str">
        <f>IFERROR(__xludf.DUMMYFUNCTION("""COMPUTED_VALUE"""),"N")</f>
        <v>N</v>
      </c>
      <c r="N112" s="3" t="str">
        <f>IFERROR(__xludf.DUMMYFUNCTION("""COMPUTED_VALUE"""),"N")</f>
        <v>N</v>
      </c>
      <c r="O112" s="3" t="str">
        <f>IFERROR(__xludf.DUMMYFUNCTION("""COMPUTED_VALUE"""),"Rural")</f>
        <v>Rural</v>
      </c>
    </row>
    <row r="113">
      <c r="A113" s="2" t="str">
        <f>IFERROR(__xludf.DUMMYFUNCTION("""COMPUTED_VALUE"""),"2035")</f>
        <v>2035</v>
      </c>
      <c r="B113" s="2" t="str">
        <f>IFERROR(__xludf.DUMMYFUNCTION("""COMPUTED_VALUE"""),"MONTEZUMA-CORTEZ RE-1")</f>
        <v>MONTEZUMA-CORTEZ RE-1</v>
      </c>
      <c r="C113" s="2" t="str">
        <f>IFERROR(__xludf.DUMMYFUNCTION("""COMPUTED_VALUE"""),"Public")</f>
        <v>Public</v>
      </c>
      <c r="D113" s="3">
        <f>IFERROR(__xludf.DUMMYFUNCTION("""COMPUTED_VALUE"""),10.0)</f>
        <v>10</v>
      </c>
      <c r="E113" s="3" t="str">
        <f>IFERROR(__xludf.DUMMYFUNCTION("""COMPUTED_VALUE"""),"Y")</f>
        <v>Y</v>
      </c>
      <c r="F113" s="3" t="str">
        <f>IFERROR(__xludf.DUMMYFUNCTION("""COMPUTED_VALUE"""),"Y")</f>
        <v>Y</v>
      </c>
      <c r="G113" s="3" t="str">
        <f>IFERROR(__xludf.DUMMYFUNCTION("""COMPUTED_VALUE"""),"N")</f>
        <v>N</v>
      </c>
      <c r="H113" s="3" t="str">
        <f>IFERROR(__xludf.DUMMYFUNCTION("""COMPUTED_VALUE"""),"N")</f>
        <v>N</v>
      </c>
      <c r="I113" s="3" t="str">
        <f>IFERROR(__xludf.DUMMYFUNCTION("""COMPUTED_VALUE"""),"N")</f>
        <v>N</v>
      </c>
      <c r="J113" s="3" t="str">
        <f>IFERROR(__xludf.DUMMYFUNCTION("""COMPUTED_VALUE"""),"Y")</f>
        <v>Y</v>
      </c>
      <c r="K113" s="3" t="str">
        <f>IFERROR(__xludf.DUMMYFUNCTION("""COMPUTED_VALUE"""),"Y")</f>
        <v>Y</v>
      </c>
      <c r="L113" s="3" t="str">
        <f>IFERROR(__xludf.DUMMYFUNCTION("""COMPUTED_VALUE"""),"Districtwide")</f>
        <v>Districtwide</v>
      </c>
      <c r="M113" s="3" t="str">
        <f>IFERROR(__xludf.DUMMYFUNCTION("""COMPUTED_VALUE"""),"N")</f>
        <v>N</v>
      </c>
      <c r="N113" s="3" t="str">
        <f>IFERROR(__xludf.DUMMYFUNCTION("""COMPUTED_VALUE"""),"N")</f>
        <v>N</v>
      </c>
      <c r="O113" s="3" t="str">
        <f>IFERROR(__xludf.DUMMYFUNCTION("""COMPUTED_VALUE"""),"Rural")</f>
        <v>Rural</v>
      </c>
    </row>
    <row r="114">
      <c r="A114" s="2" t="str">
        <f>IFERROR(__xludf.DUMMYFUNCTION("""COMPUTED_VALUE"""),"2055")</f>
        <v>2055</v>
      </c>
      <c r="B114" s="2" t="str">
        <f>IFERROR(__xludf.DUMMYFUNCTION("""COMPUTED_VALUE"""),"DOLORES RE-4A")</f>
        <v>DOLORES RE-4A</v>
      </c>
      <c r="C114" s="2" t="str">
        <f>IFERROR(__xludf.DUMMYFUNCTION("""COMPUTED_VALUE"""),"Public")</f>
        <v>Public</v>
      </c>
      <c r="D114" s="3">
        <f>IFERROR(__xludf.DUMMYFUNCTION("""COMPUTED_VALUE"""),3.0)</f>
        <v>3</v>
      </c>
      <c r="E114" s="3" t="str">
        <f>IFERROR(__xludf.DUMMYFUNCTION("""COMPUTED_VALUE"""),"Y")</f>
        <v>Y</v>
      </c>
      <c r="F114" s="3" t="str">
        <f>IFERROR(__xludf.DUMMYFUNCTION("""COMPUTED_VALUE"""),"Y")</f>
        <v>Y</v>
      </c>
      <c r="G114" s="3" t="str">
        <f>IFERROR(__xludf.DUMMYFUNCTION("""COMPUTED_VALUE"""),"N")</f>
        <v>N</v>
      </c>
      <c r="H114" s="3" t="str">
        <f>IFERROR(__xludf.DUMMYFUNCTION("""COMPUTED_VALUE"""),"N")</f>
        <v>N</v>
      </c>
      <c r="I114" s="3" t="str">
        <f>IFERROR(__xludf.DUMMYFUNCTION("""COMPUTED_VALUE"""),"N")</f>
        <v>N</v>
      </c>
      <c r="J114" s="3" t="str">
        <f>IFERROR(__xludf.DUMMYFUNCTION("""COMPUTED_VALUE"""),"N")</f>
        <v>N</v>
      </c>
      <c r="K114" s="3" t="str">
        <f>IFERROR(__xludf.DUMMYFUNCTION("""COMPUTED_VALUE"""),"Y")</f>
        <v>Y</v>
      </c>
      <c r="L114" s="3" t="str">
        <f>IFERROR(__xludf.DUMMYFUNCTION("""COMPUTED_VALUE"""),"Districtwide")</f>
        <v>Districtwide</v>
      </c>
      <c r="M114" s="3" t="str">
        <f>IFERROR(__xludf.DUMMYFUNCTION("""COMPUTED_VALUE"""),"N")</f>
        <v>N</v>
      </c>
      <c r="N114" s="3" t="str">
        <f>IFERROR(__xludf.DUMMYFUNCTION("""COMPUTED_VALUE"""),"N")</f>
        <v>N</v>
      </c>
      <c r="O114" s="3" t="str">
        <f>IFERROR(__xludf.DUMMYFUNCTION("""COMPUTED_VALUE"""),"Small Rural")</f>
        <v>Small Rural</v>
      </c>
    </row>
    <row r="115">
      <c r="A115" s="2" t="str">
        <f>IFERROR(__xludf.DUMMYFUNCTION("""COMPUTED_VALUE"""),"2070")</f>
        <v>2070</v>
      </c>
      <c r="B115" s="2" t="str">
        <f>IFERROR(__xludf.DUMMYFUNCTION("""COMPUTED_VALUE"""),"MANCOS RE-6")</f>
        <v>MANCOS RE-6</v>
      </c>
      <c r="C115" s="2" t="str">
        <f>IFERROR(__xludf.DUMMYFUNCTION("""COMPUTED_VALUE"""),"Public")</f>
        <v>Public</v>
      </c>
      <c r="D115" s="3">
        <f>IFERROR(__xludf.DUMMYFUNCTION("""COMPUTED_VALUE"""),4.0)</f>
        <v>4</v>
      </c>
      <c r="E115" s="3" t="str">
        <f>IFERROR(__xludf.DUMMYFUNCTION("""COMPUTED_VALUE"""),"Y")</f>
        <v>Y</v>
      </c>
      <c r="F115" s="3" t="str">
        <f>IFERROR(__xludf.DUMMYFUNCTION("""COMPUTED_VALUE"""),"Y")</f>
        <v>Y</v>
      </c>
      <c r="G115" s="3" t="str">
        <f>IFERROR(__xludf.DUMMYFUNCTION("""COMPUTED_VALUE"""),"N")</f>
        <v>N</v>
      </c>
      <c r="H115" s="3" t="str">
        <f>IFERROR(__xludf.DUMMYFUNCTION("""COMPUTED_VALUE"""),"N")</f>
        <v>N</v>
      </c>
      <c r="I115" s="3" t="str">
        <f>IFERROR(__xludf.DUMMYFUNCTION("""COMPUTED_VALUE"""),"N")</f>
        <v>N</v>
      </c>
      <c r="J115" s="3" t="str">
        <f>IFERROR(__xludf.DUMMYFUNCTION("""COMPUTED_VALUE"""),"Y")</f>
        <v>Y</v>
      </c>
      <c r="K115" s="3" t="str">
        <f>IFERROR(__xludf.DUMMYFUNCTION("""COMPUTED_VALUE"""),"Y")</f>
        <v>Y</v>
      </c>
      <c r="L115" s="3" t="str">
        <f>IFERROR(__xludf.DUMMYFUNCTION("""COMPUTED_VALUE"""),"Districtwide")</f>
        <v>Districtwide</v>
      </c>
      <c r="M115" s="3" t="str">
        <f>IFERROR(__xludf.DUMMYFUNCTION("""COMPUTED_VALUE"""),"N")</f>
        <v>N</v>
      </c>
      <c r="N115" s="3" t="str">
        <f>IFERROR(__xludf.DUMMYFUNCTION("""COMPUTED_VALUE"""),"N")</f>
        <v>N</v>
      </c>
      <c r="O115" s="3" t="str">
        <f>IFERROR(__xludf.DUMMYFUNCTION("""COMPUTED_VALUE"""),"Small Rural")</f>
        <v>Small Rural</v>
      </c>
    </row>
    <row r="116">
      <c r="A116" s="2" t="str">
        <f>IFERROR(__xludf.DUMMYFUNCTION("""COMPUTED_VALUE"""),"2180")</f>
        <v>2180</v>
      </c>
      <c r="B116" s="2" t="str">
        <f>IFERROR(__xludf.DUMMYFUNCTION("""COMPUTED_VALUE"""),"MONTROSE COUNTY RE-1J")</f>
        <v>MONTROSE COUNTY RE-1J</v>
      </c>
      <c r="C116" s="2" t="str">
        <f>IFERROR(__xludf.DUMMYFUNCTION("""COMPUTED_VALUE"""),"Public")</f>
        <v>Public</v>
      </c>
      <c r="D116" s="3">
        <f>IFERROR(__xludf.DUMMYFUNCTION("""COMPUTED_VALUE"""),15.0)</f>
        <v>15</v>
      </c>
      <c r="E116" s="3" t="str">
        <f>IFERROR(__xludf.DUMMYFUNCTION("""COMPUTED_VALUE"""),"Y")</f>
        <v>Y</v>
      </c>
      <c r="F116" s="3" t="str">
        <f>IFERROR(__xludf.DUMMYFUNCTION("""COMPUTED_VALUE"""),"Y")</f>
        <v>Y</v>
      </c>
      <c r="G116" s="3" t="str">
        <f>IFERROR(__xludf.DUMMYFUNCTION("""COMPUTED_VALUE"""),"N")</f>
        <v>N</v>
      </c>
      <c r="H116" s="3" t="str">
        <f>IFERROR(__xludf.DUMMYFUNCTION("""COMPUTED_VALUE"""),"Y")</f>
        <v>Y</v>
      </c>
      <c r="I116" s="3" t="str">
        <f>IFERROR(__xludf.DUMMYFUNCTION("""COMPUTED_VALUE"""),"N")</f>
        <v>N</v>
      </c>
      <c r="J116" s="3" t="str">
        <f>IFERROR(__xludf.DUMMYFUNCTION("""COMPUTED_VALUE"""),"Y")</f>
        <v>Y</v>
      </c>
      <c r="K116" s="3" t="str">
        <f>IFERROR(__xludf.DUMMYFUNCTION("""COMPUTED_VALUE"""),"Y")</f>
        <v>Y</v>
      </c>
      <c r="L116" s="3" t="str">
        <f>IFERROR(__xludf.DUMMYFUNCTION("""COMPUTED_VALUE"""),"Districtwide")</f>
        <v>Districtwide</v>
      </c>
      <c r="M116" s="3" t="str">
        <f>IFERROR(__xludf.DUMMYFUNCTION("""COMPUTED_VALUE"""),"N")</f>
        <v>N</v>
      </c>
      <c r="N116" s="3" t="str">
        <f>IFERROR(__xludf.DUMMYFUNCTION("""COMPUTED_VALUE"""),"Y")</f>
        <v>Y</v>
      </c>
      <c r="O116" s="3" t="str">
        <f>IFERROR(__xludf.DUMMYFUNCTION("""COMPUTED_VALUE"""),"Rural")</f>
        <v>Rural</v>
      </c>
    </row>
    <row r="117">
      <c r="A117" s="2" t="str">
        <f>IFERROR(__xludf.DUMMYFUNCTION("""COMPUTED_VALUE"""),"2190")</f>
        <v>2190</v>
      </c>
      <c r="B117" s="2" t="str">
        <f>IFERROR(__xludf.DUMMYFUNCTION("""COMPUTED_VALUE"""),"WEST END RE-2")</f>
        <v>WEST END RE-2</v>
      </c>
      <c r="C117" s="2" t="str">
        <f>IFERROR(__xludf.DUMMYFUNCTION("""COMPUTED_VALUE"""),"Public")</f>
        <v>Public</v>
      </c>
      <c r="D117" s="3">
        <f>IFERROR(__xludf.DUMMYFUNCTION("""COMPUTED_VALUE"""),3.0)</f>
        <v>3</v>
      </c>
      <c r="E117" s="3" t="str">
        <f>IFERROR(__xludf.DUMMYFUNCTION("""COMPUTED_VALUE"""),"Y")</f>
        <v>Y</v>
      </c>
      <c r="F117" s="3" t="str">
        <f>IFERROR(__xludf.DUMMYFUNCTION("""COMPUTED_VALUE"""),"Y")</f>
        <v>Y</v>
      </c>
      <c r="G117" s="3" t="str">
        <f>IFERROR(__xludf.DUMMYFUNCTION("""COMPUTED_VALUE"""),"N")</f>
        <v>N</v>
      </c>
      <c r="H117" s="3" t="str">
        <f>IFERROR(__xludf.DUMMYFUNCTION("""COMPUTED_VALUE"""),"N")</f>
        <v>N</v>
      </c>
      <c r="I117" s="3" t="str">
        <f>IFERROR(__xludf.DUMMYFUNCTION("""COMPUTED_VALUE"""),"N")</f>
        <v>N</v>
      </c>
      <c r="J117" s="3" t="str">
        <f>IFERROR(__xludf.DUMMYFUNCTION("""COMPUTED_VALUE"""),"N")</f>
        <v>N</v>
      </c>
      <c r="K117" s="3" t="str">
        <f>IFERROR(__xludf.DUMMYFUNCTION("""COMPUTED_VALUE"""),"Y")</f>
        <v>Y</v>
      </c>
      <c r="L117" s="3" t="str">
        <f>IFERROR(__xludf.DUMMYFUNCTION("""COMPUTED_VALUE"""),"Districtwide")</f>
        <v>Districtwide</v>
      </c>
      <c r="M117" s="3" t="str">
        <f>IFERROR(__xludf.DUMMYFUNCTION("""COMPUTED_VALUE"""),"N")</f>
        <v>N</v>
      </c>
      <c r="N117" s="3" t="str">
        <f>IFERROR(__xludf.DUMMYFUNCTION("""COMPUTED_VALUE"""),"N")</f>
        <v>N</v>
      </c>
      <c r="O117" s="3" t="str">
        <f>IFERROR(__xludf.DUMMYFUNCTION("""COMPUTED_VALUE"""),"Small Rural")</f>
        <v>Small Rural</v>
      </c>
    </row>
    <row r="118">
      <c r="A118" s="2" t="str">
        <f>IFERROR(__xludf.DUMMYFUNCTION("""COMPUTED_VALUE"""),"2395")</f>
        <v>2395</v>
      </c>
      <c r="B118" s="2" t="str">
        <f>IFERROR(__xludf.DUMMYFUNCTION("""COMPUTED_VALUE"""),"BRUSH RE-2(J)")</f>
        <v>BRUSH RE-2(J)</v>
      </c>
      <c r="C118" s="2" t="str">
        <f>IFERROR(__xludf.DUMMYFUNCTION("""COMPUTED_VALUE"""),"Public")</f>
        <v>Public</v>
      </c>
      <c r="D118" s="3">
        <f>IFERROR(__xludf.DUMMYFUNCTION("""COMPUTED_VALUE"""),4.0)</f>
        <v>4</v>
      </c>
      <c r="E118" s="3" t="str">
        <f>IFERROR(__xludf.DUMMYFUNCTION("""COMPUTED_VALUE"""),"Y")</f>
        <v>Y</v>
      </c>
      <c r="F118" s="3" t="str">
        <f>IFERROR(__xludf.DUMMYFUNCTION("""COMPUTED_VALUE"""),"Y")</f>
        <v>Y</v>
      </c>
      <c r="G118" s="3" t="str">
        <f>IFERROR(__xludf.DUMMYFUNCTION("""COMPUTED_VALUE"""),"N")</f>
        <v>N</v>
      </c>
      <c r="H118" s="3" t="str">
        <f>IFERROR(__xludf.DUMMYFUNCTION("""COMPUTED_VALUE"""),"Y")</f>
        <v>Y</v>
      </c>
      <c r="I118" s="3" t="str">
        <f>IFERROR(__xludf.DUMMYFUNCTION("""COMPUTED_VALUE"""),"N")</f>
        <v>N</v>
      </c>
      <c r="J118" s="3" t="str">
        <f>IFERROR(__xludf.DUMMYFUNCTION("""COMPUTED_VALUE"""),"Y")</f>
        <v>Y</v>
      </c>
      <c r="K118" s="3" t="str">
        <f>IFERROR(__xludf.DUMMYFUNCTION("""COMPUTED_VALUE"""),"Y")</f>
        <v>Y</v>
      </c>
      <c r="L118" s="3" t="str">
        <f>IFERROR(__xludf.DUMMYFUNCTION("""COMPUTED_VALUE"""),"Districtwide")</f>
        <v>Districtwide</v>
      </c>
      <c r="M118" s="3" t="str">
        <f>IFERROR(__xludf.DUMMYFUNCTION("""COMPUTED_VALUE"""),"N")</f>
        <v>N</v>
      </c>
      <c r="N118" s="3" t="str">
        <f>IFERROR(__xludf.DUMMYFUNCTION("""COMPUTED_VALUE"""),"Y")</f>
        <v>Y</v>
      </c>
      <c r="O118" s="3" t="str">
        <f>IFERROR(__xludf.DUMMYFUNCTION("""COMPUTED_VALUE"""),"Rural")</f>
        <v>Rural</v>
      </c>
    </row>
    <row r="119">
      <c r="A119" s="2" t="str">
        <f>IFERROR(__xludf.DUMMYFUNCTION("""COMPUTED_VALUE"""),"2405")</f>
        <v>2405</v>
      </c>
      <c r="B119" s="2" t="str">
        <f>IFERROR(__xludf.DUMMYFUNCTION("""COMPUTED_VALUE"""),"FORT MORGAN RE-3")</f>
        <v>FORT MORGAN RE-3</v>
      </c>
      <c r="C119" s="2" t="str">
        <f>IFERROR(__xludf.DUMMYFUNCTION("""COMPUTED_VALUE"""),"Public")</f>
        <v>Public</v>
      </c>
      <c r="D119" s="3">
        <f>IFERROR(__xludf.DUMMYFUNCTION("""COMPUTED_VALUE"""),8.0)</f>
        <v>8</v>
      </c>
      <c r="E119" s="3" t="str">
        <f>IFERROR(__xludf.DUMMYFUNCTION("""COMPUTED_VALUE"""),"Y")</f>
        <v>Y</v>
      </c>
      <c r="F119" s="3" t="str">
        <f>IFERROR(__xludf.DUMMYFUNCTION("""COMPUTED_VALUE"""),"Y")</f>
        <v>Y</v>
      </c>
      <c r="G119" s="3" t="str">
        <f>IFERROR(__xludf.DUMMYFUNCTION("""COMPUTED_VALUE"""),"N")</f>
        <v>N</v>
      </c>
      <c r="H119" s="3" t="str">
        <f>IFERROR(__xludf.DUMMYFUNCTION("""COMPUTED_VALUE"""),"Y")</f>
        <v>Y</v>
      </c>
      <c r="I119" s="3" t="str">
        <f>IFERROR(__xludf.DUMMYFUNCTION("""COMPUTED_VALUE"""),"Y")</f>
        <v>Y</v>
      </c>
      <c r="J119" s="3" t="str">
        <f>IFERROR(__xludf.DUMMYFUNCTION("""COMPUTED_VALUE"""),"Y")</f>
        <v>Y</v>
      </c>
      <c r="K119" s="3" t="str">
        <f>IFERROR(__xludf.DUMMYFUNCTION("""COMPUTED_VALUE"""),"Y")</f>
        <v>Y</v>
      </c>
      <c r="L119" s="3" t="str">
        <f>IFERROR(__xludf.DUMMYFUNCTION("""COMPUTED_VALUE"""),"Districtwide")</f>
        <v>Districtwide</v>
      </c>
      <c r="M119" s="3" t="str">
        <f>IFERROR(__xludf.DUMMYFUNCTION("""COMPUTED_VALUE"""),"N")</f>
        <v>N</v>
      </c>
      <c r="N119" s="3" t="str">
        <f>IFERROR(__xludf.DUMMYFUNCTION("""COMPUTED_VALUE"""),"N")</f>
        <v>N</v>
      </c>
      <c r="O119" s="3" t="str">
        <f>IFERROR(__xludf.DUMMYFUNCTION("""COMPUTED_VALUE"""),"Rural")</f>
        <v>Rural</v>
      </c>
    </row>
    <row r="120">
      <c r="A120" s="2" t="str">
        <f>IFERROR(__xludf.DUMMYFUNCTION("""COMPUTED_VALUE"""),"2505")</f>
        <v>2505</v>
      </c>
      <c r="B120" s="2" t="str">
        <f>IFERROR(__xludf.DUMMYFUNCTION("""COMPUTED_VALUE"""),"WELDON VALLEY RE-20(J)")</f>
        <v>WELDON VALLEY RE-20(J)</v>
      </c>
      <c r="C120" s="2" t="str">
        <f>IFERROR(__xludf.DUMMYFUNCTION("""COMPUTED_VALUE"""),"Public")</f>
        <v>Public</v>
      </c>
      <c r="D120" s="3">
        <f>IFERROR(__xludf.DUMMYFUNCTION("""COMPUTED_VALUE"""),2.0)</f>
        <v>2</v>
      </c>
      <c r="E120" s="3" t="str">
        <f>IFERROR(__xludf.DUMMYFUNCTION("""COMPUTED_VALUE"""),"Y")</f>
        <v>Y</v>
      </c>
      <c r="F120" s="3" t="str">
        <f>IFERROR(__xludf.DUMMYFUNCTION("""COMPUTED_VALUE"""),"Y")</f>
        <v>Y</v>
      </c>
      <c r="G120" s="3" t="str">
        <f>IFERROR(__xludf.DUMMYFUNCTION("""COMPUTED_VALUE"""),"N")</f>
        <v>N</v>
      </c>
      <c r="H120" s="3" t="str">
        <f>IFERROR(__xludf.DUMMYFUNCTION("""COMPUTED_VALUE"""),"N")</f>
        <v>N</v>
      </c>
      <c r="I120" s="3" t="str">
        <f>IFERROR(__xludf.DUMMYFUNCTION("""COMPUTED_VALUE"""),"N")</f>
        <v>N</v>
      </c>
      <c r="J120" s="3" t="str">
        <f>IFERROR(__xludf.DUMMYFUNCTION("""COMPUTED_VALUE"""),"N")</f>
        <v>N</v>
      </c>
      <c r="K120" s="3" t="str">
        <f>IFERROR(__xludf.DUMMYFUNCTION("""COMPUTED_VALUE"""),"Y")</f>
        <v>Y</v>
      </c>
      <c r="L120" s="3" t="str">
        <f>IFERROR(__xludf.DUMMYFUNCTION("""COMPUTED_VALUE"""),"Y")</f>
        <v>Y</v>
      </c>
      <c r="M120" s="3" t="str">
        <f>IFERROR(__xludf.DUMMYFUNCTION("""COMPUTED_VALUE"""),"N")</f>
        <v>N</v>
      </c>
      <c r="N120" s="3" t="str">
        <f>IFERROR(__xludf.DUMMYFUNCTION("""COMPUTED_VALUE"""),"N")</f>
        <v>N</v>
      </c>
      <c r="O120" s="3" t="str">
        <f>IFERROR(__xludf.DUMMYFUNCTION("""COMPUTED_VALUE"""),"Small Rural")</f>
        <v>Small Rural</v>
      </c>
    </row>
    <row r="121">
      <c r="A121" s="2" t="str">
        <f>IFERROR(__xludf.DUMMYFUNCTION("""COMPUTED_VALUE"""),"2515")</f>
        <v>2515</v>
      </c>
      <c r="B121" s="2" t="str">
        <f>IFERROR(__xludf.DUMMYFUNCTION("""COMPUTED_VALUE"""),"WIGGINS RE-50(J)")</f>
        <v>WIGGINS RE-50(J)</v>
      </c>
      <c r="C121" s="2" t="str">
        <f>IFERROR(__xludf.DUMMYFUNCTION("""COMPUTED_VALUE"""),"Public")</f>
        <v>Public</v>
      </c>
      <c r="D121" s="3">
        <f>IFERROR(__xludf.DUMMYFUNCTION("""COMPUTED_VALUE"""),4.0)</f>
        <v>4</v>
      </c>
      <c r="E121" s="3" t="str">
        <f>IFERROR(__xludf.DUMMYFUNCTION("""COMPUTED_VALUE"""),"Y")</f>
        <v>Y</v>
      </c>
      <c r="F121" s="3" t="str">
        <f>IFERROR(__xludf.DUMMYFUNCTION("""COMPUTED_VALUE"""),"Y")</f>
        <v>Y</v>
      </c>
      <c r="G121" s="3" t="str">
        <f>IFERROR(__xludf.DUMMYFUNCTION("""COMPUTED_VALUE"""),"N")</f>
        <v>N</v>
      </c>
      <c r="H121" s="3" t="str">
        <f>IFERROR(__xludf.DUMMYFUNCTION("""COMPUTED_VALUE"""),"N")</f>
        <v>N</v>
      </c>
      <c r="I121" s="3" t="str">
        <f>IFERROR(__xludf.DUMMYFUNCTION("""COMPUTED_VALUE"""),"N")</f>
        <v>N</v>
      </c>
      <c r="J121" s="3" t="str">
        <f>IFERROR(__xludf.DUMMYFUNCTION("""COMPUTED_VALUE"""),"N")</f>
        <v>N</v>
      </c>
      <c r="K121" s="3" t="str">
        <f>IFERROR(__xludf.DUMMYFUNCTION("""COMPUTED_VALUE"""),"Y")</f>
        <v>Y</v>
      </c>
      <c r="L121" s="3" t="str">
        <f>IFERROR(__xludf.DUMMYFUNCTION("""COMPUTED_VALUE"""),"Districtwide")</f>
        <v>Districtwide</v>
      </c>
      <c r="M121" s="3" t="str">
        <f>IFERROR(__xludf.DUMMYFUNCTION("""COMPUTED_VALUE"""),"N")</f>
        <v>N</v>
      </c>
      <c r="N121" s="3" t="str">
        <f>IFERROR(__xludf.DUMMYFUNCTION("""COMPUTED_VALUE"""),"N")</f>
        <v>N</v>
      </c>
      <c r="O121" s="3" t="str">
        <f>IFERROR(__xludf.DUMMYFUNCTION("""COMPUTED_VALUE"""),"Small Rural")</f>
        <v>Small Rural</v>
      </c>
    </row>
    <row r="122">
      <c r="A122" s="2" t="str">
        <f>IFERROR(__xludf.DUMMYFUNCTION("""COMPUTED_VALUE"""),"2520")</f>
        <v>2520</v>
      </c>
      <c r="B122" s="2" t="str">
        <f>IFERROR(__xludf.DUMMYFUNCTION("""COMPUTED_VALUE"""),"East Otero School District R-1")</f>
        <v>East Otero School District R-1</v>
      </c>
      <c r="C122" s="2" t="str">
        <f>IFERROR(__xludf.DUMMYFUNCTION("""COMPUTED_VALUE"""),"Public")</f>
        <v>Public</v>
      </c>
      <c r="D122" s="3">
        <f>IFERROR(__xludf.DUMMYFUNCTION("""COMPUTED_VALUE"""),4.0)</f>
        <v>4</v>
      </c>
      <c r="E122" s="3" t="str">
        <f>IFERROR(__xludf.DUMMYFUNCTION("""COMPUTED_VALUE"""),"Y")</f>
        <v>Y</v>
      </c>
      <c r="F122" s="3" t="str">
        <f>IFERROR(__xludf.DUMMYFUNCTION("""COMPUTED_VALUE"""),"Y")</f>
        <v>Y</v>
      </c>
      <c r="G122" s="3" t="str">
        <f>IFERROR(__xludf.DUMMYFUNCTION("""COMPUTED_VALUE"""),"N")</f>
        <v>N</v>
      </c>
      <c r="H122" s="3" t="str">
        <f>IFERROR(__xludf.DUMMYFUNCTION("""COMPUTED_VALUE"""),"Y")</f>
        <v>Y</v>
      </c>
      <c r="I122" s="3" t="str">
        <f>IFERROR(__xludf.DUMMYFUNCTION("""COMPUTED_VALUE"""),"Y")</f>
        <v>Y</v>
      </c>
      <c r="J122" s="3" t="str">
        <f>IFERROR(__xludf.DUMMYFUNCTION("""COMPUTED_VALUE"""),"Y")</f>
        <v>Y</v>
      </c>
      <c r="K122" s="3" t="str">
        <f>IFERROR(__xludf.DUMMYFUNCTION("""COMPUTED_VALUE"""),"Y")</f>
        <v>Y</v>
      </c>
      <c r="L122" s="3" t="str">
        <f>IFERROR(__xludf.DUMMYFUNCTION("""COMPUTED_VALUE"""),"Districtwide")</f>
        <v>Districtwide</v>
      </c>
      <c r="M122" s="3" t="str">
        <f>IFERROR(__xludf.DUMMYFUNCTION("""COMPUTED_VALUE"""),"N")</f>
        <v>N</v>
      </c>
      <c r="N122" s="3" t="str">
        <f>IFERROR(__xludf.DUMMYFUNCTION("""COMPUTED_VALUE"""),"Y")</f>
        <v>Y</v>
      </c>
      <c r="O122" s="3" t="str">
        <f>IFERROR(__xludf.DUMMYFUNCTION("""COMPUTED_VALUE"""),"Rural")</f>
        <v>Rural</v>
      </c>
    </row>
    <row r="123">
      <c r="A123" s="2" t="str">
        <f>IFERROR(__xludf.DUMMYFUNCTION("""COMPUTED_VALUE"""),"2530")</f>
        <v>2530</v>
      </c>
      <c r="B123" s="2" t="str">
        <f>IFERROR(__xludf.DUMMYFUNCTION("""COMPUTED_VALUE"""),"ROCKY FORD R-2")</f>
        <v>ROCKY FORD R-2</v>
      </c>
      <c r="C123" s="2" t="str">
        <f>IFERROR(__xludf.DUMMYFUNCTION("""COMPUTED_VALUE"""),"Public")</f>
        <v>Public</v>
      </c>
      <c r="D123" s="3">
        <f>IFERROR(__xludf.DUMMYFUNCTION("""COMPUTED_VALUE"""),2.0)</f>
        <v>2</v>
      </c>
      <c r="E123" s="3" t="str">
        <f>IFERROR(__xludf.DUMMYFUNCTION("""COMPUTED_VALUE"""),"Y")</f>
        <v>Y</v>
      </c>
      <c r="F123" s="3" t="str">
        <f>IFERROR(__xludf.DUMMYFUNCTION("""COMPUTED_VALUE"""),"Y")</f>
        <v>Y</v>
      </c>
      <c r="G123" s="3" t="str">
        <f>IFERROR(__xludf.DUMMYFUNCTION("""COMPUTED_VALUE"""),"N")</f>
        <v>N</v>
      </c>
      <c r="H123" s="3" t="str">
        <f>IFERROR(__xludf.DUMMYFUNCTION("""COMPUTED_VALUE"""),"N")</f>
        <v>N</v>
      </c>
      <c r="I123" s="3" t="str">
        <f>IFERROR(__xludf.DUMMYFUNCTION("""COMPUTED_VALUE"""),"Y")</f>
        <v>Y</v>
      </c>
      <c r="J123" s="3" t="str">
        <f>IFERROR(__xludf.DUMMYFUNCTION("""COMPUTED_VALUE"""),"N")</f>
        <v>N</v>
      </c>
      <c r="K123" s="3" t="str">
        <f>IFERROR(__xludf.DUMMYFUNCTION("""COMPUTED_VALUE"""),"Y")</f>
        <v>Y</v>
      </c>
      <c r="L123" s="3" t="str">
        <f>IFERROR(__xludf.DUMMYFUNCTION("""COMPUTED_VALUE"""),"Districtwide")</f>
        <v>Districtwide</v>
      </c>
      <c r="M123" s="3" t="str">
        <f>IFERROR(__xludf.DUMMYFUNCTION("""COMPUTED_VALUE"""),"N")</f>
        <v>N</v>
      </c>
      <c r="N123" s="3" t="str">
        <f>IFERROR(__xludf.DUMMYFUNCTION("""COMPUTED_VALUE"""),"Y")</f>
        <v>Y</v>
      </c>
      <c r="O123" s="3" t="str">
        <f>IFERROR(__xludf.DUMMYFUNCTION("""COMPUTED_VALUE"""),"Small Rural")</f>
        <v>Small Rural</v>
      </c>
    </row>
    <row r="124">
      <c r="A124" s="2" t="str">
        <f>IFERROR(__xludf.DUMMYFUNCTION("""COMPUTED_VALUE"""),"2535")</f>
        <v>2535</v>
      </c>
      <c r="B124" s="2" t="str">
        <f>IFERROR(__xludf.DUMMYFUNCTION("""COMPUTED_VALUE"""),"MANZANOLA 3J")</f>
        <v>MANZANOLA 3J</v>
      </c>
      <c r="C124" s="2" t="str">
        <f>IFERROR(__xludf.DUMMYFUNCTION("""COMPUTED_VALUE"""),"Public")</f>
        <v>Public</v>
      </c>
      <c r="D124" s="3">
        <f>IFERROR(__xludf.DUMMYFUNCTION("""COMPUTED_VALUE"""),2.0)</f>
        <v>2</v>
      </c>
      <c r="E124" s="3" t="str">
        <f>IFERROR(__xludf.DUMMYFUNCTION("""COMPUTED_VALUE"""),"Y")</f>
        <v>Y</v>
      </c>
      <c r="F124" s="3" t="str">
        <f>IFERROR(__xludf.DUMMYFUNCTION("""COMPUTED_VALUE"""),"Y")</f>
        <v>Y</v>
      </c>
      <c r="G124" s="3" t="str">
        <f>IFERROR(__xludf.DUMMYFUNCTION("""COMPUTED_VALUE"""),"N")</f>
        <v>N</v>
      </c>
      <c r="H124" s="3" t="str">
        <f>IFERROR(__xludf.DUMMYFUNCTION("""COMPUTED_VALUE"""),"Y")</f>
        <v>Y</v>
      </c>
      <c r="I124" s="3" t="str">
        <f>IFERROR(__xludf.DUMMYFUNCTION("""COMPUTED_VALUE"""),"N")</f>
        <v>N</v>
      </c>
      <c r="J124" s="3" t="str">
        <f>IFERROR(__xludf.DUMMYFUNCTION("""COMPUTED_VALUE"""),"N")</f>
        <v>N</v>
      </c>
      <c r="K124" s="3" t="str">
        <f>IFERROR(__xludf.DUMMYFUNCTION("""COMPUTED_VALUE"""),"Y")</f>
        <v>Y</v>
      </c>
      <c r="L124" s="3" t="str">
        <f>IFERROR(__xludf.DUMMYFUNCTION("""COMPUTED_VALUE"""),"Districtwide")</f>
        <v>Districtwide</v>
      </c>
      <c r="M124" s="3" t="str">
        <f>IFERROR(__xludf.DUMMYFUNCTION("""COMPUTED_VALUE"""),"N")</f>
        <v>N</v>
      </c>
      <c r="N124" s="3" t="str">
        <f>IFERROR(__xludf.DUMMYFUNCTION("""COMPUTED_VALUE"""),"Y")</f>
        <v>Y</v>
      </c>
      <c r="O124" s="3" t="str">
        <f>IFERROR(__xludf.DUMMYFUNCTION("""COMPUTED_VALUE"""),"Small Rural")</f>
        <v>Small Rural</v>
      </c>
    </row>
    <row r="125">
      <c r="A125" s="2" t="str">
        <f>IFERROR(__xludf.DUMMYFUNCTION("""COMPUTED_VALUE"""),"2540")</f>
        <v>2540</v>
      </c>
      <c r="B125" s="2" t="str">
        <f>IFERROR(__xludf.DUMMYFUNCTION("""COMPUTED_VALUE"""),"Fowler R-4J")</f>
        <v>Fowler R-4J</v>
      </c>
      <c r="C125" s="2" t="str">
        <f>IFERROR(__xludf.DUMMYFUNCTION("""COMPUTED_VALUE"""),"Public")</f>
        <v>Public</v>
      </c>
      <c r="D125" s="3">
        <f>IFERROR(__xludf.DUMMYFUNCTION("""COMPUTED_VALUE"""),3.0)</f>
        <v>3</v>
      </c>
      <c r="E125" s="3" t="str">
        <f>IFERROR(__xludf.DUMMYFUNCTION("""COMPUTED_VALUE"""),"Y")</f>
        <v>Y</v>
      </c>
      <c r="F125" s="3" t="str">
        <f>IFERROR(__xludf.DUMMYFUNCTION("""COMPUTED_VALUE"""),"Y")</f>
        <v>Y</v>
      </c>
      <c r="G125" s="3" t="str">
        <f>IFERROR(__xludf.DUMMYFUNCTION("""COMPUTED_VALUE"""),"N")</f>
        <v>N</v>
      </c>
      <c r="H125" s="3" t="str">
        <f>IFERROR(__xludf.DUMMYFUNCTION("""COMPUTED_VALUE"""),"Y")</f>
        <v>Y</v>
      </c>
      <c r="I125" s="3" t="str">
        <f>IFERROR(__xludf.DUMMYFUNCTION("""COMPUTED_VALUE"""),"N")</f>
        <v>N</v>
      </c>
      <c r="J125" s="3" t="str">
        <f>IFERROR(__xludf.DUMMYFUNCTION("""COMPUTED_VALUE"""),"Y")</f>
        <v>Y</v>
      </c>
      <c r="K125" s="3" t="str">
        <f>IFERROR(__xludf.DUMMYFUNCTION("""COMPUTED_VALUE"""),"Y")</f>
        <v>Y</v>
      </c>
      <c r="L125" s="3" t="str">
        <f>IFERROR(__xludf.DUMMYFUNCTION("""COMPUTED_VALUE"""),"Districtwide")</f>
        <v>Districtwide</v>
      </c>
      <c r="M125" s="3" t="str">
        <f>IFERROR(__xludf.DUMMYFUNCTION("""COMPUTED_VALUE"""),"N")</f>
        <v>N</v>
      </c>
      <c r="N125" s="3" t="str">
        <f>IFERROR(__xludf.DUMMYFUNCTION("""COMPUTED_VALUE"""),"N")</f>
        <v>N</v>
      </c>
      <c r="O125" s="3" t="str">
        <f>IFERROR(__xludf.DUMMYFUNCTION("""COMPUTED_VALUE"""),"Small Rural")</f>
        <v>Small Rural</v>
      </c>
    </row>
    <row r="126">
      <c r="A126" s="2" t="str">
        <f>IFERROR(__xludf.DUMMYFUNCTION("""COMPUTED_VALUE"""),"2560")</f>
        <v>2560</v>
      </c>
      <c r="B126" s="2" t="str">
        <f>IFERROR(__xludf.DUMMYFUNCTION("""COMPUTED_VALUE"""),"CHERAW 31")</f>
        <v>CHERAW 31</v>
      </c>
      <c r="C126" s="2" t="str">
        <f>IFERROR(__xludf.DUMMYFUNCTION("""COMPUTED_VALUE"""),"Public")</f>
        <v>Public</v>
      </c>
      <c r="D126" s="3">
        <f>IFERROR(__xludf.DUMMYFUNCTION("""COMPUTED_VALUE"""),1.0)</f>
        <v>1</v>
      </c>
      <c r="E126" s="3" t="str">
        <f>IFERROR(__xludf.DUMMYFUNCTION("""COMPUTED_VALUE"""),"Y")</f>
        <v>Y</v>
      </c>
      <c r="F126" s="3" t="str">
        <f>IFERROR(__xludf.DUMMYFUNCTION("""COMPUTED_VALUE"""),"Y")</f>
        <v>Y</v>
      </c>
      <c r="G126" s="3" t="str">
        <f>IFERROR(__xludf.DUMMYFUNCTION("""COMPUTED_VALUE"""),"N")</f>
        <v>N</v>
      </c>
      <c r="H126" s="3" t="str">
        <f>IFERROR(__xludf.DUMMYFUNCTION("""COMPUTED_VALUE"""),"N")</f>
        <v>N</v>
      </c>
      <c r="I126" s="3" t="str">
        <f>IFERROR(__xludf.DUMMYFUNCTION("""COMPUTED_VALUE"""),"N")</f>
        <v>N</v>
      </c>
      <c r="J126" s="3" t="str">
        <f>IFERROR(__xludf.DUMMYFUNCTION("""COMPUTED_VALUE"""),"Y")</f>
        <v>Y</v>
      </c>
      <c r="K126" s="3" t="str">
        <f>IFERROR(__xludf.DUMMYFUNCTION("""COMPUTED_VALUE"""),"Y")</f>
        <v>Y</v>
      </c>
      <c r="L126" s="3" t="str">
        <f>IFERROR(__xludf.DUMMYFUNCTION("""COMPUTED_VALUE"""),"N")</f>
        <v>N</v>
      </c>
      <c r="M126" s="3" t="str">
        <f>IFERROR(__xludf.DUMMYFUNCTION("""COMPUTED_VALUE"""),"N")</f>
        <v>N</v>
      </c>
      <c r="N126" s="3" t="str">
        <f>IFERROR(__xludf.DUMMYFUNCTION("""COMPUTED_VALUE"""),"Y")</f>
        <v>Y</v>
      </c>
      <c r="O126" s="3" t="str">
        <f>IFERROR(__xludf.DUMMYFUNCTION("""COMPUTED_VALUE"""),"Small Rural")</f>
        <v>Small Rural</v>
      </c>
    </row>
    <row r="127">
      <c r="A127" s="2" t="str">
        <f>IFERROR(__xludf.DUMMYFUNCTION("""COMPUTED_VALUE"""),"2570")</f>
        <v>2570</v>
      </c>
      <c r="B127" s="2" t="str">
        <f>IFERROR(__xludf.DUMMYFUNCTION("""COMPUTED_VALUE"""),"SWINK 33")</f>
        <v>SWINK 33</v>
      </c>
      <c r="C127" s="2" t="str">
        <f>IFERROR(__xludf.DUMMYFUNCTION("""COMPUTED_VALUE"""),"Public")</f>
        <v>Public</v>
      </c>
      <c r="D127" s="3">
        <f>IFERROR(__xludf.DUMMYFUNCTION("""COMPUTED_VALUE"""),2.0)</f>
        <v>2</v>
      </c>
      <c r="E127" s="3" t="str">
        <f>IFERROR(__xludf.DUMMYFUNCTION("""COMPUTED_VALUE"""),"Y")</f>
        <v>Y</v>
      </c>
      <c r="F127" s="3" t="str">
        <f>IFERROR(__xludf.DUMMYFUNCTION("""COMPUTED_VALUE"""),"Y")</f>
        <v>Y</v>
      </c>
      <c r="G127" s="3" t="str">
        <f>IFERROR(__xludf.DUMMYFUNCTION("""COMPUTED_VALUE"""),"N")</f>
        <v>N</v>
      </c>
      <c r="H127" s="3" t="str">
        <f>IFERROR(__xludf.DUMMYFUNCTION("""COMPUTED_VALUE"""),"Y")</f>
        <v>Y</v>
      </c>
      <c r="I127" s="3" t="str">
        <f>IFERROR(__xludf.DUMMYFUNCTION("""COMPUTED_VALUE"""),"N")</f>
        <v>N</v>
      </c>
      <c r="J127" s="3" t="str">
        <f>IFERROR(__xludf.DUMMYFUNCTION("""COMPUTED_VALUE"""),"N")</f>
        <v>N</v>
      </c>
      <c r="K127" s="3" t="str">
        <f>IFERROR(__xludf.DUMMYFUNCTION("""COMPUTED_VALUE"""),"Y")</f>
        <v>Y</v>
      </c>
      <c r="L127" s="3" t="str">
        <f>IFERROR(__xludf.DUMMYFUNCTION("""COMPUTED_VALUE"""),"Districtwide")</f>
        <v>Districtwide</v>
      </c>
      <c r="M127" s="3" t="str">
        <f>IFERROR(__xludf.DUMMYFUNCTION("""COMPUTED_VALUE"""),"N")</f>
        <v>N</v>
      </c>
      <c r="N127" s="3" t="str">
        <f>IFERROR(__xludf.DUMMYFUNCTION("""COMPUTED_VALUE"""),"N")</f>
        <v>N</v>
      </c>
      <c r="O127" s="3" t="str">
        <f>IFERROR(__xludf.DUMMYFUNCTION("""COMPUTED_VALUE"""),"Small Rural")</f>
        <v>Small Rural</v>
      </c>
    </row>
    <row r="128">
      <c r="A128" s="2" t="str">
        <f>IFERROR(__xludf.DUMMYFUNCTION("""COMPUTED_VALUE"""),"2580")</f>
        <v>2580</v>
      </c>
      <c r="B128" s="2" t="str">
        <f>IFERROR(__xludf.DUMMYFUNCTION("""COMPUTED_VALUE"""),"OURAY R-1")</f>
        <v>OURAY R-1</v>
      </c>
      <c r="C128" s="2" t="str">
        <f>IFERROR(__xludf.DUMMYFUNCTION("""COMPUTED_VALUE"""),"Public")</f>
        <v>Public</v>
      </c>
      <c r="D128" s="3">
        <f>IFERROR(__xludf.DUMMYFUNCTION("""COMPUTED_VALUE"""),3.0)</f>
        <v>3</v>
      </c>
      <c r="E128" s="3" t="str">
        <f>IFERROR(__xludf.DUMMYFUNCTION("""COMPUTED_VALUE"""),"Y")</f>
        <v>Y</v>
      </c>
      <c r="F128" s="3" t="str">
        <f>IFERROR(__xludf.DUMMYFUNCTION("""COMPUTED_VALUE"""),"Y")</f>
        <v>Y</v>
      </c>
      <c r="G128" s="3" t="str">
        <f>IFERROR(__xludf.DUMMYFUNCTION("""COMPUTED_VALUE"""),"N")</f>
        <v>N</v>
      </c>
      <c r="H128" s="3" t="str">
        <f>IFERROR(__xludf.DUMMYFUNCTION("""COMPUTED_VALUE"""),"N")</f>
        <v>N</v>
      </c>
      <c r="I128" s="3" t="str">
        <f>IFERROR(__xludf.DUMMYFUNCTION("""COMPUTED_VALUE"""),"N")</f>
        <v>N</v>
      </c>
      <c r="J128" s="3" t="str">
        <f>IFERROR(__xludf.DUMMYFUNCTION("""COMPUTED_VALUE"""),"N")</f>
        <v>N</v>
      </c>
      <c r="K128" s="3" t="str">
        <f>IFERROR(__xludf.DUMMYFUNCTION("""COMPUTED_VALUE"""),"Y")</f>
        <v>Y</v>
      </c>
      <c r="L128" s="3" t="str">
        <f>IFERROR(__xludf.DUMMYFUNCTION("""COMPUTED_VALUE"""),"Districtwide")</f>
        <v>Districtwide</v>
      </c>
      <c r="M128" s="3" t="str">
        <f>IFERROR(__xludf.DUMMYFUNCTION("""COMPUTED_VALUE"""),"N")</f>
        <v>N</v>
      </c>
      <c r="N128" s="3" t="str">
        <f>IFERROR(__xludf.DUMMYFUNCTION("""COMPUTED_VALUE"""),"N")</f>
        <v>N</v>
      </c>
      <c r="O128" s="3" t="str">
        <f>IFERROR(__xludf.DUMMYFUNCTION("""COMPUTED_VALUE"""),"Small Rural")</f>
        <v>Small Rural</v>
      </c>
    </row>
    <row r="129">
      <c r="A129" s="2" t="str">
        <f>IFERROR(__xludf.DUMMYFUNCTION("""COMPUTED_VALUE"""),"2590")</f>
        <v>2590</v>
      </c>
      <c r="B129" s="2" t="str">
        <f>IFERROR(__xludf.DUMMYFUNCTION("""COMPUTED_VALUE"""),"RIDGWAY R-2")</f>
        <v>RIDGWAY R-2</v>
      </c>
      <c r="C129" s="2" t="str">
        <f>IFERROR(__xludf.DUMMYFUNCTION("""COMPUTED_VALUE"""),"Public")</f>
        <v>Public</v>
      </c>
      <c r="D129" s="3">
        <f>IFERROR(__xludf.DUMMYFUNCTION("""COMPUTED_VALUE"""),3.0)</f>
        <v>3</v>
      </c>
      <c r="E129" s="3" t="str">
        <f>IFERROR(__xludf.DUMMYFUNCTION("""COMPUTED_VALUE"""),"N")</f>
        <v>N</v>
      </c>
      <c r="F129" s="3" t="str">
        <f>IFERROR(__xludf.DUMMYFUNCTION("""COMPUTED_VALUE"""),"Y")</f>
        <v>Y</v>
      </c>
      <c r="G129" s="3" t="str">
        <f>IFERROR(__xludf.DUMMYFUNCTION("""COMPUTED_VALUE"""),"N")</f>
        <v>N</v>
      </c>
      <c r="H129" s="3" t="str">
        <f>IFERROR(__xludf.DUMMYFUNCTION("""COMPUTED_VALUE"""),"N")</f>
        <v>N</v>
      </c>
      <c r="I129" s="3" t="str">
        <f>IFERROR(__xludf.DUMMYFUNCTION("""COMPUTED_VALUE"""),"N")</f>
        <v>N</v>
      </c>
      <c r="J129" s="3" t="str">
        <f>IFERROR(__xludf.DUMMYFUNCTION("""COMPUTED_VALUE"""),"N")</f>
        <v>N</v>
      </c>
      <c r="K129" s="3" t="str">
        <f>IFERROR(__xludf.DUMMYFUNCTION("""COMPUTED_VALUE"""),"Y")</f>
        <v>Y</v>
      </c>
      <c r="L129" s="3" t="str">
        <f>IFERROR(__xludf.DUMMYFUNCTION("""COMPUTED_VALUE"""),"N")</f>
        <v>N</v>
      </c>
      <c r="M129" s="3" t="str">
        <f>IFERROR(__xludf.DUMMYFUNCTION("""COMPUTED_VALUE"""),"N")</f>
        <v>N</v>
      </c>
      <c r="N129" s="3" t="str">
        <f>IFERROR(__xludf.DUMMYFUNCTION("""COMPUTED_VALUE"""),"N")</f>
        <v>N</v>
      </c>
      <c r="O129" s="3" t="str">
        <f>IFERROR(__xludf.DUMMYFUNCTION("""COMPUTED_VALUE"""),"Small Rural")</f>
        <v>Small Rural</v>
      </c>
    </row>
    <row r="130">
      <c r="A130" s="2" t="str">
        <f>IFERROR(__xludf.DUMMYFUNCTION("""COMPUTED_VALUE"""),"2600")</f>
        <v>2600</v>
      </c>
      <c r="B130" s="2" t="str">
        <f>IFERROR(__xludf.DUMMYFUNCTION("""COMPUTED_VALUE"""),"PLATTE CANYON 1")</f>
        <v>PLATTE CANYON 1</v>
      </c>
      <c r="C130" s="2" t="str">
        <f>IFERROR(__xludf.DUMMYFUNCTION("""COMPUTED_VALUE"""),"Public")</f>
        <v>Public</v>
      </c>
      <c r="D130" s="3">
        <f>IFERROR(__xludf.DUMMYFUNCTION("""COMPUTED_VALUE"""),3.0)</f>
        <v>3</v>
      </c>
      <c r="E130" s="3" t="str">
        <f>IFERROR(__xludf.DUMMYFUNCTION("""COMPUTED_VALUE"""),"Y")</f>
        <v>Y</v>
      </c>
      <c r="F130" s="3" t="str">
        <f>IFERROR(__xludf.DUMMYFUNCTION("""COMPUTED_VALUE"""),"Y")</f>
        <v>Y</v>
      </c>
      <c r="G130" s="3" t="str">
        <f>IFERROR(__xludf.DUMMYFUNCTION("""COMPUTED_VALUE"""),"N")</f>
        <v>N</v>
      </c>
      <c r="H130" s="3" t="str">
        <f>IFERROR(__xludf.DUMMYFUNCTION("""COMPUTED_VALUE"""),"N")</f>
        <v>N</v>
      </c>
      <c r="I130" s="3" t="str">
        <f>IFERROR(__xludf.DUMMYFUNCTION("""COMPUTED_VALUE"""),"N")</f>
        <v>N</v>
      </c>
      <c r="J130" s="3" t="str">
        <f>IFERROR(__xludf.DUMMYFUNCTION("""COMPUTED_VALUE"""),"N")</f>
        <v>N</v>
      </c>
      <c r="K130" s="3" t="str">
        <f>IFERROR(__xludf.DUMMYFUNCTION("""COMPUTED_VALUE"""),"Y")</f>
        <v>Y</v>
      </c>
      <c r="L130" s="3" t="str">
        <f>IFERROR(__xludf.DUMMYFUNCTION("""COMPUTED_VALUE"""),"Y")</f>
        <v>Y</v>
      </c>
      <c r="M130" s="3" t="str">
        <f>IFERROR(__xludf.DUMMYFUNCTION("""COMPUTED_VALUE"""),"N")</f>
        <v>N</v>
      </c>
      <c r="N130" s="3" t="str">
        <f>IFERROR(__xludf.DUMMYFUNCTION("""COMPUTED_VALUE"""),"N")</f>
        <v>N</v>
      </c>
      <c r="O130" s="3" t="str">
        <f>IFERROR(__xludf.DUMMYFUNCTION("""COMPUTED_VALUE"""),"Small Rural")</f>
        <v>Small Rural</v>
      </c>
    </row>
    <row r="131">
      <c r="A131" s="2" t="str">
        <f>IFERROR(__xludf.DUMMYFUNCTION("""COMPUTED_VALUE"""),"2610")</f>
        <v>2610</v>
      </c>
      <c r="B131" s="2" t="str">
        <f>IFERROR(__xludf.DUMMYFUNCTION("""COMPUTED_VALUE"""),"PARK COUNTY RE-2")</f>
        <v>PARK COUNTY RE-2</v>
      </c>
      <c r="C131" s="2" t="str">
        <f>IFERROR(__xludf.DUMMYFUNCTION("""COMPUTED_VALUE"""),"Public")</f>
        <v>Public</v>
      </c>
      <c r="D131" s="3">
        <f>IFERROR(__xludf.DUMMYFUNCTION("""COMPUTED_VALUE"""),4.0)</f>
        <v>4</v>
      </c>
      <c r="E131" s="3" t="str">
        <f>IFERROR(__xludf.DUMMYFUNCTION("""COMPUTED_VALUE"""),"Y")</f>
        <v>Y</v>
      </c>
      <c r="F131" s="3" t="str">
        <f>IFERROR(__xludf.DUMMYFUNCTION("""COMPUTED_VALUE"""),"Y")</f>
        <v>Y</v>
      </c>
      <c r="G131" s="3" t="str">
        <f>IFERROR(__xludf.DUMMYFUNCTION("""COMPUTED_VALUE"""),"N")</f>
        <v>N</v>
      </c>
      <c r="H131" s="3" t="str">
        <f>IFERROR(__xludf.DUMMYFUNCTION("""COMPUTED_VALUE"""),"N")</f>
        <v>N</v>
      </c>
      <c r="I131" s="3" t="str">
        <f>IFERROR(__xludf.DUMMYFUNCTION("""COMPUTED_VALUE"""),"N")</f>
        <v>N</v>
      </c>
      <c r="J131" s="3" t="str">
        <f>IFERROR(__xludf.DUMMYFUNCTION("""COMPUTED_VALUE"""),"N")</f>
        <v>N</v>
      </c>
      <c r="K131" s="3" t="str">
        <f>IFERROR(__xludf.DUMMYFUNCTION("""COMPUTED_VALUE"""),"Y")</f>
        <v>Y</v>
      </c>
      <c r="L131" s="3" t="str">
        <f>IFERROR(__xludf.DUMMYFUNCTION("""COMPUTED_VALUE"""),"N")</f>
        <v>N</v>
      </c>
      <c r="M131" s="3" t="str">
        <f>IFERROR(__xludf.DUMMYFUNCTION("""COMPUTED_VALUE"""),"N")</f>
        <v>N</v>
      </c>
      <c r="N131" s="3" t="str">
        <f>IFERROR(__xludf.DUMMYFUNCTION("""COMPUTED_VALUE"""),"N")</f>
        <v>N</v>
      </c>
      <c r="O131" s="3" t="str">
        <f>IFERROR(__xludf.DUMMYFUNCTION("""COMPUTED_VALUE"""),"Small Rural")</f>
        <v>Small Rural</v>
      </c>
    </row>
    <row r="132">
      <c r="A132" s="2" t="str">
        <f>IFERROR(__xludf.DUMMYFUNCTION("""COMPUTED_VALUE"""),"2620")</f>
        <v>2620</v>
      </c>
      <c r="B132" s="2" t="str">
        <f>IFERROR(__xludf.DUMMYFUNCTION("""COMPUTED_VALUE"""),"HOLYOKE RE-1J")</f>
        <v>HOLYOKE RE-1J</v>
      </c>
      <c r="C132" s="2" t="str">
        <f>IFERROR(__xludf.DUMMYFUNCTION("""COMPUTED_VALUE"""),"Public")</f>
        <v>Public</v>
      </c>
      <c r="D132" s="3">
        <f>IFERROR(__xludf.DUMMYFUNCTION("""COMPUTED_VALUE"""),2.0)</f>
        <v>2</v>
      </c>
      <c r="E132" s="3" t="str">
        <f>IFERROR(__xludf.DUMMYFUNCTION("""COMPUTED_VALUE"""),"Y")</f>
        <v>Y</v>
      </c>
      <c r="F132" s="3" t="str">
        <f>IFERROR(__xludf.DUMMYFUNCTION("""COMPUTED_VALUE"""),"Y")</f>
        <v>Y</v>
      </c>
      <c r="G132" s="3" t="str">
        <f>IFERROR(__xludf.DUMMYFUNCTION("""COMPUTED_VALUE"""),"N")</f>
        <v>N</v>
      </c>
      <c r="H132" s="3" t="str">
        <f>IFERROR(__xludf.DUMMYFUNCTION("""COMPUTED_VALUE"""),"N")</f>
        <v>N</v>
      </c>
      <c r="I132" s="3" t="str">
        <f>IFERROR(__xludf.DUMMYFUNCTION("""COMPUTED_VALUE"""),"Y")</f>
        <v>Y</v>
      </c>
      <c r="J132" s="3" t="str">
        <f>IFERROR(__xludf.DUMMYFUNCTION("""COMPUTED_VALUE"""),"Y")</f>
        <v>Y</v>
      </c>
      <c r="K132" s="3" t="str">
        <f>IFERROR(__xludf.DUMMYFUNCTION("""COMPUTED_VALUE"""),"Y")</f>
        <v>Y</v>
      </c>
      <c r="L132" s="3" t="str">
        <f>IFERROR(__xludf.DUMMYFUNCTION("""COMPUTED_VALUE"""),"Districtwide")</f>
        <v>Districtwide</v>
      </c>
      <c r="M132" s="3" t="str">
        <f>IFERROR(__xludf.DUMMYFUNCTION("""COMPUTED_VALUE"""),"N")</f>
        <v>N</v>
      </c>
      <c r="N132" s="3" t="str">
        <f>IFERROR(__xludf.DUMMYFUNCTION("""COMPUTED_VALUE"""),"Y")</f>
        <v>Y</v>
      </c>
      <c r="O132" s="3" t="str">
        <f>IFERROR(__xludf.DUMMYFUNCTION("""COMPUTED_VALUE"""),"Small Rural")</f>
        <v>Small Rural</v>
      </c>
    </row>
    <row r="133">
      <c r="A133" s="2" t="str">
        <f>IFERROR(__xludf.DUMMYFUNCTION("""COMPUTED_VALUE"""),"2630")</f>
        <v>2630</v>
      </c>
      <c r="B133" s="2" t="str">
        <f>IFERROR(__xludf.DUMMYFUNCTION("""COMPUTED_VALUE"""),"HAXTUN RE-2J")</f>
        <v>HAXTUN RE-2J</v>
      </c>
      <c r="C133" s="2" t="str">
        <f>IFERROR(__xludf.DUMMYFUNCTION("""COMPUTED_VALUE"""),"Public")</f>
        <v>Public</v>
      </c>
      <c r="D133" s="3">
        <f>IFERROR(__xludf.DUMMYFUNCTION("""COMPUTED_VALUE"""),2.0)</f>
        <v>2</v>
      </c>
      <c r="E133" s="3" t="str">
        <f>IFERROR(__xludf.DUMMYFUNCTION("""COMPUTED_VALUE"""),"Y")</f>
        <v>Y</v>
      </c>
      <c r="F133" s="3" t="str">
        <f>IFERROR(__xludf.DUMMYFUNCTION("""COMPUTED_VALUE"""),"Y")</f>
        <v>Y</v>
      </c>
      <c r="G133" s="3" t="str">
        <f>IFERROR(__xludf.DUMMYFUNCTION("""COMPUTED_VALUE"""),"N")</f>
        <v>N</v>
      </c>
      <c r="H133" s="3" t="str">
        <f>IFERROR(__xludf.DUMMYFUNCTION("""COMPUTED_VALUE"""),"N")</f>
        <v>N</v>
      </c>
      <c r="I133" s="3" t="str">
        <f>IFERROR(__xludf.DUMMYFUNCTION("""COMPUTED_VALUE"""),"N")</f>
        <v>N</v>
      </c>
      <c r="J133" s="3" t="str">
        <f>IFERROR(__xludf.DUMMYFUNCTION("""COMPUTED_VALUE"""),"N")</f>
        <v>N</v>
      </c>
      <c r="K133" s="3" t="str">
        <f>IFERROR(__xludf.DUMMYFUNCTION("""COMPUTED_VALUE"""),"Y")</f>
        <v>Y</v>
      </c>
      <c r="L133" s="3" t="str">
        <f>IFERROR(__xludf.DUMMYFUNCTION("""COMPUTED_VALUE"""),"N")</f>
        <v>N</v>
      </c>
      <c r="M133" s="3" t="str">
        <f>IFERROR(__xludf.DUMMYFUNCTION("""COMPUTED_VALUE"""),"N")</f>
        <v>N</v>
      </c>
      <c r="N133" s="3" t="str">
        <f>IFERROR(__xludf.DUMMYFUNCTION("""COMPUTED_VALUE"""),"Y")</f>
        <v>Y</v>
      </c>
      <c r="O133" s="3" t="str">
        <f>IFERROR(__xludf.DUMMYFUNCTION("""COMPUTED_VALUE"""),"Small Rural")</f>
        <v>Small Rural</v>
      </c>
    </row>
    <row r="134">
      <c r="A134" s="2" t="str">
        <f>IFERROR(__xludf.DUMMYFUNCTION("""COMPUTED_VALUE"""),"2650")</f>
        <v>2650</v>
      </c>
      <c r="B134" s="2" t="str">
        <f>IFERROR(__xludf.DUMMYFUNCTION("""COMPUTED_VALUE"""),"GRANADA RE-1")</f>
        <v>GRANADA RE-1</v>
      </c>
      <c r="C134" s="2" t="str">
        <f>IFERROR(__xludf.DUMMYFUNCTION("""COMPUTED_VALUE"""),"Public")</f>
        <v>Public</v>
      </c>
      <c r="D134" s="3">
        <f>IFERROR(__xludf.DUMMYFUNCTION("""COMPUTED_VALUE"""),2.0)</f>
        <v>2</v>
      </c>
      <c r="E134" s="3" t="str">
        <f>IFERROR(__xludf.DUMMYFUNCTION("""COMPUTED_VALUE"""),"Y")</f>
        <v>Y</v>
      </c>
      <c r="F134" s="3" t="str">
        <f>IFERROR(__xludf.DUMMYFUNCTION("""COMPUTED_VALUE"""),"Y")</f>
        <v>Y</v>
      </c>
      <c r="G134" s="3" t="str">
        <f>IFERROR(__xludf.DUMMYFUNCTION("""COMPUTED_VALUE"""),"N")</f>
        <v>N</v>
      </c>
      <c r="H134" s="3" t="str">
        <f>IFERROR(__xludf.DUMMYFUNCTION("""COMPUTED_VALUE"""),"N")</f>
        <v>N</v>
      </c>
      <c r="I134" s="3" t="str">
        <f>IFERROR(__xludf.DUMMYFUNCTION("""COMPUTED_VALUE"""),"N")</f>
        <v>N</v>
      </c>
      <c r="J134" s="3" t="str">
        <f>IFERROR(__xludf.DUMMYFUNCTION("""COMPUTED_VALUE"""),"N")</f>
        <v>N</v>
      </c>
      <c r="K134" s="3" t="str">
        <f>IFERROR(__xludf.DUMMYFUNCTION("""COMPUTED_VALUE"""),"Y")</f>
        <v>Y</v>
      </c>
      <c r="L134" s="3" t="str">
        <f>IFERROR(__xludf.DUMMYFUNCTION("""COMPUTED_VALUE"""),"Districtwide")</f>
        <v>Districtwide</v>
      </c>
      <c r="M134" s="3" t="str">
        <f>IFERROR(__xludf.DUMMYFUNCTION("""COMPUTED_VALUE"""),"N")</f>
        <v>N</v>
      </c>
      <c r="N134" s="3" t="str">
        <f>IFERROR(__xludf.DUMMYFUNCTION("""COMPUTED_VALUE"""),"N")</f>
        <v>N</v>
      </c>
      <c r="O134" s="3" t="str">
        <f>IFERROR(__xludf.DUMMYFUNCTION("""COMPUTED_VALUE"""),"Small Rural")</f>
        <v>Small Rural</v>
      </c>
    </row>
    <row r="135">
      <c r="A135" s="2" t="str">
        <f>IFERROR(__xludf.DUMMYFUNCTION("""COMPUTED_VALUE"""),"2660")</f>
        <v>2660</v>
      </c>
      <c r="B135" s="2" t="str">
        <f>IFERROR(__xludf.DUMMYFUNCTION("""COMPUTED_VALUE"""),"LAMAR RE-2")</f>
        <v>LAMAR RE-2</v>
      </c>
      <c r="C135" s="2" t="str">
        <f>IFERROR(__xludf.DUMMYFUNCTION("""COMPUTED_VALUE"""),"Public")</f>
        <v>Public</v>
      </c>
      <c r="D135" s="3">
        <f>IFERROR(__xludf.DUMMYFUNCTION("""COMPUTED_VALUE"""),6.0)</f>
        <v>6</v>
      </c>
      <c r="E135" s="3" t="str">
        <f>IFERROR(__xludf.DUMMYFUNCTION("""COMPUTED_VALUE"""),"Y")</f>
        <v>Y</v>
      </c>
      <c r="F135" s="3" t="str">
        <f>IFERROR(__xludf.DUMMYFUNCTION("""COMPUTED_VALUE"""),"Y")</f>
        <v>Y</v>
      </c>
      <c r="G135" s="3" t="str">
        <f>IFERROR(__xludf.DUMMYFUNCTION("""COMPUTED_VALUE"""),"N")</f>
        <v>N</v>
      </c>
      <c r="H135" s="3" t="str">
        <f>IFERROR(__xludf.DUMMYFUNCTION("""COMPUTED_VALUE"""),"Y")</f>
        <v>Y</v>
      </c>
      <c r="I135" s="3" t="str">
        <f>IFERROR(__xludf.DUMMYFUNCTION("""COMPUTED_VALUE"""),"Y")</f>
        <v>Y</v>
      </c>
      <c r="J135" s="3" t="str">
        <f>IFERROR(__xludf.DUMMYFUNCTION("""COMPUTED_VALUE"""),"Y")</f>
        <v>Y</v>
      </c>
      <c r="K135" s="3" t="str">
        <f>IFERROR(__xludf.DUMMYFUNCTION("""COMPUTED_VALUE"""),"Y")</f>
        <v>Y</v>
      </c>
      <c r="L135" s="3" t="str">
        <f>IFERROR(__xludf.DUMMYFUNCTION("""COMPUTED_VALUE"""),"Districtwide")</f>
        <v>Districtwide</v>
      </c>
      <c r="M135" s="3" t="str">
        <f>IFERROR(__xludf.DUMMYFUNCTION("""COMPUTED_VALUE"""),"N")</f>
        <v>N</v>
      </c>
      <c r="N135" s="3" t="str">
        <f>IFERROR(__xludf.DUMMYFUNCTION("""COMPUTED_VALUE"""),"Y")</f>
        <v>Y</v>
      </c>
      <c r="O135" s="3" t="str">
        <f>IFERROR(__xludf.DUMMYFUNCTION("""COMPUTED_VALUE"""),"Rural")</f>
        <v>Rural</v>
      </c>
    </row>
    <row r="136">
      <c r="A136" s="2" t="str">
        <f>IFERROR(__xludf.DUMMYFUNCTION("""COMPUTED_VALUE"""),"2670")</f>
        <v>2670</v>
      </c>
      <c r="B136" s="2" t="str">
        <f>IFERROR(__xludf.DUMMYFUNCTION("""COMPUTED_VALUE"""),"HOLLY RE-3")</f>
        <v>HOLLY RE-3</v>
      </c>
      <c r="C136" s="2" t="str">
        <f>IFERROR(__xludf.DUMMYFUNCTION("""COMPUTED_VALUE"""),"Public")</f>
        <v>Public</v>
      </c>
      <c r="D136" s="3">
        <f>IFERROR(__xludf.DUMMYFUNCTION("""COMPUTED_VALUE"""),1.0)</f>
        <v>1</v>
      </c>
      <c r="E136" s="3" t="str">
        <f>IFERROR(__xludf.DUMMYFUNCTION("""COMPUTED_VALUE"""),"Y")</f>
        <v>Y</v>
      </c>
      <c r="F136" s="3" t="str">
        <f>IFERROR(__xludf.DUMMYFUNCTION("""COMPUTED_VALUE"""),"Y")</f>
        <v>Y</v>
      </c>
      <c r="G136" s="3" t="str">
        <f>IFERROR(__xludf.DUMMYFUNCTION("""COMPUTED_VALUE"""),"N")</f>
        <v>N</v>
      </c>
      <c r="H136" s="3" t="str">
        <f>IFERROR(__xludf.DUMMYFUNCTION("""COMPUTED_VALUE"""),"N")</f>
        <v>N</v>
      </c>
      <c r="I136" s="3" t="str">
        <f>IFERROR(__xludf.DUMMYFUNCTION("""COMPUTED_VALUE"""),"N")</f>
        <v>N</v>
      </c>
      <c r="J136" s="3" t="str">
        <f>IFERROR(__xludf.DUMMYFUNCTION("""COMPUTED_VALUE"""),"N")</f>
        <v>N</v>
      </c>
      <c r="K136" s="3" t="str">
        <f>IFERROR(__xludf.DUMMYFUNCTION("""COMPUTED_VALUE"""),"Y")</f>
        <v>Y</v>
      </c>
      <c r="L136" s="3" t="str">
        <f>IFERROR(__xludf.DUMMYFUNCTION("""COMPUTED_VALUE"""),"Districtwide")</f>
        <v>Districtwide</v>
      </c>
      <c r="M136" s="3" t="str">
        <f>IFERROR(__xludf.DUMMYFUNCTION("""COMPUTED_VALUE"""),"N")</f>
        <v>N</v>
      </c>
      <c r="N136" s="3" t="str">
        <f>IFERROR(__xludf.DUMMYFUNCTION("""COMPUTED_VALUE"""),"N")</f>
        <v>N</v>
      </c>
      <c r="O136" s="3" t="str">
        <f>IFERROR(__xludf.DUMMYFUNCTION("""COMPUTED_VALUE"""),"Small Rural")</f>
        <v>Small Rural</v>
      </c>
    </row>
    <row r="137">
      <c r="A137" s="2" t="str">
        <f>IFERROR(__xludf.DUMMYFUNCTION("""COMPUTED_VALUE"""),"2680")</f>
        <v>2680</v>
      </c>
      <c r="B137" s="2" t="str">
        <f>IFERROR(__xludf.DUMMYFUNCTION("""COMPUTED_VALUE"""),"WILEY RE-13 JT")</f>
        <v>WILEY RE-13 JT</v>
      </c>
      <c r="C137" s="2" t="str">
        <f>IFERROR(__xludf.DUMMYFUNCTION("""COMPUTED_VALUE"""),"Public")</f>
        <v>Public</v>
      </c>
      <c r="D137" s="3">
        <f>IFERROR(__xludf.DUMMYFUNCTION("""COMPUTED_VALUE"""),2.0)</f>
        <v>2</v>
      </c>
      <c r="E137" s="3" t="str">
        <f>IFERROR(__xludf.DUMMYFUNCTION("""COMPUTED_VALUE"""),"Y")</f>
        <v>Y</v>
      </c>
      <c r="F137" s="3" t="str">
        <f>IFERROR(__xludf.DUMMYFUNCTION("""COMPUTED_VALUE"""),"Y")</f>
        <v>Y</v>
      </c>
      <c r="G137" s="3" t="str">
        <f>IFERROR(__xludf.DUMMYFUNCTION("""COMPUTED_VALUE"""),"N")</f>
        <v>N</v>
      </c>
      <c r="H137" s="3" t="str">
        <f>IFERROR(__xludf.DUMMYFUNCTION("""COMPUTED_VALUE"""),"N")</f>
        <v>N</v>
      </c>
      <c r="I137" s="3" t="str">
        <f>IFERROR(__xludf.DUMMYFUNCTION("""COMPUTED_VALUE"""),"N")</f>
        <v>N</v>
      </c>
      <c r="J137" s="3" t="str">
        <f>IFERROR(__xludf.DUMMYFUNCTION("""COMPUTED_VALUE"""),"N")</f>
        <v>N</v>
      </c>
      <c r="K137" s="3" t="str">
        <f>IFERROR(__xludf.DUMMYFUNCTION("""COMPUTED_VALUE"""),"Y")</f>
        <v>Y</v>
      </c>
      <c r="L137" s="3" t="str">
        <f>IFERROR(__xludf.DUMMYFUNCTION("""COMPUTED_VALUE"""),"Y")</f>
        <v>Y</v>
      </c>
      <c r="M137" s="3" t="str">
        <f>IFERROR(__xludf.DUMMYFUNCTION("""COMPUTED_VALUE"""),"N")</f>
        <v>N</v>
      </c>
      <c r="N137" s="3" t="str">
        <f>IFERROR(__xludf.DUMMYFUNCTION("""COMPUTED_VALUE"""),"N")</f>
        <v>N</v>
      </c>
      <c r="O137" s="3" t="str">
        <f>IFERROR(__xludf.DUMMYFUNCTION("""COMPUTED_VALUE"""),"Small Rural")</f>
        <v>Small Rural</v>
      </c>
    </row>
    <row r="138">
      <c r="A138" s="2" t="str">
        <f>IFERROR(__xludf.DUMMYFUNCTION("""COMPUTED_VALUE"""),"2690")</f>
        <v>2690</v>
      </c>
      <c r="B138" s="2" t="str">
        <f>IFERROR(__xludf.DUMMYFUNCTION("""COMPUTED_VALUE"""),"Pueblo City 60")</f>
        <v>Pueblo City 60</v>
      </c>
      <c r="C138" s="2" t="str">
        <f>IFERROR(__xludf.DUMMYFUNCTION("""COMPUTED_VALUE"""),"Public")</f>
        <v>Public</v>
      </c>
      <c r="D138" s="3">
        <f>IFERROR(__xludf.DUMMYFUNCTION("""COMPUTED_VALUE"""),30.0)</f>
        <v>30</v>
      </c>
      <c r="E138" s="3" t="str">
        <f>IFERROR(__xludf.DUMMYFUNCTION("""COMPUTED_VALUE"""),"Y")</f>
        <v>Y</v>
      </c>
      <c r="F138" s="3" t="str">
        <f>IFERROR(__xludf.DUMMYFUNCTION("""COMPUTED_VALUE"""),"Y")</f>
        <v>Y</v>
      </c>
      <c r="G138" s="3" t="str">
        <f>IFERROR(__xludf.DUMMYFUNCTION("""COMPUTED_VALUE"""),"N")</f>
        <v>N</v>
      </c>
      <c r="H138" s="3" t="str">
        <f>IFERROR(__xludf.DUMMYFUNCTION("""COMPUTED_VALUE"""),"N")</f>
        <v>N</v>
      </c>
      <c r="I138" s="3" t="str">
        <f>IFERROR(__xludf.DUMMYFUNCTION("""COMPUTED_VALUE"""),"Y")</f>
        <v>Y</v>
      </c>
      <c r="J138" s="3" t="str">
        <f>IFERROR(__xludf.DUMMYFUNCTION("""COMPUTED_VALUE"""),"Y")</f>
        <v>Y</v>
      </c>
      <c r="K138" s="3" t="str">
        <f>IFERROR(__xludf.DUMMYFUNCTION("""COMPUTED_VALUE"""),"Y")</f>
        <v>Y</v>
      </c>
      <c r="L138" s="3" t="str">
        <f>IFERROR(__xludf.DUMMYFUNCTION("""COMPUTED_VALUE"""),"Districtwide")</f>
        <v>Districtwide</v>
      </c>
      <c r="M138" s="3" t="str">
        <f>IFERROR(__xludf.DUMMYFUNCTION("""COMPUTED_VALUE"""),"N")</f>
        <v>N</v>
      </c>
      <c r="N138" s="3" t="str">
        <f>IFERROR(__xludf.DUMMYFUNCTION("""COMPUTED_VALUE"""),"Y")</f>
        <v>Y</v>
      </c>
      <c r="O138" s="3" t="str">
        <f>IFERROR(__xludf.DUMMYFUNCTION("""COMPUTED_VALUE"""),"none")</f>
        <v>none</v>
      </c>
    </row>
    <row r="139">
      <c r="A139" s="2" t="str">
        <f>IFERROR(__xludf.DUMMYFUNCTION("""COMPUTED_VALUE"""),"2700")</f>
        <v>2700</v>
      </c>
      <c r="B139" s="2" t="str">
        <f>IFERROR(__xludf.DUMMYFUNCTION("""COMPUTED_VALUE"""),"Pueblo County School District 70")</f>
        <v>Pueblo County School District 70</v>
      </c>
      <c r="C139" s="2" t="str">
        <f>IFERROR(__xludf.DUMMYFUNCTION("""COMPUTED_VALUE"""),"Public")</f>
        <v>Public</v>
      </c>
      <c r="D139" s="3">
        <f>IFERROR(__xludf.DUMMYFUNCTION("""COMPUTED_VALUE"""),23.0)</f>
        <v>23</v>
      </c>
      <c r="E139" s="3" t="str">
        <f>IFERROR(__xludf.DUMMYFUNCTION("""COMPUTED_VALUE"""),"Y")</f>
        <v>Y</v>
      </c>
      <c r="F139" s="3" t="str">
        <f>IFERROR(__xludf.DUMMYFUNCTION("""COMPUTED_VALUE"""),"Y")</f>
        <v>Y</v>
      </c>
      <c r="G139" s="3" t="str">
        <f>IFERROR(__xludf.DUMMYFUNCTION("""COMPUTED_VALUE"""),"N")</f>
        <v>N</v>
      </c>
      <c r="H139" s="3" t="str">
        <f>IFERROR(__xludf.DUMMYFUNCTION("""COMPUTED_VALUE"""),"N")</f>
        <v>N</v>
      </c>
      <c r="I139" s="3" t="str">
        <f>IFERROR(__xludf.DUMMYFUNCTION("""COMPUTED_VALUE"""),"N")</f>
        <v>N</v>
      </c>
      <c r="J139" s="3" t="str">
        <f>IFERROR(__xludf.DUMMYFUNCTION("""COMPUTED_VALUE"""),"Y")</f>
        <v>Y</v>
      </c>
      <c r="K139" s="3" t="str">
        <f>IFERROR(__xludf.DUMMYFUNCTION("""COMPUTED_VALUE"""),"Y")</f>
        <v>Y</v>
      </c>
      <c r="L139" s="3" t="str">
        <f>IFERROR(__xludf.DUMMYFUNCTION("""COMPUTED_VALUE"""),"Y")</f>
        <v>Y</v>
      </c>
      <c r="M139" s="3" t="str">
        <f>IFERROR(__xludf.DUMMYFUNCTION("""COMPUTED_VALUE"""),"N")</f>
        <v>N</v>
      </c>
      <c r="N139" s="3" t="str">
        <f>IFERROR(__xludf.DUMMYFUNCTION("""COMPUTED_VALUE"""),"N")</f>
        <v>N</v>
      </c>
      <c r="O139" s="3" t="str">
        <f>IFERROR(__xludf.DUMMYFUNCTION("""COMPUTED_VALUE"""),"none")</f>
        <v>none</v>
      </c>
    </row>
    <row r="140">
      <c r="A140" s="2" t="str">
        <f>IFERROR(__xludf.DUMMYFUNCTION("""COMPUTED_VALUE"""),"2710")</f>
        <v>2710</v>
      </c>
      <c r="B140" s="2" t="str">
        <f>IFERROR(__xludf.DUMMYFUNCTION("""COMPUTED_VALUE"""),"MEEKER RE1")</f>
        <v>MEEKER RE1</v>
      </c>
      <c r="C140" s="2" t="str">
        <f>IFERROR(__xludf.DUMMYFUNCTION("""COMPUTED_VALUE"""),"Public")</f>
        <v>Public</v>
      </c>
      <c r="D140" s="3">
        <f>IFERROR(__xludf.DUMMYFUNCTION("""COMPUTED_VALUE"""),3.0)</f>
        <v>3</v>
      </c>
      <c r="E140" s="3" t="str">
        <f>IFERROR(__xludf.DUMMYFUNCTION("""COMPUTED_VALUE"""),"Y")</f>
        <v>Y</v>
      </c>
      <c r="F140" s="3" t="str">
        <f>IFERROR(__xludf.DUMMYFUNCTION("""COMPUTED_VALUE"""),"Y")</f>
        <v>Y</v>
      </c>
      <c r="G140" s="3" t="str">
        <f>IFERROR(__xludf.DUMMYFUNCTION("""COMPUTED_VALUE"""),"Y")</f>
        <v>Y</v>
      </c>
      <c r="H140" s="3" t="str">
        <f>IFERROR(__xludf.DUMMYFUNCTION("""COMPUTED_VALUE"""),"N")</f>
        <v>N</v>
      </c>
      <c r="I140" s="3" t="str">
        <f>IFERROR(__xludf.DUMMYFUNCTION("""COMPUTED_VALUE"""),"N")</f>
        <v>N</v>
      </c>
      <c r="J140" s="3" t="str">
        <f>IFERROR(__xludf.DUMMYFUNCTION("""COMPUTED_VALUE"""),"N")</f>
        <v>N</v>
      </c>
      <c r="K140" s="3" t="str">
        <f>IFERROR(__xludf.DUMMYFUNCTION("""COMPUTED_VALUE"""),"Y")</f>
        <v>Y</v>
      </c>
      <c r="L140" s="3" t="str">
        <f>IFERROR(__xludf.DUMMYFUNCTION("""COMPUTED_VALUE"""),"Districtwide")</f>
        <v>Districtwide</v>
      </c>
      <c r="M140" s="3" t="str">
        <f>IFERROR(__xludf.DUMMYFUNCTION("""COMPUTED_VALUE"""),"N")</f>
        <v>N</v>
      </c>
      <c r="N140" s="3" t="str">
        <f>IFERROR(__xludf.DUMMYFUNCTION("""COMPUTED_VALUE"""),"N")</f>
        <v>N</v>
      </c>
      <c r="O140" s="3" t="str">
        <f>IFERROR(__xludf.DUMMYFUNCTION("""COMPUTED_VALUE"""),"Small Rural")</f>
        <v>Small Rural</v>
      </c>
    </row>
    <row r="141">
      <c r="A141" s="2" t="str">
        <f>IFERROR(__xludf.DUMMYFUNCTION("""COMPUTED_VALUE"""),"2720")</f>
        <v>2720</v>
      </c>
      <c r="B141" s="2" t="str">
        <f>IFERROR(__xludf.DUMMYFUNCTION("""COMPUTED_VALUE"""),"RANGELY RE-4")</f>
        <v>RANGELY RE-4</v>
      </c>
      <c r="C141" s="2" t="str">
        <f>IFERROR(__xludf.DUMMYFUNCTION("""COMPUTED_VALUE"""),"Public")</f>
        <v>Public</v>
      </c>
      <c r="D141" s="3">
        <f>IFERROR(__xludf.DUMMYFUNCTION("""COMPUTED_VALUE"""),2.0)</f>
        <v>2</v>
      </c>
      <c r="E141" s="3" t="str">
        <f>IFERROR(__xludf.DUMMYFUNCTION("""COMPUTED_VALUE"""),"N")</f>
        <v>N</v>
      </c>
      <c r="F141" s="3" t="str">
        <f>IFERROR(__xludf.DUMMYFUNCTION("""COMPUTED_VALUE"""),"Y")</f>
        <v>Y</v>
      </c>
      <c r="G141" s="3" t="str">
        <f>IFERROR(__xludf.DUMMYFUNCTION("""COMPUTED_VALUE"""),"Y")</f>
        <v>Y</v>
      </c>
      <c r="H141" s="3" t="str">
        <f>IFERROR(__xludf.DUMMYFUNCTION("""COMPUTED_VALUE"""),"N")</f>
        <v>N</v>
      </c>
      <c r="I141" s="3" t="str">
        <f>IFERROR(__xludf.DUMMYFUNCTION("""COMPUTED_VALUE"""),"N")</f>
        <v>N</v>
      </c>
      <c r="J141" s="3" t="str">
        <f>IFERROR(__xludf.DUMMYFUNCTION("""COMPUTED_VALUE"""),"N")</f>
        <v>N</v>
      </c>
      <c r="K141" s="3" t="str">
        <f>IFERROR(__xludf.DUMMYFUNCTION("""COMPUTED_VALUE"""),"Y")</f>
        <v>Y</v>
      </c>
      <c r="L141" s="3" t="str">
        <f>IFERROR(__xludf.DUMMYFUNCTION("""COMPUTED_VALUE"""),"N")</f>
        <v>N</v>
      </c>
      <c r="M141" s="3" t="str">
        <f>IFERROR(__xludf.DUMMYFUNCTION("""COMPUTED_VALUE"""),"N")</f>
        <v>N</v>
      </c>
      <c r="N141" s="3" t="str">
        <f>IFERROR(__xludf.DUMMYFUNCTION("""COMPUTED_VALUE"""),"N")</f>
        <v>N</v>
      </c>
      <c r="O141" s="3" t="str">
        <f>IFERROR(__xludf.DUMMYFUNCTION("""COMPUTED_VALUE"""),"Small Rural")</f>
        <v>Small Rural</v>
      </c>
    </row>
    <row r="142">
      <c r="A142" s="2" t="str">
        <f>IFERROR(__xludf.DUMMYFUNCTION("""COMPUTED_VALUE"""),"2730")</f>
        <v>2730</v>
      </c>
      <c r="B142" s="2" t="str">
        <f>IFERROR(__xludf.DUMMYFUNCTION("""COMPUTED_VALUE"""),"DEL NORTE C-7")</f>
        <v>DEL NORTE C-7</v>
      </c>
      <c r="C142" s="2" t="str">
        <f>IFERROR(__xludf.DUMMYFUNCTION("""COMPUTED_VALUE"""),"Public")</f>
        <v>Public</v>
      </c>
      <c r="D142" s="3">
        <f>IFERROR(__xludf.DUMMYFUNCTION("""COMPUTED_VALUE"""),2.0)</f>
        <v>2</v>
      </c>
      <c r="E142" s="3" t="str">
        <f>IFERROR(__xludf.DUMMYFUNCTION("""COMPUTED_VALUE"""),"Y")</f>
        <v>Y</v>
      </c>
      <c r="F142" s="3" t="str">
        <f>IFERROR(__xludf.DUMMYFUNCTION("""COMPUTED_VALUE"""),"Y")</f>
        <v>Y</v>
      </c>
      <c r="G142" s="3" t="str">
        <f>IFERROR(__xludf.DUMMYFUNCTION("""COMPUTED_VALUE"""),"N")</f>
        <v>N</v>
      </c>
      <c r="H142" s="3" t="str">
        <f>IFERROR(__xludf.DUMMYFUNCTION("""COMPUTED_VALUE"""),"N")</f>
        <v>N</v>
      </c>
      <c r="I142" s="3" t="str">
        <f>IFERROR(__xludf.DUMMYFUNCTION("""COMPUTED_VALUE"""),"N")</f>
        <v>N</v>
      </c>
      <c r="J142" s="3" t="str">
        <f>IFERROR(__xludf.DUMMYFUNCTION("""COMPUTED_VALUE"""),"N")</f>
        <v>N</v>
      </c>
      <c r="K142" s="3" t="str">
        <f>IFERROR(__xludf.DUMMYFUNCTION("""COMPUTED_VALUE"""),"Y")</f>
        <v>Y</v>
      </c>
      <c r="L142" s="3" t="str">
        <f>IFERROR(__xludf.DUMMYFUNCTION("""COMPUTED_VALUE"""),"Districtwide")</f>
        <v>Districtwide</v>
      </c>
      <c r="M142" s="3" t="str">
        <f>IFERROR(__xludf.DUMMYFUNCTION("""COMPUTED_VALUE"""),"N")</f>
        <v>N</v>
      </c>
      <c r="N142" s="3" t="str">
        <f>IFERROR(__xludf.DUMMYFUNCTION("""COMPUTED_VALUE"""),"N")</f>
        <v>N</v>
      </c>
      <c r="O142" s="3" t="str">
        <f>IFERROR(__xludf.DUMMYFUNCTION("""COMPUTED_VALUE"""),"Small Rural")</f>
        <v>Small Rural</v>
      </c>
    </row>
    <row r="143">
      <c r="A143" s="2" t="str">
        <f>IFERROR(__xludf.DUMMYFUNCTION("""COMPUTED_VALUE"""),"2740")</f>
        <v>2740</v>
      </c>
      <c r="B143" s="2" t="str">
        <f>IFERROR(__xludf.DUMMYFUNCTION("""COMPUTED_VALUE"""),"MONTE VISTA C-8")</f>
        <v>MONTE VISTA C-8</v>
      </c>
      <c r="C143" s="2" t="str">
        <f>IFERROR(__xludf.DUMMYFUNCTION("""COMPUTED_VALUE"""),"Public")</f>
        <v>Public</v>
      </c>
      <c r="D143" s="3">
        <f>IFERROR(__xludf.DUMMYFUNCTION("""COMPUTED_VALUE"""),5.0)</f>
        <v>5</v>
      </c>
      <c r="E143" s="3" t="str">
        <f>IFERROR(__xludf.DUMMYFUNCTION("""COMPUTED_VALUE"""),"Y")</f>
        <v>Y</v>
      </c>
      <c r="F143" s="3" t="str">
        <f>IFERROR(__xludf.DUMMYFUNCTION("""COMPUTED_VALUE"""),"Y")</f>
        <v>Y</v>
      </c>
      <c r="G143" s="3" t="str">
        <f>IFERROR(__xludf.DUMMYFUNCTION("""COMPUTED_VALUE"""),"N")</f>
        <v>N</v>
      </c>
      <c r="H143" s="3" t="str">
        <f>IFERROR(__xludf.DUMMYFUNCTION("""COMPUTED_VALUE"""),"N")</f>
        <v>N</v>
      </c>
      <c r="I143" s="3" t="str">
        <f>IFERROR(__xludf.DUMMYFUNCTION("""COMPUTED_VALUE"""),"N")</f>
        <v>N</v>
      </c>
      <c r="J143" s="3" t="str">
        <f>IFERROR(__xludf.DUMMYFUNCTION("""COMPUTED_VALUE"""),"N")</f>
        <v>N</v>
      </c>
      <c r="K143" s="3" t="str">
        <f>IFERROR(__xludf.DUMMYFUNCTION("""COMPUTED_VALUE"""),"Y")</f>
        <v>Y</v>
      </c>
      <c r="L143" s="3" t="str">
        <f>IFERROR(__xludf.DUMMYFUNCTION("""COMPUTED_VALUE"""),"Districtwide")</f>
        <v>Districtwide</v>
      </c>
      <c r="M143" s="3" t="str">
        <f>IFERROR(__xludf.DUMMYFUNCTION("""COMPUTED_VALUE"""),"N")</f>
        <v>N</v>
      </c>
      <c r="N143" s="3" t="str">
        <f>IFERROR(__xludf.DUMMYFUNCTION("""COMPUTED_VALUE"""),"N")</f>
        <v>N</v>
      </c>
      <c r="O143" s="3" t="str">
        <f>IFERROR(__xludf.DUMMYFUNCTION("""COMPUTED_VALUE"""),"Small Rural")</f>
        <v>Small Rural</v>
      </c>
    </row>
    <row r="144">
      <c r="A144" s="2" t="str">
        <f>IFERROR(__xludf.DUMMYFUNCTION("""COMPUTED_VALUE"""),"2750")</f>
        <v>2750</v>
      </c>
      <c r="B144" s="2" t="str">
        <f>IFERROR(__xludf.DUMMYFUNCTION("""COMPUTED_VALUE"""),"SARGENT RE-33J")</f>
        <v>SARGENT RE-33J</v>
      </c>
      <c r="C144" s="2" t="str">
        <f>IFERROR(__xludf.DUMMYFUNCTION("""COMPUTED_VALUE"""),"Public")</f>
        <v>Public</v>
      </c>
      <c r="D144" s="3">
        <f>IFERROR(__xludf.DUMMYFUNCTION("""COMPUTED_VALUE"""),4.0)</f>
        <v>4</v>
      </c>
      <c r="E144" s="3" t="str">
        <f>IFERROR(__xludf.DUMMYFUNCTION("""COMPUTED_VALUE"""),"Y")</f>
        <v>Y</v>
      </c>
      <c r="F144" s="3" t="str">
        <f>IFERROR(__xludf.DUMMYFUNCTION("""COMPUTED_VALUE"""),"Y")</f>
        <v>Y</v>
      </c>
      <c r="G144" s="3" t="str">
        <f>IFERROR(__xludf.DUMMYFUNCTION("""COMPUTED_VALUE"""),"N")</f>
        <v>N</v>
      </c>
      <c r="H144" s="3" t="str">
        <f>IFERROR(__xludf.DUMMYFUNCTION("""COMPUTED_VALUE"""),"N")</f>
        <v>N</v>
      </c>
      <c r="I144" s="3" t="str">
        <f>IFERROR(__xludf.DUMMYFUNCTION("""COMPUTED_VALUE"""),"N")</f>
        <v>N</v>
      </c>
      <c r="J144" s="3" t="str">
        <f>IFERROR(__xludf.DUMMYFUNCTION("""COMPUTED_VALUE"""),"N")</f>
        <v>N</v>
      </c>
      <c r="K144" s="3" t="str">
        <f>IFERROR(__xludf.DUMMYFUNCTION("""COMPUTED_VALUE"""),"Y")</f>
        <v>Y</v>
      </c>
      <c r="L144" s="3" t="str">
        <f>IFERROR(__xludf.DUMMYFUNCTION("""COMPUTED_VALUE"""),"Y")</f>
        <v>Y</v>
      </c>
      <c r="M144" s="3" t="str">
        <f>IFERROR(__xludf.DUMMYFUNCTION("""COMPUTED_VALUE"""),"N")</f>
        <v>N</v>
      </c>
      <c r="N144" s="3" t="str">
        <f>IFERROR(__xludf.DUMMYFUNCTION("""COMPUTED_VALUE"""),"N")</f>
        <v>N</v>
      </c>
      <c r="O144" s="3" t="str">
        <f>IFERROR(__xludf.DUMMYFUNCTION("""COMPUTED_VALUE"""),"Small Rural")</f>
        <v>Small Rural</v>
      </c>
    </row>
    <row r="145">
      <c r="A145" s="2" t="str">
        <f>IFERROR(__xludf.DUMMYFUNCTION("""COMPUTED_VALUE"""),"2760")</f>
        <v>2760</v>
      </c>
      <c r="B145" s="2" t="str">
        <f>IFERROR(__xludf.DUMMYFUNCTION("""COMPUTED_VALUE"""),"HAYDEN RE-1")</f>
        <v>HAYDEN RE-1</v>
      </c>
      <c r="C145" s="2" t="str">
        <f>IFERROR(__xludf.DUMMYFUNCTION("""COMPUTED_VALUE"""),"Public")</f>
        <v>Public</v>
      </c>
      <c r="D145" s="3">
        <f>IFERROR(__xludf.DUMMYFUNCTION("""COMPUTED_VALUE"""),3.0)</f>
        <v>3</v>
      </c>
      <c r="E145" s="3" t="str">
        <f>IFERROR(__xludf.DUMMYFUNCTION("""COMPUTED_VALUE"""),"N")</f>
        <v>N</v>
      </c>
      <c r="F145" s="3" t="str">
        <f>IFERROR(__xludf.DUMMYFUNCTION("""COMPUTED_VALUE"""),"Y")</f>
        <v>Y</v>
      </c>
      <c r="G145" s="3" t="str">
        <f>IFERROR(__xludf.DUMMYFUNCTION("""COMPUTED_VALUE"""),"N")</f>
        <v>N</v>
      </c>
      <c r="H145" s="3" t="str">
        <f>IFERROR(__xludf.DUMMYFUNCTION("""COMPUTED_VALUE"""),"N")</f>
        <v>N</v>
      </c>
      <c r="I145" s="3" t="str">
        <f>IFERROR(__xludf.DUMMYFUNCTION("""COMPUTED_VALUE"""),"N")</f>
        <v>N</v>
      </c>
      <c r="J145" s="3" t="str">
        <f>IFERROR(__xludf.DUMMYFUNCTION("""COMPUTED_VALUE"""),"N")</f>
        <v>N</v>
      </c>
      <c r="K145" s="3" t="str">
        <f>IFERROR(__xludf.DUMMYFUNCTION("""COMPUTED_VALUE"""),"Y")</f>
        <v>Y</v>
      </c>
      <c r="L145" s="3" t="str">
        <f>IFERROR(__xludf.DUMMYFUNCTION("""COMPUTED_VALUE"""),"N")</f>
        <v>N</v>
      </c>
      <c r="M145" s="3" t="str">
        <f>IFERROR(__xludf.DUMMYFUNCTION("""COMPUTED_VALUE"""),"N")</f>
        <v>N</v>
      </c>
      <c r="N145" s="3" t="str">
        <f>IFERROR(__xludf.DUMMYFUNCTION("""COMPUTED_VALUE"""),"N")</f>
        <v>N</v>
      </c>
      <c r="O145" s="3" t="str">
        <f>IFERROR(__xludf.DUMMYFUNCTION("""COMPUTED_VALUE"""),"Small Rural")</f>
        <v>Small Rural</v>
      </c>
    </row>
    <row r="146">
      <c r="A146" s="2" t="str">
        <f>IFERROR(__xludf.DUMMYFUNCTION("""COMPUTED_VALUE"""),"2770")</f>
        <v>2770</v>
      </c>
      <c r="B146" s="2" t="str">
        <f>IFERROR(__xludf.DUMMYFUNCTION("""COMPUTED_VALUE"""),"STEAMBOAT SPRINGS RE-2")</f>
        <v>STEAMBOAT SPRINGS RE-2</v>
      </c>
      <c r="C146" s="2" t="str">
        <f>IFERROR(__xludf.DUMMYFUNCTION("""COMPUTED_VALUE"""),"Public")</f>
        <v>Public</v>
      </c>
      <c r="D146" s="3">
        <f>IFERROR(__xludf.DUMMYFUNCTION("""COMPUTED_VALUE"""),5.0)</f>
        <v>5</v>
      </c>
      <c r="E146" s="3" t="str">
        <f>IFERROR(__xludf.DUMMYFUNCTION("""COMPUTED_VALUE"""),"N")</f>
        <v>N</v>
      </c>
      <c r="F146" s="3" t="str">
        <f>IFERROR(__xludf.DUMMYFUNCTION("""COMPUTED_VALUE"""),"Y")</f>
        <v>Y</v>
      </c>
      <c r="G146" s="3" t="str">
        <f>IFERROR(__xludf.DUMMYFUNCTION("""COMPUTED_VALUE"""),"N")</f>
        <v>N</v>
      </c>
      <c r="H146" s="3" t="str">
        <f>IFERROR(__xludf.DUMMYFUNCTION("""COMPUTED_VALUE"""),"N")</f>
        <v>N</v>
      </c>
      <c r="I146" s="3" t="str">
        <f>IFERROR(__xludf.DUMMYFUNCTION("""COMPUTED_VALUE"""),"N")</f>
        <v>N</v>
      </c>
      <c r="J146" s="3" t="str">
        <f>IFERROR(__xludf.DUMMYFUNCTION("""COMPUTED_VALUE"""),"N")</f>
        <v>N</v>
      </c>
      <c r="K146" s="3" t="str">
        <f>IFERROR(__xludf.DUMMYFUNCTION("""COMPUTED_VALUE"""),"Y")</f>
        <v>Y</v>
      </c>
      <c r="L146" s="3" t="str">
        <f>IFERROR(__xludf.DUMMYFUNCTION("""COMPUTED_VALUE"""),"N")</f>
        <v>N</v>
      </c>
      <c r="M146" s="3" t="str">
        <f>IFERROR(__xludf.DUMMYFUNCTION("""COMPUTED_VALUE"""),"N")</f>
        <v>N</v>
      </c>
      <c r="N146" s="3" t="str">
        <f>IFERROR(__xludf.DUMMYFUNCTION("""COMPUTED_VALUE"""),"N")</f>
        <v>N</v>
      </c>
      <c r="O146" s="3" t="str">
        <f>IFERROR(__xludf.DUMMYFUNCTION("""COMPUTED_VALUE"""),"Rural")</f>
        <v>Rural</v>
      </c>
    </row>
    <row r="147">
      <c r="A147" s="2" t="str">
        <f>IFERROR(__xludf.DUMMYFUNCTION("""COMPUTED_VALUE"""),"2780")</f>
        <v>2780</v>
      </c>
      <c r="B147" s="2" t="str">
        <f>IFERROR(__xludf.DUMMYFUNCTION("""COMPUTED_VALUE"""),"SOUTH ROUTT RE 3")</f>
        <v>SOUTH ROUTT RE 3</v>
      </c>
      <c r="C147" s="2" t="str">
        <f>IFERROR(__xludf.DUMMYFUNCTION("""COMPUTED_VALUE"""),"Public")</f>
        <v>Public</v>
      </c>
      <c r="D147" s="3">
        <f>IFERROR(__xludf.DUMMYFUNCTION("""COMPUTED_VALUE"""),4.0)</f>
        <v>4</v>
      </c>
      <c r="E147" s="3" t="str">
        <f>IFERROR(__xludf.DUMMYFUNCTION("""COMPUTED_VALUE"""),"Y")</f>
        <v>Y</v>
      </c>
      <c r="F147" s="3" t="str">
        <f>IFERROR(__xludf.DUMMYFUNCTION("""COMPUTED_VALUE"""),"Y")</f>
        <v>Y</v>
      </c>
      <c r="G147" s="3" t="str">
        <f>IFERROR(__xludf.DUMMYFUNCTION("""COMPUTED_VALUE"""),"N")</f>
        <v>N</v>
      </c>
      <c r="H147" s="3" t="str">
        <f>IFERROR(__xludf.DUMMYFUNCTION("""COMPUTED_VALUE"""),"N")</f>
        <v>N</v>
      </c>
      <c r="I147" s="3" t="str">
        <f>IFERROR(__xludf.DUMMYFUNCTION("""COMPUTED_VALUE"""),"N")</f>
        <v>N</v>
      </c>
      <c r="J147" s="3" t="str">
        <f>IFERROR(__xludf.DUMMYFUNCTION("""COMPUTED_VALUE"""),"N")</f>
        <v>N</v>
      </c>
      <c r="K147" s="3" t="str">
        <f>IFERROR(__xludf.DUMMYFUNCTION("""COMPUTED_VALUE"""),"Y")</f>
        <v>Y</v>
      </c>
      <c r="L147" s="3" t="str">
        <f>IFERROR(__xludf.DUMMYFUNCTION("""COMPUTED_VALUE"""),"N")</f>
        <v>N</v>
      </c>
      <c r="M147" s="3" t="str">
        <f>IFERROR(__xludf.DUMMYFUNCTION("""COMPUTED_VALUE"""),"N")</f>
        <v>N</v>
      </c>
      <c r="N147" s="3" t="str">
        <f>IFERROR(__xludf.DUMMYFUNCTION("""COMPUTED_VALUE"""),"N")</f>
        <v>N</v>
      </c>
      <c r="O147" s="3" t="str">
        <f>IFERROR(__xludf.DUMMYFUNCTION("""COMPUTED_VALUE"""),"Small Rural")</f>
        <v>Small Rural</v>
      </c>
    </row>
    <row r="148">
      <c r="A148" s="2" t="str">
        <f>IFERROR(__xludf.DUMMYFUNCTION("""COMPUTED_VALUE"""),"2790")</f>
        <v>2790</v>
      </c>
      <c r="B148" s="2" t="str">
        <f>IFERROR(__xludf.DUMMYFUNCTION("""COMPUTED_VALUE"""),"MOUNTAIN VALLEY RE 1")</f>
        <v>MOUNTAIN VALLEY RE 1</v>
      </c>
      <c r="C148" s="2" t="str">
        <f>IFERROR(__xludf.DUMMYFUNCTION("""COMPUTED_VALUE"""),"Public")</f>
        <v>Public</v>
      </c>
      <c r="D148" s="3">
        <f>IFERROR(__xludf.DUMMYFUNCTION("""COMPUTED_VALUE"""),1.0)</f>
        <v>1</v>
      </c>
      <c r="E148" s="3" t="str">
        <f>IFERROR(__xludf.DUMMYFUNCTION("""COMPUTED_VALUE"""),"Y")</f>
        <v>Y</v>
      </c>
      <c r="F148" s="3" t="str">
        <f>IFERROR(__xludf.DUMMYFUNCTION("""COMPUTED_VALUE"""),"Y")</f>
        <v>Y</v>
      </c>
      <c r="G148" s="3" t="str">
        <f>IFERROR(__xludf.DUMMYFUNCTION("""COMPUTED_VALUE"""),"N")</f>
        <v>N</v>
      </c>
      <c r="H148" s="3" t="str">
        <f>IFERROR(__xludf.DUMMYFUNCTION("""COMPUTED_VALUE"""),"N")</f>
        <v>N</v>
      </c>
      <c r="I148" s="3" t="str">
        <f>IFERROR(__xludf.DUMMYFUNCTION("""COMPUTED_VALUE"""),"N")</f>
        <v>N</v>
      </c>
      <c r="J148" s="3" t="str">
        <f>IFERROR(__xludf.DUMMYFUNCTION("""COMPUTED_VALUE"""),"N")</f>
        <v>N</v>
      </c>
      <c r="K148" s="3" t="str">
        <f>IFERROR(__xludf.DUMMYFUNCTION("""COMPUTED_VALUE"""),"Y")</f>
        <v>Y</v>
      </c>
      <c r="L148" s="3" t="str">
        <f>IFERROR(__xludf.DUMMYFUNCTION("""COMPUTED_VALUE"""),"Districtwide")</f>
        <v>Districtwide</v>
      </c>
      <c r="M148" s="3" t="str">
        <f>IFERROR(__xludf.DUMMYFUNCTION("""COMPUTED_VALUE"""),"N")</f>
        <v>N</v>
      </c>
      <c r="N148" s="3" t="str">
        <f>IFERROR(__xludf.DUMMYFUNCTION("""COMPUTED_VALUE"""),"N")</f>
        <v>N</v>
      </c>
      <c r="O148" s="3" t="str">
        <f>IFERROR(__xludf.DUMMYFUNCTION("""COMPUTED_VALUE"""),"Small Rural")</f>
        <v>Small Rural</v>
      </c>
    </row>
    <row r="149">
      <c r="A149" s="2" t="str">
        <f>IFERROR(__xludf.DUMMYFUNCTION("""COMPUTED_VALUE"""),"2800")</f>
        <v>2800</v>
      </c>
      <c r="B149" s="2" t="str">
        <f>IFERROR(__xludf.DUMMYFUNCTION("""COMPUTED_VALUE"""),"MOFFAT 2")</f>
        <v>MOFFAT 2</v>
      </c>
      <c r="C149" s="2" t="str">
        <f>IFERROR(__xludf.DUMMYFUNCTION("""COMPUTED_VALUE"""),"Public")</f>
        <v>Public</v>
      </c>
      <c r="D149" s="3">
        <f>IFERROR(__xludf.DUMMYFUNCTION("""COMPUTED_VALUE"""),2.0)</f>
        <v>2</v>
      </c>
      <c r="E149" s="3" t="str">
        <f>IFERROR(__xludf.DUMMYFUNCTION("""COMPUTED_VALUE"""),"Y")</f>
        <v>Y</v>
      </c>
      <c r="F149" s="3" t="str">
        <f>IFERROR(__xludf.DUMMYFUNCTION("""COMPUTED_VALUE"""),"Y")</f>
        <v>Y</v>
      </c>
      <c r="G149" s="3" t="str">
        <f>IFERROR(__xludf.DUMMYFUNCTION("""COMPUTED_VALUE"""),"N")</f>
        <v>N</v>
      </c>
      <c r="H149" s="3" t="str">
        <f>IFERROR(__xludf.DUMMYFUNCTION("""COMPUTED_VALUE"""),"N")</f>
        <v>N</v>
      </c>
      <c r="I149" s="3" t="str">
        <f>IFERROR(__xludf.DUMMYFUNCTION("""COMPUTED_VALUE"""),"N")</f>
        <v>N</v>
      </c>
      <c r="J149" s="3" t="str">
        <f>IFERROR(__xludf.DUMMYFUNCTION("""COMPUTED_VALUE"""),"Y")</f>
        <v>Y</v>
      </c>
      <c r="K149" s="3" t="str">
        <f>IFERROR(__xludf.DUMMYFUNCTION("""COMPUTED_VALUE"""),"Y")</f>
        <v>Y</v>
      </c>
      <c r="L149" s="3" t="str">
        <f>IFERROR(__xludf.DUMMYFUNCTION("""COMPUTED_VALUE"""),"Districtwide")</f>
        <v>Districtwide</v>
      </c>
      <c r="M149" s="3" t="str">
        <f>IFERROR(__xludf.DUMMYFUNCTION("""COMPUTED_VALUE"""),"N")</f>
        <v>N</v>
      </c>
      <c r="N149" s="3" t="str">
        <f>IFERROR(__xludf.DUMMYFUNCTION("""COMPUTED_VALUE"""),"N")</f>
        <v>N</v>
      </c>
      <c r="O149" s="3" t="str">
        <f>IFERROR(__xludf.DUMMYFUNCTION("""COMPUTED_VALUE"""),"Small Rural")</f>
        <v>Small Rural</v>
      </c>
    </row>
    <row r="150">
      <c r="A150" s="2" t="str">
        <f>IFERROR(__xludf.DUMMYFUNCTION("""COMPUTED_VALUE"""),"2810")</f>
        <v>2810</v>
      </c>
      <c r="B150" s="2" t="str">
        <f>IFERROR(__xludf.DUMMYFUNCTION("""COMPUTED_VALUE"""),"CENTER 26 JT")</f>
        <v>CENTER 26 JT</v>
      </c>
      <c r="C150" s="2" t="str">
        <f>IFERROR(__xludf.DUMMYFUNCTION("""COMPUTED_VALUE"""),"Public")</f>
        <v>Public</v>
      </c>
      <c r="D150" s="3">
        <f>IFERROR(__xludf.DUMMYFUNCTION("""COMPUTED_VALUE"""),4.0)</f>
        <v>4</v>
      </c>
      <c r="E150" s="3" t="str">
        <f>IFERROR(__xludf.DUMMYFUNCTION("""COMPUTED_VALUE"""),"Y")</f>
        <v>Y</v>
      </c>
      <c r="F150" s="3" t="str">
        <f>IFERROR(__xludf.DUMMYFUNCTION("""COMPUTED_VALUE"""),"Y")</f>
        <v>Y</v>
      </c>
      <c r="G150" s="3" t="str">
        <f>IFERROR(__xludf.DUMMYFUNCTION("""COMPUTED_VALUE"""),"N")</f>
        <v>N</v>
      </c>
      <c r="H150" s="3" t="str">
        <f>IFERROR(__xludf.DUMMYFUNCTION("""COMPUTED_VALUE"""),"Y")</f>
        <v>Y</v>
      </c>
      <c r="I150" s="3" t="str">
        <f>IFERROR(__xludf.DUMMYFUNCTION("""COMPUTED_VALUE"""),"N")</f>
        <v>N</v>
      </c>
      <c r="J150" s="3" t="str">
        <f>IFERROR(__xludf.DUMMYFUNCTION("""COMPUTED_VALUE"""),"Y")</f>
        <v>Y</v>
      </c>
      <c r="K150" s="3" t="str">
        <f>IFERROR(__xludf.DUMMYFUNCTION("""COMPUTED_VALUE"""),"Y")</f>
        <v>Y</v>
      </c>
      <c r="L150" s="3" t="str">
        <f>IFERROR(__xludf.DUMMYFUNCTION("""COMPUTED_VALUE"""),"Districtwide")</f>
        <v>Districtwide</v>
      </c>
      <c r="M150" s="3" t="str">
        <f>IFERROR(__xludf.DUMMYFUNCTION("""COMPUTED_VALUE"""),"N")</f>
        <v>N</v>
      </c>
      <c r="N150" s="3" t="str">
        <f>IFERROR(__xludf.DUMMYFUNCTION("""COMPUTED_VALUE"""),"N")</f>
        <v>N</v>
      </c>
      <c r="O150" s="3" t="str">
        <f>IFERROR(__xludf.DUMMYFUNCTION("""COMPUTED_VALUE"""),"Small Rural")</f>
        <v>Small Rural</v>
      </c>
    </row>
    <row r="151">
      <c r="A151" s="2" t="str">
        <f>IFERROR(__xludf.DUMMYFUNCTION("""COMPUTED_VALUE"""),"2820")</f>
        <v>2820</v>
      </c>
      <c r="B151" s="2" t="str">
        <f>IFERROR(__xludf.DUMMYFUNCTION("""COMPUTED_VALUE"""),"SILVERTON 1")</f>
        <v>SILVERTON 1</v>
      </c>
      <c r="C151" s="2" t="str">
        <f>IFERROR(__xludf.DUMMYFUNCTION("""COMPUTED_VALUE"""),"Public")</f>
        <v>Public</v>
      </c>
      <c r="D151" s="3">
        <f>IFERROR(__xludf.DUMMYFUNCTION("""COMPUTED_VALUE"""),3.0)</f>
        <v>3</v>
      </c>
      <c r="E151" s="3" t="str">
        <f>IFERROR(__xludf.DUMMYFUNCTION("""COMPUTED_VALUE"""),"Y")</f>
        <v>Y</v>
      </c>
      <c r="F151" s="3" t="str">
        <f>IFERROR(__xludf.DUMMYFUNCTION("""COMPUTED_VALUE"""),"Y")</f>
        <v>Y</v>
      </c>
      <c r="G151" s="3" t="str">
        <f>IFERROR(__xludf.DUMMYFUNCTION("""COMPUTED_VALUE"""),"N")</f>
        <v>N</v>
      </c>
      <c r="H151" s="3" t="str">
        <f>IFERROR(__xludf.DUMMYFUNCTION("""COMPUTED_VALUE"""),"Y")</f>
        <v>Y</v>
      </c>
      <c r="I151" s="3" t="str">
        <f>IFERROR(__xludf.DUMMYFUNCTION("""COMPUTED_VALUE"""),"N")</f>
        <v>N</v>
      </c>
      <c r="J151" s="3" t="str">
        <f>IFERROR(__xludf.DUMMYFUNCTION("""COMPUTED_VALUE"""),"N")</f>
        <v>N</v>
      </c>
      <c r="K151" s="3" t="str">
        <f>IFERROR(__xludf.DUMMYFUNCTION("""COMPUTED_VALUE"""),"Y")</f>
        <v>Y</v>
      </c>
      <c r="L151" s="3" t="str">
        <f>IFERROR(__xludf.DUMMYFUNCTION("""COMPUTED_VALUE"""),"Y")</f>
        <v>Y</v>
      </c>
      <c r="M151" s="3" t="str">
        <f>IFERROR(__xludf.DUMMYFUNCTION("""COMPUTED_VALUE"""),"Provision 2")</f>
        <v>Provision 2</v>
      </c>
      <c r="N151" s="3" t="str">
        <f>IFERROR(__xludf.DUMMYFUNCTION("""COMPUTED_VALUE"""),"N")</f>
        <v>N</v>
      </c>
      <c r="O151" s="3" t="str">
        <f>IFERROR(__xludf.DUMMYFUNCTION("""COMPUTED_VALUE"""),"Small Rural")</f>
        <v>Small Rural</v>
      </c>
    </row>
    <row r="152">
      <c r="A152" s="2" t="str">
        <f>IFERROR(__xludf.DUMMYFUNCTION("""COMPUTED_VALUE"""),"2830")</f>
        <v>2830</v>
      </c>
      <c r="B152" s="2" t="str">
        <f>IFERROR(__xludf.DUMMYFUNCTION("""COMPUTED_VALUE"""),"TELLURIDE SCHOOL DISTRICT R-1")</f>
        <v>TELLURIDE SCHOOL DISTRICT R-1</v>
      </c>
      <c r="C152" s="2" t="str">
        <f>IFERROR(__xludf.DUMMYFUNCTION("""COMPUTED_VALUE"""),"Public")</f>
        <v>Public</v>
      </c>
      <c r="D152" s="3">
        <f>IFERROR(__xludf.DUMMYFUNCTION("""COMPUTED_VALUE"""),4.0)</f>
        <v>4</v>
      </c>
      <c r="E152" s="3" t="str">
        <f>IFERROR(__xludf.DUMMYFUNCTION("""COMPUTED_VALUE"""),"Y")</f>
        <v>Y</v>
      </c>
      <c r="F152" s="3" t="str">
        <f>IFERROR(__xludf.DUMMYFUNCTION("""COMPUTED_VALUE"""),"Y")</f>
        <v>Y</v>
      </c>
      <c r="G152" s="3" t="str">
        <f>IFERROR(__xludf.DUMMYFUNCTION("""COMPUTED_VALUE"""),"N")</f>
        <v>N</v>
      </c>
      <c r="H152" s="3" t="str">
        <f>IFERROR(__xludf.DUMMYFUNCTION("""COMPUTED_VALUE"""),"N")</f>
        <v>N</v>
      </c>
      <c r="I152" s="3" t="str">
        <f>IFERROR(__xludf.DUMMYFUNCTION("""COMPUTED_VALUE"""),"N")</f>
        <v>N</v>
      </c>
      <c r="J152" s="3" t="str">
        <f>IFERROR(__xludf.DUMMYFUNCTION("""COMPUTED_VALUE"""),"N")</f>
        <v>N</v>
      </c>
      <c r="K152" s="3" t="str">
        <f>IFERROR(__xludf.DUMMYFUNCTION("""COMPUTED_VALUE"""),"Y")</f>
        <v>Y</v>
      </c>
      <c r="L152" s="3" t="str">
        <f>IFERROR(__xludf.DUMMYFUNCTION("""COMPUTED_VALUE"""),"Y")</f>
        <v>Y</v>
      </c>
      <c r="M152" s="3" t="str">
        <f>IFERROR(__xludf.DUMMYFUNCTION("""COMPUTED_VALUE"""),"N")</f>
        <v>N</v>
      </c>
      <c r="N152" s="3" t="str">
        <f>IFERROR(__xludf.DUMMYFUNCTION("""COMPUTED_VALUE"""),"N")</f>
        <v>N</v>
      </c>
      <c r="O152" s="3" t="str">
        <f>IFERROR(__xludf.DUMMYFUNCTION("""COMPUTED_VALUE"""),"Small Rural")</f>
        <v>Small Rural</v>
      </c>
    </row>
    <row r="153">
      <c r="A153" s="2" t="str">
        <f>IFERROR(__xludf.DUMMYFUNCTION("""COMPUTED_VALUE"""),"2840")</f>
        <v>2840</v>
      </c>
      <c r="B153" s="2" t="str">
        <f>IFERROR(__xludf.DUMMYFUNCTION("""COMPUTED_VALUE"""),"NORWOOD R-2J")</f>
        <v>NORWOOD R-2J</v>
      </c>
      <c r="C153" s="2" t="str">
        <f>IFERROR(__xludf.DUMMYFUNCTION("""COMPUTED_VALUE"""),"Public")</f>
        <v>Public</v>
      </c>
      <c r="D153" s="3">
        <f>IFERROR(__xludf.DUMMYFUNCTION("""COMPUTED_VALUE"""),1.0)</f>
        <v>1</v>
      </c>
      <c r="E153" s="3" t="str">
        <f>IFERROR(__xludf.DUMMYFUNCTION("""COMPUTED_VALUE"""),"Y")</f>
        <v>Y</v>
      </c>
      <c r="F153" s="3" t="str">
        <f>IFERROR(__xludf.DUMMYFUNCTION("""COMPUTED_VALUE"""),"Y")</f>
        <v>Y</v>
      </c>
      <c r="G153" s="3" t="str">
        <f>IFERROR(__xludf.DUMMYFUNCTION("""COMPUTED_VALUE"""),"N")</f>
        <v>N</v>
      </c>
      <c r="H153" s="3" t="str">
        <f>IFERROR(__xludf.DUMMYFUNCTION("""COMPUTED_VALUE"""),"N")</f>
        <v>N</v>
      </c>
      <c r="I153" s="3" t="str">
        <f>IFERROR(__xludf.DUMMYFUNCTION("""COMPUTED_VALUE"""),"N")</f>
        <v>N</v>
      </c>
      <c r="J153" s="3" t="str">
        <f>IFERROR(__xludf.DUMMYFUNCTION("""COMPUTED_VALUE"""),"N")</f>
        <v>N</v>
      </c>
      <c r="K153" s="3" t="str">
        <f>IFERROR(__xludf.DUMMYFUNCTION("""COMPUTED_VALUE"""),"Y")</f>
        <v>Y</v>
      </c>
      <c r="L153" s="3" t="str">
        <f>IFERROR(__xludf.DUMMYFUNCTION("""COMPUTED_VALUE"""),"Districtwide")</f>
        <v>Districtwide</v>
      </c>
      <c r="M153" s="3" t="str">
        <f>IFERROR(__xludf.DUMMYFUNCTION("""COMPUTED_VALUE"""),"N")</f>
        <v>N</v>
      </c>
      <c r="N153" s="3" t="str">
        <f>IFERROR(__xludf.DUMMYFUNCTION("""COMPUTED_VALUE"""),"N")</f>
        <v>N</v>
      </c>
      <c r="O153" s="3" t="str">
        <f>IFERROR(__xludf.DUMMYFUNCTION("""COMPUTED_VALUE"""),"Small Rural")</f>
        <v>Small Rural</v>
      </c>
    </row>
    <row r="154">
      <c r="A154" s="2" t="str">
        <f>IFERROR(__xludf.DUMMYFUNCTION("""COMPUTED_VALUE"""),"2862")</f>
        <v>2862</v>
      </c>
      <c r="B154" s="2" t="str">
        <f>IFERROR(__xludf.DUMMYFUNCTION("""COMPUTED_VALUE"""),"JULESBURG RE-1")</f>
        <v>JULESBURG RE-1</v>
      </c>
      <c r="C154" s="2" t="str">
        <f>IFERROR(__xludf.DUMMYFUNCTION("""COMPUTED_VALUE"""),"Public")</f>
        <v>Public</v>
      </c>
      <c r="D154" s="3">
        <f>IFERROR(__xludf.DUMMYFUNCTION("""COMPUTED_VALUE"""),2.0)</f>
        <v>2</v>
      </c>
      <c r="E154" s="3" t="str">
        <f>IFERROR(__xludf.DUMMYFUNCTION("""COMPUTED_VALUE"""),"Y")</f>
        <v>Y</v>
      </c>
      <c r="F154" s="3" t="str">
        <f>IFERROR(__xludf.DUMMYFUNCTION("""COMPUTED_VALUE"""),"Y")</f>
        <v>Y</v>
      </c>
      <c r="G154" s="3" t="str">
        <f>IFERROR(__xludf.DUMMYFUNCTION("""COMPUTED_VALUE"""),"N")</f>
        <v>N</v>
      </c>
      <c r="H154" s="3" t="str">
        <f>IFERROR(__xludf.DUMMYFUNCTION("""COMPUTED_VALUE"""),"N")</f>
        <v>N</v>
      </c>
      <c r="I154" s="3" t="str">
        <f>IFERROR(__xludf.DUMMYFUNCTION("""COMPUTED_VALUE"""),"N")</f>
        <v>N</v>
      </c>
      <c r="J154" s="3" t="str">
        <f>IFERROR(__xludf.DUMMYFUNCTION("""COMPUTED_VALUE"""),"N")</f>
        <v>N</v>
      </c>
      <c r="K154" s="3" t="str">
        <f>IFERROR(__xludf.DUMMYFUNCTION("""COMPUTED_VALUE"""),"Y")</f>
        <v>Y</v>
      </c>
      <c r="L154" s="3" t="str">
        <f>IFERROR(__xludf.DUMMYFUNCTION("""COMPUTED_VALUE"""),"Districtwide")</f>
        <v>Districtwide</v>
      </c>
      <c r="M154" s="3" t="str">
        <f>IFERROR(__xludf.DUMMYFUNCTION("""COMPUTED_VALUE"""),"N")</f>
        <v>N</v>
      </c>
      <c r="N154" s="3" t="str">
        <f>IFERROR(__xludf.DUMMYFUNCTION("""COMPUTED_VALUE"""),"N")</f>
        <v>N</v>
      </c>
      <c r="O154" s="3" t="str">
        <f>IFERROR(__xludf.DUMMYFUNCTION("""COMPUTED_VALUE"""),"Small Rural")</f>
        <v>Small Rural</v>
      </c>
    </row>
    <row r="155">
      <c r="A155" s="2" t="str">
        <f>IFERROR(__xludf.DUMMYFUNCTION("""COMPUTED_VALUE"""),"2865")</f>
        <v>2865</v>
      </c>
      <c r="B155" s="2" t="str">
        <f>IFERROR(__xludf.DUMMYFUNCTION("""COMPUTED_VALUE"""),"Revere School District")</f>
        <v>Revere School District</v>
      </c>
      <c r="C155" s="2" t="str">
        <f>IFERROR(__xludf.DUMMYFUNCTION("""COMPUTED_VALUE"""),"Public")</f>
        <v>Public</v>
      </c>
      <c r="D155" s="3">
        <f>IFERROR(__xludf.DUMMYFUNCTION("""COMPUTED_VALUE"""),3.0)</f>
        <v>3</v>
      </c>
      <c r="E155" s="3" t="str">
        <f>IFERROR(__xludf.DUMMYFUNCTION("""COMPUTED_VALUE"""),"Y")</f>
        <v>Y</v>
      </c>
      <c r="F155" s="3" t="str">
        <f>IFERROR(__xludf.DUMMYFUNCTION("""COMPUTED_VALUE"""),"Y")</f>
        <v>Y</v>
      </c>
      <c r="G155" s="3" t="str">
        <f>IFERROR(__xludf.DUMMYFUNCTION("""COMPUTED_VALUE"""),"N")</f>
        <v>N</v>
      </c>
      <c r="H155" s="3" t="str">
        <f>IFERROR(__xludf.DUMMYFUNCTION("""COMPUTED_VALUE"""),"N")</f>
        <v>N</v>
      </c>
      <c r="I155" s="3" t="str">
        <f>IFERROR(__xludf.DUMMYFUNCTION("""COMPUTED_VALUE"""),"N")</f>
        <v>N</v>
      </c>
      <c r="J155" s="3" t="str">
        <f>IFERROR(__xludf.DUMMYFUNCTION("""COMPUTED_VALUE"""),"N")</f>
        <v>N</v>
      </c>
      <c r="K155" s="3" t="str">
        <f>IFERROR(__xludf.DUMMYFUNCTION("""COMPUTED_VALUE"""),"Y")</f>
        <v>Y</v>
      </c>
      <c r="L155" s="3" t="str">
        <f>IFERROR(__xludf.DUMMYFUNCTION("""COMPUTED_VALUE"""),"Districtwide")</f>
        <v>Districtwide</v>
      </c>
      <c r="M155" s="3" t="str">
        <f>IFERROR(__xludf.DUMMYFUNCTION("""COMPUTED_VALUE"""),"N")</f>
        <v>N</v>
      </c>
      <c r="N155" s="3" t="str">
        <f>IFERROR(__xludf.DUMMYFUNCTION("""COMPUTED_VALUE"""),"Y")</f>
        <v>Y</v>
      </c>
      <c r="O155" s="3" t="str">
        <f>IFERROR(__xludf.DUMMYFUNCTION("""COMPUTED_VALUE"""),"Small Rural")</f>
        <v>Small Rural</v>
      </c>
    </row>
    <row r="156">
      <c r="A156" s="2" t="str">
        <f>IFERROR(__xludf.DUMMYFUNCTION("""COMPUTED_VALUE"""),"3000")</f>
        <v>3000</v>
      </c>
      <c r="B156" s="2" t="str">
        <f>IFERROR(__xludf.DUMMYFUNCTION("""COMPUTED_VALUE"""),"SUMMIT RE-1")</f>
        <v>SUMMIT RE-1</v>
      </c>
      <c r="C156" s="2" t="str">
        <f>IFERROR(__xludf.DUMMYFUNCTION("""COMPUTED_VALUE"""),"Public")</f>
        <v>Public</v>
      </c>
      <c r="D156" s="3">
        <f>IFERROR(__xludf.DUMMYFUNCTION("""COMPUTED_VALUE"""),9.0)</f>
        <v>9</v>
      </c>
      <c r="E156" s="3" t="str">
        <f>IFERROR(__xludf.DUMMYFUNCTION("""COMPUTED_VALUE"""),"Y")</f>
        <v>Y</v>
      </c>
      <c r="F156" s="3" t="str">
        <f>IFERROR(__xludf.DUMMYFUNCTION("""COMPUTED_VALUE"""),"Y")</f>
        <v>Y</v>
      </c>
      <c r="G156" s="3" t="str">
        <f>IFERROR(__xludf.DUMMYFUNCTION("""COMPUTED_VALUE"""),"N")</f>
        <v>N</v>
      </c>
      <c r="H156" s="3" t="str">
        <f>IFERROR(__xludf.DUMMYFUNCTION("""COMPUTED_VALUE"""),"N")</f>
        <v>N</v>
      </c>
      <c r="I156" s="3" t="str">
        <f>IFERROR(__xludf.DUMMYFUNCTION("""COMPUTED_VALUE"""),"N")</f>
        <v>N</v>
      </c>
      <c r="J156" s="3" t="str">
        <f>IFERROR(__xludf.DUMMYFUNCTION("""COMPUTED_VALUE"""),"Y")</f>
        <v>Y</v>
      </c>
      <c r="K156" s="3" t="str">
        <f>IFERROR(__xludf.DUMMYFUNCTION("""COMPUTED_VALUE"""),"Y")</f>
        <v>Y</v>
      </c>
      <c r="L156" s="3" t="str">
        <f>IFERROR(__xludf.DUMMYFUNCTION("""COMPUTED_VALUE"""),"Y")</f>
        <v>Y</v>
      </c>
      <c r="M156" s="3" t="str">
        <f>IFERROR(__xludf.DUMMYFUNCTION("""COMPUTED_VALUE"""),"N")</f>
        <v>N</v>
      </c>
      <c r="N156" s="3" t="str">
        <f>IFERROR(__xludf.DUMMYFUNCTION("""COMPUTED_VALUE"""),"Y")</f>
        <v>Y</v>
      </c>
      <c r="O156" s="3" t="str">
        <f>IFERROR(__xludf.DUMMYFUNCTION("""COMPUTED_VALUE"""),"Rural")</f>
        <v>Rural</v>
      </c>
    </row>
    <row r="157">
      <c r="A157" s="2" t="str">
        <f>IFERROR(__xludf.DUMMYFUNCTION("""COMPUTED_VALUE"""),"3010")</f>
        <v>3010</v>
      </c>
      <c r="B157" s="2" t="str">
        <f>IFERROR(__xludf.DUMMYFUNCTION("""COMPUTED_VALUE"""),"CRIPPLE CREEK-VICTOR RE-1")</f>
        <v>CRIPPLE CREEK-VICTOR RE-1</v>
      </c>
      <c r="C157" s="2" t="str">
        <f>IFERROR(__xludf.DUMMYFUNCTION("""COMPUTED_VALUE"""),"Public")</f>
        <v>Public</v>
      </c>
      <c r="D157" s="3">
        <f>IFERROR(__xludf.DUMMYFUNCTION("""COMPUTED_VALUE"""),2.0)</f>
        <v>2</v>
      </c>
      <c r="E157" s="3" t="str">
        <f>IFERROR(__xludf.DUMMYFUNCTION("""COMPUTED_VALUE"""),"Y")</f>
        <v>Y</v>
      </c>
      <c r="F157" s="3" t="str">
        <f>IFERROR(__xludf.DUMMYFUNCTION("""COMPUTED_VALUE"""),"Y")</f>
        <v>Y</v>
      </c>
      <c r="G157" s="3" t="str">
        <f>IFERROR(__xludf.DUMMYFUNCTION("""COMPUTED_VALUE"""),"N")</f>
        <v>N</v>
      </c>
      <c r="H157" s="3" t="str">
        <f>IFERROR(__xludf.DUMMYFUNCTION("""COMPUTED_VALUE"""),"Y")</f>
        <v>Y</v>
      </c>
      <c r="I157" s="3" t="str">
        <f>IFERROR(__xludf.DUMMYFUNCTION("""COMPUTED_VALUE"""),"N")</f>
        <v>N</v>
      </c>
      <c r="J157" s="3" t="str">
        <f>IFERROR(__xludf.DUMMYFUNCTION("""COMPUTED_VALUE"""),"N")</f>
        <v>N</v>
      </c>
      <c r="K157" s="3" t="str">
        <f>IFERROR(__xludf.DUMMYFUNCTION("""COMPUTED_VALUE"""),"Y")</f>
        <v>Y</v>
      </c>
      <c r="L157" s="3" t="str">
        <f>IFERROR(__xludf.DUMMYFUNCTION("""COMPUTED_VALUE"""),"Districtwide")</f>
        <v>Districtwide</v>
      </c>
      <c r="M157" s="3" t="str">
        <f>IFERROR(__xludf.DUMMYFUNCTION("""COMPUTED_VALUE"""),"N")</f>
        <v>N</v>
      </c>
      <c r="N157" s="3" t="str">
        <f>IFERROR(__xludf.DUMMYFUNCTION("""COMPUTED_VALUE"""),"N")</f>
        <v>N</v>
      </c>
      <c r="O157" s="3" t="str">
        <f>IFERROR(__xludf.DUMMYFUNCTION("""COMPUTED_VALUE"""),"Small Rural")</f>
        <v>Small Rural</v>
      </c>
    </row>
    <row r="158">
      <c r="A158" s="2" t="str">
        <f>IFERROR(__xludf.DUMMYFUNCTION("""COMPUTED_VALUE"""),"3020")</f>
        <v>3020</v>
      </c>
      <c r="B158" s="2" t="str">
        <f>IFERROR(__xludf.DUMMYFUNCTION("""COMPUTED_VALUE"""),"WOODLAND PARK RE-2")</f>
        <v>WOODLAND PARK RE-2</v>
      </c>
      <c r="C158" s="2" t="str">
        <f>IFERROR(__xludf.DUMMYFUNCTION("""COMPUTED_VALUE"""),"Public")</f>
        <v>Public</v>
      </c>
      <c r="D158" s="3">
        <f>IFERROR(__xludf.DUMMYFUNCTION("""COMPUTED_VALUE"""),5.0)</f>
        <v>5</v>
      </c>
      <c r="E158" s="3" t="str">
        <f>IFERROR(__xludf.DUMMYFUNCTION("""COMPUTED_VALUE"""),"Y")</f>
        <v>Y</v>
      </c>
      <c r="F158" s="3" t="str">
        <f>IFERROR(__xludf.DUMMYFUNCTION("""COMPUTED_VALUE"""),"Y")</f>
        <v>Y</v>
      </c>
      <c r="G158" s="3" t="str">
        <f>IFERROR(__xludf.DUMMYFUNCTION("""COMPUTED_VALUE"""),"N")</f>
        <v>N</v>
      </c>
      <c r="H158" s="3" t="str">
        <f>IFERROR(__xludf.DUMMYFUNCTION("""COMPUTED_VALUE"""),"N")</f>
        <v>N</v>
      </c>
      <c r="I158" s="3" t="str">
        <f>IFERROR(__xludf.DUMMYFUNCTION("""COMPUTED_VALUE"""),"N")</f>
        <v>N</v>
      </c>
      <c r="J158" s="3" t="str">
        <f>IFERROR(__xludf.DUMMYFUNCTION("""COMPUTED_VALUE"""),"N")</f>
        <v>N</v>
      </c>
      <c r="K158" s="3" t="str">
        <f>IFERROR(__xludf.DUMMYFUNCTION("""COMPUTED_VALUE"""),"Y")</f>
        <v>Y</v>
      </c>
      <c r="L158" s="3" t="str">
        <f>IFERROR(__xludf.DUMMYFUNCTION("""COMPUTED_VALUE"""),"Districtwide")</f>
        <v>Districtwide</v>
      </c>
      <c r="M158" s="3" t="str">
        <f>IFERROR(__xludf.DUMMYFUNCTION("""COMPUTED_VALUE"""),"N")</f>
        <v>N</v>
      </c>
      <c r="N158" s="3" t="str">
        <f>IFERROR(__xludf.DUMMYFUNCTION("""COMPUTED_VALUE"""),"Y")</f>
        <v>Y</v>
      </c>
      <c r="O158" s="3" t="str">
        <f>IFERROR(__xludf.DUMMYFUNCTION("""COMPUTED_VALUE"""),"Rural")</f>
        <v>Rural</v>
      </c>
    </row>
    <row r="159">
      <c r="A159" s="2" t="str">
        <f>IFERROR(__xludf.DUMMYFUNCTION("""COMPUTED_VALUE"""),"3030")</f>
        <v>3030</v>
      </c>
      <c r="B159" s="2" t="str">
        <f>IFERROR(__xludf.DUMMYFUNCTION("""COMPUTED_VALUE"""),"AKRON R-1")</f>
        <v>AKRON R-1</v>
      </c>
      <c r="C159" s="2" t="str">
        <f>IFERROR(__xludf.DUMMYFUNCTION("""COMPUTED_VALUE"""),"Public")</f>
        <v>Public</v>
      </c>
      <c r="D159" s="3">
        <f>IFERROR(__xludf.DUMMYFUNCTION("""COMPUTED_VALUE"""),2.0)</f>
        <v>2</v>
      </c>
      <c r="E159" s="3" t="str">
        <f>IFERROR(__xludf.DUMMYFUNCTION("""COMPUTED_VALUE"""),"Y")</f>
        <v>Y</v>
      </c>
      <c r="F159" s="3" t="str">
        <f>IFERROR(__xludf.DUMMYFUNCTION("""COMPUTED_VALUE"""),"Y")</f>
        <v>Y</v>
      </c>
      <c r="G159" s="3" t="str">
        <f>IFERROR(__xludf.DUMMYFUNCTION("""COMPUTED_VALUE"""),"N")</f>
        <v>N</v>
      </c>
      <c r="H159" s="3" t="str">
        <f>IFERROR(__xludf.DUMMYFUNCTION("""COMPUTED_VALUE"""),"N")</f>
        <v>N</v>
      </c>
      <c r="I159" s="3" t="str">
        <f>IFERROR(__xludf.DUMMYFUNCTION("""COMPUTED_VALUE"""),"N")</f>
        <v>N</v>
      </c>
      <c r="J159" s="3" t="str">
        <f>IFERROR(__xludf.DUMMYFUNCTION("""COMPUTED_VALUE"""),"N")</f>
        <v>N</v>
      </c>
      <c r="K159" s="3" t="str">
        <f>IFERROR(__xludf.DUMMYFUNCTION("""COMPUTED_VALUE"""),"Y")</f>
        <v>Y</v>
      </c>
      <c r="L159" s="3" t="str">
        <f>IFERROR(__xludf.DUMMYFUNCTION("""COMPUTED_VALUE"""),"Districtwide")</f>
        <v>Districtwide</v>
      </c>
      <c r="M159" s="3" t="str">
        <f>IFERROR(__xludf.DUMMYFUNCTION("""COMPUTED_VALUE"""),"N")</f>
        <v>N</v>
      </c>
      <c r="N159" s="3" t="str">
        <f>IFERROR(__xludf.DUMMYFUNCTION("""COMPUTED_VALUE"""),"N")</f>
        <v>N</v>
      </c>
      <c r="O159" s="3" t="str">
        <f>IFERROR(__xludf.DUMMYFUNCTION("""COMPUTED_VALUE"""),"Small Rural")</f>
        <v>Small Rural</v>
      </c>
    </row>
    <row r="160">
      <c r="A160" s="2" t="str">
        <f>IFERROR(__xludf.DUMMYFUNCTION("""COMPUTED_VALUE"""),"3040")</f>
        <v>3040</v>
      </c>
      <c r="B160" s="2" t="str">
        <f>IFERROR(__xludf.DUMMYFUNCTION("""COMPUTED_VALUE"""),"ARICKAREE R-2")</f>
        <v>ARICKAREE R-2</v>
      </c>
      <c r="C160" s="2" t="str">
        <f>IFERROR(__xludf.DUMMYFUNCTION("""COMPUTED_VALUE"""),"Public")</f>
        <v>Public</v>
      </c>
      <c r="D160" s="3">
        <f>IFERROR(__xludf.DUMMYFUNCTION("""COMPUTED_VALUE"""),2.0)</f>
        <v>2</v>
      </c>
      <c r="E160" s="3" t="str">
        <f>IFERROR(__xludf.DUMMYFUNCTION("""COMPUTED_VALUE"""),"Y")</f>
        <v>Y</v>
      </c>
      <c r="F160" s="3" t="str">
        <f>IFERROR(__xludf.DUMMYFUNCTION("""COMPUTED_VALUE"""),"Y")</f>
        <v>Y</v>
      </c>
      <c r="G160" s="3" t="str">
        <f>IFERROR(__xludf.DUMMYFUNCTION("""COMPUTED_VALUE"""),"N")</f>
        <v>N</v>
      </c>
      <c r="H160" s="3" t="str">
        <f>IFERROR(__xludf.DUMMYFUNCTION("""COMPUTED_VALUE"""),"N")</f>
        <v>N</v>
      </c>
      <c r="I160" s="3" t="str">
        <f>IFERROR(__xludf.DUMMYFUNCTION("""COMPUTED_VALUE"""),"N")</f>
        <v>N</v>
      </c>
      <c r="J160" s="3" t="str">
        <f>IFERROR(__xludf.DUMMYFUNCTION("""COMPUTED_VALUE"""),"N")</f>
        <v>N</v>
      </c>
      <c r="K160" s="3" t="str">
        <f>IFERROR(__xludf.DUMMYFUNCTION("""COMPUTED_VALUE"""),"Y")</f>
        <v>Y</v>
      </c>
      <c r="L160" s="3" t="str">
        <f>IFERROR(__xludf.DUMMYFUNCTION("""COMPUTED_VALUE"""),"Districtwide")</f>
        <v>Districtwide</v>
      </c>
      <c r="M160" s="3" t="str">
        <f>IFERROR(__xludf.DUMMYFUNCTION("""COMPUTED_VALUE"""),"N")</f>
        <v>N</v>
      </c>
      <c r="N160" s="3" t="str">
        <f>IFERROR(__xludf.DUMMYFUNCTION("""COMPUTED_VALUE"""),"N")</f>
        <v>N</v>
      </c>
      <c r="O160" s="3" t="str">
        <f>IFERROR(__xludf.DUMMYFUNCTION("""COMPUTED_VALUE"""),"Small Rural")</f>
        <v>Small Rural</v>
      </c>
    </row>
    <row r="161">
      <c r="A161" s="2" t="str">
        <f>IFERROR(__xludf.DUMMYFUNCTION("""COMPUTED_VALUE"""),"3050")</f>
        <v>3050</v>
      </c>
      <c r="B161" s="2" t="str">
        <f>IFERROR(__xludf.DUMMYFUNCTION("""COMPUTED_VALUE"""),"OTIS R-3")</f>
        <v>OTIS R-3</v>
      </c>
      <c r="C161" s="2" t="str">
        <f>IFERROR(__xludf.DUMMYFUNCTION("""COMPUTED_VALUE"""),"Public")</f>
        <v>Public</v>
      </c>
      <c r="D161" s="3">
        <f>IFERROR(__xludf.DUMMYFUNCTION("""COMPUTED_VALUE"""),2.0)</f>
        <v>2</v>
      </c>
      <c r="E161" s="3" t="str">
        <f>IFERROR(__xludf.DUMMYFUNCTION("""COMPUTED_VALUE"""),"Y")</f>
        <v>Y</v>
      </c>
      <c r="F161" s="3" t="str">
        <f>IFERROR(__xludf.DUMMYFUNCTION("""COMPUTED_VALUE"""),"Y")</f>
        <v>Y</v>
      </c>
      <c r="G161" s="3" t="str">
        <f>IFERROR(__xludf.DUMMYFUNCTION("""COMPUTED_VALUE"""),"N")</f>
        <v>N</v>
      </c>
      <c r="H161" s="3" t="str">
        <f>IFERROR(__xludf.DUMMYFUNCTION("""COMPUTED_VALUE"""),"N")</f>
        <v>N</v>
      </c>
      <c r="I161" s="3" t="str">
        <f>IFERROR(__xludf.DUMMYFUNCTION("""COMPUTED_VALUE"""),"Y")</f>
        <v>Y</v>
      </c>
      <c r="J161" s="3" t="str">
        <f>IFERROR(__xludf.DUMMYFUNCTION("""COMPUTED_VALUE"""),"N")</f>
        <v>N</v>
      </c>
      <c r="K161" s="3" t="str">
        <f>IFERROR(__xludf.DUMMYFUNCTION("""COMPUTED_VALUE"""),"Y")</f>
        <v>Y</v>
      </c>
      <c r="L161" s="3" t="str">
        <f>IFERROR(__xludf.DUMMYFUNCTION("""COMPUTED_VALUE"""),"Districtwide")</f>
        <v>Districtwide</v>
      </c>
      <c r="M161" s="3" t="str">
        <f>IFERROR(__xludf.DUMMYFUNCTION("""COMPUTED_VALUE"""),"N")</f>
        <v>N</v>
      </c>
      <c r="N161" s="3" t="str">
        <f>IFERROR(__xludf.DUMMYFUNCTION("""COMPUTED_VALUE"""),"N")</f>
        <v>N</v>
      </c>
      <c r="O161" s="3" t="str">
        <f>IFERROR(__xludf.DUMMYFUNCTION("""COMPUTED_VALUE"""),"Small Rural")</f>
        <v>Small Rural</v>
      </c>
    </row>
    <row r="162">
      <c r="A162" s="2" t="str">
        <f>IFERROR(__xludf.DUMMYFUNCTION("""COMPUTED_VALUE"""),"3060")</f>
        <v>3060</v>
      </c>
      <c r="B162" s="2" t="str">
        <f>IFERROR(__xludf.DUMMYFUNCTION("""COMPUTED_VALUE"""),"LONE STAR 101")</f>
        <v>LONE STAR 101</v>
      </c>
      <c r="C162" s="2" t="str">
        <f>IFERROR(__xludf.DUMMYFUNCTION("""COMPUTED_VALUE"""),"Public")</f>
        <v>Public</v>
      </c>
      <c r="D162" s="3">
        <f>IFERROR(__xludf.DUMMYFUNCTION("""COMPUTED_VALUE"""),3.0)</f>
        <v>3</v>
      </c>
      <c r="E162" s="3" t="str">
        <f>IFERROR(__xludf.DUMMYFUNCTION("""COMPUTED_VALUE"""),"Y")</f>
        <v>Y</v>
      </c>
      <c r="F162" s="3" t="str">
        <f>IFERROR(__xludf.DUMMYFUNCTION("""COMPUTED_VALUE"""),"Y")</f>
        <v>Y</v>
      </c>
      <c r="G162" s="3" t="str">
        <f>IFERROR(__xludf.DUMMYFUNCTION("""COMPUTED_VALUE"""),"N")</f>
        <v>N</v>
      </c>
      <c r="H162" s="3" t="str">
        <f>IFERROR(__xludf.DUMMYFUNCTION("""COMPUTED_VALUE"""),"N")</f>
        <v>N</v>
      </c>
      <c r="I162" s="3" t="str">
        <f>IFERROR(__xludf.DUMMYFUNCTION("""COMPUTED_VALUE"""),"N")</f>
        <v>N</v>
      </c>
      <c r="J162" s="3" t="str">
        <f>IFERROR(__xludf.DUMMYFUNCTION("""COMPUTED_VALUE"""),"N")</f>
        <v>N</v>
      </c>
      <c r="K162" s="3" t="str">
        <f>IFERROR(__xludf.DUMMYFUNCTION("""COMPUTED_VALUE"""),"Y")</f>
        <v>Y</v>
      </c>
      <c r="L162" s="3" t="str">
        <f>IFERROR(__xludf.DUMMYFUNCTION("""COMPUTED_VALUE"""),"Y")</f>
        <v>Y</v>
      </c>
      <c r="M162" s="3" t="str">
        <f>IFERROR(__xludf.DUMMYFUNCTION("""COMPUTED_VALUE"""),"N")</f>
        <v>N</v>
      </c>
      <c r="N162" s="3" t="str">
        <f>IFERROR(__xludf.DUMMYFUNCTION("""COMPUTED_VALUE"""),"N")</f>
        <v>N</v>
      </c>
      <c r="O162" s="3" t="str">
        <f>IFERROR(__xludf.DUMMYFUNCTION("""COMPUTED_VALUE"""),"Small Rural")</f>
        <v>Small Rural</v>
      </c>
    </row>
    <row r="163">
      <c r="A163" s="2" t="str">
        <f>IFERROR(__xludf.DUMMYFUNCTION("""COMPUTED_VALUE"""),"3070")</f>
        <v>3070</v>
      </c>
      <c r="B163" s="2" t="str">
        <f>IFERROR(__xludf.DUMMYFUNCTION("""COMPUTED_VALUE"""),"WOODLIN R-104")</f>
        <v>WOODLIN R-104</v>
      </c>
      <c r="C163" s="2" t="str">
        <f>IFERROR(__xludf.DUMMYFUNCTION("""COMPUTED_VALUE"""),"Public")</f>
        <v>Public</v>
      </c>
      <c r="D163" s="3">
        <f>IFERROR(__xludf.DUMMYFUNCTION("""COMPUTED_VALUE"""),2.0)</f>
        <v>2</v>
      </c>
      <c r="E163" s="3" t="str">
        <f>IFERROR(__xludf.DUMMYFUNCTION("""COMPUTED_VALUE"""),"Y")</f>
        <v>Y</v>
      </c>
      <c r="F163" s="3" t="str">
        <f>IFERROR(__xludf.DUMMYFUNCTION("""COMPUTED_VALUE"""),"Y")</f>
        <v>Y</v>
      </c>
      <c r="G163" s="3" t="str">
        <f>IFERROR(__xludf.DUMMYFUNCTION("""COMPUTED_VALUE"""),"N")</f>
        <v>N</v>
      </c>
      <c r="H163" s="3" t="str">
        <f>IFERROR(__xludf.DUMMYFUNCTION("""COMPUTED_VALUE"""),"Y")</f>
        <v>Y</v>
      </c>
      <c r="I163" s="3" t="str">
        <f>IFERROR(__xludf.DUMMYFUNCTION("""COMPUTED_VALUE"""),"N")</f>
        <v>N</v>
      </c>
      <c r="J163" s="3" t="str">
        <f>IFERROR(__xludf.DUMMYFUNCTION("""COMPUTED_VALUE"""),"N")</f>
        <v>N</v>
      </c>
      <c r="K163" s="3" t="str">
        <f>IFERROR(__xludf.DUMMYFUNCTION("""COMPUTED_VALUE"""),"Y")</f>
        <v>Y</v>
      </c>
      <c r="L163" s="3" t="str">
        <f>IFERROR(__xludf.DUMMYFUNCTION("""COMPUTED_VALUE"""),"Districtwide")</f>
        <v>Districtwide</v>
      </c>
      <c r="M163" s="3" t="str">
        <f>IFERROR(__xludf.DUMMYFUNCTION("""COMPUTED_VALUE"""),"N")</f>
        <v>N</v>
      </c>
      <c r="N163" s="3" t="str">
        <f>IFERROR(__xludf.DUMMYFUNCTION("""COMPUTED_VALUE"""),"N")</f>
        <v>N</v>
      </c>
      <c r="O163" s="3" t="str">
        <f>IFERROR(__xludf.DUMMYFUNCTION("""COMPUTED_VALUE"""),"Small Rural")</f>
        <v>Small Rural</v>
      </c>
    </row>
    <row r="164">
      <c r="A164" s="2" t="str">
        <f>IFERROR(__xludf.DUMMYFUNCTION("""COMPUTED_VALUE"""),"3080")</f>
        <v>3080</v>
      </c>
      <c r="B164" s="2" t="str">
        <f>IFERROR(__xludf.DUMMYFUNCTION("""COMPUTED_VALUE"""),"WELD COUNTY RE-1")</f>
        <v>WELD COUNTY RE-1</v>
      </c>
      <c r="C164" s="2" t="str">
        <f>IFERROR(__xludf.DUMMYFUNCTION("""COMPUTED_VALUE"""),"Public")</f>
        <v>Public</v>
      </c>
      <c r="D164" s="3">
        <f>IFERROR(__xludf.DUMMYFUNCTION("""COMPUTED_VALUE"""),6.0)</f>
        <v>6</v>
      </c>
      <c r="E164" s="3" t="str">
        <f>IFERROR(__xludf.DUMMYFUNCTION("""COMPUTED_VALUE"""),"Y")</f>
        <v>Y</v>
      </c>
      <c r="F164" s="3" t="str">
        <f>IFERROR(__xludf.DUMMYFUNCTION("""COMPUTED_VALUE"""),"Y")</f>
        <v>Y</v>
      </c>
      <c r="G164" s="3" t="str">
        <f>IFERROR(__xludf.DUMMYFUNCTION("""COMPUTED_VALUE"""),"N")</f>
        <v>N</v>
      </c>
      <c r="H164" s="3" t="str">
        <f>IFERROR(__xludf.DUMMYFUNCTION("""COMPUTED_VALUE"""),"Y")</f>
        <v>Y</v>
      </c>
      <c r="I164" s="3" t="str">
        <f>IFERROR(__xludf.DUMMYFUNCTION("""COMPUTED_VALUE"""),"N")</f>
        <v>N</v>
      </c>
      <c r="J164" s="3" t="str">
        <f>IFERROR(__xludf.DUMMYFUNCTION("""COMPUTED_VALUE"""),"N")</f>
        <v>N</v>
      </c>
      <c r="K164" s="3" t="str">
        <f>IFERROR(__xludf.DUMMYFUNCTION("""COMPUTED_VALUE"""),"Y")</f>
        <v>Y</v>
      </c>
      <c r="L164" s="3" t="str">
        <f>IFERROR(__xludf.DUMMYFUNCTION("""COMPUTED_VALUE"""),"Districtwide")</f>
        <v>Districtwide</v>
      </c>
      <c r="M164" s="3" t="str">
        <f>IFERROR(__xludf.DUMMYFUNCTION("""COMPUTED_VALUE"""),"N")</f>
        <v>N</v>
      </c>
      <c r="N164" s="3" t="str">
        <f>IFERROR(__xludf.DUMMYFUNCTION("""COMPUTED_VALUE"""),"N")</f>
        <v>N</v>
      </c>
      <c r="O164" s="3" t="str">
        <f>IFERROR(__xludf.DUMMYFUNCTION("""COMPUTED_VALUE"""),"Rural")</f>
        <v>Rural</v>
      </c>
    </row>
    <row r="165">
      <c r="A165" s="2" t="str">
        <f>IFERROR(__xludf.DUMMYFUNCTION("""COMPUTED_VALUE"""),"3085")</f>
        <v>3085</v>
      </c>
      <c r="B165" s="2" t="str">
        <f>IFERROR(__xludf.DUMMYFUNCTION("""COMPUTED_VALUE"""),"EATON RE-2")</f>
        <v>EATON RE-2</v>
      </c>
      <c r="C165" s="2" t="str">
        <f>IFERROR(__xludf.DUMMYFUNCTION("""COMPUTED_VALUE"""),"Public")</f>
        <v>Public</v>
      </c>
      <c r="D165" s="3">
        <f>IFERROR(__xludf.DUMMYFUNCTION("""COMPUTED_VALUE"""),5.0)</f>
        <v>5</v>
      </c>
      <c r="E165" s="3" t="str">
        <f>IFERROR(__xludf.DUMMYFUNCTION("""COMPUTED_VALUE"""),"Y")</f>
        <v>Y</v>
      </c>
      <c r="F165" s="3" t="str">
        <f>IFERROR(__xludf.DUMMYFUNCTION("""COMPUTED_VALUE"""),"Y")</f>
        <v>Y</v>
      </c>
      <c r="G165" s="3" t="str">
        <f>IFERROR(__xludf.DUMMYFUNCTION("""COMPUTED_VALUE"""),"N")</f>
        <v>N</v>
      </c>
      <c r="H165" s="3" t="str">
        <f>IFERROR(__xludf.DUMMYFUNCTION("""COMPUTED_VALUE"""),"N")</f>
        <v>N</v>
      </c>
      <c r="I165" s="3" t="str">
        <f>IFERROR(__xludf.DUMMYFUNCTION("""COMPUTED_VALUE"""),"N")</f>
        <v>N</v>
      </c>
      <c r="J165" s="3" t="str">
        <f>IFERROR(__xludf.DUMMYFUNCTION("""COMPUTED_VALUE"""),"N")</f>
        <v>N</v>
      </c>
      <c r="K165" s="3" t="str">
        <f>IFERROR(__xludf.DUMMYFUNCTION("""COMPUTED_VALUE"""),"Y")</f>
        <v>Y</v>
      </c>
      <c r="L165" s="3" t="str">
        <f>IFERROR(__xludf.DUMMYFUNCTION("""COMPUTED_VALUE"""),"Districtwide")</f>
        <v>Districtwide</v>
      </c>
      <c r="M165" s="3" t="str">
        <f>IFERROR(__xludf.DUMMYFUNCTION("""COMPUTED_VALUE"""),"N")</f>
        <v>N</v>
      </c>
      <c r="N165" s="3" t="str">
        <f>IFERROR(__xludf.DUMMYFUNCTION("""COMPUTED_VALUE"""),"N")</f>
        <v>N</v>
      </c>
      <c r="O165" s="3" t="str">
        <f>IFERROR(__xludf.DUMMYFUNCTION("""COMPUTED_VALUE"""),"Rural")</f>
        <v>Rural</v>
      </c>
    </row>
    <row r="166">
      <c r="A166" s="2" t="str">
        <f>IFERROR(__xludf.DUMMYFUNCTION("""COMPUTED_VALUE"""),"3090")</f>
        <v>3090</v>
      </c>
      <c r="B166" s="2" t="str">
        <f>IFERROR(__xludf.DUMMYFUNCTION("""COMPUTED_VALUE"""),"WELD COUNTY SCH DIST RE-3J")</f>
        <v>WELD COUNTY SCH DIST RE-3J</v>
      </c>
      <c r="C166" s="2" t="str">
        <f>IFERROR(__xludf.DUMMYFUNCTION("""COMPUTED_VALUE"""),"Public")</f>
        <v>Public</v>
      </c>
      <c r="D166" s="3">
        <f>IFERROR(__xludf.DUMMYFUNCTION("""COMPUTED_VALUE"""),6.0)</f>
        <v>6</v>
      </c>
      <c r="E166" s="3" t="str">
        <f>IFERROR(__xludf.DUMMYFUNCTION("""COMPUTED_VALUE"""),"Y")</f>
        <v>Y</v>
      </c>
      <c r="F166" s="3" t="str">
        <f>IFERROR(__xludf.DUMMYFUNCTION("""COMPUTED_VALUE"""),"Y")</f>
        <v>Y</v>
      </c>
      <c r="G166" s="3" t="str">
        <f>IFERROR(__xludf.DUMMYFUNCTION("""COMPUTED_VALUE"""),"N")</f>
        <v>N</v>
      </c>
      <c r="H166" s="3" t="str">
        <f>IFERROR(__xludf.DUMMYFUNCTION("""COMPUTED_VALUE"""),"N")</f>
        <v>N</v>
      </c>
      <c r="I166" s="3" t="str">
        <f>IFERROR(__xludf.DUMMYFUNCTION("""COMPUTED_VALUE"""),"N")</f>
        <v>N</v>
      </c>
      <c r="J166" s="3" t="str">
        <f>IFERROR(__xludf.DUMMYFUNCTION("""COMPUTED_VALUE"""),"N")</f>
        <v>N</v>
      </c>
      <c r="K166" s="3" t="str">
        <f>IFERROR(__xludf.DUMMYFUNCTION("""COMPUTED_VALUE"""),"Y")</f>
        <v>Y</v>
      </c>
      <c r="L166" s="3" t="str">
        <f>IFERROR(__xludf.DUMMYFUNCTION("""COMPUTED_VALUE"""),"Districtwide")</f>
        <v>Districtwide</v>
      </c>
      <c r="M166" s="3" t="str">
        <f>IFERROR(__xludf.DUMMYFUNCTION("""COMPUTED_VALUE"""),"N")</f>
        <v>N</v>
      </c>
      <c r="N166" s="3" t="str">
        <f>IFERROR(__xludf.DUMMYFUNCTION("""COMPUTED_VALUE"""),"Y")</f>
        <v>Y</v>
      </c>
      <c r="O166" s="3" t="str">
        <f>IFERROR(__xludf.DUMMYFUNCTION("""COMPUTED_VALUE"""),"Rural")</f>
        <v>Rural</v>
      </c>
    </row>
    <row r="167">
      <c r="A167" s="2" t="str">
        <f>IFERROR(__xludf.DUMMYFUNCTION("""COMPUTED_VALUE"""),"3100")</f>
        <v>3100</v>
      </c>
      <c r="B167" s="2" t="str">
        <f>IFERROR(__xludf.DUMMYFUNCTION("""COMPUTED_VALUE"""),"WELD RE-4 AU")</f>
        <v>WELD RE-4 AU</v>
      </c>
      <c r="C167" s="2" t="str">
        <f>IFERROR(__xludf.DUMMYFUNCTION("""COMPUTED_VALUE"""),"Public")</f>
        <v>Public</v>
      </c>
      <c r="D167" s="3">
        <f>IFERROR(__xludf.DUMMYFUNCTION("""COMPUTED_VALUE"""),11.0)</f>
        <v>11</v>
      </c>
      <c r="E167" s="3" t="str">
        <f>IFERROR(__xludf.DUMMYFUNCTION("""COMPUTED_VALUE"""),"Y")</f>
        <v>Y</v>
      </c>
      <c r="F167" s="3" t="str">
        <f>IFERROR(__xludf.DUMMYFUNCTION("""COMPUTED_VALUE"""),"Y")</f>
        <v>Y</v>
      </c>
      <c r="G167" s="3" t="str">
        <f>IFERROR(__xludf.DUMMYFUNCTION("""COMPUTED_VALUE"""),"N")</f>
        <v>N</v>
      </c>
      <c r="H167" s="3" t="str">
        <f>IFERROR(__xludf.DUMMYFUNCTION("""COMPUTED_VALUE"""),"N")</f>
        <v>N</v>
      </c>
      <c r="I167" s="3" t="str">
        <f>IFERROR(__xludf.DUMMYFUNCTION("""COMPUTED_VALUE"""),"N")</f>
        <v>N</v>
      </c>
      <c r="J167" s="3" t="str">
        <f>IFERROR(__xludf.DUMMYFUNCTION("""COMPUTED_VALUE"""),"N")</f>
        <v>N</v>
      </c>
      <c r="K167" s="3" t="str">
        <f>IFERROR(__xludf.DUMMYFUNCTION("""COMPUTED_VALUE"""),"Y")</f>
        <v>Y</v>
      </c>
      <c r="L167" s="3" t="str">
        <f>IFERROR(__xludf.DUMMYFUNCTION("""COMPUTED_VALUE"""),"Y")</f>
        <v>Y</v>
      </c>
      <c r="M167" s="3" t="str">
        <f>IFERROR(__xludf.DUMMYFUNCTION("""COMPUTED_VALUE"""),"N")</f>
        <v>N</v>
      </c>
      <c r="N167" s="3" t="str">
        <f>IFERROR(__xludf.DUMMYFUNCTION("""COMPUTED_VALUE"""),"N")</f>
        <v>N</v>
      </c>
      <c r="O167" s="3" t="str">
        <f>IFERROR(__xludf.DUMMYFUNCTION("""COMPUTED_VALUE"""),"none")</f>
        <v>none</v>
      </c>
    </row>
    <row r="168">
      <c r="A168" s="2" t="str">
        <f>IFERROR(__xludf.DUMMYFUNCTION("""COMPUTED_VALUE"""),"3110")</f>
        <v>3110</v>
      </c>
      <c r="B168" s="2" t="str">
        <f>IFERROR(__xludf.DUMMYFUNCTION("""COMPUTED_VALUE"""),"JOHNSTOWN-MILLIKEN RE-5J")</f>
        <v>JOHNSTOWN-MILLIKEN RE-5J</v>
      </c>
      <c r="C168" s="2" t="str">
        <f>IFERROR(__xludf.DUMMYFUNCTION("""COMPUTED_VALUE"""),"Public")</f>
        <v>Public</v>
      </c>
      <c r="D168" s="3">
        <f>IFERROR(__xludf.DUMMYFUNCTION("""COMPUTED_VALUE"""),6.0)</f>
        <v>6</v>
      </c>
      <c r="E168" s="3" t="str">
        <f>IFERROR(__xludf.DUMMYFUNCTION("""COMPUTED_VALUE"""),"Y")</f>
        <v>Y</v>
      </c>
      <c r="F168" s="3" t="str">
        <f>IFERROR(__xludf.DUMMYFUNCTION("""COMPUTED_VALUE"""),"Y")</f>
        <v>Y</v>
      </c>
      <c r="G168" s="2" t="str">
        <f>IFERROR(__xludf.DUMMYFUNCTION("""COMPUTED_VALUE"""),"N")</f>
        <v>N</v>
      </c>
      <c r="H168" s="3" t="str">
        <f>IFERROR(__xludf.DUMMYFUNCTION("""COMPUTED_VALUE"""),"Y")</f>
        <v>Y</v>
      </c>
      <c r="I168" s="3" t="str">
        <f>IFERROR(__xludf.DUMMYFUNCTION("""COMPUTED_VALUE"""),"Y")</f>
        <v>Y</v>
      </c>
      <c r="J168" s="2" t="str">
        <f>IFERROR(__xludf.DUMMYFUNCTION("""COMPUTED_VALUE"""),"Y")</f>
        <v>Y</v>
      </c>
      <c r="K168" s="3" t="str">
        <f>IFERROR(__xludf.DUMMYFUNCTION("""COMPUTED_VALUE"""),"Y")</f>
        <v>Y</v>
      </c>
      <c r="L168" s="3" t="str">
        <f>IFERROR(__xludf.DUMMYFUNCTION("""COMPUTED_VALUE"""),"Districtwide")</f>
        <v>Districtwide</v>
      </c>
      <c r="M168" s="3" t="str">
        <f>IFERROR(__xludf.DUMMYFUNCTION("""COMPUTED_VALUE"""),"N")</f>
        <v>N</v>
      </c>
      <c r="N168" s="3" t="str">
        <f>IFERROR(__xludf.DUMMYFUNCTION("""COMPUTED_VALUE"""),"Y")</f>
        <v>Y</v>
      </c>
      <c r="O168" s="3" t="str">
        <f>IFERROR(__xludf.DUMMYFUNCTION("""COMPUTED_VALUE"""),"Rural")</f>
        <v>Rural</v>
      </c>
    </row>
    <row r="169">
      <c r="A169" s="2" t="str">
        <f>IFERROR(__xludf.DUMMYFUNCTION("""COMPUTED_VALUE"""),"3120")</f>
        <v>3120</v>
      </c>
      <c r="B169" s="2" t="str">
        <f>IFERROR(__xludf.DUMMYFUNCTION("""COMPUTED_VALUE"""),"GREELEY 6")</f>
        <v>GREELEY 6</v>
      </c>
      <c r="C169" s="2" t="str">
        <f>IFERROR(__xludf.DUMMYFUNCTION("""COMPUTED_VALUE"""),"Public")</f>
        <v>Public</v>
      </c>
      <c r="D169" s="3">
        <f>IFERROR(__xludf.DUMMYFUNCTION("""COMPUTED_VALUE"""),33.0)</f>
        <v>33</v>
      </c>
      <c r="E169" s="3" t="str">
        <f>IFERROR(__xludf.DUMMYFUNCTION("""COMPUTED_VALUE"""),"Y")</f>
        <v>Y</v>
      </c>
      <c r="F169" s="3" t="str">
        <f>IFERROR(__xludf.DUMMYFUNCTION("""COMPUTED_VALUE"""),"Y")</f>
        <v>Y</v>
      </c>
      <c r="G169" s="3" t="str">
        <f>IFERROR(__xludf.DUMMYFUNCTION("""COMPUTED_VALUE"""),"N")</f>
        <v>N</v>
      </c>
      <c r="H169" s="3" t="str">
        <f>IFERROR(__xludf.DUMMYFUNCTION("""COMPUTED_VALUE"""),"Y")</f>
        <v>Y</v>
      </c>
      <c r="I169" s="3" t="str">
        <f>IFERROR(__xludf.DUMMYFUNCTION("""COMPUTED_VALUE"""),"Y")</f>
        <v>Y</v>
      </c>
      <c r="J169" s="3" t="str">
        <f>IFERROR(__xludf.DUMMYFUNCTION("""COMPUTED_VALUE"""),"Y")</f>
        <v>Y</v>
      </c>
      <c r="K169" s="3" t="str">
        <f>IFERROR(__xludf.DUMMYFUNCTION("""COMPUTED_VALUE"""),"Y")</f>
        <v>Y</v>
      </c>
      <c r="L169" s="3" t="str">
        <f>IFERROR(__xludf.DUMMYFUNCTION("""COMPUTED_VALUE"""),"Y")</f>
        <v>Y</v>
      </c>
      <c r="M169" s="3" t="str">
        <f>IFERROR(__xludf.DUMMYFUNCTION("""COMPUTED_VALUE"""),"N")</f>
        <v>N</v>
      </c>
      <c r="N169" s="3" t="str">
        <f>IFERROR(__xludf.DUMMYFUNCTION("""COMPUTED_VALUE"""),"N")</f>
        <v>N</v>
      </c>
      <c r="O169" s="3" t="str">
        <f>IFERROR(__xludf.DUMMYFUNCTION("""COMPUTED_VALUE"""),"none")</f>
        <v>none</v>
      </c>
    </row>
    <row r="170">
      <c r="A170" s="2" t="str">
        <f>IFERROR(__xludf.DUMMYFUNCTION("""COMPUTED_VALUE"""),"3130")</f>
        <v>3130</v>
      </c>
      <c r="B170" s="2" t="str">
        <f>IFERROR(__xludf.DUMMYFUNCTION("""COMPUTED_VALUE"""),"PLATTE VALLEY RE-7")</f>
        <v>PLATTE VALLEY RE-7</v>
      </c>
      <c r="C170" s="2" t="str">
        <f>IFERROR(__xludf.DUMMYFUNCTION("""COMPUTED_VALUE"""),"Public")</f>
        <v>Public</v>
      </c>
      <c r="D170" s="3">
        <f>IFERROR(__xludf.DUMMYFUNCTION("""COMPUTED_VALUE"""),3.0)</f>
        <v>3</v>
      </c>
      <c r="E170" s="3" t="str">
        <f>IFERROR(__xludf.DUMMYFUNCTION("""COMPUTED_VALUE"""),"Y")</f>
        <v>Y</v>
      </c>
      <c r="F170" s="3" t="str">
        <f>IFERROR(__xludf.DUMMYFUNCTION("""COMPUTED_VALUE"""),"Y")</f>
        <v>Y</v>
      </c>
      <c r="G170" s="3" t="str">
        <f>IFERROR(__xludf.DUMMYFUNCTION("""COMPUTED_VALUE"""),"N")</f>
        <v>N</v>
      </c>
      <c r="H170" s="3" t="str">
        <f>IFERROR(__xludf.DUMMYFUNCTION("""COMPUTED_VALUE"""),"N")</f>
        <v>N</v>
      </c>
      <c r="I170" s="3" t="str">
        <f>IFERROR(__xludf.DUMMYFUNCTION("""COMPUTED_VALUE"""),"N")</f>
        <v>N</v>
      </c>
      <c r="J170" s="3" t="str">
        <f>IFERROR(__xludf.DUMMYFUNCTION("""COMPUTED_VALUE"""),"N")</f>
        <v>N</v>
      </c>
      <c r="K170" s="3" t="str">
        <f>IFERROR(__xludf.DUMMYFUNCTION("""COMPUTED_VALUE"""),"Y")</f>
        <v>Y</v>
      </c>
      <c r="L170" s="3" t="str">
        <f>IFERROR(__xludf.DUMMYFUNCTION("""COMPUTED_VALUE"""),"Districtwide")</f>
        <v>Districtwide</v>
      </c>
      <c r="M170" s="3" t="str">
        <f>IFERROR(__xludf.DUMMYFUNCTION("""COMPUTED_VALUE"""),"N")</f>
        <v>N</v>
      </c>
      <c r="N170" s="3" t="str">
        <f>IFERROR(__xludf.DUMMYFUNCTION("""COMPUTED_VALUE"""),"N")</f>
        <v>N</v>
      </c>
      <c r="O170" s="3" t="str">
        <f>IFERROR(__xludf.DUMMYFUNCTION("""COMPUTED_VALUE"""),"Rural")</f>
        <v>Rural</v>
      </c>
    </row>
    <row r="171">
      <c r="A171" s="2" t="str">
        <f>IFERROR(__xludf.DUMMYFUNCTION("""COMPUTED_VALUE"""),"3140")</f>
        <v>3140</v>
      </c>
      <c r="B171" s="2" t="str">
        <f>IFERROR(__xludf.DUMMYFUNCTION("""COMPUTED_VALUE"""),"WELD COUNTY SCHOOL DISTRICT RE-8")</f>
        <v>WELD COUNTY SCHOOL DISTRICT RE-8</v>
      </c>
      <c r="C171" s="2" t="str">
        <f>IFERROR(__xludf.DUMMYFUNCTION("""COMPUTED_VALUE"""),"Public")</f>
        <v>Public</v>
      </c>
      <c r="D171" s="3">
        <f>IFERROR(__xludf.DUMMYFUNCTION("""COMPUTED_VALUE"""),6.0)</f>
        <v>6</v>
      </c>
      <c r="E171" s="3" t="str">
        <f>IFERROR(__xludf.DUMMYFUNCTION("""COMPUTED_VALUE"""),"Y")</f>
        <v>Y</v>
      </c>
      <c r="F171" s="3" t="str">
        <f>IFERROR(__xludf.DUMMYFUNCTION("""COMPUTED_VALUE"""),"Y")</f>
        <v>Y</v>
      </c>
      <c r="G171" s="3" t="str">
        <f>IFERROR(__xludf.DUMMYFUNCTION("""COMPUTED_VALUE"""),"N")</f>
        <v>N</v>
      </c>
      <c r="H171" s="3" t="str">
        <f>IFERROR(__xludf.DUMMYFUNCTION("""COMPUTED_VALUE"""),"Y")</f>
        <v>Y</v>
      </c>
      <c r="I171" s="3" t="str">
        <f>IFERROR(__xludf.DUMMYFUNCTION("""COMPUTED_VALUE"""),"N")</f>
        <v>N</v>
      </c>
      <c r="J171" s="3" t="str">
        <f>IFERROR(__xludf.DUMMYFUNCTION("""COMPUTED_VALUE"""),"Y")</f>
        <v>Y</v>
      </c>
      <c r="K171" s="3" t="str">
        <f>IFERROR(__xludf.DUMMYFUNCTION("""COMPUTED_VALUE"""),"Y")</f>
        <v>Y</v>
      </c>
      <c r="L171" s="3" t="str">
        <f>IFERROR(__xludf.DUMMYFUNCTION("""COMPUTED_VALUE"""),"Y")</f>
        <v>Y</v>
      </c>
      <c r="M171" s="3" t="str">
        <f>IFERROR(__xludf.DUMMYFUNCTION("""COMPUTED_VALUE"""),"N")</f>
        <v>N</v>
      </c>
      <c r="N171" s="3" t="str">
        <f>IFERROR(__xludf.DUMMYFUNCTION("""COMPUTED_VALUE"""),"Y")</f>
        <v>Y</v>
      </c>
      <c r="O171" s="3" t="str">
        <f>IFERROR(__xludf.DUMMYFUNCTION("""COMPUTED_VALUE"""),"Rural")</f>
        <v>Rural</v>
      </c>
    </row>
    <row r="172">
      <c r="A172" s="2" t="str">
        <f>IFERROR(__xludf.DUMMYFUNCTION("""COMPUTED_VALUE"""),"3145")</f>
        <v>3145</v>
      </c>
      <c r="B172" s="2" t="str">
        <f>IFERROR(__xludf.DUMMYFUNCTION("""COMPUTED_VALUE"""),"AULT-HIGHLAND RE-9")</f>
        <v>AULT-HIGHLAND RE-9</v>
      </c>
      <c r="C172" s="2" t="str">
        <f>IFERROR(__xludf.DUMMYFUNCTION("""COMPUTED_VALUE"""),"Public")</f>
        <v>Public</v>
      </c>
      <c r="D172" s="3">
        <f>IFERROR(__xludf.DUMMYFUNCTION("""COMPUTED_VALUE"""),3.0)</f>
        <v>3</v>
      </c>
      <c r="E172" s="3" t="str">
        <f>IFERROR(__xludf.DUMMYFUNCTION("""COMPUTED_VALUE"""),"Y")</f>
        <v>Y</v>
      </c>
      <c r="F172" s="3" t="str">
        <f>IFERROR(__xludf.DUMMYFUNCTION("""COMPUTED_VALUE"""),"Y")</f>
        <v>Y</v>
      </c>
      <c r="G172" s="3" t="str">
        <f>IFERROR(__xludf.DUMMYFUNCTION("""COMPUTED_VALUE"""),"N")</f>
        <v>N</v>
      </c>
      <c r="H172" s="3" t="str">
        <f>IFERROR(__xludf.DUMMYFUNCTION("""COMPUTED_VALUE"""),"N")</f>
        <v>N</v>
      </c>
      <c r="I172" s="3" t="str">
        <f>IFERROR(__xludf.DUMMYFUNCTION("""COMPUTED_VALUE"""),"N")</f>
        <v>N</v>
      </c>
      <c r="J172" s="3" t="str">
        <f>IFERROR(__xludf.DUMMYFUNCTION("""COMPUTED_VALUE"""),"N")</f>
        <v>N</v>
      </c>
      <c r="K172" s="3" t="str">
        <f>IFERROR(__xludf.DUMMYFUNCTION("""COMPUTED_VALUE"""),"Y")</f>
        <v>Y</v>
      </c>
      <c r="L172" s="3" t="str">
        <f>IFERROR(__xludf.DUMMYFUNCTION("""COMPUTED_VALUE"""),"Districtwide")</f>
        <v>Districtwide</v>
      </c>
      <c r="M172" s="3" t="str">
        <f>IFERROR(__xludf.DUMMYFUNCTION("""COMPUTED_VALUE"""),"N")</f>
        <v>N</v>
      </c>
      <c r="N172" s="3" t="str">
        <f>IFERROR(__xludf.DUMMYFUNCTION("""COMPUTED_VALUE"""),"N")</f>
        <v>N</v>
      </c>
      <c r="O172" s="3" t="str">
        <f>IFERROR(__xludf.DUMMYFUNCTION("""COMPUTED_VALUE"""),"Small Rural")</f>
        <v>Small Rural</v>
      </c>
    </row>
    <row r="173">
      <c r="A173" s="2" t="str">
        <f>IFERROR(__xludf.DUMMYFUNCTION("""COMPUTED_VALUE"""),"3146")</f>
        <v>3146</v>
      </c>
      <c r="B173" s="2" t="str">
        <f>IFERROR(__xludf.DUMMYFUNCTION("""COMPUTED_VALUE"""),"BRIGGSDALE RE-10")</f>
        <v>BRIGGSDALE RE-10</v>
      </c>
      <c r="C173" s="2" t="str">
        <f>IFERROR(__xludf.DUMMYFUNCTION("""COMPUTED_VALUE"""),"Public")</f>
        <v>Public</v>
      </c>
      <c r="D173" s="3">
        <f>IFERROR(__xludf.DUMMYFUNCTION("""COMPUTED_VALUE"""),2.0)</f>
        <v>2</v>
      </c>
      <c r="E173" s="3" t="str">
        <f>IFERROR(__xludf.DUMMYFUNCTION("""COMPUTED_VALUE"""),"Y")</f>
        <v>Y</v>
      </c>
      <c r="F173" s="3" t="str">
        <f>IFERROR(__xludf.DUMMYFUNCTION("""COMPUTED_VALUE"""),"Y")</f>
        <v>Y</v>
      </c>
      <c r="G173" s="3" t="str">
        <f>IFERROR(__xludf.DUMMYFUNCTION("""COMPUTED_VALUE"""),"N")</f>
        <v>N</v>
      </c>
      <c r="H173" s="3" t="str">
        <f>IFERROR(__xludf.DUMMYFUNCTION("""COMPUTED_VALUE"""),"N")</f>
        <v>N</v>
      </c>
      <c r="I173" s="3" t="str">
        <f>IFERROR(__xludf.DUMMYFUNCTION("""COMPUTED_VALUE"""),"N")</f>
        <v>N</v>
      </c>
      <c r="J173" s="3" t="str">
        <f>IFERROR(__xludf.DUMMYFUNCTION("""COMPUTED_VALUE"""),"N")</f>
        <v>N</v>
      </c>
      <c r="K173" s="3" t="str">
        <f>IFERROR(__xludf.DUMMYFUNCTION("""COMPUTED_VALUE"""),"Y")</f>
        <v>Y</v>
      </c>
      <c r="L173" s="3" t="str">
        <f>IFERROR(__xludf.DUMMYFUNCTION("""COMPUTED_VALUE"""),"N")</f>
        <v>N</v>
      </c>
      <c r="M173" s="3" t="str">
        <f>IFERROR(__xludf.DUMMYFUNCTION("""COMPUTED_VALUE"""),"N")</f>
        <v>N</v>
      </c>
      <c r="N173" s="3" t="str">
        <f>IFERROR(__xludf.DUMMYFUNCTION("""COMPUTED_VALUE"""),"N")</f>
        <v>N</v>
      </c>
      <c r="O173" s="3" t="str">
        <f>IFERROR(__xludf.DUMMYFUNCTION("""COMPUTED_VALUE"""),"Small Rural")</f>
        <v>Small Rural</v>
      </c>
    </row>
    <row r="174">
      <c r="A174" s="2" t="str">
        <f>IFERROR(__xludf.DUMMYFUNCTION("""COMPUTED_VALUE"""),"3147")</f>
        <v>3147</v>
      </c>
      <c r="B174" s="2" t="str">
        <f>IFERROR(__xludf.DUMMYFUNCTION("""COMPUTED_VALUE"""),"PRAIRIE RE-11")</f>
        <v>PRAIRIE RE-11</v>
      </c>
      <c r="C174" s="2" t="str">
        <f>IFERROR(__xludf.DUMMYFUNCTION("""COMPUTED_VALUE"""),"Public")</f>
        <v>Public</v>
      </c>
      <c r="D174" s="3">
        <f>IFERROR(__xludf.DUMMYFUNCTION("""COMPUTED_VALUE"""),2.0)</f>
        <v>2</v>
      </c>
      <c r="E174" s="3" t="str">
        <f>IFERROR(__xludf.DUMMYFUNCTION("""COMPUTED_VALUE"""),"Y")</f>
        <v>Y</v>
      </c>
      <c r="F174" s="3" t="str">
        <f>IFERROR(__xludf.DUMMYFUNCTION("""COMPUTED_VALUE"""),"Y")</f>
        <v>Y</v>
      </c>
      <c r="G174" s="3" t="str">
        <f>IFERROR(__xludf.DUMMYFUNCTION("""COMPUTED_VALUE"""),"N")</f>
        <v>N</v>
      </c>
      <c r="H174" s="3" t="str">
        <f>IFERROR(__xludf.DUMMYFUNCTION("""COMPUTED_VALUE"""),"N")</f>
        <v>N</v>
      </c>
      <c r="I174" s="3" t="str">
        <f>IFERROR(__xludf.DUMMYFUNCTION("""COMPUTED_VALUE"""),"N")</f>
        <v>N</v>
      </c>
      <c r="J174" s="3" t="str">
        <f>IFERROR(__xludf.DUMMYFUNCTION("""COMPUTED_VALUE"""),"N")</f>
        <v>N</v>
      </c>
      <c r="K174" s="3" t="str">
        <f>IFERROR(__xludf.DUMMYFUNCTION("""COMPUTED_VALUE"""),"Y")</f>
        <v>Y</v>
      </c>
      <c r="L174" s="3" t="str">
        <f>IFERROR(__xludf.DUMMYFUNCTION("""COMPUTED_VALUE"""),"N")</f>
        <v>N</v>
      </c>
      <c r="M174" s="3" t="str">
        <f>IFERROR(__xludf.DUMMYFUNCTION("""COMPUTED_VALUE"""),"N")</f>
        <v>N</v>
      </c>
      <c r="N174" s="3" t="str">
        <f>IFERROR(__xludf.DUMMYFUNCTION("""COMPUTED_VALUE"""),"N")</f>
        <v>N</v>
      </c>
      <c r="O174" s="3" t="str">
        <f>IFERROR(__xludf.DUMMYFUNCTION("""COMPUTED_VALUE"""),"Small Rural")</f>
        <v>Small Rural</v>
      </c>
    </row>
    <row r="175">
      <c r="A175" s="4" t="str">
        <f>IFERROR(__xludf.DUMMYFUNCTION("""COMPUTED_VALUE"""),"3148")</f>
        <v>3148</v>
      </c>
      <c r="B175" s="2" t="str">
        <f>IFERROR(__xludf.DUMMYFUNCTION("""COMPUTED_VALUE"""),"PAWNEE RE-12")</f>
        <v>PAWNEE RE-12</v>
      </c>
      <c r="C175" s="2" t="str">
        <f>IFERROR(__xludf.DUMMYFUNCTION("""COMPUTED_VALUE"""),"Public")</f>
        <v>Public</v>
      </c>
      <c r="D175" s="3">
        <f>IFERROR(__xludf.DUMMYFUNCTION("""COMPUTED_VALUE"""),1.0)</f>
        <v>1</v>
      </c>
      <c r="E175" s="3" t="str">
        <f>IFERROR(__xludf.DUMMYFUNCTION("""COMPUTED_VALUE"""),"Y")</f>
        <v>Y</v>
      </c>
      <c r="F175" s="3" t="str">
        <f>IFERROR(__xludf.DUMMYFUNCTION("""COMPUTED_VALUE"""),"Y")</f>
        <v>Y</v>
      </c>
      <c r="G175" s="3" t="str">
        <f>IFERROR(__xludf.DUMMYFUNCTION("""COMPUTED_VALUE"""),"N")</f>
        <v>N</v>
      </c>
      <c r="H175" s="3" t="str">
        <f>IFERROR(__xludf.DUMMYFUNCTION("""COMPUTED_VALUE"""),"N")</f>
        <v>N</v>
      </c>
      <c r="I175" s="3" t="str">
        <f>IFERROR(__xludf.DUMMYFUNCTION("""COMPUTED_VALUE"""),"N")</f>
        <v>N</v>
      </c>
      <c r="J175" s="3" t="str">
        <f>IFERROR(__xludf.DUMMYFUNCTION("""COMPUTED_VALUE"""),"N")</f>
        <v>N</v>
      </c>
      <c r="K175" s="3" t="str">
        <f>IFERROR(__xludf.DUMMYFUNCTION("""COMPUTED_VALUE"""),"Y")</f>
        <v>Y</v>
      </c>
      <c r="L175" s="3" t="str">
        <f>IFERROR(__xludf.DUMMYFUNCTION("""COMPUTED_VALUE"""),"N")</f>
        <v>N</v>
      </c>
      <c r="M175" s="3" t="str">
        <f>IFERROR(__xludf.DUMMYFUNCTION("""COMPUTED_VALUE"""),"Provision 2")</f>
        <v>Provision 2</v>
      </c>
      <c r="N175" s="3" t="str">
        <f>IFERROR(__xludf.DUMMYFUNCTION("""COMPUTED_VALUE"""),"N")</f>
        <v>N</v>
      </c>
      <c r="O175" s="3" t="str">
        <f>IFERROR(__xludf.DUMMYFUNCTION("""COMPUTED_VALUE"""),"Small Rural")</f>
        <v>Small Rural</v>
      </c>
    </row>
    <row r="176">
      <c r="A176" s="2" t="str">
        <f>IFERROR(__xludf.DUMMYFUNCTION("""COMPUTED_VALUE"""),"3200")</f>
        <v>3200</v>
      </c>
      <c r="B176" s="2" t="str">
        <f>IFERROR(__xludf.DUMMYFUNCTION("""COMPUTED_VALUE"""),"YUMA 1")</f>
        <v>YUMA 1</v>
      </c>
      <c r="C176" s="2" t="str">
        <f>IFERROR(__xludf.DUMMYFUNCTION("""COMPUTED_VALUE"""),"Public")</f>
        <v>Public</v>
      </c>
      <c r="D176" s="3">
        <f>IFERROR(__xludf.DUMMYFUNCTION("""COMPUTED_VALUE"""),4.0)</f>
        <v>4</v>
      </c>
      <c r="E176" s="3" t="str">
        <f>IFERROR(__xludf.DUMMYFUNCTION("""COMPUTED_VALUE"""),"Y")</f>
        <v>Y</v>
      </c>
      <c r="F176" s="3" t="str">
        <f>IFERROR(__xludf.DUMMYFUNCTION("""COMPUTED_VALUE"""),"Y")</f>
        <v>Y</v>
      </c>
      <c r="G176" s="3" t="str">
        <f>IFERROR(__xludf.DUMMYFUNCTION("""COMPUTED_VALUE"""),"N")</f>
        <v>N</v>
      </c>
      <c r="H176" s="3" t="str">
        <f>IFERROR(__xludf.DUMMYFUNCTION("""COMPUTED_VALUE"""),"N")</f>
        <v>N</v>
      </c>
      <c r="I176" s="3" t="str">
        <f>IFERROR(__xludf.DUMMYFUNCTION("""COMPUTED_VALUE"""),"N")</f>
        <v>N</v>
      </c>
      <c r="J176" s="3" t="str">
        <f>IFERROR(__xludf.DUMMYFUNCTION("""COMPUTED_VALUE"""),"N")</f>
        <v>N</v>
      </c>
      <c r="K176" s="3" t="str">
        <f>IFERROR(__xludf.DUMMYFUNCTION("""COMPUTED_VALUE"""),"Y")</f>
        <v>Y</v>
      </c>
      <c r="L176" s="3" t="str">
        <f>IFERROR(__xludf.DUMMYFUNCTION("""COMPUTED_VALUE"""),"Y")</f>
        <v>Y</v>
      </c>
      <c r="M176" s="3" t="str">
        <f>IFERROR(__xludf.DUMMYFUNCTION("""COMPUTED_VALUE"""),"N")</f>
        <v>N</v>
      </c>
      <c r="N176" s="3" t="str">
        <f>IFERROR(__xludf.DUMMYFUNCTION("""COMPUTED_VALUE"""),"N")</f>
        <v>N</v>
      </c>
      <c r="O176" s="3" t="str">
        <f>IFERROR(__xludf.DUMMYFUNCTION("""COMPUTED_VALUE"""),"Small Rural")</f>
        <v>Small Rural</v>
      </c>
    </row>
    <row r="177">
      <c r="A177" s="2" t="str">
        <f>IFERROR(__xludf.DUMMYFUNCTION("""COMPUTED_VALUE"""),"3210")</f>
        <v>3210</v>
      </c>
      <c r="B177" s="2" t="str">
        <f>IFERROR(__xludf.DUMMYFUNCTION("""COMPUTED_VALUE"""),"WRAY RD-2")</f>
        <v>WRAY RD-2</v>
      </c>
      <c r="C177" s="2" t="str">
        <f>IFERROR(__xludf.DUMMYFUNCTION("""COMPUTED_VALUE"""),"Public")</f>
        <v>Public</v>
      </c>
      <c r="D177" s="3">
        <f>IFERROR(__xludf.DUMMYFUNCTION("""COMPUTED_VALUE"""),2.0)</f>
        <v>2</v>
      </c>
      <c r="E177" s="3" t="str">
        <f>IFERROR(__xludf.DUMMYFUNCTION("""COMPUTED_VALUE"""),"Y")</f>
        <v>Y</v>
      </c>
      <c r="F177" s="3" t="str">
        <f>IFERROR(__xludf.DUMMYFUNCTION("""COMPUTED_VALUE"""),"Y")</f>
        <v>Y</v>
      </c>
      <c r="G177" s="3" t="str">
        <f>IFERROR(__xludf.DUMMYFUNCTION("""COMPUTED_VALUE"""),"N")</f>
        <v>N</v>
      </c>
      <c r="H177" s="3" t="str">
        <f>IFERROR(__xludf.DUMMYFUNCTION("""COMPUTED_VALUE"""),"N")</f>
        <v>N</v>
      </c>
      <c r="I177" s="3" t="str">
        <f>IFERROR(__xludf.DUMMYFUNCTION("""COMPUTED_VALUE"""),"N")</f>
        <v>N</v>
      </c>
      <c r="J177" s="3" t="str">
        <f>IFERROR(__xludf.DUMMYFUNCTION("""COMPUTED_VALUE"""),"N")</f>
        <v>N</v>
      </c>
      <c r="K177" s="3" t="str">
        <f>IFERROR(__xludf.DUMMYFUNCTION("""COMPUTED_VALUE"""),"Y")</f>
        <v>Y</v>
      </c>
      <c r="L177" s="3" t="str">
        <f>IFERROR(__xludf.DUMMYFUNCTION("""COMPUTED_VALUE"""),"Districtwide")</f>
        <v>Districtwide</v>
      </c>
      <c r="M177" s="3" t="str">
        <f>IFERROR(__xludf.DUMMYFUNCTION("""COMPUTED_VALUE"""),"N")</f>
        <v>N</v>
      </c>
      <c r="N177" s="3" t="str">
        <f>IFERROR(__xludf.DUMMYFUNCTION("""COMPUTED_VALUE"""),"N")</f>
        <v>N</v>
      </c>
      <c r="O177" s="3" t="str">
        <f>IFERROR(__xludf.DUMMYFUNCTION("""COMPUTED_VALUE"""),"Small Rural")</f>
        <v>Small Rural</v>
      </c>
    </row>
    <row r="178">
      <c r="A178" s="2" t="str">
        <f>IFERROR(__xludf.DUMMYFUNCTION("""COMPUTED_VALUE"""),"3220")</f>
        <v>3220</v>
      </c>
      <c r="B178" s="2" t="str">
        <f>IFERROR(__xludf.DUMMYFUNCTION("""COMPUTED_VALUE"""),"IDALIA RJ-3")</f>
        <v>IDALIA RJ-3</v>
      </c>
      <c r="C178" s="2" t="str">
        <f>IFERROR(__xludf.DUMMYFUNCTION("""COMPUTED_VALUE"""),"Public")</f>
        <v>Public</v>
      </c>
      <c r="D178" s="3">
        <f>IFERROR(__xludf.DUMMYFUNCTION("""COMPUTED_VALUE"""),2.0)</f>
        <v>2</v>
      </c>
      <c r="E178" s="3" t="str">
        <f>IFERROR(__xludf.DUMMYFUNCTION("""COMPUTED_VALUE"""),"Y")</f>
        <v>Y</v>
      </c>
      <c r="F178" s="3" t="str">
        <f>IFERROR(__xludf.DUMMYFUNCTION("""COMPUTED_VALUE"""),"Y")</f>
        <v>Y</v>
      </c>
      <c r="G178" s="3" t="str">
        <f>IFERROR(__xludf.DUMMYFUNCTION("""COMPUTED_VALUE"""),"N")</f>
        <v>N</v>
      </c>
      <c r="H178" s="3" t="str">
        <f>IFERROR(__xludf.DUMMYFUNCTION("""COMPUTED_VALUE"""),"N")</f>
        <v>N</v>
      </c>
      <c r="I178" s="3" t="str">
        <f>IFERROR(__xludf.DUMMYFUNCTION("""COMPUTED_VALUE"""),"N")</f>
        <v>N</v>
      </c>
      <c r="J178" s="3" t="str">
        <f>IFERROR(__xludf.DUMMYFUNCTION("""COMPUTED_VALUE"""),"N")</f>
        <v>N</v>
      </c>
      <c r="K178" s="3" t="str">
        <f>IFERROR(__xludf.DUMMYFUNCTION("""COMPUTED_VALUE"""),"Y")</f>
        <v>Y</v>
      </c>
      <c r="L178" s="3" t="str">
        <f>IFERROR(__xludf.DUMMYFUNCTION("""COMPUTED_VALUE"""),"Districtwide")</f>
        <v>Districtwide</v>
      </c>
      <c r="M178" s="3" t="str">
        <f>IFERROR(__xludf.DUMMYFUNCTION("""COMPUTED_VALUE"""),"N")</f>
        <v>N</v>
      </c>
      <c r="N178" s="3" t="str">
        <f>IFERROR(__xludf.DUMMYFUNCTION("""COMPUTED_VALUE"""),"N")</f>
        <v>N</v>
      </c>
      <c r="O178" s="3" t="str">
        <f>IFERROR(__xludf.DUMMYFUNCTION("""COMPUTED_VALUE"""),"Small Rural")</f>
        <v>Small Rural</v>
      </c>
    </row>
    <row r="179">
      <c r="A179" s="2" t="str">
        <f>IFERROR(__xludf.DUMMYFUNCTION("""COMPUTED_VALUE"""),"3230")</f>
        <v>3230</v>
      </c>
      <c r="B179" s="2" t="str">
        <f>IFERROR(__xludf.DUMMYFUNCTION("""COMPUTED_VALUE"""),"LIBERTY J-4")</f>
        <v>LIBERTY J-4</v>
      </c>
      <c r="C179" s="2" t="str">
        <f>IFERROR(__xludf.DUMMYFUNCTION("""COMPUTED_VALUE"""),"Public")</f>
        <v>Public</v>
      </c>
      <c r="D179" s="3">
        <f>IFERROR(__xludf.DUMMYFUNCTION("""COMPUTED_VALUE"""),1.0)</f>
        <v>1</v>
      </c>
      <c r="E179" s="3" t="str">
        <f>IFERROR(__xludf.DUMMYFUNCTION("""COMPUTED_VALUE"""),"Y")</f>
        <v>Y</v>
      </c>
      <c r="F179" s="3" t="str">
        <f>IFERROR(__xludf.DUMMYFUNCTION("""COMPUTED_VALUE"""),"Y")</f>
        <v>Y</v>
      </c>
      <c r="G179" s="3" t="str">
        <f>IFERROR(__xludf.DUMMYFUNCTION("""COMPUTED_VALUE"""),"N")</f>
        <v>N</v>
      </c>
      <c r="H179" s="3" t="str">
        <f>IFERROR(__xludf.DUMMYFUNCTION("""COMPUTED_VALUE"""),"N")</f>
        <v>N</v>
      </c>
      <c r="I179" s="3" t="str">
        <f>IFERROR(__xludf.DUMMYFUNCTION("""COMPUTED_VALUE"""),"N")</f>
        <v>N</v>
      </c>
      <c r="J179" s="3" t="str">
        <f>IFERROR(__xludf.DUMMYFUNCTION("""COMPUTED_VALUE"""),"N")</f>
        <v>N</v>
      </c>
      <c r="K179" s="3" t="str">
        <f>IFERROR(__xludf.DUMMYFUNCTION("""COMPUTED_VALUE"""),"Y")</f>
        <v>Y</v>
      </c>
      <c r="L179" s="3" t="str">
        <f>IFERROR(__xludf.DUMMYFUNCTION("""COMPUTED_VALUE"""),"Districtwide")</f>
        <v>Districtwide</v>
      </c>
      <c r="M179" s="3" t="str">
        <f>IFERROR(__xludf.DUMMYFUNCTION("""COMPUTED_VALUE"""),"N")</f>
        <v>N</v>
      </c>
      <c r="N179" s="3" t="str">
        <f>IFERROR(__xludf.DUMMYFUNCTION("""COMPUTED_VALUE"""),"N")</f>
        <v>N</v>
      </c>
      <c r="O179" s="3" t="str">
        <f>IFERROR(__xludf.DUMMYFUNCTION("""COMPUTED_VALUE"""),"Small Rural")</f>
        <v>Small Rural</v>
      </c>
    </row>
    <row r="180">
      <c r="A180" s="2" t="str">
        <f>IFERROR(__xludf.DUMMYFUNCTION("""COMPUTED_VALUE"""),"4002")</f>
        <v>4002</v>
      </c>
      <c r="B180" s="2" t="str">
        <f>IFERROR(__xludf.DUMMYFUNCTION("""COMPUTED_VALUE"""),"ASSUMPTION CATHOLIC SCHOOL")</f>
        <v>ASSUMPTION CATHOLIC SCHOOL</v>
      </c>
      <c r="C180" s="2" t="str">
        <f>IFERROR(__xludf.DUMMYFUNCTION("""COMPUTED_VALUE"""),"Other")</f>
        <v>Other</v>
      </c>
      <c r="D180" s="3">
        <f>IFERROR(__xludf.DUMMYFUNCTION("""COMPUTED_VALUE"""),1.0)</f>
        <v>1</v>
      </c>
      <c r="E180" s="3" t="str">
        <f>IFERROR(__xludf.DUMMYFUNCTION("""COMPUTED_VALUE"""),"N")</f>
        <v>N</v>
      </c>
      <c r="F180" s="3" t="str">
        <f>IFERROR(__xludf.DUMMYFUNCTION("""COMPUTED_VALUE"""),"N")</f>
        <v>N</v>
      </c>
      <c r="G180" s="3" t="str">
        <f>IFERROR(__xludf.DUMMYFUNCTION("""COMPUTED_VALUE"""),"Milk only")</f>
        <v>Milk only</v>
      </c>
      <c r="H180" s="3" t="str">
        <f>IFERROR(__xludf.DUMMYFUNCTION("""COMPUTED_VALUE"""),"N")</f>
        <v>N</v>
      </c>
      <c r="I180" s="3" t="str">
        <f>IFERROR(__xludf.DUMMYFUNCTION("""COMPUTED_VALUE"""),"N")</f>
        <v>N</v>
      </c>
      <c r="J180" s="3" t="str">
        <f>IFERROR(__xludf.DUMMYFUNCTION("""COMPUTED_VALUE"""),"N")</f>
        <v>N</v>
      </c>
      <c r="K180" s="3" t="str">
        <f>IFERROR(__xludf.DUMMYFUNCTION("""COMPUTED_VALUE"""),"Not eligibile")</f>
        <v>Not eligibile</v>
      </c>
      <c r="L180" s="3" t="str">
        <f>IFERROR(__xludf.DUMMYFUNCTION("""COMPUTED_VALUE"""),"N")</f>
        <v>N</v>
      </c>
      <c r="M180" s="3" t="str">
        <f>IFERROR(__xludf.DUMMYFUNCTION("""COMPUTED_VALUE"""),"N")</f>
        <v>N</v>
      </c>
      <c r="N180" s="3" t="str">
        <f>IFERROR(__xludf.DUMMYFUNCTION("""COMPUTED_VALUE"""),"N")</f>
        <v>N</v>
      </c>
      <c r="O180" s="3" t="str">
        <f>IFERROR(__xludf.DUMMYFUNCTION("""COMPUTED_VALUE"""),"none")</f>
        <v>none</v>
      </c>
    </row>
    <row r="181">
      <c r="A181" s="2" t="str">
        <f>IFERROR(__xludf.DUMMYFUNCTION("""COMPUTED_VALUE"""),"4026")</f>
        <v>4026</v>
      </c>
      <c r="B181" s="2" t="str">
        <f>IFERROR(__xludf.DUMMYFUNCTION("""COMPUTED_VALUE"""),"DAYSPRING CHRISTIAN ACADEMY")</f>
        <v>DAYSPRING CHRISTIAN ACADEMY</v>
      </c>
      <c r="C181" s="2" t="str">
        <f>IFERROR(__xludf.DUMMYFUNCTION("""COMPUTED_VALUE"""),"Other")</f>
        <v>Other</v>
      </c>
      <c r="D181" s="3">
        <f>IFERROR(__xludf.DUMMYFUNCTION("""COMPUTED_VALUE"""),1.0)</f>
        <v>1</v>
      </c>
      <c r="E181" s="3" t="str">
        <f>IFERROR(__xludf.DUMMYFUNCTION("""COMPUTED_VALUE"""),"N")</f>
        <v>N</v>
      </c>
      <c r="F181" s="3" t="str">
        <f>IFERROR(__xludf.DUMMYFUNCTION("""COMPUTED_VALUE"""),"N")</f>
        <v>N</v>
      </c>
      <c r="G181" s="3" t="str">
        <f>IFERROR(__xludf.DUMMYFUNCTION("""COMPUTED_VALUE"""),"Milk only")</f>
        <v>Milk only</v>
      </c>
      <c r="H181" s="3" t="str">
        <f>IFERROR(__xludf.DUMMYFUNCTION("""COMPUTED_VALUE"""),"N")</f>
        <v>N</v>
      </c>
      <c r="I181" s="3" t="str">
        <f>IFERROR(__xludf.DUMMYFUNCTION("""COMPUTED_VALUE"""),"N")</f>
        <v>N</v>
      </c>
      <c r="J181" s="3" t="str">
        <f>IFERROR(__xludf.DUMMYFUNCTION("""COMPUTED_VALUE"""),"N")</f>
        <v>N</v>
      </c>
      <c r="K181" s="3" t="str">
        <f>IFERROR(__xludf.DUMMYFUNCTION("""COMPUTED_VALUE"""),"Not eligibile")</f>
        <v>Not eligibile</v>
      </c>
      <c r="L181" s="3" t="str">
        <f>IFERROR(__xludf.DUMMYFUNCTION("""COMPUTED_VALUE"""),"N")</f>
        <v>N</v>
      </c>
      <c r="M181" s="3" t="str">
        <f>IFERROR(__xludf.DUMMYFUNCTION("""COMPUTED_VALUE"""),"N")</f>
        <v>N</v>
      </c>
      <c r="N181" s="3" t="str">
        <f>IFERROR(__xludf.DUMMYFUNCTION("""COMPUTED_VALUE"""),"N")</f>
        <v>N</v>
      </c>
      <c r="O181" s="3" t="str">
        <f>IFERROR(__xludf.DUMMYFUNCTION("""COMPUTED_VALUE"""),"none")</f>
        <v>none</v>
      </c>
    </row>
    <row r="182">
      <c r="A182" s="2" t="str">
        <f>IFERROR(__xludf.DUMMYFUNCTION("""COMPUTED_VALUE"""),"4370")</f>
        <v>4370</v>
      </c>
      <c r="B182" s="2" t="str">
        <f>IFERROR(__xludf.DUMMYFUNCTION("""COMPUTED_VALUE"""),"LARADON SCHOOL")</f>
        <v>LARADON SCHOOL</v>
      </c>
      <c r="C182" s="2" t="str">
        <f>IFERROR(__xludf.DUMMYFUNCTION("""COMPUTED_VALUE"""),"Public")</f>
        <v>Public</v>
      </c>
      <c r="D182" s="3">
        <f>IFERROR(__xludf.DUMMYFUNCTION("""COMPUTED_VALUE"""),1.0)</f>
        <v>1</v>
      </c>
      <c r="E182" s="3" t="str">
        <f>IFERROR(__xludf.DUMMYFUNCTION("""COMPUTED_VALUE"""),"N")</f>
        <v>N</v>
      </c>
      <c r="F182" s="3" t="str">
        <f>IFERROR(__xludf.DUMMYFUNCTION("""COMPUTED_VALUE"""),"Y")</f>
        <v>Y</v>
      </c>
      <c r="G182" s="3" t="str">
        <f>IFERROR(__xludf.DUMMYFUNCTION("""COMPUTED_VALUE"""),"N")</f>
        <v>N</v>
      </c>
      <c r="H182" s="3" t="str">
        <f>IFERROR(__xludf.DUMMYFUNCTION("""COMPUTED_VALUE"""),"N")</f>
        <v>N</v>
      </c>
      <c r="I182" s="3" t="str">
        <f>IFERROR(__xludf.DUMMYFUNCTION("""COMPUTED_VALUE"""),"N")</f>
        <v>N</v>
      </c>
      <c r="J182" s="3" t="str">
        <f>IFERROR(__xludf.DUMMYFUNCTION("""COMPUTED_VALUE"""),"N")</f>
        <v>N</v>
      </c>
      <c r="K182" s="3" t="str">
        <f>IFERROR(__xludf.DUMMYFUNCTION("""COMPUTED_VALUE"""),"N")</f>
        <v>N</v>
      </c>
      <c r="L182" s="3" t="str">
        <f>IFERROR(__xludf.DUMMYFUNCTION("""COMPUTED_VALUE"""),"N")</f>
        <v>N</v>
      </c>
      <c r="M182" s="3" t="str">
        <f>IFERROR(__xludf.DUMMYFUNCTION("""COMPUTED_VALUE"""),"N")</f>
        <v>N</v>
      </c>
      <c r="N182" s="3" t="str">
        <f>IFERROR(__xludf.DUMMYFUNCTION("""COMPUTED_VALUE"""),"N")</f>
        <v>N</v>
      </c>
      <c r="O182" s="3" t="str">
        <f>IFERROR(__xludf.DUMMYFUNCTION("""COMPUTED_VALUE"""),"none")</f>
        <v>none</v>
      </c>
    </row>
    <row r="183">
      <c r="A183" s="2" t="str">
        <f>IFERROR(__xludf.DUMMYFUNCTION("""COMPUTED_VALUE"""),"4395")</f>
        <v>4395</v>
      </c>
      <c r="B183" s="2" t="str">
        <f>IFERROR(__xludf.DUMMYFUNCTION("""COMPUTED_VALUE"""),"GUARDIAN ANGELS CHURCH")</f>
        <v>GUARDIAN ANGELS CHURCH</v>
      </c>
      <c r="C183" s="2" t="str">
        <f>IFERROR(__xludf.DUMMYFUNCTION("""COMPUTED_VALUE"""),"Other")</f>
        <v>Other</v>
      </c>
      <c r="D183" s="3">
        <f>IFERROR(__xludf.DUMMYFUNCTION("""COMPUTED_VALUE"""),1.0)</f>
        <v>1</v>
      </c>
      <c r="E183" s="3" t="str">
        <f>IFERROR(__xludf.DUMMYFUNCTION("""COMPUTED_VALUE"""),"Y")</f>
        <v>Y</v>
      </c>
      <c r="F183" s="3" t="str">
        <f>IFERROR(__xludf.DUMMYFUNCTION("""COMPUTED_VALUE"""),"Y")</f>
        <v>Y</v>
      </c>
      <c r="G183" s="3" t="str">
        <f>IFERROR(__xludf.DUMMYFUNCTION("""COMPUTED_VALUE"""),"N")</f>
        <v>N</v>
      </c>
      <c r="H183" s="3" t="str">
        <f>IFERROR(__xludf.DUMMYFUNCTION("""COMPUTED_VALUE"""),"Y")</f>
        <v>Y</v>
      </c>
      <c r="I183" s="3" t="str">
        <f>IFERROR(__xludf.DUMMYFUNCTION("""COMPUTED_VALUE"""),"N")</f>
        <v>N</v>
      </c>
      <c r="J183" s="3" t="str">
        <f>IFERROR(__xludf.DUMMYFUNCTION("""COMPUTED_VALUE"""),"N")</f>
        <v>N</v>
      </c>
      <c r="K183" s="3" t="str">
        <f>IFERROR(__xludf.DUMMYFUNCTION("""COMPUTED_VALUE"""),"Not eligibile")</f>
        <v>Not eligibile</v>
      </c>
      <c r="L183" s="3" t="str">
        <f>IFERROR(__xludf.DUMMYFUNCTION("""COMPUTED_VALUE"""),"Districtwide")</f>
        <v>Districtwide</v>
      </c>
      <c r="M183" s="3" t="str">
        <f>IFERROR(__xludf.DUMMYFUNCTION("""COMPUTED_VALUE"""),"N")</f>
        <v>N</v>
      </c>
      <c r="N183" s="3" t="str">
        <f>IFERROR(__xludf.DUMMYFUNCTION("""COMPUTED_VALUE"""),"N")</f>
        <v>N</v>
      </c>
      <c r="O183" s="3" t="str">
        <f>IFERROR(__xludf.DUMMYFUNCTION("""COMPUTED_VALUE"""),"none")</f>
        <v>none</v>
      </c>
    </row>
    <row r="184">
      <c r="A184" s="2" t="str">
        <f>IFERROR(__xludf.DUMMYFUNCTION("""COMPUTED_VALUE"""),"4604")</f>
        <v>4604</v>
      </c>
      <c r="B184" s="2" t="str">
        <f>IFERROR(__xludf.DUMMYFUNCTION("""COMPUTED_VALUE"""),"ST. MARY SCHOOL")</f>
        <v>ST. MARY SCHOOL</v>
      </c>
      <c r="C184" s="2" t="str">
        <f>IFERROR(__xludf.DUMMYFUNCTION("""COMPUTED_VALUE"""),"Other")</f>
        <v>Other</v>
      </c>
      <c r="D184" s="3">
        <f>IFERROR(__xludf.DUMMYFUNCTION("""COMPUTED_VALUE"""),1.0)</f>
        <v>1</v>
      </c>
      <c r="E184" s="3" t="str">
        <f>IFERROR(__xludf.DUMMYFUNCTION("""COMPUTED_VALUE"""),"N")</f>
        <v>N</v>
      </c>
      <c r="F184" s="3" t="str">
        <f>IFERROR(__xludf.DUMMYFUNCTION("""COMPUTED_VALUE"""),"N")</f>
        <v>N</v>
      </c>
      <c r="G184" s="3" t="str">
        <f>IFERROR(__xludf.DUMMYFUNCTION("""COMPUTED_VALUE"""),"Milk only")</f>
        <v>Milk only</v>
      </c>
      <c r="H184" s="3" t="str">
        <f>IFERROR(__xludf.DUMMYFUNCTION("""COMPUTED_VALUE"""),"N")</f>
        <v>N</v>
      </c>
      <c r="I184" s="3" t="str">
        <f>IFERROR(__xludf.DUMMYFUNCTION("""COMPUTED_VALUE"""),"N")</f>
        <v>N</v>
      </c>
      <c r="J184" s="3" t="str">
        <f>IFERROR(__xludf.DUMMYFUNCTION("""COMPUTED_VALUE"""),"N")</f>
        <v>N</v>
      </c>
      <c r="K184" s="3" t="str">
        <f>IFERROR(__xludf.DUMMYFUNCTION("""COMPUTED_VALUE"""),"Not eligibile")</f>
        <v>Not eligibile</v>
      </c>
      <c r="L184" s="3" t="str">
        <f>IFERROR(__xludf.DUMMYFUNCTION("""COMPUTED_VALUE"""),"N")</f>
        <v>N</v>
      </c>
      <c r="M184" s="3" t="str">
        <f>IFERROR(__xludf.DUMMYFUNCTION("""COMPUTED_VALUE"""),"N")</f>
        <v>N</v>
      </c>
      <c r="N184" s="3" t="str">
        <f>IFERROR(__xludf.DUMMYFUNCTION("""COMPUTED_VALUE"""),"N")</f>
        <v>N</v>
      </c>
      <c r="O184" s="3" t="str">
        <f>IFERROR(__xludf.DUMMYFUNCTION("""COMPUTED_VALUE"""),"none")</f>
        <v>none</v>
      </c>
    </row>
    <row r="185">
      <c r="A185" s="2" t="str">
        <f>IFERROR(__xludf.DUMMYFUNCTION("""COMPUTED_VALUE"""),"4634")</f>
        <v>4634</v>
      </c>
      <c r="B185" s="2" t="str">
        <f>IFERROR(__xludf.DUMMYFUNCTION("""COMPUTED_VALUE"""),"ST. THERESE SCHOOL")</f>
        <v>ST. THERESE SCHOOL</v>
      </c>
      <c r="C185" s="2" t="str">
        <f>IFERROR(__xludf.DUMMYFUNCTION("""COMPUTED_VALUE"""),"Other")</f>
        <v>Other</v>
      </c>
      <c r="D185" s="3">
        <f>IFERROR(__xludf.DUMMYFUNCTION("""COMPUTED_VALUE"""),1.0)</f>
        <v>1</v>
      </c>
      <c r="E185" s="3" t="str">
        <f>IFERROR(__xludf.DUMMYFUNCTION("""COMPUTED_VALUE"""),"N")</f>
        <v>N</v>
      </c>
      <c r="F185" s="3" t="str">
        <f>IFERROR(__xludf.DUMMYFUNCTION("""COMPUTED_VALUE"""),"Y")</f>
        <v>Y</v>
      </c>
      <c r="G185" s="3" t="str">
        <f>IFERROR(__xludf.DUMMYFUNCTION("""COMPUTED_VALUE"""),"N")</f>
        <v>N</v>
      </c>
      <c r="H185" s="3" t="str">
        <f>IFERROR(__xludf.DUMMYFUNCTION("""COMPUTED_VALUE"""),"N")</f>
        <v>N</v>
      </c>
      <c r="I185" s="3" t="str">
        <f>IFERROR(__xludf.DUMMYFUNCTION("""COMPUTED_VALUE"""),"N")</f>
        <v>N</v>
      </c>
      <c r="J185" s="3" t="str">
        <f>IFERROR(__xludf.DUMMYFUNCTION("""COMPUTED_VALUE"""),"N")</f>
        <v>N</v>
      </c>
      <c r="K185" s="3" t="str">
        <f>IFERROR(__xludf.DUMMYFUNCTION("""COMPUTED_VALUE"""),"Not eligibile")</f>
        <v>Not eligibile</v>
      </c>
      <c r="L185" s="3" t="str">
        <f>IFERROR(__xludf.DUMMYFUNCTION("""COMPUTED_VALUE"""),"N")</f>
        <v>N</v>
      </c>
      <c r="M185" s="3" t="str">
        <f>IFERROR(__xludf.DUMMYFUNCTION("""COMPUTED_VALUE"""),"N")</f>
        <v>N</v>
      </c>
      <c r="N185" s="3" t="str">
        <f>IFERROR(__xludf.DUMMYFUNCTION("""COMPUTED_VALUE"""),"N")</f>
        <v>N</v>
      </c>
      <c r="O185" s="3" t="str">
        <f>IFERROR(__xludf.DUMMYFUNCTION("""COMPUTED_VALUE"""),"none")</f>
        <v>none</v>
      </c>
    </row>
    <row r="186">
      <c r="A186" s="2" t="str">
        <f>IFERROR(__xludf.DUMMYFUNCTION("""COMPUTED_VALUE"""),"5230")</f>
        <v>5230</v>
      </c>
      <c r="B186" s="2" t="str">
        <f>IFERROR(__xludf.DUMMYFUNCTION("""COMPUTED_VALUE"""),"Landmark Baptist School")</f>
        <v>Landmark Baptist School</v>
      </c>
      <c r="C186" s="2" t="str">
        <f>IFERROR(__xludf.DUMMYFUNCTION("""COMPUTED_VALUE"""),"Private")</f>
        <v>Private</v>
      </c>
      <c r="D186" s="3">
        <f>IFERROR(__xludf.DUMMYFUNCTION("""COMPUTED_VALUE"""),1.0)</f>
        <v>1</v>
      </c>
      <c r="E186" s="3" t="str">
        <f>IFERROR(__xludf.DUMMYFUNCTION("""COMPUTED_VALUE"""),"Y")</f>
        <v>Y</v>
      </c>
      <c r="F186" s="3" t="str">
        <f>IFERROR(__xludf.DUMMYFUNCTION("""COMPUTED_VALUE"""),"Y")</f>
        <v>Y</v>
      </c>
      <c r="G186" s="3" t="str">
        <f>IFERROR(__xludf.DUMMYFUNCTION("""COMPUTED_VALUE"""),"N")</f>
        <v>N</v>
      </c>
      <c r="H186" s="3" t="str">
        <f>IFERROR(__xludf.DUMMYFUNCTION("""COMPUTED_VALUE"""),"N")</f>
        <v>N</v>
      </c>
      <c r="I186" s="3" t="str">
        <f>IFERROR(__xludf.DUMMYFUNCTION("""COMPUTED_VALUE"""),"Y")</f>
        <v>Y</v>
      </c>
      <c r="J186" s="3" t="str">
        <f>IFERROR(__xludf.DUMMYFUNCTION("""COMPUTED_VALUE"""),"N")</f>
        <v>N</v>
      </c>
      <c r="K186" s="3" t="str">
        <f>IFERROR(__xludf.DUMMYFUNCTION("""COMPUTED_VALUE"""),"Not eligibile")</f>
        <v>Not eligibile</v>
      </c>
      <c r="L186" s="3" t="str">
        <f>IFERROR(__xludf.DUMMYFUNCTION("""COMPUTED_VALUE"""),"Districtwide")</f>
        <v>Districtwide</v>
      </c>
      <c r="M186" s="3" t="str">
        <f>IFERROR(__xludf.DUMMYFUNCTION("""COMPUTED_VALUE"""),"N")</f>
        <v>N</v>
      </c>
      <c r="N186" s="3" t="str">
        <f>IFERROR(__xludf.DUMMYFUNCTION("""COMPUTED_VALUE"""),"N")</f>
        <v>N</v>
      </c>
      <c r="O186" s="3" t="str">
        <f>IFERROR(__xludf.DUMMYFUNCTION("""COMPUTED_VALUE"""),"none")</f>
        <v>none</v>
      </c>
    </row>
    <row r="187">
      <c r="A187" s="2" t="str">
        <f>IFERROR(__xludf.DUMMYFUNCTION("""COMPUTED_VALUE"""),"5658")</f>
        <v>5658</v>
      </c>
      <c r="B187" s="2" t="str">
        <f>IFERROR(__xludf.DUMMYFUNCTION("""COMPUTED_VALUE"""),"Maslow Academy Of Applied Learning Inc.")</f>
        <v>Maslow Academy Of Applied Learning Inc.</v>
      </c>
      <c r="C187" s="2" t="str">
        <f>IFERROR(__xludf.DUMMYFUNCTION("""COMPUTED_VALUE"""),"Other")</f>
        <v>Other</v>
      </c>
      <c r="D187" s="3">
        <f>IFERROR(__xludf.DUMMYFUNCTION("""COMPUTED_VALUE"""),1.0)</f>
        <v>1</v>
      </c>
      <c r="E187" s="3" t="str">
        <f>IFERROR(__xludf.DUMMYFUNCTION("""COMPUTED_VALUE"""),"Y")</f>
        <v>Y</v>
      </c>
      <c r="F187" s="3" t="str">
        <f>IFERROR(__xludf.DUMMYFUNCTION("""COMPUTED_VALUE"""),"Y")</f>
        <v>Y</v>
      </c>
      <c r="G187" s="3" t="str">
        <f>IFERROR(__xludf.DUMMYFUNCTION("""COMPUTED_VALUE"""),"N")</f>
        <v>N</v>
      </c>
      <c r="H187" s="3" t="str">
        <f>IFERROR(__xludf.DUMMYFUNCTION("""COMPUTED_VALUE"""),"N")</f>
        <v>N</v>
      </c>
      <c r="I187" s="3" t="str">
        <f>IFERROR(__xludf.DUMMYFUNCTION("""COMPUTED_VALUE"""),"N")</f>
        <v>N</v>
      </c>
      <c r="J187" s="3" t="str">
        <f>IFERROR(__xludf.DUMMYFUNCTION("""COMPUTED_VALUE"""),"N")</f>
        <v>N</v>
      </c>
      <c r="K187" s="3" t="str">
        <f>IFERROR(__xludf.DUMMYFUNCTION("""COMPUTED_VALUE"""),"Not eligibile")</f>
        <v>Not eligibile</v>
      </c>
      <c r="L187" s="3" t="str">
        <f>IFERROR(__xludf.DUMMYFUNCTION("""COMPUTED_VALUE"""),"N")</f>
        <v>N</v>
      </c>
      <c r="M187" s="3" t="str">
        <f>IFERROR(__xludf.DUMMYFUNCTION("""COMPUTED_VALUE"""),"N")</f>
        <v>N</v>
      </c>
      <c r="N187" s="3" t="str">
        <f>IFERROR(__xludf.DUMMYFUNCTION("""COMPUTED_VALUE"""),"N")</f>
        <v>N</v>
      </c>
      <c r="O187" s="3" t="str">
        <f>IFERROR(__xludf.DUMMYFUNCTION("""COMPUTED_VALUE"""),"none")</f>
        <v>none</v>
      </c>
    </row>
    <row r="188">
      <c r="A188" s="2" t="str">
        <f>IFERROR(__xludf.DUMMYFUNCTION("""COMPUTED_VALUE"""),"6022")</f>
        <v>6022</v>
      </c>
      <c r="B188" s="2" t="str">
        <f>IFERROR(__xludf.DUMMYFUNCTION("""COMPUTED_VALUE"""),"ALTERNATIVE HOMES FOR YOUTH")</f>
        <v>ALTERNATIVE HOMES FOR YOUTH</v>
      </c>
      <c r="C188" s="2" t="str">
        <f>IFERROR(__xludf.DUMMYFUNCTION("""COMPUTED_VALUE"""),"RCCI")</f>
        <v>RCCI</v>
      </c>
      <c r="D188" s="3">
        <f>IFERROR(__xludf.DUMMYFUNCTION("""COMPUTED_VALUE"""),1.0)</f>
        <v>1</v>
      </c>
      <c r="E188" s="3" t="str">
        <f>IFERROR(__xludf.DUMMYFUNCTION("""COMPUTED_VALUE"""),"Y")</f>
        <v>Y</v>
      </c>
      <c r="F188" s="3" t="str">
        <f>IFERROR(__xludf.DUMMYFUNCTION("""COMPUTED_VALUE"""),"Y")</f>
        <v>Y</v>
      </c>
      <c r="G188" s="3" t="str">
        <f>IFERROR(__xludf.DUMMYFUNCTION("""COMPUTED_VALUE"""),"N")</f>
        <v>N</v>
      </c>
      <c r="H188" s="3" t="str">
        <f>IFERROR(__xludf.DUMMYFUNCTION("""COMPUTED_VALUE"""),"Y")</f>
        <v>Y</v>
      </c>
      <c r="I188" s="3" t="str">
        <f>IFERROR(__xludf.DUMMYFUNCTION("""COMPUTED_VALUE"""),"N")</f>
        <v>N</v>
      </c>
      <c r="J188" s="3" t="str">
        <f>IFERROR(__xludf.DUMMYFUNCTION("""COMPUTED_VALUE"""),"N")</f>
        <v>N</v>
      </c>
      <c r="K188" s="3" t="str">
        <f>IFERROR(__xludf.DUMMYFUNCTION("""COMPUTED_VALUE"""),"Y")</f>
        <v>Y</v>
      </c>
      <c r="L188" s="3" t="str">
        <f>IFERROR(__xludf.DUMMYFUNCTION("""COMPUTED_VALUE"""),"N")</f>
        <v>N</v>
      </c>
      <c r="M188" s="3" t="str">
        <f>IFERROR(__xludf.DUMMYFUNCTION("""COMPUTED_VALUE"""),"N")</f>
        <v>N</v>
      </c>
      <c r="N188" s="3" t="str">
        <f>IFERROR(__xludf.DUMMYFUNCTION("""COMPUTED_VALUE"""),"N")</f>
        <v>N</v>
      </c>
      <c r="O188" s="3" t="str">
        <f>IFERROR(__xludf.DUMMYFUNCTION("""COMPUTED_VALUE"""),"none")</f>
        <v>none</v>
      </c>
    </row>
    <row r="189">
      <c r="A189" s="2" t="str">
        <f>IFERROR(__xludf.DUMMYFUNCTION("""COMPUTED_VALUE"""),"6023")</f>
        <v>6023</v>
      </c>
      <c r="B189" s="2" t="str">
        <f>IFERROR(__xludf.DUMMYFUNCTION("""COMPUTED_VALUE"""),"GATEWAY YOUTH &amp; FAMILY SERVICES")</f>
        <v>GATEWAY YOUTH &amp; FAMILY SERVICES</v>
      </c>
      <c r="C189" s="2" t="str">
        <f>IFERROR(__xludf.DUMMYFUNCTION("""COMPUTED_VALUE"""),"RCCI")</f>
        <v>RCCI</v>
      </c>
      <c r="D189" s="3">
        <f>IFERROR(__xludf.DUMMYFUNCTION("""COMPUTED_VALUE"""),1.0)</f>
        <v>1</v>
      </c>
      <c r="E189" s="3" t="str">
        <f>IFERROR(__xludf.DUMMYFUNCTION("""COMPUTED_VALUE"""),"Y")</f>
        <v>Y</v>
      </c>
      <c r="F189" s="3" t="str">
        <f>IFERROR(__xludf.DUMMYFUNCTION("""COMPUTED_VALUE"""),"Y")</f>
        <v>Y</v>
      </c>
      <c r="G189" s="3" t="str">
        <f>IFERROR(__xludf.DUMMYFUNCTION("""COMPUTED_VALUE"""),"N")</f>
        <v>N</v>
      </c>
      <c r="H189" s="3" t="str">
        <f>IFERROR(__xludf.DUMMYFUNCTION("""COMPUTED_VALUE"""),"Y")</f>
        <v>Y</v>
      </c>
      <c r="I189" s="3" t="str">
        <f>IFERROR(__xludf.DUMMYFUNCTION("""COMPUTED_VALUE"""),"N")</f>
        <v>N</v>
      </c>
      <c r="J189" s="3" t="str">
        <f>IFERROR(__xludf.DUMMYFUNCTION("""COMPUTED_VALUE"""),"N")</f>
        <v>N</v>
      </c>
      <c r="K189" s="3" t="str">
        <f>IFERROR(__xludf.DUMMYFUNCTION("""COMPUTED_VALUE"""),"Y")</f>
        <v>Y</v>
      </c>
      <c r="L189" s="3" t="str">
        <f>IFERROR(__xludf.DUMMYFUNCTION("""COMPUTED_VALUE"""),"N")</f>
        <v>N</v>
      </c>
      <c r="M189" s="3" t="str">
        <f>IFERROR(__xludf.DUMMYFUNCTION("""COMPUTED_VALUE"""),"N")</f>
        <v>N</v>
      </c>
      <c r="N189" s="3" t="str">
        <f>IFERROR(__xludf.DUMMYFUNCTION("""COMPUTED_VALUE"""),"N")</f>
        <v>N</v>
      </c>
      <c r="O189" s="3" t="str">
        <f>IFERROR(__xludf.DUMMYFUNCTION("""COMPUTED_VALUE"""),"none")</f>
        <v>none</v>
      </c>
    </row>
    <row r="190">
      <c r="A190" s="2" t="str">
        <f>IFERROR(__xludf.DUMMYFUNCTION("""COMPUTED_VALUE"""),"6063")</f>
        <v>6063</v>
      </c>
      <c r="B190" s="2" t="str">
        <f>IFERROR(__xludf.DUMMYFUNCTION("""COMPUTED_VALUE"""),"TENNYSON CENTER")</f>
        <v>TENNYSON CENTER</v>
      </c>
      <c r="C190" s="2" t="str">
        <f>IFERROR(__xludf.DUMMYFUNCTION("""COMPUTED_VALUE"""),"Public")</f>
        <v>Public</v>
      </c>
      <c r="D190" s="3">
        <f>IFERROR(__xludf.DUMMYFUNCTION("""COMPUTED_VALUE"""),1.0)</f>
        <v>1</v>
      </c>
      <c r="E190" s="3" t="str">
        <f>IFERROR(__xludf.DUMMYFUNCTION("""COMPUTED_VALUE"""),"Y")</f>
        <v>Y</v>
      </c>
      <c r="F190" s="3" t="str">
        <f>IFERROR(__xludf.DUMMYFUNCTION("""COMPUTED_VALUE"""),"Y")</f>
        <v>Y</v>
      </c>
      <c r="G190" s="3" t="str">
        <f>IFERROR(__xludf.DUMMYFUNCTION("""COMPUTED_VALUE"""),"N")</f>
        <v>N</v>
      </c>
      <c r="H190" s="3" t="str">
        <f>IFERROR(__xludf.DUMMYFUNCTION("""COMPUTED_VALUE"""),"N")</f>
        <v>N</v>
      </c>
      <c r="I190" s="3" t="str">
        <f>IFERROR(__xludf.DUMMYFUNCTION("""COMPUTED_VALUE"""),"N")</f>
        <v>N</v>
      </c>
      <c r="J190" s="3" t="str">
        <f>IFERROR(__xludf.DUMMYFUNCTION("""COMPUTED_VALUE"""),"N")</f>
        <v>N</v>
      </c>
      <c r="K190" s="3" t="str">
        <f>IFERROR(__xludf.DUMMYFUNCTION("""COMPUTED_VALUE"""),"Y")</f>
        <v>Y</v>
      </c>
      <c r="L190" s="3" t="str">
        <f>IFERROR(__xludf.DUMMYFUNCTION("""COMPUTED_VALUE"""),"Districtwide")</f>
        <v>Districtwide</v>
      </c>
      <c r="M190" s="3" t="str">
        <f>IFERROR(__xludf.DUMMYFUNCTION("""COMPUTED_VALUE"""),"N")</f>
        <v>N</v>
      </c>
      <c r="N190" s="3" t="str">
        <f>IFERROR(__xludf.DUMMYFUNCTION("""COMPUTED_VALUE"""),"N")</f>
        <v>N</v>
      </c>
      <c r="O190" s="3" t="str">
        <f>IFERROR(__xludf.DUMMYFUNCTION("""COMPUTED_VALUE"""),"none")</f>
        <v>none</v>
      </c>
    </row>
    <row r="191">
      <c r="A191" s="2" t="str">
        <f>IFERROR(__xludf.DUMMYFUNCTION("""COMPUTED_VALUE"""),"6107")</f>
        <v>6107</v>
      </c>
      <c r="B191" s="2" t="str">
        <f>IFERROR(__xludf.DUMMYFUNCTION("""COMPUTED_VALUE"""),"MORGRIDGE ACADEMY")</f>
        <v>MORGRIDGE ACADEMY</v>
      </c>
      <c r="C191" s="2" t="str">
        <f>IFERROR(__xludf.DUMMYFUNCTION("""COMPUTED_VALUE"""),"Other")</f>
        <v>Other</v>
      </c>
      <c r="D191" s="3">
        <f>IFERROR(__xludf.DUMMYFUNCTION("""COMPUTED_VALUE"""),1.0)</f>
        <v>1</v>
      </c>
      <c r="E191" s="3" t="str">
        <f>IFERROR(__xludf.DUMMYFUNCTION("""COMPUTED_VALUE"""),"Y")</f>
        <v>Y</v>
      </c>
      <c r="F191" s="3" t="str">
        <f>IFERROR(__xludf.DUMMYFUNCTION("""COMPUTED_VALUE"""),"Y")</f>
        <v>Y</v>
      </c>
      <c r="G191" s="3" t="str">
        <f>IFERROR(__xludf.DUMMYFUNCTION("""COMPUTED_VALUE"""),"N")</f>
        <v>N</v>
      </c>
      <c r="H191" s="3" t="str">
        <f>IFERROR(__xludf.DUMMYFUNCTION("""COMPUTED_VALUE"""),"N")</f>
        <v>N</v>
      </c>
      <c r="I191" s="3" t="str">
        <f>IFERROR(__xludf.DUMMYFUNCTION("""COMPUTED_VALUE"""),"N")</f>
        <v>N</v>
      </c>
      <c r="J191" s="3" t="str">
        <f>IFERROR(__xludf.DUMMYFUNCTION("""COMPUTED_VALUE"""),"N")</f>
        <v>N</v>
      </c>
      <c r="K191" s="3" t="str">
        <f>IFERROR(__xludf.DUMMYFUNCTION("""COMPUTED_VALUE"""),"Y")</f>
        <v>Y</v>
      </c>
      <c r="L191" s="3" t="str">
        <f>IFERROR(__xludf.DUMMYFUNCTION("""COMPUTED_VALUE"""),"Districtwide")</f>
        <v>Districtwide</v>
      </c>
      <c r="M191" s="3" t="str">
        <f>IFERROR(__xludf.DUMMYFUNCTION("""COMPUTED_VALUE"""),"N")</f>
        <v>N</v>
      </c>
      <c r="N191" s="3" t="str">
        <f>IFERROR(__xludf.DUMMYFUNCTION("""COMPUTED_VALUE"""),"N")</f>
        <v>N</v>
      </c>
      <c r="O191" s="3" t="str">
        <f>IFERROR(__xludf.DUMMYFUNCTION("""COMPUTED_VALUE"""),"none")</f>
        <v>none</v>
      </c>
    </row>
    <row r="192">
      <c r="A192" s="2" t="str">
        <f>IFERROR(__xludf.DUMMYFUNCTION("""COMPUTED_VALUE"""),"6204")</f>
        <v>6204</v>
      </c>
      <c r="B192" s="2" t="str">
        <f>IFERROR(__xludf.DUMMYFUNCTION("""COMPUTED_VALUE"""),"SHILOH HOUSE")</f>
        <v>SHILOH HOUSE</v>
      </c>
      <c r="C192" s="2" t="str">
        <f>IFERROR(__xludf.DUMMYFUNCTION("""COMPUTED_VALUE"""),"RCCI")</f>
        <v>RCCI</v>
      </c>
      <c r="D192" s="3">
        <f>IFERROR(__xludf.DUMMYFUNCTION("""COMPUTED_VALUE"""),6.0)</f>
        <v>6</v>
      </c>
      <c r="E192" s="3" t="str">
        <f>IFERROR(__xludf.DUMMYFUNCTION("""COMPUTED_VALUE"""),"Y")</f>
        <v>Y</v>
      </c>
      <c r="F192" s="3" t="str">
        <f>IFERROR(__xludf.DUMMYFUNCTION("""COMPUTED_VALUE"""),"Y")</f>
        <v>Y</v>
      </c>
      <c r="G192" s="3" t="str">
        <f>IFERROR(__xludf.DUMMYFUNCTION("""COMPUTED_VALUE"""),"N")</f>
        <v>N</v>
      </c>
      <c r="H192" s="3" t="str">
        <f>IFERROR(__xludf.DUMMYFUNCTION("""COMPUTED_VALUE"""),"Y")</f>
        <v>Y</v>
      </c>
      <c r="I192" s="3" t="str">
        <f>IFERROR(__xludf.DUMMYFUNCTION("""COMPUTED_VALUE"""),"N")</f>
        <v>N</v>
      </c>
      <c r="J192" s="3" t="str">
        <f>IFERROR(__xludf.DUMMYFUNCTION("""COMPUTED_VALUE"""),"N")</f>
        <v>N</v>
      </c>
      <c r="K192" s="3" t="str">
        <f>IFERROR(__xludf.DUMMYFUNCTION("""COMPUTED_VALUE"""),"N")</f>
        <v>N</v>
      </c>
      <c r="L192" s="3" t="str">
        <f>IFERROR(__xludf.DUMMYFUNCTION("""COMPUTED_VALUE"""),"N")</f>
        <v>N</v>
      </c>
      <c r="M192" s="3" t="str">
        <f>IFERROR(__xludf.DUMMYFUNCTION("""COMPUTED_VALUE"""),"N")</f>
        <v>N</v>
      </c>
      <c r="N192" s="3" t="str">
        <f>IFERROR(__xludf.DUMMYFUNCTION("""COMPUTED_VALUE"""),"N")</f>
        <v>N</v>
      </c>
      <c r="O192" s="3" t="str">
        <f>IFERROR(__xludf.DUMMYFUNCTION("""COMPUTED_VALUE"""),"none")</f>
        <v>none</v>
      </c>
    </row>
    <row r="193">
      <c r="A193" s="2" t="str">
        <f>IFERROR(__xludf.DUMMYFUNCTION("""COMPUTED_VALUE"""),"6416")</f>
        <v>6416</v>
      </c>
      <c r="B193" s="2" t="str">
        <f>IFERROR(__xludf.DUMMYFUNCTION("""COMPUTED_VALUE"""),"THIRD WAY CENTER")</f>
        <v>THIRD WAY CENTER</v>
      </c>
      <c r="C193" s="2" t="str">
        <f>IFERROR(__xludf.DUMMYFUNCTION("""COMPUTED_VALUE"""),"RCCI")</f>
        <v>RCCI</v>
      </c>
      <c r="D193" s="3">
        <f>IFERROR(__xludf.DUMMYFUNCTION("""COMPUTED_VALUE"""),5.0)</f>
        <v>5</v>
      </c>
      <c r="E193" s="3" t="str">
        <f>IFERROR(__xludf.DUMMYFUNCTION("""COMPUTED_VALUE"""),"Y")</f>
        <v>Y</v>
      </c>
      <c r="F193" s="3" t="str">
        <f>IFERROR(__xludf.DUMMYFUNCTION("""COMPUTED_VALUE"""),"Y")</f>
        <v>Y</v>
      </c>
      <c r="G193" s="3" t="str">
        <f>IFERROR(__xludf.DUMMYFUNCTION("""COMPUTED_VALUE"""),"N")</f>
        <v>N</v>
      </c>
      <c r="H193" s="3" t="str">
        <f>IFERROR(__xludf.DUMMYFUNCTION("""COMPUTED_VALUE"""),"N")</f>
        <v>N</v>
      </c>
      <c r="I193" s="3" t="str">
        <f>IFERROR(__xludf.DUMMYFUNCTION("""COMPUTED_VALUE"""),"N")</f>
        <v>N</v>
      </c>
      <c r="J193" s="3" t="str">
        <f>IFERROR(__xludf.DUMMYFUNCTION("""COMPUTED_VALUE"""),"N")</f>
        <v>N</v>
      </c>
      <c r="K193" s="3" t="str">
        <f>IFERROR(__xludf.DUMMYFUNCTION("""COMPUTED_VALUE"""),"Y")</f>
        <v>Y</v>
      </c>
      <c r="L193" s="3" t="str">
        <f>IFERROR(__xludf.DUMMYFUNCTION("""COMPUTED_VALUE"""),"N")</f>
        <v>N</v>
      </c>
      <c r="M193" s="3" t="str">
        <f>IFERROR(__xludf.DUMMYFUNCTION("""COMPUTED_VALUE"""),"N")</f>
        <v>N</v>
      </c>
      <c r="N193" s="3" t="str">
        <f>IFERROR(__xludf.DUMMYFUNCTION("""COMPUTED_VALUE"""),"N")</f>
        <v>N</v>
      </c>
      <c r="O193" s="3" t="str">
        <f>IFERROR(__xludf.DUMMYFUNCTION("""COMPUTED_VALUE"""),"none")</f>
        <v>none</v>
      </c>
    </row>
    <row r="194">
      <c r="A194" s="2" t="str">
        <f>IFERROR(__xludf.DUMMYFUNCTION("""COMPUTED_VALUE"""),"8001")</f>
        <v>8001</v>
      </c>
      <c r="B194" s="2" t="str">
        <f>IFERROR(__xludf.DUMMYFUNCTION("""COMPUTED_VALUE"""),"State of Colorado, Charter School Institute")</f>
        <v>State of Colorado, Charter School Institute</v>
      </c>
      <c r="C194" s="2" t="str">
        <f>IFERROR(__xludf.DUMMYFUNCTION("""COMPUTED_VALUE"""),"Charter")</f>
        <v>Charter</v>
      </c>
      <c r="D194" s="3">
        <f>IFERROR(__xludf.DUMMYFUNCTION("""COMPUTED_VALUE"""),32.0)</f>
        <v>32</v>
      </c>
      <c r="E194" s="3" t="str">
        <f>IFERROR(__xludf.DUMMYFUNCTION("""COMPUTED_VALUE"""),"Y")</f>
        <v>Y</v>
      </c>
      <c r="F194" s="3" t="str">
        <f>IFERROR(__xludf.DUMMYFUNCTION("""COMPUTED_VALUE"""),"Y")</f>
        <v>Y</v>
      </c>
      <c r="G194" s="3" t="str">
        <f>IFERROR(__xludf.DUMMYFUNCTION("""COMPUTED_VALUE"""),"N")</f>
        <v>N</v>
      </c>
      <c r="H194" s="3" t="str">
        <f>IFERROR(__xludf.DUMMYFUNCTION("""COMPUTED_VALUE"""),"Y")</f>
        <v>Y</v>
      </c>
      <c r="I194" s="3" t="str">
        <f>IFERROR(__xludf.DUMMYFUNCTION("""COMPUTED_VALUE"""),"Y")</f>
        <v>Y</v>
      </c>
      <c r="J194" s="3" t="str">
        <f>IFERROR(__xludf.DUMMYFUNCTION("""COMPUTED_VALUE"""),"Y")</f>
        <v>Y</v>
      </c>
      <c r="K194" s="3" t="str">
        <f>IFERROR(__xludf.DUMMYFUNCTION("""COMPUTED_VALUE"""),"Y")</f>
        <v>Y</v>
      </c>
      <c r="L194" s="3" t="str">
        <f>IFERROR(__xludf.DUMMYFUNCTION("""COMPUTED_VALUE"""),"Y")</f>
        <v>Y</v>
      </c>
      <c r="M194" s="3" t="str">
        <f>IFERROR(__xludf.DUMMYFUNCTION("""COMPUTED_VALUE"""),"N")</f>
        <v>N</v>
      </c>
      <c r="N194" s="3" t="str">
        <f>IFERROR(__xludf.DUMMYFUNCTION("""COMPUTED_VALUE"""),"N")</f>
        <v>N</v>
      </c>
      <c r="O194" s="3" t="str">
        <f>IFERROR(__xludf.DUMMYFUNCTION("""COMPUTED_VALUE"""),"none")</f>
        <v>none</v>
      </c>
    </row>
    <row r="195">
      <c r="A195" s="2" t="str">
        <f>IFERROR(__xludf.DUMMYFUNCTION("""COMPUTED_VALUE"""),"8006")</f>
        <v>8006</v>
      </c>
      <c r="B195" s="2" t="str">
        <f>IFERROR(__xludf.DUMMYFUNCTION("""COMPUTED_VALUE"""),"PEAK TO PEAK CHARTER SFA")</f>
        <v>PEAK TO PEAK CHARTER SFA</v>
      </c>
      <c r="C195" s="2" t="str">
        <f>IFERROR(__xludf.DUMMYFUNCTION("""COMPUTED_VALUE"""),"Public")</f>
        <v>Public</v>
      </c>
      <c r="D195" s="3">
        <f>IFERROR(__xludf.DUMMYFUNCTION("""COMPUTED_VALUE"""),1.0)</f>
        <v>1</v>
      </c>
      <c r="E195" s="3" t="str">
        <f>IFERROR(__xludf.DUMMYFUNCTION("""COMPUTED_VALUE"""),"Y")</f>
        <v>Y</v>
      </c>
      <c r="F195" s="3" t="str">
        <f>IFERROR(__xludf.DUMMYFUNCTION("""COMPUTED_VALUE"""),"Y")</f>
        <v>Y</v>
      </c>
      <c r="G195" s="3" t="str">
        <f>IFERROR(__xludf.DUMMYFUNCTION("""COMPUTED_VALUE"""),"N")</f>
        <v>N</v>
      </c>
      <c r="H195" s="3" t="str">
        <f>IFERROR(__xludf.DUMMYFUNCTION("""COMPUTED_VALUE"""),"N")</f>
        <v>N</v>
      </c>
      <c r="I195" s="3" t="str">
        <f>IFERROR(__xludf.DUMMYFUNCTION("""COMPUTED_VALUE"""),"N")</f>
        <v>N</v>
      </c>
      <c r="J195" s="3" t="str">
        <f>IFERROR(__xludf.DUMMYFUNCTION("""COMPUTED_VALUE"""),"N")</f>
        <v>N</v>
      </c>
      <c r="K195" s="3" t="str">
        <f>IFERROR(__xludf.DUMMYFUNCTION("""COMPUTED_VALUE"""),"Y")</f>
        <v>Y</v>
      </c>
      <c r="L195" s="3" t="str">
        <f>IFERROR(__xludf.DUMMYFUNCTION("""COMPUTED_VALUE"""),"N")</f>
        <v>N</v>
      </c>
      <c r="M195" s="3" t="str">
        <f>IFERROR(__xludf.DUMMYFUNCTION("""COMPUTED_VALUE"""),"N")</f>
        <v>N</v>
      </c>
      <c r="N195" s="3" t="str">
        <f>IFERROR(__xludf.DUMMYFUNCTION("""COMPUTED_VALUE"""),"N")</f>
        <v>N</v>
      </c>
      <c r="O195" s="3" t="str">
        <f>IFERROR(__xludf.DUMMYFUNCTION("""COMPUTED_VALUE"""),"none")</f>
        <v>none</v>
      </c>
    </row>
    <row r="196">
      <c r="A196" s="2" t="str">
        <f>IFERROR(__xludf.DUMMYFUNCTION("""COMPUTED_VALUE"""),"8008")</f>
        <v>8008</v>
      </c>
      <c r="B196" s="2" t="str">
        <f>IFERROR(__xludf.DUMMYFUNCTION("""COMPUTED_VALUE"""),"HOPE Online")</f>
        <v>HOPE Online</v>
      </c>
      <c r="C196" s="2" t="str">
        <f>IFERROR(__xludf.DUMMYFUNCTION("""COMPUTED_VALUE"""),"Public")</f>
        <v>Public</v>
      </c>
      <c r="D196" s="3">
        <f>IFERROR(__xludf.DUMMYFUNCTION("""COMPUTED_VALUE"""),1.0)</f>
        <v>1</v>
      </c>
      <c r="E196" s="3" t="str">
        <f>IFERROR(__xludf.DUMMYFUNCTION("""COMPUTED_VALUE"""),"Y")</f>
        <v>Y</v>
      </c>
      <c r="F196" s="3" t="str">
        <f>IFERROR(__xludf.DUMMYFUNCTION("""COMPUTED_VALUE"""),"Y")</f>
        <v>Y</v>
      </c>
      <c r="G196" s="3" t="str">
        <f>IFERROR(__xludf.DUMMYFUNCTION("""COMPUTED_VALUE"""),"N")</f>
        <v>N</v>
      </c>
      <c r="H196" s="3" t="str">
        <f>IFERROR(__xludf.DUMMYFUNCTION("""COMPUTED_VALUE"""),"N")</f>
        <v>N</v>
      </c>
      <c r="I196" s="3" t="str">
        <f>IFERROR(__xludf.DUMMYFUNCTION("""COMPUTED_VALUE"""),"N")</f>
        <v>N</v>
      </c>
      <c r="J196" s="3" t="str">
        <f>IFERROR(__xludf.DUMMYFUNCTION("""COMPUTED_VALUE"""),"N")</f>
        <v>N</v>
      </c>
      <c r="K196" s="3" t="str">
        <f>IFERROR(__xludf.DUMMYFUNCTION("""COMPUTED_VALUE"""),"Y")</f>
        <v>Y</v>
      </c>
      <c r="L196" s="3" t="str">
        <f>IFERROR(__xludf.DUMMYFUNCTION("""COMPUTED_VALUE"""),"Districtwide")</f>
        <v>Districtwide</v>
      </c>
      <c r="M196" s="3" t="str">
        <f>IFERROR(__xludf.DUMMYFUNCTION("""COMPUTED_VALUE"""),"N")</f>
        <v>N</v>
      </c>
      <c r="N196" s="3" t="str">
        <f>IFERROR(__xludf.DUMMYFUNCTION("""COMPUTED_VALUE"""),"N")</f>
        <v>N</v>
      </c>
      <c r="O196" s="3" t="str">
        <f>IFERROR(__xludf.DUMMYFUNCTION("""COMPUTED_VALUE"""),"none")</f>
        <v>none</v>
      </c>
    </row>
    <row r="197">
      <c r="A197" s="2" t="str">
        <f>IFERROR(__xludf.DUMMYFUNCTION("""COMPUTED_VALUE"""),"8011")</f>
        <v>8011</v>
      </c>
      <c r="B197" s="2" t="str">
        <f>IFERROR(__xludf.DUMMYFUNCTION("""COMPUTED_VALUE"""),"Sky Ranch Academy")</f>
        <v>Sky Ranch Academy</v>
      </c>
      <c r="C197" s="2" t="str">
        <f>IFERROR(__xludf.DUMMYFUNCTION("""COMPUTED_VALUE"""),"Charter")</f>
        <v>Charter</v>
      </c>
      <c r="D197" s="3">
        <f>IFERROR(__xludf.DUMMYFUNCTION("""COMPUTED_VALUE"""),1.0)</f>
        <v>1</v>
      </c>
      <c r="E197" s="3" t="str">
        <f>IFERROR(__xludf.DUMMYFUNCTION("""COMPUTED_VALUE"""),"Y")</f>
        <v>Y</v>
      </c>
      <c r="F197" s="3" t="str">
        <f>IFERROR(__xludf.DUMMYFUNCTION("""COMPUTED_VALUE"""),"Y")</f>
        <v>Y</v>
      </c>
      <c r="G197" s="3" t="str">
        <f>IFERROR(__xludf.DUMMYFUNCTION("""COMPUTED_VALUE"""),"N")</f>
        <v>N</v>
      </c>
      <c r="H197" s="3" t="str">
        <f>IFERROR(__xludf.DUMMYFUNCTION("""COMPUTED_VALUE"""),"N")</f>
        <v>N</v>
      </c>
      <c r="I197" s="3" t="str">
        <f>IFERROR(__xludf.DUMMYFUNCTION("""COMPUTED_VALUE"""),"N")</f>
        <v>N</v>
      </c>
      <c r="J197" s="3" t="str">
        <f>IFERROR(__xludf.DUMMYFUNCTION("""COMPUTED_VALUE"""),"N")</f>
        <v>N</v>
      </c>
      <c r="K197" s="3" t="str">
        <f>IFERROR(__xludf.DUMMYFUNCTION("""COMPUTED_VALUE"""),"Y")</f>
        <v>Y</v>
      </c>
      <c r="L197" s="3" t="str">
        <f>IFERROR(__xludf.DUMMYFUNCTION("""COMPUTED_VALUE"""),"Districtwide")</f>
        <v>Districtwide</v>
      </c>
      <c r="M197" s="3" t="str">
        <f>IFERROR(__xludf.DUMMYFUNCTION("""COMPUTED_VALUE"""),"N")</f>
        <v>N</v>
      </c>
      <c r="N197" s="3" t="str">
        <f>IFERROR(__xludf.DUMMYFUNCTION("""COMPUTED_VALUE"""),"Y")</f>
        <v>Y</v>
      </c>
      <c r="O197" s="3" t="str">
        <f>IFERROR(__xludf.DUMMYFUNCTION("""COMPUTED_VALUE"""),"none")</f>
        <v>none</v>
      </c>
    </row>
    <row r="198">
      <c r="A198" s="2" t="str">
        <f>IFERROR(__xludf.DUMMYFUNCTION("""COMPUTED_VALUE"""),"8012")</f>
        <v>8012</v>
      </c>
      <c r="B198" s="2" t="str">
        <f>IFERROR(__xludf.DUMMYFUNCTION("""COMPUTED_VALUE"""),"Marble Charter School")</f>
        <v>Marble Charter School</v>
      </c>
      <c r="C198" s="2" t="str">
        <f>IFERROR(__xludf.DUMMYFUNCTION("""COMPUTED_VALUE"""),"Charter")</f>
        <v>Charter</v>
      </c>
      <c r="D198" s="3">
        <f>IFERROR(__xludf.DUMMYFUNCTION("""COMPUTED_VALUE"""),1.0)</f>
        <v>1</v>
      </c>
      <c r="E198" s="3" t="str">
        <f>IFERROR(__xludf.DUMMYFUNCTION("""COMPUTED_VALUE"""),"N")</f>
        <v>N</v>
      </c>
      <c r="F198" s="3" t="str">
        <f>IFERROR(__xludf.DUMMYFUNCTION("""COMPUTED_VALUE"""),"Y")</f>
        <v>Y</v>
      </c>
      <c r="G198" s="3" t="str">
        <f>IFERROR(__xludf.DUMMYFUNCTION("""COMPUTED_VALUE"""),"N")</f>
        <v>N</v>
      </c>
      <c r="H198" s="3" t="str">
        <f>IFERROR(__xludf.DUMMYFUNCTION("""COMPUTED_VALUE"""),"N")</f>
        <v>N</v>
      </c>
      <c r="I198" s="3" t="str">
        <f>IFERROR(__xludf.DUMMYFUNCTION("""COMPUTED_VALUE"""),"N")</f>
        <v>N</v>
      </c>
      <c r="J198" s="3" t="str">
        <f>IFERROR(__xludf.DUMMYFUNCTION("""COMPUTED_VALUE"""),"N")</f>
        <v>N</v>
      </c>
      <c r="K198" s="3" t="str">
        <f>IFERROR(__xludf.DUMMYFUNCTION("""COMPUTED_VALUE"""),"Y")</f>
        <v>Y</v>
      </c>
      <c r="L198" s="3" t="str">
        <f>IFERROR(__xludf.DUMMYFUNCTION("""COMPUTED_VALUE"""),"N")</f>
        <v>N</v>
      </c>
      <c r="M198" s="3" t="str">
        <f>IFERROR(__xludf.DUMMYFUNCTION("""COMPUTED_VALUE"""),"N")</f>
        <v>N</v>
      </c>
      <c r="N198" s="3" t="str">
        <f>IFERROR(__xludf.DUMMYFUNCTION("""COMPUTED_VALUE"""),"N")</f>
        <v>N</v>
      </c>
      <c r="O198" s="3" t="str">
        <f>IFERROR(__xludf.DUMMYFUNCTION("""COMPUTED_VALUE"""),"none")</f>
        <v>none</v>
      </c>
    </row>
    <row r="199">
      <c r="A199" s="2" t="str">
        <f>IFERROR(__xludf.DUMMYFUNCTION("""COMPUTED_VALUE"""),"8013")</f>
        <v>8013</v>
      </c>
      <c r="B199" s="2" t="str">
        <f>IFERROR(__xludf.DUMMYFUNCTION("""COMPUTED_VALUE"""),"Swallows Charter Academy")</f>
        <v>Swallows Charter Academy</v>
      </c>
      <c r="C199" s="2" t="str">
        <f>IFERROR(__xludf.DUMMYFUNCTION("""COMPUTED_VALUE"""),"Charter")</f>
        <v>Charter</v>
      </c>
      <c r="D199" s="3">
        <f>IFERROR(__xludf.DUMMYFUNCTION("""COMPUTED_VALUE"""),2.0)</f>
        <v>2</v>
      </c>
      <c r="E199" s="3" t="str">
        <f>IFERROR(__xludf.DUMMYFUNCTION("""COMPUTED_VALUE"""),"Y")</f>
        <v>Y</v>
      </c>
      <c r="F199" s="3" t="str">
        <f>IFERROR(__xludf.DUMMYFUNCTION("""COMPUTED_VALUE"""),"Y")</f>
        <v>Y</v>
      </c>
      <c r="G199" s="3" t="str">
        <f>IFERROR(__xludf.DUMMYFUNCTION("""COMPUTED_VALUE"""),"N")</f>
        <v>N</v>
      </c>
      <c r="H199" s="3" t="str">
        <f>IFERROR(__xludf.DUMMYFUNCTION("""COMPUTED_VALUE"""),"N")</f>
        <v>N</v>
      </c>
      <c r="I199" s="3" t="str">
        <f>IFERROR(__xludf.DUMMYFUNCTION("""COMPUTED_VALUE"""),"N")</f>
        <v>N</v>
      </c>
      <c r="J199" s="3" t="str">
        <f>IFERROR(__xludf.DUMMYFUNCTION("""COMPUTED_VALUE"""),"N")</f>
        <v>N</v>
      </c>
      <c r="K199" s="3" t="str">
        <f>IFERROR(__xludf.DUMMYFUNCTION("""COMPUTED_VALUE"""),"Y")</f>
        <v>Y</v>
      </c>
      <c r="L199" s="3" t="str">
        <f>IFERROR(__xludf.DUMMYFUNCTION("""COMPUTED_VALUE"""),"Districtwide")</f>
        <v>Districtwide</v>
      </c>
      <c r="M199" s="3" t="str">
        <f>IFERROR(__xludf.DUMMYFUNCTION("""COMPUTED_VALUE"""),"N")</f>
        <v>N</v>
      </c>
      <c r="N199" s="3" t="str">
        <f>IFERROR(__xludf.DUMMYFUNCTION("""COMPUTED_VALUE"""),"N")</f>
        <v>N</v>
      </c>
      <c r="O199" s="3" t="str">
        <f>IFERROR(__xludf.DUMMYFUNCTION("""COMPUTED_VALUE"""),"none")</f>
        <v>none</v>
      </c>
    </row>
    <row r="200">
      <c r="A200" s="2" t="str">
        <f>IFERROR(__xludf.DUMMYFUNCTION("""COMPUTED_VALUE"""),"8042")</f>
        <v>8042</v>
      </c>
      <c r="B200" s="2" t="str">
        <f>IFERROR(__xludf.DUMMYFUNCTION("""COMPUTED_VALUE"""),"CharterChoice Collaborative")</f>
        <v>CharterChoice Collaborative</v>
      </c>
      <c r="C200" s="2" t="str">
        <f>IFERROR(__xludf.DUMMYFUNCTION("""COMPUTED_VALUE"""),"Charter")</f>
        <v>Charter</v>
      </c>
      <c r="D200" s="3">
        <f>IFERROR(__xludf.DUMMYFUNCTION("""COMPUTED_VALUE"""),33.0)</f>
        <v>33</v>
      </c>
      <c r="E200" s="3" t="str">
        <f>IFERROR(__xludf.DUMMYFUNCTION("""COMPUTED_VALUE"""),"Y")</f>
        <v>Y</v>
      </c>
      <c r="F200" s="3" t="str">
        <f>IFERROR(__xludf.DUMMYFUNCTION("""COMPUTED_VALUE"""),"Y")</f>
        <v>Y</v>
      </c>
      <c r="G200" s="3" t="str">
        <f>IFERROR(__xludf.DUMMYFUNCTION("""COMPUTED_VALUE"""),"N")</f>
        <v>N</v>
      </c>
      <c r="H200" s="3" t="str">
        <f>IFERROR(__xludf.DUMMYFUNCTION("""COMPUTED_VALUE"""),"Y")</f>
        <v>Y</v>
      </c>
      <c r="I200" s="3" t="str">
        <f>IFERROR(__xludf.DUMMYFUNCTION("""COMPUTED_VALUE"""),"Y")</f>
        <v>Y</v>
      </c>
      <c r="J200" s="3" t="str">
        <f>IFERROR(__xludf.DUMMYFUNCTION("""COMPUTED_VALUE"""),"Y")</f>
        <v>Y</v>
      </c>
      <c r="K200" s="3" t="str">
        <f>IFERROR(__xludf.DUMMYFUNCTION("""COMPUTED_VALUE"""),"Y")</f>
        <v>Y</v>
      </c>
      <c r="L200" s="3" t="str">
        <f>IFERROR(__xludf.DUMMYFUNCTION("""COMPUTED_VALUE"""),"Y")</f>
        <v>Y</v>
      </c>
      <c r="M200" s="3" t="str">
        <f>IFERROR(__xludf.DUMMYFUNCTION("""COMPUTED_VALUE"""),"N")</f>
        <v>N</v>
      </c>
      <c r="N200" s="3" t="str">
        <f>IFERROR(__xludf.DUMMYFUNCTION("""COMPUTED_VALUE"""),"N")</f>
        <v>N</v>
      </c>
      <c r="O200" s="3" t="str">
        <f>IFERROR(__xludf.DUMMYFUNCTION("""COMPUTED_VALUE"""),"none")</f>
        <v>none</v>
      </c>
    </row>
    <row r="201">
      <c r="A201" s="2" t="str">
        <f>IFERROR(__xludf.DUMMYFUNCTION("""COMPUTED_VALUE"""),"8104")</f>
        <v>8104</v>
      </c>
      <c r="B201" s="2" t="str">
        <f>IFERROR(__xludf.DUMMYFUNCTION("""COMPUTED_VALUE"""),"DIVISION OF YOUTH SERVICES")</f>
        <v>DIVISION OF YOUTH SERVICES</v>
      </c>
      <c r="C201" s="2" t="str">
        <f>IFERROR(__xludf.DUMMYFUNCTION("""COMPUTED_VALUE"""),"RCCI")</f>
        <v>RCCI</v>
      </c>
      <c r="D201" s="3">
        <f>IFERROR(__xludf.DUMMYFUNCTION("""COMPUTED_VALUE"""),10.0)</f>
        <v>10</v>
      </c>
      <c r="E201" s="3" t="str">
        <f>IFERROR(__xludf.DUMMYFUNCTION("""COMPUTED_VALUE"""),"Y")</f>
        <v>Y</v>
      </c>
      <c r="F201" s="3" t="str">
        <f>IFERROR(__xludf.DUMMYFUNCTION("""COMPUTED_VALUE"""),"Y")</f>
        <v>Y</v>
      </c>
      <c r="G201" s="3" t="str">
        <f>IFERROR(__xludf.DUMMYFUNCTION("""COMPUTED_VALUE"""),"N")</f>
        <v>N</v>
      </c>
      <c r="H201" s="3" t="str">
        <f>IFERROR(__xludf.DUMMYFUNCTION("""COMPUTED_VALUE"""),"Y")</f>
        <v>Y</v>
      </c>
      <c r="I201" s="3" t="str">
        <f>IFERROR(__xludf.DUMMYFUNCTION("""COMPUTED_VALUE"""),"N")</f>
        <v>N</v>
      </c>
      <c r="J201" s="3" t="str">
        <f>IFERROR(__xludf.DUMMYFUNCTION("""COMPUTED_VALUE"""),"N")</f>
        <v>N</v>
      </c>
      <c r="K201" s="3" t="str">
        <f>IFERROR(__xludf.DUMMYFUNCTION("""COMPUTED_VALUE"""),"Y")</f>
        <v>Y</v>
      </c>
      <c r="L201" s="3" t="str">
        <f>IFERROR(__xludf.DUMMYFUNCTION("""COMPUTED_VALUE"""),"N")</f>
        <v>N</v>
      </c>
      <c r="M201" s="3" t="str">
        <f>IFERROR(__xludf.DUMMYFUNCTION("""COMPUTED_VALUE"""),"N")</f>
        <v>N</v>
      </c>
      <c r="N201" s="3" t="str">
        <f>IFERROR(__xludf.DUMMYFUNCTION("""COMPUTED_VALUE"""),"N")</f>
        <v>N</v>
      </c>
      <c r="O201" s="3" t="str">
        <f>IFERROR(__xludf.DUMMYFUNCTION("""COMPUTED_VALUE"""),"none")</f>
        <v>none</v>
      </c>
    </row>
    <row r="202">
      <c r="A202" s="2" t="str">
        <f>IFERROR(__xludf.DUMMYFUNCTION("""COMPUTED_VALUE"""),"8608")</f>
        <v>8608</v>
      </c>
      <c r="B202" s="2" t="str">
        <f>IFERROR(__xludf.DUMMYFUNCTION("""COMPUTED_VALUE"""),"ARRUPE JESUIT HIGH SCHOOL")</f>
        <v>ARRUPE JESUIT HIGH SCHOOL</v>
      </c>
      <c r="C202" s="2" t="str">
        <f>IFERROR(__xludf.DUMMYFUNCTION("""COMPUTED_VALUE"""),"Other")</f>
        <v>Other</v>
      </c>
      <c r="D202" s="3">
        <f>IFERROR(__xludf.DUMMYFUNCTION("""COMPUTED_VALUE"""),1.0)</f>
        <v>1</v>
      </c>
      <c r="E202" s="3" t="str">
        <f>IFERROR(__xludf.DUMMYFUNCTION("""COMPUTED_VALUE"""),"Y")</f>
        <v>Y</v>
      </c>
      <c r="F202" s="3" t="str">
        <f>IFERROR(__xludf.DUMMYFUNCTION("""COMPUTED_VALUE"""),"Y")</f>
        <v>Y</v>
      </c>
      <c r="G202" s="3" t="str">
        <f>IFERROR(__xludf.DUMMYFUNCTION("""COMPUTED_VALUE"""),"N")</f>
        <v>N</v>
      </c>
      <c r="H202" s="3" t="str">
        <f>IFERROR(__xludf.DUMMYFUNCTION("""COMPUTED_VALUE"""),"N")</f>
        <v>N</v>
      </c>
      <c r="I202" s="3" t="str">
        <f>IFERROR(__xludf.DUMMYFUNCTION("""COMPUTED_VALUE"""),"N")</f>
        <v>N</v>
      </c>
      <c r="J202" s="2" t="str">
        <f>IFERROR(__xludf.DUMMYFUNCTION("""COMPUTED_VALUE"""),"N")</f>
        <v>N</v>
      </c>
      <c r="K202" s="3" t="str">
        <f>IFERROR(__xludf.DUMMYFUNCTION("""COMPUTED_VALUE"""),"Not eligibile")</f>
        <v>Not eligibile</v>
      </c>
      <c r="L202" s="3" t="str">
        <f>IFERROR(__xludf.DUMMYFUNCTION("""COMPUTED_VALUE"""),"N")</f>
        <v>N</v>
      </c>
      <c r="M202" s="3" t="str">
        <f>IFERROR(__xludf.DUMMYFUNCTION("""COMPUTED_VALUE"""),"N")</f>
        <v>N</v>
      </c>
      <c r="N202" s="3" t="str">
        <f>IFERROR(__xludf.DUMMYFUNCTION("""COMPUTED_VALUE"""),"N")</f>
        <v>N</v>
      </c>
      <c r="O202" s="2" t="str">
        <f>IFERROR(__xludf.DUMMYFUNCTION("""COMPUTED_VALUE"""),"none")</f>
        <v>none</v>
      </c>
    </row>
    <row r="203">
      <c r="A203" s="2" t="str">
        <f>IFERROR(__xludf.DUMMYFUNCTION("""COMPUTED_VALUE"""),"8634")</f>
        <v>8634</v>
      </c>
      <c r="B203" s="2" t="str">
        <f>IFERROR(__xludf.DUMMYFUNCTION("""COMPUTED_VALUE"""),"GOOD SHEPHERD CATHOLIC SCHOOL")</f>
        <v>GOOD SHEPHERD CATHOLIC SCHOOL</v>
      </c>
      <c r="C203" s="2" t="str">
        <f>IFERROR(__xludf.DUMMYFUNCTION("""COMPUTED_VALUE"""),"Other")</f>
        <v>Other</v>
      </c>
      <c r="D203" s="3">
        <f>IFERROR(__xludf.DUMMYFUNCTION("""COMPUTED_VALUE"""),1.0)</f>
        <v>1</v>
      </c>
      <c r="E203" s="3" t="str">
        <f>IFERROR(__xludf.DUMMYFUNCTION("""COMPUTED_VALUE"""),"N")</f>
        <v>N</v>
      </c>
      <c r="F203" s="3" t="str">
        <f>IFERROR(__xludf.DUMMYFUNCTION("""COMPUTED_VALUE"""),"N")</f>
        <v>N</v>
      </c>
      <c r="G203" s="3" t="str">
        <f>IFERROR(__xludf.DUMMYFUNCTION("""COMPUTED_VALUE"""),"Milk only")</f>
        <v>Milk only</v>
      </c>
      <c r="H203" s="3" t="str">
        <f>IFERROR(__xludf.DUMMYFUNCTION("""COMPUTED_VALUE"""),"N")</f>
        <v>N</v>
      </c>
      <c r="I203" s="3" t="str">
        <f>IFERROR(__xludf.DUMMYFUNCTION("""COMPUTED_VALUE"""),"N")</f>
        <v>N</v>
      </c>
      <c r="J203" s="3" t="str">
        <f>IFERROR(__xludf.DUMMYFUNCTION("""COMPUTED_VALUE"""),"N")</f>
        <v>N</v>
      </c>
      <c r="K203" s="3" t="str">
        <f>IFERROR(__xludf.DUMMYFUNCTION("""COMPUTED_VALUE"""),"Not eligibile")</f>
        <v>Not eligibile</v>
      </c>
      <c r="L203" s="3" t="str">
        <f>IFERROR(__xludf.DUMMYFUNCTION("""COMPUTED_VALUE"""),"N")</f>
        <v>N</v>
      </c>
      <c r="M203" s="3" t="str">
        <f>IFERROR(__xludf.DUMMYFUNCTION("""COMPUTED_VALUE"""),"N")</f>
        <v>N</v>
      </c>
      <c r="N203" s="3" t="str">
        <f>IFERROR(__xludf.DUMMYFUNCTION("""COMPUTED_VALUE"""),"N")</f>
        <v>N</v>
      </c>
      <c r="O203" s="3" t="str">
        <f>IFERROR(__xludf.DUMMYFUNCTION("""COMPUTED_VALUE"""),"none")</f>
        <v>none</v>
      </c>
    </row>
    <row r="204">
      <c r="A204" s="2" t="str">
        <f>IFERROR(__xludf.DUMMYFUNCTION("""COMPUTED_VALUE"""),"8636")</f>
        <v>8636</v>
      </c>
      <c r="B204" s="2" t="str">
        <f>IFERROR(__xludf.DUMMYFUNCTION("""COMPUTED_VALUE"""),"NATIVITY OF OUR LORD")</f>
        <v>NATIVITY OF OUR LORD</v>
      </c>
      <c r="C204" s="2" t="str">
        <f>IFERROR(__xludf.DUMMYFUNCTION("""COMPUTED_VALUE"""),"Private")</f>
        <v>Private</v>
      </c>
      <c r="D204" s="3">
        <f>IFERROR(__xludf.DUMMYFUNCTION("""COMPUTED_VALUE"""),1.0)</f>
        <v>1</v>
      </c>
      <c r="E204" s="3" t="str">
        <f>IFERROR(__xludf.DUMMYFUNCTION("""COMPUTED_VALUE"""),"N")</f>
        <v>N</v>
      </c>
      <c r="F204" s="3" t="str">
        <f>IFERROR(__xludf.DUMMYFUNCTION("""COMPUTED_VALUE"""),"N")</f>
        <v>N</v>
      </c>
      <c r="G204" s="3" t="str">
        <f>IFERROR(__xludf.DUMMYFUNCTION("""COMPUTED_VALUE"""),"Milk only")</f>
        <v>Milk only</v>
      </c>
      <c r="H204" s="3" t="str">
        <f>IFERROR(__xludf.DUMMYFUNCTION("""COMPUTED_VALUE"""),"N")</f>
        <v>N</v>
      </c>
      <c r="I204" s="3" t="str">
        <f>IFERROR(__xludf.DUMMYFUNCTION("""COMPUTED_VALUE"""),"N")</f>
        <v>N</v>
      </c>
      <c r="J204" s="3" t="str">
        <f>IFERROR(__xludf.DUMMYFUNCTION("""COMPUTED_VALUE"""),"N")</f>
        <v>N</v>
      </c>
      <c r="K204" s="3" t="str">
        <f>IFERROR(__xludf.DUMMYFUNCTION("""COMPUTED_VALUE"""),"Not eligibile")</f>
        <v>Not eligibile</v>
      </c>
      <c r="L204" s="3" t="str">
        <f>IFERROR(__xludf.DUMMYFUNCTION("""COMPUTED_VALUE"""),"N")</f>
        <v>N</v>
      </c>
      <c r="M204" s="3" t="str">
        <f>IFERROR(__xludf.DUMMYFUNCTION("""COMPUTED_VALUE"""),"N")</f>
        <v>N</v>
      </c>
      <c r="N204" s="3" t="str">
        <f>IFERROR(__xludf.DUMMYFUNCTION("""COMPUTED_VALUE"""),"N")</f>
        <v>N</v>
      </c>
      <c r="O204" s="3" t="str">
        <f>IFERROR(__xludf.DUMMYFUNCTION("""COMPUTED_VALUE"""),"none")</f>
        <v>none</v>
      </c>
    </row>
    <row r="205">
      <c r="A205" s="2" t="str">
        <f>IFERROR(__xludf.DUMMYFUNCTION("""COMPUTED_VALUE"""),"8652")</f>
        <v>8652</v>
      </c>
      <c r="B205" s="2" t="str">
        <f>IFERROR(__xludf.DUMMYFUNCTION("""COMPUTED_VALUE"""),"MOST PRECIOUS BLOOD SCHOOL")</f>
        <v>MOST PRECIOUS BLOOD SCHOOL</v>
      </c>
      <c r="C205" s="2" t="str">
        <f>IFERROR(__xludf.DUMMYFUNCTION("""COMPUTED_VALUE"""),"Other")</f>
        <v>Other</v>
      </c>
      <c r="D205" s="3">
        <f>IFERROR(__xludf.DUMMYFUNCTION("""COMPUTED_VALUE"""),1.0)</f>
        <v>1</v>
      </c>
      <c r="E205" s="3" t="str">
        <f>IFERROR(__xludf.DUMMYFUNCTION("""COMPUTED_VALUE"""),"N")</f>
        <v>N</v>
      </c>
      <c r="F205" s="3" t="str">
        <f>IFERROR(__xludf.DUMMYFUNCTION("""COMPUTED_VALUE"""),"N")</f>
        <v>N</v>
      </c>
      <c r="G205" s="3" t="str">
        <f>IFERROR(__xludf.DUMMYFUNCTION("""COMPUTED_VALUE"""),"Milk only")</f>
        <v>Milk only</v>
      </c>
      <c r="H205" s="3" t="str">
        <f>IFERROR(__xludf.DUMMYFUNCTION("""COMPUTED_VALUE"""),"N")</f>
        <v>N</v>
      </c>
      <c r="I205" s="3" t="str">
        <f>IFERROR(__xludf.DUMMYFUNCTION("""COMPUTED_VALUE"""),"N")</f>
        <v>N</v>
      </c>
      <c r="J205" s="3" t="str">
        <f>IFERROR(__xludf.DUMMYFUNCTION("""COMPUTED_VALUE"""),"N")</f>
        <v>N</v>
      </c>
      <c r="K205" s="3" t="str">
        <f>IFERROR(__xludf.DUMMYFUNCTION("""COMPUTED_VALUE"""),"Not eligibile")</f>
        <v>Not eligibile</v>
      </c>
      <c r="L205" s="3" t="str">
        <f>IFERROR(__xludf.DUMMYFUNCTION("""COMPUTED_VALUE"""),"N")</f>
        <v>N</v>
      </c>
      <c r="M205" s="3" t="str">
        <f>IFERROR(__xludf.DUMMYFUNCTION("""COMPUTED_VALUE"""),"N")</f>
        <v>N</v>
      </c>
      <c r="N205" s="3" t="str">
        <f>IFERROR(__xludf.DUMMYFUNCTION("""COMPUTED_VALUE"""),"N")</f>
        <v>N</v>
      </c>
      <c r="O205" s="3" t="str">
        <f>IFERROR(__xludf.DUMMYFUNCTION("""COMPUTED_VALUE"""),"none")</f>
        <v>none</v>
      </c>
    </row>
    <row r="206">
      <c r="A206" s="2" t="str">
        <f>IFERROR(__xludf.DUMMYFUNCTION("""COMPUTED_VALUE"""),"8655")</f>
        <v>8655</v>
      </c>
      <c r="B206" s="2" t="str">
        <f>IFERROR(__xludf.DUMMYFUNCTION("""COMPUTED_VALUE"""),"NOTRE DAME CATHOLIC SCHOOL")</f>
        <v>NOTRE DAME CATHOLIC SCHOOL</v>
      </c>
      <c r="C206" s="2" t="str">
        <f>IFERROR(__xludf.DUMMYFUNCTION("""COMPUTED_VALUE"""),"Other")</f>
        <v>Other</v>
      </c>
      <c r="D206" s="3">
        <f>IFERROR(__xludf.DUMMYFUNCTION("""COMPUTED_VALUE"""),1.0)</f>
        <v>1</v>
      </c>
      <c r="E206" s="3" t="str">
        <f>IFERROR(__xludf.DUMMYFUNCTION("""COMPUTED_VALUE"""),"N")</f>
        <v>N</v>
      </c>
      <c r="F206" s="3" t="str">
        <f>IFERROR(__xludf.DUMMYFUNCTION("""COMPUTED_VALUE"""),"N")</f>
        <v>N</v>
      </c>
      <c r="G206" s="3" t="str">
        <f>IFERROR(__xludf.DUMMYFUNCTION("""COMPUTED_VALUE"""),"Milk only")</f>
        <v>Milk only</v>
      </c>
      <c r="H206" s="3" t="str">
        <f>IFERROR(__xludf.DUMMYFUNCTION("""COMPUTED_VALUE"""),"N")</f>
        <v>N</v>
      </c>
      <c r="I206" s="3" t="str">
        <f>IFERROR(__xludf.DUMMYFUNCTION("""COMPUTED_VALUE"""),"N")</f>
        <v>N</v>
      </c>
      <c r="J206" s="3" t="str">
        <f>IFERROR(__xludf.DUMMYFUNCTION("""COMPUTED_VALUE"""),"N")</f>
        <v>N</v>
      </c>
      <c r="K206" s="3" t="str">
        <f>IFERROR(__xludf.DUMMYFUNCTION("""COMPUTED_VALUE"""),"Not eligibile")</f>
        <v>Not eligibile</v>
      </c>
      <c r="L206" s="3" t="str">
        <f>IFERROR(__xludf.DUMMYFUNCTION("""COMPUTED_VALUE"""),"N")</f>
        <v>N</v>
      </c>
      <c r="M206" s="3" t="str">
        <f>IFERROR(__xludf.DUMMYFUNCTION("""COMPUTED_VALUE"""),"N")</f>
        <v>N</v>
      </c>
      <c r="N206" s="3" t="str">
        <f>IFERROR(__xludf.DUMMYFUNCTION("""COMPUTED_VALUE"""),"N")</f>
        <v>N</v>
      </c>
      <c r="O206" s="3" t="str">
        <f>IFERROR(__xludf.DUMMYFUNCTION("""COMPUTED_VALUE"""),"none")</f>
        <v>none</v>
      </c>
    </row>
    <row r="207">
      <c r="A207" s="2" t="str">
        <f>IFERROR(__xludf.DUMMYFUNCTION("""COMPUTED_VALUE"""),"8658")</f>
        <v>8658</v>
      </c>
      <c r="B207" s="2" t="str">
        <f>IFERROR(__xludf.DUMMYFUNCTION("""COMPUTED_VALUE"""),"ESCUELA DE GUADALUPE")</f>
        <v>ESCUELA DE GUADALUPE</v>
      </c>
      <c r="C207" s="2" t="str">
        <f>IFERROR(__xludf.DUMMYFUNCTION("""COMPUTED_VALUE"""),"Other")</f>
        <v>Other</v>
      </c>
      <c r="D207" s="3">
        <f>IFERROR(__xludf.DUMMYFUNCTION("""COMPUTED_VALUE"""),1.0)</f>
        <v>1</v>
      </c>
      <c r="E207" s="3" t="str">
        <f>IFERROR(__xludf.DUMMYFUNCTION("""COMPUTED_VALUE"""),"N")</f>
        <v>N</v>
      </c>
      <c r="F207" s="3" t="str">
        <f>IFERROR(__xludf.DUMMYFUNCTION("""COMPUTED_VALUE"""),"Y")</f>
        <v>Y</v>
      </c>
      <c r="G207" s="3" t="str">
        <f>IFERROR(__xludf.DUMMYFUNCTION("""COMPUTED_VALUE"""),"N")</f>
        <v>N</v>
      </c>
      <c r="H207" s="3" t="str">
        <f>IFERROR(__xludf.DUMMYFUNCTION("""COMPUTED_VALUE"""),"N")</f>
        <v>N</v>
      </c>
      <c r="I207" s="3" t="str">
        <f>IFERROR(__xludf.DUMMYFUNCTION("""COMPUTED_VALUE"""),"N")</f>
        <v>N</v>
      </c>
      <c r="J207" s="3" t="str">
        <f>IFERROR(__xludf.DUMMYFUNCTION("""COMPUTED_VALUE"""),"N")</f>
        <v>N</v>
      </c>
      <c r="K207" s="3" t="str">
        <f>IFERROR(__xludf.DUMMYFUNCTION("""COMPUTED_VALUE"""),"Not eligibile")</f>
        <v>Not eligibile</v>
      </c>
      <c r="L207" s="3" t="str">
        <f>IFERROR(__xludf.DUMMYFUNCTION("""COMPUTED_VALUE"""),"N")</f>
        <v>N</v>
      </c>
      <c r="M207" s="3" t="str">
        <f>IFERROR(__xludf.DUMMYFUNCTION("""COMPUTED_VALUE"""),"N")</f>
        <v>N</v>
      </c>
      <c r="N207" s="3" t="str">
        <f>IFERROR(__xludf.DUMMYFUNCTION("""COMPUTED_VALUE"""),"N")</f>
        <v>N</v>
      </c>
      <c r="O207" s="3" t="str">
        <f>IFERROR(__xludf.DUMMYFUNCTION("""COMPUTED_VALUE"""),"none")</f>
        <v>none</v>
      </c>
    </row>
    <row r="208">
      <c r="A208" s="2" t="str">
        <f>IFERROR(__xludf.DUMMYFUNCTION("""COMPUTED_VALUE"""),"8673")</f>
        <v>8673</v>
      </c>
      <c r="B208" s="2" t="str">
        <f>IFERROR(__xludf.DUMMYFUNCTION("""COMPUTED_VALUE"""),"ST. ROSE OF LIMA")</f>
        <v>ST. ROSE OF LIMA</v>
      </c>
      <c r="C208" s="2" t="str">
        <f>IFERROR(__xludf.DUMMYFUNCTION("""COMPUTED_VALUE"""),"Other")</f>
        <v>Other</v>
      </c>
      <c r="D208" s="3">
        <f>IFERROR(__xludf.DUMMYFUNCTION("""COMPUTED_VALUE"""),1.0)</f>
        <v>1</v>
      </c>
      <c r="E208" s="3" t="str">
        <f>IFERROR(__xludf.DUMMYFUNCTION("""COMPUTED_VALUE"""),"Y")</f>
        <v>Y</v>
      </c>
      <c r="F208" s="3" t="str">
        <f>IFERROR(__xludf.DUMMYFUNCTION("""COMPUTED_VALUE"""),"Y")</f>
        <v>Y</v>
      </c>
      <c r="G208" s="3" t="str">
        <f>IFERROR(__xludf.DUMMYFUNCTION("""COMPUTED_VALUE"""),"N")</f>
        <v>N</v>
      </c>
      <c r="H208" s="3" t="str">
        <f>IFERROR(__xludf.DUMMYFUNCTION("""COMPUTED_VALUE"""),"Y")</f>
        <v>Y</v>
      </c>
      <c r="I208" s="3" t="str">
        <f>IFERROR(__xludf.DUMMYFUNCTION("""COMPUTED_VALUE"""),"Y")</f>
        <v>Y</v>
      </c>
      <c r="J208" s="3" t="str">
        <f>IFERROR(__xludf.DUMMYFUNCTION("""COMPUTED_VALUE"""),"N")</f>
        <v>N</v>
      </c>
      <c r="K208" s="3" t="str">
        <f>IFERROR(__xludf.DUMMYFUNCTION("""COMPUTED_VALUE"""),"Not eligibile")</f>
        <v>Not eligibile</v>
      </c>
      <c r="L208" s="3" t="str">
        <f>IFERROR(__xludf.DUMMYFUNCTION("""COMPUTED_VALUE"""),"N")</f>
        <v>N</v>
      </c>
      <c r="M208" s="3" t="str">
        <f>IFERROR(__xludf.DUMMYFUNCTION("""COMPUTED_VALUE"""),"Provision 2")</f>
        <v>Provision 2</v>
      </c>
      <c r="N208" s="3" t="str">
        <f>IFERROR(__xludf.DUMMYFUNCTION("""COMPUTED_VALUE"""),"N")</f>
        <v>N</v>
      </c>
      <c r="O208" s="3" t="str">
        <f>IFERROR(__xludf.DUMMYFUNCTION("""COMPUTED_VALUE"""),"none")</f>
        <v>none</v>
      </c>
    </row>
    <row r="209">
      <c r="A209" s="2" t="str">
        <f>IFERROR(__xludf.DUMMYFUNCTION("""COMPUTED_VALUE"""),"8693")</f>
        <v>8693</v>
      </c>
      <c r="B209" s="2" t="str">
        <f>IFERROR(__xludf.DUMMYFUNCTION("""COMPUTED_VALUE"""),"CORPUS CHRISTI SCHOOL")</f>
        <v>CORPUS CHRISTI SCHOOL</v>
      </c>
      <c r="C209" s="2" t="str">
        <f>IFERROR(__xludf.DUMMYFUNCTION("""COMPUTED_VALUE"""),"Other")</f>
        <v>Other</v>
      </c>
      <c r="D209" s="3">
        <f>IFERROR(__xludf.DUMMYFUNCTION("""COMPUTED_VALUE"""),1.0)</f>
        <v>1</v>
      </c>
      <c r="E209" s="3" t="str">
        <f>IFERROR(__xludf.DUMMYFUNCTION("""COMPUTED_VALUE"""),"N")</f>
        <v>N</v>
      </c>
      <c r="F209" s="3" t="str">
        <f>IFERROR(__xludf.DUMMYFUNCTION("""COMPUTED_VALUE"""),"Y")</f>
        <v>Y</v>
      </c>
      <c r="G209" s="3" t="str">
        <f>IFERROR(__xludf.DUMMYFUNCTION("""COMPUTED_VALUE"""),"N")</f>
        <v>N</v>
      </c>
      <c r="H209" s="3" t="str">
        <f>IFERROR(__xludf.DUMMYFUNCTION("""COMPUTED_VALUE"""),"N")</f>
        <v>N</v>
      </c>
      <c r="I209" s="3" t="str">
        <f>IFERROR(__xludf.DUMMYFUNCTION("""COMPUTED_VALUE"""),"N")</f>
        <v>N</v>
      </c>
      <c r="J209" s="2" t="str">
        <f>IFERROR(__xludf.DUMMYFUNCTION("""COMPUTED_VALUE"""),"N")</f>
        <v>N</v>
      </c>
      <c r="K209" s="2" t="str">
        <f>IFERROR(__xludf.DUMMYFUNCTION("""COMPUTED_VALUE"""),"Not eligibile")</f>
        <v>Not eligibile</v>
      </c>
      <c r="L209" s="2" t="str">
        <f>IFERROR(__xludf.DUMMYFUNCTION("""COMPUTED_VALUE"""),"N")</f>
        <v>N</v>
      </c>
      <c r="M209" s="2" t="str">
        <f>IFERROR(__xludf.DUMMYFUNCTION("""COMPUTED_VALUE"""),"N")</f>
        <v>N</v>
      </c>
      <c r="N209" s="2" t="str">
        <f>IFERROR(__xludf.DUMMYFUNCTION("""COMPUTED_VALUE"""),"N")</f>
        <v>N</v>
      </c>
      <c r="O209" s="2" t="str">
        <f>IFERROR(__xludf.DUMMYFUNCTION("""COMPUTED_VALUE"""),"none")</f>
        <v>none</v>
      </c>
    </row>
    <row r="210">
      <c r="A210" s="2" t="str">
        <f>IFERROR(__xludf.DUMMYFUNCTION("""COMPUTED_VALUE"""),"8694")</f>
        <v>8694</v>
      </c>
      <c r="B210" s="2" t="str">
        <f>IFERROR(__xludf.DUMMYFUNCTION("""COMPUTED_VALUE"""),"DIVINE REDEEMER")</f>
        <v>DIVINE REDEEMER</v>
      </c>
      <c r="C210" s="2" t="str">
        <f>IFERROR(__xludf.DUMMYFUNCTION("""COMPUTED_VALUE"""),"Private")</f>
        <v>Private</v>
      </c>
      <c r="D210" s="3">
        <f>IFERROR(__xludf.DUMMYFUNCTION("""COMPUTED_VALUE"""),1.0)</f>
        <v>1</v>
      </c>
      <c r="E210" s="3" t="str">
        <f>IFERROR(__xludf.DUMMYFUNCTION("""COMPUTED_VALUE"""),"N")</f>
        <v>N</v>
      </c>
      <c r="F210" s="3" t="str">
        <f>IFERROR(__xludf.DUMMYFUNCTION("""COMPUTED_VALUE"""),"Y")</f>
        <v>Y</v>
      </c>
      <c r="G210" s="3" t="str">
        <f>IFERROR(__xludf.DUMMYFUNCTION("""COMPUTED_VALUE"""),"N")</f>
        <v>N</v>
      </c>
      <c r="H210" s="3" t="str">
        <f>IFERROR(__xludf.DUMMYFUNCTION("""COMPUTED_VALUE"""),"N")</f>
        <v>N</v>
      </c>
      <c r="I210" s="3" t="str">
        <f>IFERROR(__xludf.DUMMYFUNCTION("""COMPUTED_VALUE"""),"N")</f>
        <v>N</v>
      </c>
      <c r="J210" s="2" t="str">
        <f>IFERROR(__xludf.DUMMYFUNCTION("""COMPUTED_VALUE"""),"N")</f>
        <v>N</v>
      </c>
      <c r="K210" s="3" t="str">
        <f>IFERROR(__xludf.DUMMYFUNCTION("""COMPUTED_VALUE"""),"Not eligibile")</f>
        <v>Not eligibile</v>
      </c>
      <c r="L210" s="2" t="str">
        <f>IFERROR(__xludf.DUMMYFUNCTION("""COMPUTED_VALUE"""),"N")</f>
        <v>N</v>
      </c>
      <c r="M210" s="2" t="str">
        <f>IFERROR(__xludf.DUMMYFUNCTION("""COMPUTED_VALUE"""),"N")</f>
        <v>N</v>
      </c>
      <c r="N210" s="2" t="str">
        <f>IFERROR(__xludf.DUMMYFUNCTION("""COMPUTED_VALUE"""),"N")</f>
        <v>N</v>
      </c>
      <c r="O210" s="2" t="str">
        <f>IFERROR(__xludf.DUMMYFUNCTION("""COMPUTED_VALUE"""),"none")</f>
        <v>none</v>
      </c>
    </row>
    <row r="211">
      <c r="A211" s="2" t="str">
        <f>IFERROR(__xludf.DUMMYFUNCTION("""COMPUTED_VALUE"""),"8706")</f>
        <v>8706</v>
      </c>
      <c r="B211" s="2" t="str">
        <f>IFERROR(__xludf.DUMMYFUNCTION("""COMPUTED_VALUE"""),"ST. PAUL CATHOLIC SCHOOL")</f>
        <v>ST. PAUL CATHOLIC SCHOOL</v>
      </c>
      <c r="C211" s="2" t="str">
        <f>IFERROR(__xludf.DUMMYFUNCTION("""COMPUTED_VALUE"""),"Other")</f>
        <v>Other</v>
      </c>
      <c r="D211" s="3">
        <f>IFERROR(__xludf.DUMMYFUNCTION("""COMPUTED_VALUE"""),1.0)</f>
        <v>1</v>
      </c>
      <c r="E211" s="3" t="str">
        <f>IFERROR(__xludf.DUMMYFUNCTION("""COMPUTED_VALUE"""),"N")</f>
        <v>N</v>
      </c>
      <c r="F211" s="3" t="str">
        <f>IFERROR(__xludf.DUMMYFUNCTION("""COMPUTED_VALUE"""),"N")</f>
        <v>N</v>
      </c>
      <c r="G211" s="3" t="str">
        <f>IFERROR(__xludf.DUMMYFUNCTION("""COMPUTED_VALUE"""),"Milk only")</f>
        <v>Milk only</v>
      </c>
      <c r="H211" s="3" t="str">
        <f>IFERROR(__xludf.DUMMYFUNCTION("""COMPUTED_VALUE"""),"N")</f>
        <v>N</v>
      </c>
      <c r="I211" s="3" t="str">
        <f>IFERROR(__xludf.DUMMYFUNCTION("""COMPUTED_VALUE"""),"N")</f>
        <v>N</v>
      </c>
      <c r="J211" s="2" t="str">
        <f>IFERROR(__xludf.DUMMYFUNCTION("""COMPUTED_VALUE"""),"N")</f>
        <v>N</v>
      </c>
      <c r="K211" s="3" t="str">
        <f>IFERROR(__xludf.DUMMYFUNCTION("""COMPUTED_VALUE"""),"Not eligibile")</f>
        <v>Not eligibile</v>
      </c>
      <c r="L211" s="2" t="str">
        <f>IFERROR(__xludf.DUMMYFUNCTION("""COMPUTED_VALUE"""),"N")</f>
        <v>N</v>
      </c>
      <c r="M211" s="2" t="str">
        <f>IFERROR(__xludf.DUMMYFUNCTION("""COMPUTED_VALUE"""),"N")</f>
        <v>N</v>
      </c>
      <c r="N211" s="2" t="str">
        <f>IFERROR(__xludf.DUMMYFUNCTION("""COMPUTED_VALUE"""),"N")</f>
        <v>N</v>
      </c>
      <c r="O211" s="2" t="str">
        <f>IFERROR(__xludf.DUMMYFUNCTION("""COMPUTED_VALUE"""),"none")</f>
        <v>none</v>
      </c>
    </row>
    <row r="212">
      <c r="A212" s="2" t="str">
        <f>IFERROR(__xludf.DUMMYFUNCTION("""COMPUTED_VALUE"""),"8707")</f>
        <v>8707</v>
      </c>
      <c r="B212" s="2" t="str">
        <f>IFERROR(__xludf.DUMMYFUNCTION("""COMPUTED_VALUE"""),"PEACE WITH CHRIST SCHOOL")</f>
        <v>PEACE WITH CHRIST SCHOOL</v>
      </c>
      <c r="C212" s="2" t="str">
        <f>IFERROR(__xludf.DUMMYFUNCTION("""COMPUTED_VALUE"""),"Private")</f>
        <v>Private</v>
      </c>
      <c r="D212" s="3">
        <f>IFERROR(__xludf.DUMMYFUNCTION("""COMPUTED_VALUE"""),1.0)</f>
        <v>1</v>
      </c>
      <c r="E212" s="3" t="str">
        <f>IFERROR(__xludf.DUMMYFUNCTION("""COMPUTED_VALUE"""),"N")</f>
        <v>N</v>
      </c>
      <c r="F212" s="3" t="str">
        <f>IFERROR(__xludf.DUMMYFUNCTION("""COMPUTED_VALUE"""),"N")</f>
        <v>N</v>
      </c>
      <c r="G212" s="3" t="str">
        <f>IFERROR(__xludf.DUMMYFUNCTION("""COMPUTED_VALUE"""),"Milk only")</f>
        <v>Milk only</v>
      </c>
      <c r="H212" s="3" t="str">
        <f>IFERROR(__xludf.DUMMYFUNCTION("""COMPUTED_VALUE"""),"N")</f>
        <v>N</v>
      </c>
      <c r="I212" s="3" t="str">
        <f>IFERROR(__xludf.DUMMYFUNCTION("""COMPUTED_VALUE"""),"N")</f>
        <v>N</v>
      </c>
      <c r="J212" s="2" t="str">
        <f>IFERROR(__xludf.DUMMYFUNCTION("""COMPUTED_VALUE"""),"N")</f>
        <v>N</v>
      </c>
      <c r="K212" s="3" t="str">
        <f>IFERROR(__xludf.DUMMYFUNCTION("""COMPUTED_VALUE"""),"Not eligibile")</f>
        <v>Not eligibile</v>
      </c>
      <c r="L212" s="2" t="str">
        <f>IFERROR(__xludf.DUMMYFUNCTION("""COMPUTED_VALUE"""),"N")</f>
        <v>N</v>
      </c>
      <c r="M212" s="2" t="str">
        <f>IFERROR(__xludf.DUMMYFUNCTION("""COMPUTED_VALUE"""),"N")</f>
        <v>N</v>
      </c>
      <c r="N212" s="2" t="str">
        <f>IFERROR(__xludf.DUMMYFUNCTION("""COMPUTED_VALUE"""),"N")</f>
        <v>N</v>
      </c>
      <c r="O212" s="2" t="str">
        <f>IFERROR(__xludf.DUMMYFUNCTION("""COMPUTED_VALUE"""),"none")</f>
        <v>none</v>
      </c>
    </row>
    <row r="213">
      <c r="A213" s="2" t="str">
        <f>IFERROR(__xludf.DUMMYFUNCTION("""COMPUTED_VALUE"""),"8719")</f>
        <v>8719</v>
      </c>
      <c r="B213" s="2" t="str">
        <f>IFERROR(__xludf.DUMMYFUNCTION("""COMPUTED_VALUE"""),"BETHLEHEM LUTHERAN PARISH")</f>
        <v>BETHLEHEM LUTHERAN PARISH</v>
      </c>
      <c r="C213" s="2" t="str">
        <f>IFERROR(__xludf.DUMMYFUNCTION("""COMPUTED_VALUE"""),"Private")</f>
        <v>Private</v>
      </c>
      <c r="D213" s="3">
        <f>IFERROR(__xludf.DUMMYFUNCTION("""COMPUTED_VALUE"""),1.0)</f>
        <v>1</v>
      </c>
      <c r="E213" s="3" t="str">
        <f>IFERROR(__xludf.DUMMYFUNCTION("""COMPUTED_VALUE"""),"N")</f>
        <v>N</v>
      </c>
      <c r="F213" s="3" t="str">
        <f>IFERROR(__xludf.DUMMYFUNCTION("""COMPUTED_VALUE"""),"Y")</f>
        <v>Y</v>
      </c>
      <c r="G213" s="3" t="str">
        <f>IFERROR(__xludf.DUMMYFUNCTION("""COMPUTED_VALUE"""),"N")</f>
        <v>N</v>
      </c>
      <c r="H213" s="3" t="str">
        <f>IFERROR(__xludf.DUMMYFUNCTION("""COMPUTED_VALUE"""),"N")</f>
        <v>N</v>
      </c>
      <c r="I213" s="3" t="str">
        <f>IFERROR(__xludf.DUMMYFUNCTION("""COMPUTED_VALUE"""),"N")</f>
        <v>N</v>
      </c>
      <c r="J213" s="2" t="str">
        <f>IFERROR(__xludf.DUMMYFUNCTION("""COMPUTED_VALUE"""),"N")</f>
        <v>N</v>
      </c>
      <c r="K213" s="3" t="str">
        <f>IFERROR(__xludf.DUMMYFUNCTION("""COMPUTED_VALUE"""),"Not eligibile")</f>
        <v>Not eligibile</v>
      </c>
      <c r="L213" s="2" t="str">
        <f>IFERROR(__xludf.DUMMYFUNCTION("""COMPUTED_VALUE"""),"N")</f>
        <v>N</v>
      </c>
      <c r="M213" s="2" t="str">
        <f>IFERROR(__xludf.DUMMYFUNCTION("""COMPUTED_VALUE"""),"N")</f>
        <v>N</v>
      </c>
      <c r="N213" s="2" t="str">
        <f>IFERROR(__xludf.DUMMYFUNCTION("""COMPUTED_VALUE"""),"N")</f>
        <v>N</v>
      </c>
      <c r="O213" s="2" t="str">
        <f>IFERROR(__xludf.DUMMYFUNCTION("""COMPUTED_VALUE"""),"none")</f>
        <v>none</v>
      </c>
    </row>
    <row r="214">
      <c r="A214" s="2" t="str">
        <f>IFERROR(__xludf.DUMMYFUNCTION("""COMPUTED_VALUE"""),"8741")</f>
        <v>8741</v>
      </c>
      <c r="B214" s="2" t="str">
        <f>IFERROR(__xludf.DUMMYFUNCTION("""COMPUTED_VALUE"""),"SHRINE OF ST. ANNE SCHOOL")</f>
        <v>SHRINE OF ST. ANNE SCHOOL</v>
      </c>
      <c r="C214" s="2" t="str">
        <f>IFERROR(__xludf.DUMMYFUNCTION("""COMPUTED_VALUE"""),"Private")</f>
        <v>Private</v>
      </c>
      <c r="D214" s="3">
        <f>IFERROR(__xludf.DUMMYFUNCTION("""COMPUTED_VALUE"""),1.0)</f>
        <v>1</v>
      </c>
      <c r="E214" s="3" t="str">
        <f>IFERROR(__xludf.DUMMYFUNCTION("""COMPUTED_VALUE"""),"N")</f>
        <v>N</v>
      </c>
      <c r="F214" s="3" t="str">
        <f>IFERROR(__xludf.DUMMYFUNCTION("""COMPUTED_VALUE"""),"N")</f>
        <v>N</v>
      </c>
      <c r="G214" s="3" t="str">
        <f>IFERROR(__xludf.DUMMYFUNCTION("""COMPUTED_VALUE"""),"Milk only")</f>
        <v>Milk only</v>
      </c>
      <c r="H214" s="3" t="str">
        <f>IFERROR(__xludf.DUMMYFUNCTION("""COMPUTED_VALUE"""),"N")</f>
        <v>N</v>
      </c>
      <c r="I214" s="3" t="str">
        <f>IFERROR(__xludf.DUMMYFUNCTION("""COMPUTED_VALUE"""),"N")</f>
        <v>N</v>
      </c>
      <c r="J214" s="2" t="str">
        <f>IFERROR(__xludf.DUMMYFUNCTION("""COMPUTED_VALUE"""),"N")</f>
        <v>N</v>
      </c>
      <c r="K214" s="3" t="str">
        <f>IFERROR(__xludf.DUMMYFUNCTION("""COMPUTED_VALUE"""),"Not eligibile")</f>
        <v>Not eligibile</v>
      </c>
      <c r="L214" s="2" t="str">
        <f>IFERROR(__xludf.DUMMYFUNCTION("""COMPUTED_VALUE"""),"N")</f>
        <v>N</v>
      </c>
      <c r="M214" s="2" t="str">
        <f>IFERROR(__xludf.DUMMYFUNCTION("""COMPUTED_VALUE"""),"N")</f>
        <v>N</v>
      </c>
      <c r="N214" s="2" t="str">
        <f>IFERROR(__xludf.DUMMYFUNCTION("""COMPUTED_VALUE"""),"N")</f>
        <v>N</v>
      </c>
      <c r="O214" s="2" t="str">
        <f>IFERROR(__xludf.DUMMYFUNCTION("""COMPUTED_VALUE"""),"none")</f>
        <v>none</v>
      </c>
    </row>
    <row r="215">
      <c r="A215" s="2" t="str">
        <f>IFERROR(__xludf.DUMMYFUNCTION("""COMPUTED_VALUE"""),"8743")</f>
        <v>8743</v>
      </c>
      <c r="B215" s="2" t="str">
        <f>IFERROR(__xludf.DUMMYFUNCTION("""COMPUTED_VALUE"""),"STS. PETER AND PAUL SCHOOL")</f>
        <v>STS. PETER AND PAUL SCHOOL</v>
      </c>
      <c r="C215" s="2" t="str">
        <f>IFERROR(__xludf.DUMMYFUNCTION("""COMPUTED_VALUE"""),"Other")</f>
        <v>Other</v>
      </c>
      <c r="D215" s="3">
        <f>IFERROR(__xludf.DUMMYFUNCTION("""COMPUTED_VALUE"""),1.0)</f>
        <v>1</v>
      </c>
      <c r="E215" s="3" t="str">
        <f>IFERROR(__xludf.DUMMYFUNCTION("""COMPUTED_VALUE"""),"N")</f>
        <v>N</v>
      </c>
      <c r="F215" s="3" t="str">
        <f>IFERROR(__xludf.DUMMYFUNCTION("""COMPUTED_VALUE"""),"N")</f>
        <v>N</v>
      </c>
      <c r="G215" s="3" t="str">
        <f>IFERROR(__xludf.DUMMYFUNCTION("""COMPUTED_VALUE"""),"Milk only")</f>
        <v>Milk only</v>
      </c>
      <c r="H215" s="3" t="str">
        <f>IFERROR(__xludf.DUMMYFUNCTION("""COMPUTED_VALUE"""),"N")</f>
        <v>N</v>
      </c>
      <c r="I215" s="3" t="str">
        <f>IFERROR(__xludf.DUMMYFUNCTION("""COMPUTED_VALUE"""),"N")</f>
        <v>N</v>
      </c>
      <c r="J215" s="2" t="str">
        <f>IFERROR(__xludf.DUMMYFUNCTION("""COMPUTED_VALUE"""),"N")</f>
        <v>N</v>
      </c>
      <c r="K215" s="3" t="str">
        <f>IFERROR(__xludf.DUMMYFUNCTION("""COMPUTED_VALUE"""),"Not eligibile")</f>
        <v>Not eligibile</v>
      </c>
      <c r="L215" s="2" t="str">
        <f>IFERROR(__xludf.DUMMYFUNCTION("""COMPUTED_VALUE"""),"N")</f>
        <v>N</v>
      </c>
      <c r="M215" s="2" t="str">
        <f>IFERROR(__xludf.DUMMYFUNCTION("""COMPUTED_VALUE"""),"N")</f>
        <v>N</v>
      </c>
      <c r="N215" s="2" t="str">
        <f>IFERROR(__xludf.DUMMYFUNCTION("""COMPUTED_VALUE"""),"N")</f>
        <v>N</v>
      </c>
      <c r="O215" s="2" t="str">
        <f>IFERROR(__xludf.DUMMYFUNCTION("""COMPUTED_VALUE"""),"none")</f>
        <v>none</v>
      </c>
    </row>
    <row r="216">
      <c r="A216" s="2" t="str">
        <f>IFERROR(__xludf.DUMMYFUNCTION("""COMPUTED_VALUE"""),"8759")</f>
        <v>8759</v>
      </c>
      <c r="B216" s="2" t="str">
        <f>IFERROR(__xludf.DUMMYFUNCTION("""COMPUTED_VALUE"""),"ST. JOHN THE EVANGELIST SCHOOL")</f>
        <v>ST. JOHN THE EVANGELIST SCHOOL</v>
      </c>
      <c r="C216" s="2" t="str">
        <f>IFERROR(__xludf.DUMMYFUNCTION("""COMPUTED_VALUE"""),"Private")</f>
        <v>Private</v>
      </c>
      <c r="D216" s="3">
        <f>IFERROR(__xludf.DUMMYFUNCTION("""COMPUTED_VALUE"""),1.0)</f>
        <v>1</v>
      </c>
      <c r="E216" s="3" t="str">
        <f>IFERROR(__xludf.DUMMYFUNCTION("""COMPUTED_VALUE"""),"N")</f>
        <v>N</v>
      </c>
      <c r="F216" s="3" t="str">
        <f>IFERROR(__xludf.DUMMYFUNCTION("""COMPUTED_VALUE"""),"Y")</f>
        <v>Y</v>
      </c>
      <c r="G216" s="3" t="str">
        <f>IFERROR(__xludf.DUMMYFUNCTION("""COMPUTED_VALUE"""),"N")</f>
        <v>N</v>
      </c>
      <c r="H216" s="3" t="str">
        <f>IFERROR(__xludf.DUMMYFUNCTION("""COMPUTED_VALUE"""),"N")</f>
        <v>N</v>
      </c>
      <c r="I216" s="3" t="str">
        <f>IFERROR(__xludf.DUMMYFUNCTION("""COMPUTED_VALUE"""),"N")</f>
        <v>N</v>
      </c>
      <c r="J216" s="2" t="str">
        <f>IFERROR(__xludf.DUMMYFUNCTION("""COMPUTED_VALUE"""),"N")</f>
        <v>N</v>
      </c>
      <c r="K216" s="3" t="str">
        <f>IFERROR(__xludf.DUMMYFUNCTION("""COMPUTED_VALUE"""),"Not eligibile")</f>
        <v>Not eligibile</v>
      </c>
      <c r="L216" s="2" t="str">
        <f>IFERROR(__xludf.DUMMYFUNCTION("""COMPUTED_VALUE"""),"N")</f>
        <v>N</v>
      </c>
      <c r="M216" s="2" t="str">
        <f>IFERROR(__xludf.DUMMYFUNCTION("""COMPUTED_VALUE"""),"N")</f>
        <v>N</v>
      </c>
      <c r="N216" s="2" t="str">
        <f>IFERROR(__xludf.DUMMYFUNCTION("""COMPUTED_VALUE"""),"N")</f>
        <v>N</v>
      </c>
      <c r="O216" s="2" t="str">
        <f>IFERROR(__xludf.DUMMYFUNCTION("""COMPUTED_VALUE"""),"none")</f>
        <v>none</v>
      </c>
    </row>
    <row r="217">
      <c r="A217" s="2" t="str">
        <f>IFERROR(__xludf.DUMMYFUNCTION("""COMPUTED_VALUE"""),"8761")</f>
        <v>8761</v>
      </c>
      <c r="B217" s="2" t="str">
        <f>IFERROR(__xludf.DUMMYFUNCTION("""COMPUTED_VALUE"""),"Cornell Corrections of California")</f>
        <v>Cornell Corrections of California</v>
      </c>
      <c r="C217" s="2" t="str">
        <f>IFERROR(__xludf.DUMMYFUNCTION("""COMPUTED_VALUE"""),"RCCI")</f>
        <v>RCCI</v>
      </c>
      <c r="D217" s="3">
        <f>IFERROR(__xludf.DUMMYFUNCTION("""COMPUTED_VALUE"""),1.0)</f>
        <v>1</v>
      </c>
      <c r="E217" s="3" t="str">
        <f>IFERROR(__xludf.DUMMYFUNCTION("""COMPUTED_VALUE"""),"Y")</f>
        <v>Y</v>
      </c>
      <c r="F217" s="3" t="str">
        <f>IFERROR(__xludf.DUMMYFUNCTION("""COMPUTED_VALUE"""),"Y")</f>
        <v>Y</v>
      </c>
      <c r="G217" s="3" t="str">
        <f>IFERROR(__xludf.DUMMYFUNCTION("""COMPUTED_VALUE"""),"N")</f>
        <v>N</v>
      </c>
      <c r="H217" s="3" t="str">
        <f>IFERROR(__xludf.DUMMYFUNCTION("""COMPUTED_VALUE"""),"Y")</f>
        <v>Y</v>
      </c>
      <c r="I217" s="3" t="str">
        <f>IFERROR(__xludf.DUMMYFUNCTION("""COMPUTED_VALUE"""),"N")</f>
        <v>N</v>
      </c>
      <c r="J217" s="2" t="str">
        <f>IFERROR(__xludf.DUMMYFUNCTION("""COMPUTED_VALUE"""),"N")</f>
        <v>N</v>
      </c>
      <c r="K217" s="3" t="str">
        <f>IFERROR(__xludf.DUMMYFUNCTION("""COMPUTED_VALUE"""),"Y")</f>
        <v>Y</v>
      </c>
      <c r="L217" s="2" t="str">
        <f>IFERROR(__xludf.DUMMYFUNCTION("""COMPUTED_VALUE"""),"N")</f>
        <v>N</v>
      </c>
      <c r="M217" s="2" t="str">
        <f>IFERROR(__xludf.DUMMYFUNCTION("""COMPUTED_VALUE"""),"N")</f>
        <v>N</v>
      </c>
      <c r="N217" s="2" t="str">
        <f>IFERROR(__xludf.DUMMYFUNCTION("""COMPUTED_VALUE"""),"N")</f>
        <v>N</v>
      </c>
      <c r="O217" s="2" t="str">
        <f>IFERROR(__xludf.DUMMYFUNCTION("""COMPUTED_VALUE"""),"none")</f>
        <v>none</v>
      </c>
    </row>
    <row r="218">
      <c r="A218" s="2" t="str">
        <f>IFERROR(__xludf.DUMMYFUNCTION("""COMPUTED_VALUE"""),"9000")</f>
        <v>9000</v>
      </c>
      <c r="B218" s="2" t="str">
        <f>IFERROR(__xludf.DUMMYFUNCTION("""COMPUTED_VALUE"""),"COLO SCHOOL F/T DEAF AND THE BLIND")</f>
        <v>COLO SCHOOL F/T DEAF AND THE BLIND</v>
      </c>
      <c r="C218" s="2" t="str">
        <f>IFERROR(__xludf.DUMMYFUNCTION("""COMPUTED_VALUE"""),"RCCI")</f>
        <v>RCCI</v>
      </c>
      <c r="D218" s="3">
        <f>IFERROR(__xludf.DUMMYFUNCTION("""COMPUTED_VALUE"""),1.0)</f>
        <v>1</v>
      </c>
      <c r="E218" s="3" t="str">
        <f>IFERROR(__xludf.DUMMYFUNCTION("""COMPUTED_VALUE"""),"Y")</f>
        <v>Y</v>
      </c>
      <c r="F218" s="3" t="str">
        <f>IFERROR(__xludf.DUMMYFUNCTION("""COMPUTED_VALUE"""),"Y")</f>
        <v>Y</v>
      </c>
      <c r="G218" s="3" t="str">
        <f>IFERROR(__xludf.DUMMYFUNCTION("""COMPUTED_VALUE"""),"N")</f>
        <v>N</v>
      </c>
      <c r="H218" s="3" t="str">
        <f>IFERROR(__xludf.DUMMYFUNCTION("""COMPUTED_VALUE"""),"N")</f>
        <v>N</v>
      </c>
      <c r="I218" s="3" t="str">
        <f>IFERROR(__xludf.DUMMYFUNCTION("""COMPUTED_VALUE"""),"N")</f>
        <v>N</v>
      </c>
      <c r="J218" s="2" t="str">
        <f>IFERROR(__xludf.DUMMYFUNCTION("""COMPUTED_VALUE"""),"N")</f>
        <v>N</v>
      </c>
      <c r="K218" s="3" t="str">
        <f>IFERROR(__xludf.DUMMYFUNCTION("""COMPUTED_VALUE"""),"Y")</f>
        <v>Y</v>
      </c>
      <c r="L218" s="2" t="str">
        <f>IFERROR(__xludf.DUMMYFUNCTION("""COMPUTED_VALUE"""),"N")</f>
        <v>N</v>
      </c>
      <c r="M218" s="2" t="str">
        <f>IFERROR(__xludf.DUMMYFUNCTION("""COMPUTED_VALUE"""),"N")</f>
        <v>N</v>
      </c>
      <c r="N218" s="2" t="str">
        <f>IFERROR(__xludf.DUMMYFUNCTION("""COMPUTED_VALUE"""),"N")</f>
        <v>N</v>
      </c>
      <c r="O218" s="2" t="str">
        <f>IFERROR(__xludf.DUMMYFUNCTION("""COMPUTED_VALUE"""),"none")</f>
        <v>none</v>
      </c>
    </row>
    <row r="219">
      <c r="A219" s="2" t="str">
        <f>IFERROR(__xludf.DUMMYFUNCTION("""COMPUTED_VALUE"""),"9589")</f>
        <v>9589</v>
      </c>
      <c r="B219" s="2" t="str">
        <f>IFERROR(__xludf.DUMMYFUNCTION("""COMPUTED_VALUE"""),"Windsor Charter Academy")</f>
        <v>Windsor Charter Academy</v>
      </c>
      <c r="C219" s="2" t="str">
        <f>IFERROR(__xludf.DUMMYFUNCTION("""COMPUTED_VALUE"""),"Charter")</f>
        <v>Charter</v>
      </c>
      <c r="D219" s="3">
        <f>IFERROR(__xludf.DUMMYFUNCTION("""COMPUTED_VALUE"""),3.0)</f>
        <v>3</v>
      </c>
      <c r="E219" s="3" t="str">
        <f>IFERROR(__xludf.DUMMYFUNCTION("""COMPUTED_VALUE"""),"Y")</f>
        <v>Y</v>
      </c>
      <c r="F219" s="3" t="str">
        <f>IFERROR(__xludf.DUMMYFUNCTION("""COMPUTED_VALUE"""),"Y")</f>
        <v>Y</v>
      </c>
      <c r="G219" s="3" t="str">
        <f>IFERROR(__xludf.DUMMYFUNCTION("""COMPUTED_VALUE"""),"N")</f>
        <v>N</v>
      </c>
      <c r="H219" s="3" t="str">
        <f>IFERROR(__xludf.DUMMYFUNCTION("""COMPUTED_VALUE"""),"N")</f>
        <v>N</v>
      </c>
      <c r="I219" s="3" t="str">
        <f>IFERROR(__xludf.DUMMYFUNCTION("""COMPUTED_VALUE"""),"N")</f>
        <v>N</v>
      </c>
      <c r="J219" s="2" t="str">
        <f>IFERROR(__xludf.DUMMYFUNCTION("""COMPUTED_VALUE"""),"N")</f>
        <v>N</v>
      </c>
      <c r="K219" s="3" t="str">
        <f>IFERROR(__xludf.DUMMYFUNCTION("""COMPUTED_VALUE"""),"Y")</f>
        <v>Y</v>
      </c>
      <c r="L219" s="2" t="str">
        <f>IFERROR(__xludf.DUMMYFUNCTION("""COMPUTED_VALUE"""),"N")</f>
        <v>N</v>
      </c>
      <c r="M219" s="2" t="str">
        <f>IFERROR(__xludf.DUMMYFUNCTION("""COMPUTED_VALUE"""),"N")</f>
        <v>N</v>
      </c>
      <c r="N219" s="2" t="str">
        <f>IFERROR(__xludf.DUMMYFUNCTION("""COMPUTED_VALUE"""),"N")</f>
        <v>N</v>
      </c>
      <c r="O219" s="2" t="str">
        <f>IFERROR(__xludf.DUMMYFUNCTION("""COMPUTED_VALUE"""),"none")</f>
        <v>none</v>
      </c>
    </row>
    <row r="220">
      <c r="A220" s="2"/>
      <c r="B220" s="2"/>
      <c r="C220" s="2"/>
      <c r="D220" s="3"/>
      <c r="E220" s="3"/>
      <c r="F220" s="3"/>
      <c r="G220" s="3"/>
      <c r="H220" s="3"/>
      <c r="I220" s="3"/>
      <c r="J220" s="2"/>
      <c r="K220" s="3"/>
      <c r="L220" s="2"/>
      <c r="M220" s="2"/>
      <c r="N220" s="2"/>
      <c r="O220" s="2" t="str">
        <f>IFERROR(__xludf.DUMMYFUNCTION("""COMPUTED_VALUE"""),"")</f>
        <v/>
      </c>
    </row>
    <row r="221">
      <c r="A221" s="2"/>
      <c r="B221" s="2"/>
      <c r="C221" s="2"/>
      <c r="D221" s="3"/>
      <c r="E221" s="3"/>
      <c r="F221" s="3"/>
      <c r="G221" s="3"/>
      <c r="H221" s="3"/>
      <c r="I221" s="3"/>
      <c r="J221" s="2"/>
      <c r="K221" s="3"/>
      <c r="L221" s="2"/>
      <c r="M221" s="2"/>
      <c r="N221" s="2"/>
      <c r="O221" s="2" t="str">
        <f>IFERROR(__xludf.DUMMYFUNCTION("""COMPUTED_VALUE"""),"")</f>
        <v/>
      </c>
    </row>
    <row r="222">
      <c r="A222" s="2"/>
      <c r="B222" s="2"/>
      <c r="C222" s="2"/>
      <c r="D222" s="3"/>
      <c r="E222" s="3"/>
      <c r="F222" s="3"/>
      <c r="G222" s="3"/>
      <c r="H222" s="3"/>
      <c r="I222" s="3"/>
      <c r="J222" s="2"/>
      <c r="K222" s="3"/>
      <c r="L222" s="2"/>
      <c r="M222" s="2"/>
      <c r="N222" s="2"/>
      <c r="O222" s="2" t="str">
        <f>IFERROR(__xludf.DUMMYFUNCTION("""COMPUTED_VALUE"""),"")</f>
        <v/>
      </c>
    </row>
    <row r="223">
      <c r="A223" s="2"/>
      <c r="B223" s="2"/>
      <c r="C223" s="2"/>
      <c r="D223" s="3"/>
      <c r="E223" s="3"/>
      <c r="F223" s="3"/>
      <c r="G223" s="3"/>
      <c r="H223" s="3"/>
      <c r="I223" s="3"/>
      <c r="J223" s="2"/>
      <c r="K223" s="3"/>
      <c r="L223" s="2"/>
      <c r="M223" s="2"/>
      <c r="N223" s="2"/>
      <c r="O223" s="2" t="str">
        <f>IFERROR(__xludf.DUMMYFUNCTION("""COMPUTED_VALUE"""),"")</f>
        <v/>
      </c>
    </row>
    <row r="224">
      <c r="A224" s="2"/>
      <c r="B224" s="2"/>
      <c r="C224" s="2"/>
      <c r="D224" s="3"/>
      <c r="E224" s="3"/>
      <c r="F224" s="3"/>
      <c r="G224" s="3"/>
      <c r="H224" s="3"/>
      <c r="I224" s="3"/>
      <c r="J224" s="2"/>
      <c r="K224" s="3"/>
      <c r="L224" s="2"/>
      <c r="M224" s="2"/>
      <c r="N224" s="2"/>
      <c r="O224" s="2" t="str">
        <f>IFERROR(__xludf.DUMMYFUNCTION("""COMPUTED_VALUE"""),"")</f>
        <v/>
      </c>
    </row>
    <row r="225">
      <c r="A225" s="2"/>
      <c r="B225" s="2"/>
      <c r="C225" s="2"/>
      <c r="D225" s="3"/>
      <c r="E225" s="3"/>
      <c r="F225" s="3"/>
      <c r="G225" s="3"/>
      <c r="H225" s="3"/>
      <c r="I225" s="3"/>
      <c r="J225" s="2"/>
      <c r="K225" s="3"/>
      <c r="L225" s="2"/>
      <c r="M225" s="2"/>
      <c r="N225" s="2"/>
      <c r="O225" s="2" t="str">
        <f>IFERROR(__xludf.DUMMYFUNCTION("""COMPUTED_VALUE"""),"")</f>
        <v/>
      </c>
    </row>
    <row r="226">
      <c r="A226" s="2"/>
      <c r="B226" s="2"/>
      <c r="C226" s="2"/>
      <c r="D226" s="3"/>
      <c r="E226" s="3"/>
      <c r="F226" s="3"/>
      <c r="G226" s="3"/>
      <c r="H226" s="3"/>
      <c r="I226" s="3"/>
      <c r="J226" s="2"/>
      <c r="K226" s="3"/>
      <c r="L226" s="2"/>
      <c r="M226" s="2"/>
      <c r="N226" s="2"/>
      <c r="O226" s="2" t="str">
        <f>IFERROR(__xludf.DUMMYFUNCTION("""COMPUTED_VALUE"""),"")</f>
        <v/>
      </c>
    </row>
    <row r="227">
      <c r="A227" s="2"/>
      <c r="B227" s="2"/>
      <c r="C227" s="2"/>
      <c r="D227" s="3"/>
      <c r="E227" s="3"/>
      <c r="F227" s="3"/>
      <c r="G227" s="3"/>
      <c r="H227" s="3"/>
      <c r="I227" s="3"/>
      <c r="J227" s="2"/>
      <c r="K227" s="3"/>
      <c r="L227" s="2"/>
      <c r="M227" s="2"/>
      <c r="N227" s="2"/>
      <c r="O227" s="2" t="str">
        <f>IFERROR(__xludf.DUMMYFUNCTION("""COMPUTED_VALUE"""),"")</f>
        <v/>
      </c>
    </row>
    <row r="228">
      <c r="A228" s="2"/>
      <c r="B228" s="2"/>
      <c r="C228" s="2"/>
      <c r="D228" s="3"/>
      <c r="E228" s="3"/>
      <c r="F228" s="3"/>
      <c r="G228" s="3"/>
      <c r="H228" s="3"/>
      <c r="I228" s="3"/>
      <c r="J228" s="2"/>
      <c r="K228" s="3"/>
      <c r="L228" s="2"/>
      <c r="M228" s="2"/>
      <c r="N228" s="2"/>
      <c r="O228" s="2" t="str">
        <f>IFERROR(__xludf.DUMMYFUNCTION("""COMPUTED_VALUE"""),"")</f>
        <v/>
      </c>
    </row>
    <row r="229">
      <c r="A229" s="2"/>
      <c r="B229" s="2"/>
      <c r="C229" s="2"/>
      <c r="D229" s="3"/>
      <c r="E229" s="3"/>
      <c r="F229" s="3"/>
      <c r="G229" s="3"/>
      <c r="H229" s="3"/>
      <c r="I229" s="3"/>
      <c r="J229" s="2"/>
      <c r="K229" s="3"/>
      <c r="L229" s="2"/>
      <c r="M229" s="2"/>
      <c r="N229" s="2"/>
      <c r="O229" s="2" t="str">
        <f>IFERROR(__xludf.DUMMYFUNCTION("""COMPUTED_VALUE"""),"")</f>
        <v/>
      </c>
    </row>
    <row r="230">
      <c r="A230" s="2"/>
      <c r="B230" s="2"/>
      <c r="C230" s="2"/>
      <c r="D230" s="3"/>
      <c r="E230" s="3"/>
      <c r="F230" s="3"/>
      <c r="G230" s="3"/>
      <c r="H230" s="3"/>
      <c r="I230" s="3"/>
      <c r="J230" s="2"/>
      <c r="K230" s="3"/>
      <c r="L230" s="2"/>
      <c r="M230" s="2"/>
      <c r="N230" s="2"/>
      <c r="O230" s="2" t="str">
        <f>IFERROR(__xludf.DUMMYFUNCTION("""COMPUTED_VALUE"""),"")</f>
        <v/>
      </c>
    </row>
    <row r="231">
      <c r="A231" s="2"/>
      <c r="B231" s="2"/>
      <c r="C231" s="2"/>
      <c r="D231" s="3"/>
      <c r="E231" s="3"/>
      <c r="F231" s="3"/>
      <c r="G231" s="3"/>
      <c r="H231" s="3"/>
      <c r="I231" s="3"/>
      <c r="J231" s="2"/>
      <c r="K231" s="3"/>
      <c r="L231" s="2"/>
      <c r="M231" s="2"/>
      <c r="N231" s="2"/>
      <c r="O231" s="2" t="str">
        <f>IFERROR(__xludf.DUMMYFUNCTION("""COMPUTED_VALUE"""),"")</f>
        <v/>
      </c>
    </row>
    <row r="232">
      <c r="A232" s="2"/>
      <c r="B232" s="2"/>
      <c r="C232" s="2"/>
      <c r="D232" s="3"/>
      <c r="E232" s="3"/>
      <c r="F232" s="3"/>
      <c r="G232" s="3"/>
      <c r="H232" s="3"/>
      <c r="I232" s="3"/>
      <c r="J232" s="2"/>
      <c r="K232" s="3"/>
      <c r="L232" s="2"/>
      <c r="M232" s="2"/>
      <c r="N232" s="2"/>
      <c r="O232" s="2" t="str">
        <f>IFERROR(__xludf.DUMMYFUNCTION("""COMPUTED_VALUE"""),"")</f>
        <v/>
      </c>
    </row>
    <row r="233">
      <c r="A233" s="2"/>
      <c r="B233" s="2"/>
      <c r="C233" s="2"/>
      <c r="D233" s="3"/>
      <c r="E233" s="3"/>
      <c r="F233" s="3"/>
      <c r="G233" s="3"/>
      <c r="H233" s="3"/>
      <c r="I233" s="3"/>
      <c r="J233" s="2"/>
      <c r="K233" s="3"/>
      <c r="L233" s="2"/>
      <c r="M233" s="2"/>
      <c r="N233" s="2"/>
      <c r="O233" s="2" t="str">
        <f>IFERROR(__xludf.DUMMYFUNCTION("""COMPUTED_VALUE"""),"")</f>
        <v/>
      </c>
    </row>
    <row r="234">
      <c r="A234" s="2"/>
      <c r="B234" s="2"/>
      <c r="C234" s="2"/>
      <c r="D234" s="3"/>
      <c r="E234" s="3"/>
      <c r="F234" s="3"/>
      <c r="G234" s="3"/>
      <c r="H234" s="3"/>
      <c r="I234" s="3"/>
      <c r="J234" s="2"/>
      <c r="K234" s="3"/>
      <c r="L234" s="2"/>
      <c r="M234" s="2"/>
      <c r="N234" s="2"/>
      <c r="O234" s="2"/>
    </row>
    <row r="235">
      <c r="A235" s="2"/>
      <c r="B235" s="2"/>
      <c r="C235" s="2"/>
      <c r="D235" s="3"/>
      <c r="E235" s="3"/>
      <c r="F235" s="3"/>
      <c r="G235" s="3"/>
      <c r="H235" s="3"/>
      <c r="I235" s="3"/>
      <c r="J235" s="2"/>
      <c r="K235" s="3"/>
      <c r="L235" s="2"/>
      <c r="M235" s="2"/>
      <c r="N235" s="2"/>
      <c r="O235" s="2"/>
    </row>
    <row r="236">
      <c r="A236" s="2"/>
      <c r="B236" s="2"/>
      <c r="C236" s="2"/>
      <c r="D236" s="3"/>
      <c r="E236" s="3"/>
      <c r="F236" s="3"/>
      <c r="G236" s="3"/>
      <c r="H236" s="3"/>
      <c r="I236" s="3"/>
      <c r="J236" s="2"/>
      <c r="K236" s="3"/>
      <c r="L236" s="2"/>
      <c r="M236" s="2"/>
      <c r="N236" s="2"/>
      <c r="O236" s="2"/>
    </row>
    <row r="237">
      <c r="A237" s="2"/>
      <c r="B237" s="2"/>
      <c r="C237" s="2"/>
      <c r="D237" s="3"/>
      <c r="E237" s="3"/>
      <c r="F237" s="3"/>
      <c r="G237" s="3"/>
      <c r="H237" s="3"/>
      <c r="I237" s="3"/>
      <c r="J237" s="2"/>
      <c r="K237" s="3"/>
      <c r="L237" s="2"/>
      <c r="M237" s="2"/>
      <c r="N237" s="2"/>
      <c r="O237" s="2"/>
    </row>
    <row r="238">
      <c r="A238" s="2"/>
      <c r="B238" s="2"/>
      <c r="C238" s="2"/>
      <c r="D238" s="3"/>
      <c r="E238" s="3"/>
      <c r="F238" s="3"/>
      <c r="G238" s="3"/>
      <c r="H238" s="3"/>
      <c r="I238" s="3"/>
      <c r="J238" s="2"/>
      <c r="K238" s="3"/>
      <c r="L238" s="2"/>
      <c r="M238" s="2"/>
      <c r="N238" s="2"/>
      <c r="O238" s="2"/>
    </row>
    <row r="239">
      <c r="A239" s="2"/>
      <c r="B239" s="2"/>
      <c r="C239" s="2"/>
      <c r="D239" s="3"/>
      <c r="E239" s="3"/>
      <c r="F239" s="3"/>
      <c r="G239" s="3"/>
      <c r="H239" s="3"/>
      <c r="I239" s="3"/>
      <c r="J239" s="2"/>
      <c r="K239" s="3"/>
      <c r="L239" s="2"/>
      <c r="M239" s="2"/>
      <c r="N239" s="2"/>
      <c r="O239" s="2"/>
    </row>
    <row r="240">
      <c r="A240" s="2"/>
      <c r="B240" s="2"/>
      <c r="C240" s="2"/>
      <c r="D240" s="3"/>
      <c r="E240" s="3"/>
      <c r="F240" s="3"/>
      <c r="G240" s="3"/>
      <c r="H240" s="3"/>
      <c r="I240" s="3"/>
      <c r="J240" s="2"/>
      <c r="K240" s="3"/>
      <c r="L240" s="2"/>
      <c r="M240" s="2"/>
      <c r="N240" s="2"/>
      <c r="O240" s="2"/>
    </row>
    <row r="241">
      <c r="A241" s="2"/>
      <c r="B241" s="2"/>
      <c r="C241" s="2"/>
      <c r="D241" s="3"/>
      <c r="E241" s="3"/>
      <c r="F241" s="3"/>
      <c r="G241" s="3"/>
      <c r="H241" s="3"/>
      <c r="I241" s="3"/>
      <c r="J241" s="2"/>
      <c r="K241" s="3"/>
      <c r="L241" s="2"/>
      <c r="M241" s="2"/>
      <c r="N241" s="2"/>
      <c r="O241" s="2"/>
    </row>
    <row r="242">
      <c r="A242" s="2"/>
      <c r="B242" s="2"/>
      <c r="C242" s="2"/>
      <c r="D242" s="3"/>
      <c r="E242" s="3"/>
      <c r="F242" s="3"/>
      <c r="G242" s="3"/>
      <c r="H242" s="3"/>
      <c r="I242" s="3"/>
      <c r="J242" s="2"/>
      <c r="K242" s="3"/>
      <c r="L242" s="2"/>
      <c r="M242" s="2"/>
      <c r="N242" s="2"/>
      <c r="O242" s="2"/>
    </row>
    <row r="243">
      <c r="A243" s="2"/>
      <c r="B243" s="2"/>
      <c r="C243" s="2"/>
      <c r="D243" s="3"/>
      <c r="E243" s="3"/>
      <c r="F243" s="3"/>
      <c r="G243" s="3"/>
      <c r="H243" s="3"/>
      <c r="I243" s="3"/>
      <c r="J243" s="2"/>
      <c r="K243" s="3"/>
      <c r="L243" s="2"/>
      <c r="M243" s="2"/>
      <c r="N243" s="2"/>
      <c r="O243" s="2"/>
    </row>
    <row r="244">
      <c r="A244" s="2"/>
      <c r="B244" s="2"/>
      <c r="C244" s="2"/>
      <c r="D244" s="3"/>
      <c r="E244" s="3"/>
      <c r="F244" s="3"/>
      <c r="G244" s="3"/>
      <c r="H244" s="3"/>
      <c r="I244" s="3"/>
      <c r="J244" s="2"/>
      <c r="K244" s="3"/>
      <c r="L244" s="2"/>
      <c r="M244" s="2"/>
      <c r="N244" s="2"/>
      <c r="O244" s="2"/>
    </row>
    <row r="245">
      <c r="A245" s="2"/>
      <c r="B245" s="2"/>
      <c r="C245" s="2"/>
      <c r="D245" s="3"/>
      <c r="E245" s="3"/>
      <c r="F245" s="3"/>
      <c r="G245" s="3"/>
      <c r="H245" s="3"/>
      <c r="I245" s="3"/>
      <c r="J245" s="2"/>
      <c r="K245" s="3"/>
      <c r="L245" s="2"/>
      <c r="M245" s="2"/>
      <c r="N245" s="2"/>
      <c r="O245" s="2"/>
    </row>
    <row r="246">
      <c r="A246" s="2"/>
      <c r="B246" s="2"/>
      <c r="C246" s="2"/>
      <c r="D246" s="3"/>
      <c r="E246" s="3"/>
      <c r="F246" s="3"/>
      <c r="G246" s="3"/>
      <c r="H246" s="3"/>
      <c r="I246" s="3"/>
      <c r="J246" s="2"/>
      <c r="K246" s="3"/>
      <c r="L246" s="2"/>
      <c r="M246" s="2"/>
      <c r="N246" s="2"/>
      <c r="O246" s="2"/>
    </row>
    <row r="247">
      <c r="A247" s="2"/>
      <c r="B247" s="2"/>
      <c r="C247" s="2"/>
      <c r="D247" s="3"/>
      <c r="E247" s="3"/>
      <c r="F247" s="3"/>
      <c r="G247" s="3"/>
      <c r="H247" s="3"/>
      <c r="I247" s="3"/>
      <c r="J247" s="2"/>
      <c r="K247" s="3"/>
      <c r="L247" s="2"/>
      <c r="M247" s="2"/>
      <c r="N247" s="2"/>
      <c r="O247" s="2"/>
    </row>
    <row r="248">
      <c r="A248" s="2"/>
      <c r="B248" s="2"/>
      <c r="C248" s="2"/>
      <c r="D248" s="3"/>
      <c r="E248" s="3"/>
      <c r="F248" s="3"/>
      <c r="G248" s="3"/>
      <c r="H248" s="3"/>
      <c r="I248" s="3"/>
      <c r="J248" s="2"/>
      <c r="K248" s="3"/>
      <c r="L248" s="2"/>
      <c r="M248" s="2"/>
      <c r="N248" s="2"/>
      <c r="O248" s="2"/>
    </row>
    <row r="249">
      <c r="A249" s="2"/>
      <c r="B249" s="2"/>
      <c r="C249" s="2"/>
      <c r="D249" s="3"/>
      <c r="E249" s="3"/>
      <c r="F249" s="3"/>
      <c r="G249" s="3"/>
      <c r="H249" s="3"/>
      <c r="I249" s="3"/>
      <c r="J249" s="2"/>
      <c r="K249" s="3"/>
      <c r="L249" s="2"/>
      <c r="M249" s="2"/>
      <c r="N249" s="2"/>
      <c r="O249" s="2"/>
    </row>
    <row r="250">
      <c r="A250" s="2"/>
      <c r="B250" s="2"/>
      <c r="C250" s="2"/>
      <c r="D250" s="3"/>
      <c r="E250" s="3"/>
      <c r="F250" s="3"/>
      <c r="G250" s="3"/>
      <c r="H250" s="3"/>
      <c r="I250" s="3"/>
      <c r="J250" s="2"/>
      <c r="K250" s="3"/>
      <c r="L250" s="2"/>
      <c r="M250" s="2"/>
      <c r="N250" s="2"/>
      <c r="O250" s="2"/>
    </row>
    <row r="251">
      <c r="A251" s="2"/>
      <c r="B251" s="2"/>
      <c r="C251" s="2"/>
      <c r="D251" s="3"/>
      <c r="E251" s="3"/>
      <c r="F251" s="3"/>
      <c r="G251" s="3"/>
      <c r="H251" s="3"/>
      <c r="I251" s="3"/>
      <c r="J251" s="2"/>
      <c r="K251" s="3"/>
      <c r="L251" s="2"/>
      <c r="M251" s="2"/>
      <c r="N251" s="2"/>
      <c r="O251" s="2"/>
    </row>
    <row r="252">
      <c r="A252" s="2"/>
      <c r="B252" s="2"/>
      <c r="C252" s="2"/>
      <c r="D252" s="3"/>
      <c r="E252" s="3"/>
      <c r="F252" s="3"/>
      <c r="G252" s="3"/>
      <c r="H252" s="3"/>
      <c r="I252" s="3"/>
      <c r="J252" s="2"/>
      <c r="K252" s="3"/>
      <c r="L252" s="2"/>
      <c r="M252" s="2"/>
      <c r="N252" s="2"/>
      <c r="O252" s="2"/>
    </row>
    <row r="253">
      <c r="A253" s="2"/>
      <c r="B253" s="2"/>
      <c r="C253" s="2"/>
      <c r="D253" s="3"/>
      <c r="E253" s="3"/>
      <c r="F253" s="3"/>
      <c r="G253" s="3"/>
      <c r="H253" s="3"/>
      <c r="I253" s="3"/>
      <c r="J253" s="2"/>
      <c r="K253" s="3"/>
      <c r="L253" s="2"/>
      <c r="M253" s="2"/>
      <c r="N253" s="2"/>
      <c r="O253" s="2"/>
    </row>
    <row r="254">
      <c r="A254" s="2"/>
      <c r="B254" s="2"/>
      <c r="C254" s="2"/>
      <c r="D254" s="3"/>
      <c r="E254" s="3"/>
      <c r="F254" s="3"/>
      <c r="G254" s="3"/>
      <c r="H254" s="3"/>
      <c r="I254" s="3"/>
      <c r="J254" s="2"/>
      <c r="K254" s="3"/>
      <c r="L254" s="2"/>
      <c r="M254" s="2"/>
      <c r="N254" s="2"/>
      <c r="O254" s="2"/>
    </row>
    <row r="255">
      <c r="A255" s="2"/>
      <c r="B255" s="2"/>
      <c r="C255" s="2"/>
      <c r="D255" s="3"/>
      <c r="E255" s="3"/>
      <c r="F255" s="3"/>
      <c r="G255" s="3"/>
      <c r="H255" s="3"/>
      <c r="I255" s="3"/>
      <c r="J255" s="2"/>
      <c r="K255" s="3"/>
      <c r="L255" s="2"/>
      <c r="M255" s="2"/>
      <c r="N255" s="2"/>
      <c r="O255" s="2"/>
    </row>
    <row r="256">
      <c r="A256" s="2"/>
      <c r="B256" s="2"/>
      <c r="C256" s="2"/>
      <c r="D256" s="3"/>
      <c r="E256" s="3"/>
      <c r="F256" s="3"/>
      <c r="G256" s="3"/>
      <c r="H256" s="3"/>
      <c r="I256" s="3"/>
      <c r="J256" s="2"/>
      <c r="K256" s="3"/>
      <c r="L256" s="2"/>
      <c r="M256" s="2"/>
      <c r="N256" s="2"/>
      <c r="O256" s="2"/>
    </row>
    <row r="257">
      <c r="A257" s="2"/>
      <c r="B257" s="2"/>
      <c r="C257" s="2"/>
      <c r="D257" s="3"/>
      <c r="E257" s="3"/>
      <c r="F257" s="3"/>
      <c r="G257" s="3"/>
      <c r="H257" s="3"/>
      <c r="I257" s="3"/>
      <c r="J257" s="2"/>
      <c r="K257" s="3"/>
      <c r="L257" s="2"/>
      <c r="M257" s="2"/>
      <c r="N257" s="2"/>
      <c r="O257" s="2"/>
    </row>
    <row r="258">
      <c r="A258" s="2"/>
      <c r="B258" s="2"/>
      <c r="C258" s="2"/>
      <c r="D258" s="3"/>
      <c r="E258" s="3"/>
      <c r="F258" s="3"/>
      <c r="G258" s="3"/>
      <c r="H258" s="3"/>
      <c r="I258" s="3"/>
      <c r="J258" s="2"/>
      <c r="K258" s="3"/>
      <c r="L258" s="2"/>
      <c r="M258" s="2"/>
      <c r="N258" s="2"/>
      <c r="O258" s="2"/>
    </row>
    <row r="259">
      <c r="A259" s="2"/>
      <c r="B259" s="2"/>
      <c r="C259" s="2"/>
      <c r="D259" s="3"/>
      <c r="E259" s="3"/>
      <c r="F259" s="3"/>
      <c r="G259" s="3"/>
      <c r="H259" s="3"/>
      <c r="I259" s="3"/>
      <c r="J259" s="2"/>
      <c r="K259" s="3"/>
      <c r="L259" s="2"/>
      <c r="M259" s="2"/>
      <c r="N259" s="2"/>
      <c r="O259" s="2"/>
    </row>
    <row r="260">
      <c r="A260" s="2"/>
      <c r="B260" s="2"/>
      <c r="C260" s="2"/>
      <c r="D260" s="3"/>
      <c r="E260" s="3"/>
      <c r="F260" s="3"/>
      <c r="G260" s="3"/>
      <c r="H260" s="3"/>
      <c r="I260" s="3"/>
      <c r="J260" s="2"/>
      <c r="K260" s="3"/>
      <c r="L260" s="2"/>
      <c r="M260" s="2"/>
      <c r="N260" s="2"/>
      <c r="O260" s="2"/>
    </row>
    <row r="261">
      <c r="A261" s="2"/>
      <c r="B261" s="2"/>
      <c r="C261" s="2"/>
      <c r="D261" s="3"/>
      <c r="E261" s="3"/>
      <c r="F261" s="3"/>
      <c r="G261" s="3"/>
      <c r="H261" s="3"/>
      <c r="I261" s="3"/>
      <c r="J261" s="2"/>
      <c r="K261" s="3"/>
      <c r="L261" s="2"/>
      <c r="M261" s="2"/>
      <c r="N261" s="2"/>
      <c r="O261" s="2"/>
    </row>
    <row r="262">
      <c r="A262" s="2"/>
      <c r="B262" s="2"/>
      <c r="C262" s="2"/>
      <c r="D262" s="3"/>
      <c r="E262" s="3"/>
      <c r="F262" s="3"/>
      <c r="G262" s="3"/>
      <c r="H262" s="3"/>
      <c r="I262" s="3"/>
      <c r="J262" s="2"/>
      <c r="K262" s="3"/>
      <c r="L262" s="2"/>
      <c r="M262" s="2"/>
      <c r="N262" s="2"/>
      <c r="O262" s="2"/>
    </row>
    <row r="263">
      <c r="A263" s="2"/>
      <c r="B263" s="2"/>
      <c r="C263" s="2"/>
      <c r="D263" s="3"/>
      <c r="E263" s="3"/>
      <c r="F263" s="3"/>
      <c r="G263" s="3"/>
      <c r="H263" s="3"/>
      <c r="I263" s="3"/>
      <c r="J263" s="2"/>
      <c r="K263" s="3"/>
      <c r="L263" s="2"/>
      <c r="M263" s="2"/>
      <c r="N263" s="2"/>
      <c r="O263" s="2"/>
    </row>
    <row r="264">
      <c r="A264" s="2"/>
      <c r="B264" s="2"/>
      <c r="C264" s="2"/>
      <c r="D264" s="3"/>
      <c r="E264" s="3"/>
      <c r="F264" s="3"/>
      <c r="G264" s="3"/>
      <c r="H264" s="3"/>
      <c r="I264" s="3"/>
      <c r="J264" s="2"/>
      <c r="K264" s="3"/>
      <c r="L264" s="2"/>
      <c r="M264" s="2"/>
      <c r="N264" s="2"/>
      <c r="O264" s="2"/>
    </row>
    <row r="265">
      <c r="A265" s="2"/>
      <c r="B265" s="2"/>
      <c r="C265" s="2"/>
      <c r="D265" s="3"/>
      <c r="E265" s="3"/>
      <c r="F265" s="3"/>
      <c r="G265" s="3"/>
      <c r="H265" s="3"/>
      <c r="I265" s="3"/>
      <c r="J265" s="2"/>
      <c r="K265" s="3"/>
      <c r="L265" s="2"/>
      <c r="M265" s="2"/>
      <c r="N265" s="2"/>
      <c r="O265" s="2"/>
    </row>
    <row r="266">
      <c r="A266" s="2"/>
      <c r="B266" s="2"/>
      <c r="C266" s="2"/>
      <c r="D266" s="3"/>
      <c r="E266" s="3"/>
      <c r="F266" s="3"/>
      <c r="G266" s="3"/>
      <c r="H266" s="3"/>
      <c r="I266" s="3"/>
      <c r="J266" s="2"/>
      <c r="K266" s="3"/>
      <c r="L266" s="2"/>
      <c r="M266" s="2"/>
      <c r="N266" s="2"/>
      <c r="O266" s="2"/>
    </row>
    <row r="267">
      <c r="A267" s="2"/>
      <c r="B267" s="2"/>
      <c r="C267" s="2"/>
      <c r="D267" s="3"/>
      <c r="E267" s="3"/>
      <c r="F267" s="3"/>
      <c r="G267" s="3"/>
      <c r="H267" s="3"/>
      <c r="I267" s="3"/>
      <c r="J267" s="2"/>
      <c r="K267" s="3"/>
      <c r="L267" s="2"/>
      <c r="M267" s="2"/>
      <c r="N267" s="2"/>
      <c r="O267" s="2"/>
    </row>
    <row r="268">
      <c r="A268" s="2"/>
      <c r="B268" s="2"/>
      <c r="C268" s="2"/>
      <c r="D268" s="3"/>
      <c r="E268" s="3"/>
      <c r="F268" s="3"/>
      <c r="G268" s="3"/>
      <c r="H268" s="3"/>
      <c r="I268" s="3"/>
      <c r="J268" s="2"/>
      <c r="K268" s="3"/>
      <c r="L268" s="2"/>
      <c r="M268" s="2"/>
      <c r="N268" s="2"/>
      <c r="O268" s="2"/>
    </row>
    <row r="269">
      <c r="A269" s="2"/>
      <c r="B269" s="2"/>
      <c r="C269" s="2"/>
      <c r="D269" s="3"/>
      <c r="E269" s="3"/>
      <c r="F269" s="3"/>
      <c r="G269" s="3"/>
      <c r="H269" s="3"/>
      <c r="I269" s="3"/>
      <c r="J269" s="2"/>
      <c r="K269" s="3"/>
      <c r="L269" s="2"/>
      <c r="M269" s="2"/>
      <c r="N269" s="2"/>
      <c r="O269" s="2"/>
    </row>
    <row r="270">
      <c r="A270" s="2"/>
      <c r="B270" s="2"/>
      <c r="C270" s="2"/>
      <c r="D270" s="3"/>
      <c r="E270" s="3"/>
      <c r="F270" s="3"/>
      <c r="G270" s="3"/>
      <c r="H270" s="3"/>
      <c r="I270" s="3"/>
      <c r="J270" s="2"/>
      <c r="K270" s="3"/>
      <c r="L270" s="2"/>
      <c r="M270" s="2"/>
      <c r="N270" s="2"/>
      <c r="O270" s="2"/>
    </row>
    <row r="271">
      <c r="A271" s="2"/>
      <c r="B271" s="2"/>
      <c r="C271" s="2"/>
      <c r="D271" s="3"/>
      <c r="E271" s="3"/>
      <c r="F271" s="3"/>
      <c r="G271" s="3"/>
      <c r="H271" s="3"/>
      <c r="I271" s="3"/>
      <c r="J271" s="2"/>
      <c r="K271" s="3"/>
      <c r="L271" s="2"/>
      <c r="M271" s="2"/>
      <c r="N271" s="2"/>
      <c r="O271" s="2"/>
    </row>
    <row r="272">
      <c r="A272" s="2"/>
      <c r="B272" s="2"/>
      <c r="C272" s="2"/>
      <c r="D272" s="3"/>
      <c r="E272" s="3"/>
      <c r="F272" s="3"/>
      <c r="G272" s="3"/>
      <c r="H272" s="3"/>
      <c r="I272" s="3"/>
      <c r="J272" s="2"/>
      <c r="K272" s="3"/>
      <c r="L272" s="2"/>
      <c r="M272" s="2"/>
      <c r="N272" s="2"/>
      <c r="O272" s="2"/>
    </row>
    <row r="273">
      <c r="A273" s="2"/>
      <c r="B273" s="2"/>
      <c r="C273" s="2"/>
      <c r="D273" s="3"/>
      <c r="E273" s="3"/>
      <c r="F273" s="3"/>
      <c r="G273" s="3"/>
      <c r="H273" s="3"/>
      <c r="I273" s="3"/>
      <c r="J273" s="2"/>
      <c r="K273" s="3"/>
      <c r="L273" s="2"/>
      <c r="M273" s="2"/>
      <c r="N273" s="2"/>
      <c r="O273" s="2"/>
    </row>
    <row r="274">
      <c r="A274" s="2"/>
      <c r="B274" s="2"/>
      <c r="C274" s="2"/>
      <c r="D274" s="3"/>
      <c r="E274" s="3"/>
      <c r="F274" s="3"/>
      <c r="G274" s="3"/>
      <c r="H274" s="3"/>
      <c r="I274" s="3"/>
      <c r="J274" s="2"/>
      <c r="K274" s="3"/>
      <c r="L274" s="2"/>
      <c r="M274" s="2"/>
      <c r="N274" s="2"/>
      <c r="O274" s="2"/>
    </row>
    <row r="275">
      <c r="A275" s="2"/>
      <c r="B275" s="2"/>
      <c r="C275" s="2"/>
      <c r="D275" s="3"/>
      <c r="E275" s="3"/>
      <c r="F275" s="3"/>
      <c r="G275" s="3"/>
      <c r="H275" s="3"/>
      <c r="I275" s="3"/>
      <c r="J275" s="2"/>
      <c r="K275" s="3"/>
      <c r="L275" s="2"/>
      <c r="M275" s="2"/>
      <c r="N275" s="2"/>
      <c r="O275" s="2"/>
    </row>
    <row r="276">
      <c r="A276" s="2"/>
      <c r="B276" s="2"/>
      <c r="C276" s="2"/>
      <c r="D276" s="3"/>
      <c r="E276" s="3"/>
      <c r="F276" s="3"/>
      <c r="G276" s="3"/>
      <c r="H276" s="3"/>
      <c r="I276" s="3"/>
      <c r="J276" s="2"/>
      <c r="K276" s="3"/>
      <c r="L276" s="2"/>
      <c r="M276" s="2"/>
      <c r="N276" s="2"/>
      <c r="O276" s="2"/>
    </row>
    <row r="277">
      <c r="A277" s="2"/>
      <c r="B277" s="2"/>
      <c r="C277" s="2"/>
      <c r="D277" s="3"/>
      <c r="E277" s="3"/>
      <c r="F277" s="3"/>
      <c r="G277" s="3"/>
      <c r="H277" s="3"/>
      <c r="I277" s="3"/>
      <c r="J277" s="2"/>
      <c r="K277" s="3"/>
      <c r="L277" s="2"/>
      <c r="M277" s="2"/>
      <c r="N277" s="2"/>
      <c r="O277" s="2"/>
    </row>
    <row r="278">
      <c r="A278" s="2"/>
      <c r="B278" s="2"/>
      <c r="C278" s="2"/>
      <c r="D278" s="3"/>
      <c r="E278" s="3"/>
      <c r="F278" s="3"/>
      <c r="G278" s="3"/>
      <c r="H278" s="3"/>
      <c r="I278" s="3"/>
      <c r="J278" s="2"/>
      <c r="K278" s="3"/>
      <c r="L278" s="2"/>
      <c r="M278" s="2"/>
      <c r="N278" s="2"/>
      <c r="O278" s="2"/>
    </row>
    <row r="279">
      <c r="A279" s="2"/>
      <c r="B279" s="2"/>
      <c r="C279" s="2"/>
      <c r="D279" s="3"/>
      <c r="E279" s="3"/>
      <c r="F279" s="3"/>
      <c r="G279" s="3"/>
      <c r="H279" s="3"/>
      <c r="I279" s="3"/>
      <c r="J279" s="2"/>
      <c r="K279" s="3"/>
      <c r="L279" s="2"/>
      <c r="M279" s="2"/>
      <c r="N279" s="2"/>
      <c r="O279" s="2"/>
    </row>
    <row r="280">
      <c r="A280" s="2"/>
      <c r="B280" s="2"/>
      <c r="C280" s="2"/>
      <c r="D280" s="3"/>
      <c r="E280" s="3"/>
      <c r="F280" s="3"/>
      <c r="G280" s="3"/>
      <c r="H280" s="3"/>
      <c r="I280" s="3"/>
      <c r="J280" s="2"/>
      <c r="K280" s="3"/>
      <c r="L280" s="2"/>
      <c r="M280" s="2"/>
      <c r="N280" s="2"/>
      <c r="O280" s="2"/>
    </row>
    <row r="281">
      <c r="A281" s="2"/>
      <c r="B281" s="2"/>
      <c r="C281" s="2"/>
      <c r="D281" s="3"/>
      <c r="E281" s="3"/>
      <c r="F281" s="3"/>
      <c r="G281" s="3"/>
      <c r="H281" s="3"/>
      <c r="I281" s="3"/>
      <c r="J281" s="2"/>
      <c r="K281" s="3"/>
      <c r="L281" s="2"/>
      <c r="M281" s="2"/>
      <c r="N281" s="2"/>
      <c r="O281" s="2"/>
    </row>
    <row r="282">
      <c r="A282" s="2"/>
      <c r="B282" s="2"/>
      <c r="C282" s="2"/>
      <c r="D282" s="3"/>
      <c r="E282" s="3"/>
      <c r="F282" s="3"/>
      <c r="G282" s="3"/>
      <c r="H282" s="3"/>
      <c r="I282" s="3"/>
      <c r="J282" s="2"/>
      <c r="K282" s="3"/>
      <c r="L282" s="2"/>
      <c r="M282" s="2"/>
      <c r="N282" s="2"/>
      <c r="O282" s="2"/>
    </row>
    <row r="283">
      <c r="A283" s="2"/>
      <c r="B283" s="2"/>
      <c r="C283" s="2"/>
      <c r="D283" s="3"/>
      <c r="E283" s="3"/>
      <c r="F283" s="3"/>
      <c r="G283" s="3"/>
      <c r="H283" s="3"/>
      <c r="I283" s="3"/>
      <c r="J283" s="2"/>
      <c r="K283" s="3"/>
      <c r="L283" s="2"/>
      <c r="M283" s="2"/>
      <c r="N283" s="2"/>
      <c r="O283" s="2"/>
    </row>
    <row r="284">
      <c r="A284" s="2"/>
      <c r="B284" s="2"/>
      <c r="C284" s="2"/>
      <c r="D284" s="3"/>
      <c r="E284" s="3"/>
      <c r="F284" s="3"/>
      <c r="G284" s="3"/>
      <c r="H284" s="3"/>
      <c r="I284" s="3"/>
      <c r="J284" s="2"/>
      <c r="K284" s="3"/>
      <c r="L284" s="2"/>
      <c r="M284" s="2"/>
      <c r="N284" s="2"/>
      <c r="O284" s="2"/>
    </row>
    <row r="285">
      <c r="A285" s="2"/>
      <c r="B285" s="2"/>
      <c r="C285" s="2"/>
      <c r="D285" s="3"/>
      <c r="E285" s="3"/>
      <c r="F285" s="3"/>
      <c r="G285" s="3"/>
      <c r="H285" s="3"/>
      <c r="I285" s="3"/>
      <c r="J285" s="2"/>
      <c r="K285" s="3"/>
      <c r="L285" s="2"/>
      <c r="M285" s="2"/>
      <c r="N285" s="2"/>
      <c r="O285" s="2"/>
    </row>
    <row r="286">
      <c r="A286" s="2"/>
      <c r="B286" s="2"/>
      <c r="C286" s="2"/>
      <c r="D286" s="3"/>
      <c r="E286" s="3"/>
      <c r="F286" s="3"/>
      <c r="G286" s="3"/>
      <c r="H286" s="3"/>
      <c r="I286" s="3"/>
      <c r="J286" s="2"/>
      <c r="K286" s="3"/>
      <c r="L286" s="2"/>
      <c r="M286" s="2"/>
      <c r="N286" s="2"/>
      <c r="O286" s="2"/>
    </row>
    <row r="287">
      <c r="A287" s="2"/>
      <c r="B287" s="2"/>
      <c r="C287" s="2"/>
      <c r="D287" s="3"/>
      <c r="E287" s="3"/>
      <c r="F287" s="3"/>
      <c r="G287" s="3"/>
      <c r="H287" s="3"/>
      <c r="I287" s="3"/>
      <c r="J287" s="2"/>
      <c r="K287" s="3"/>
      <c r="L287" s="2"/>
      <c r="M287" s="2"/>
      <c r="N287" s="2"/>
      <c r="O287" s="2"/>
    </row>
    <row r="288">
      <c r="A288" s="2"/>
      <c r="B288" s="2"/>
      <c r="C288" s="2"/>
      <c r="D288" s="3"/>
      <c r="E288" s="3"/>
      <c r="F288" s="3"/>
      <c r="G288" s="3"/>
      <c r="H288" s="3"/>
      <c r="I288" s="3"/>
      <c r="J288" s="2"/>
      <c r="K288" s="3"/>
      <c r="L288" s="2"/>
      <c r="M288" s="2"/>
      <c r="N288" s="2"/>
      <c r="O288" s="2"/>
    </row>
    <row r="289">
      <c r="A289" s="2"/>
      <c r="B289" s="2"/>
      <c r="C289" s="2"/>
      <c r="D289" s="3"/>
      <c r="E289" s="3"/>
      <c r="F289" s="3"/>
      <c r="G289" s="3"/>
      <c r="H289" s="3"/>
      <c r="I289" s="3"/>
      <c r="J289" s="2"/>
      <c r="K289" s="3"/>
      <c r="L289" s="2"/>
      <c r="M289" s="2"/>
      <c r="N289" s="2"/>
      <c r="O289" s="2"/>
    </row>
    <row r="290">
      <c r="A290" s="2"/>
      <c r="B290" s="2"/>
      <c r="C290" s="2"/>
      <c r="D290" s="3"/>
      <c r="E290" s="3"/>
      <c r="F290" s="3"/>
      <c r="G290" s="3"/>
      <c r="H290" s="3"/>
      <c r="I290" s="3"/>
      <c r="J290" s="2"/>
      <c r="K290" s="3"/>
      <c r="L290" s="2"/>
      <c r="M290" s="2"/>
      <c r="N290" s="2"/>
      <c r="O290" s="2"/>
    </row>
    <row r="291">
      <c r="A291" s="2"/>
      <c r="B291" s="2"/>
      <c r="C291" s="2"/>
      <c r="D291" s="3"/>
      <c r="E291" s="3"/>
      <c r="F291" s="3"/>
      <c r="G291" s="3"/>
      <c r="H291" s="3"/>
      <c r="I291" s="3"/>
      <c r="J291" s="2"/>
      <c r="K291" s="3"/>
      <c r="L291" s="2"/>
      <c r="M291" s="2"/>
      <c r="N291" s="2"/>
      <c r="O291" s="2"/>
    </row>
    <row r="292">
      <c r="A292" s="2"/>
      <c r="B292" s="2"/>
      <c r="C292" s="2"/>
      <c r="D292" s="3"/>
      <c r="E292" s="3"/>
      <c r="F292" s="3"/>
      <c r="G292" s="3"/>
      <c r="H292" s="3"/>
      <c r="I292" s="3"/>
      <c r="J292" s="2"/>
      <c r="K292" s="3"/>
      <c r="L292" s="2"/>
      <c r="M292" s="2"/>
      <c r="N292" s="2"/>
      <c r="O292" s="2"/>
    </row>
    <row r="293">
      <c r="A293" s="2"/>
      <c r="B293" s="2"/>
      <c r="C293" s="2"/>
      <c r="D293" s="3"/>
      <c r="E293" s="3"/>
      <c r="F293" s="3"/>
      <c r="G293" s="3"/>
      <c r="H293" s="3"/>
      <c r="I293" s="3"/>
      <c r="J293" s="2"/>
      <c r="K293" s="3"/>
      <c r="L293" s="2"/>
      <c r="M293" s="2"/>
      <c r="N293" s="2"/>
      <c r="O293" s="2"/>
    </row>
    <row r="294">
      <c r="A294" s="2"/>
      <c r="B294" s="2"/>
      <c r="C294" s="2"/>
      <c r="D294" s="3"/>
      <c r="E294" s="3"/>
      <c r="F294" s="3"/>
      <c r="G294" s="3"/>
      <c r="H294" s="3"/>
      <c r="I294" s="3"/>
      <c r="J294" s="2"/>
      <c r="K294" s="3"/>
      <c r="L294" s="2"/>
      <c r="M294" s="2"/>
      <c r="N294" s="2"/>
      <c r="O294" s="2"/>
    </row>
    <row r="295">
      <c r="A295" s="2"/>
      <c r="B295" s="2"/>
      <c r="C295" s="2"/>
      <c r="D295" s="3"/>
      <c r="E295" s="3"/>
      <c r="F295" s="3"/>
      <c r="G295" s="3"/>
      <c r="H295" s="3"/>
      <c r="I295" s="3"/>
      <c r="J295" s="2"/>
      <c r="K295" s="3"/>
      <c r="L295" s="2"/>
      <c r="M295" s="2"/>
      <c r="N295" s="2"/>
      <c r="O295" s="2"/>
    </row>
    <row r="296">
      <c r="A296" s="2"/>
      <c r="B296" s="2"/>
      <c r="C296" s="2"/>
      <c r="D296" s="3"/>
      <c r="E296" s="3"/>
      <c r="F296" s="3"/>
      <c r="G296" s="3"/>
      <c r="H296" s="3"/>
      <c r="I296" s="3"/>
      <c r="J296" s="2"/>
      <c r="K296" s="3"/>
      <c r="L296" s="2"/>
      <c r="M296" s="2"/>
      <c r="N296" s="2"/>
      <c r="O296" s="2"/>
    </row>
    <row r="297">
      <c r="A297" s="2"/>
      <c r="B297" s="2"/>
      <c r="C297" s="2"/>
      <c r="D297" s="3"/>
      <c r="E297" s="3"/>
      <c r="F297" s="3"/>
      <c r="G297" s="3"/>
      <c r="H297" s="3"/>
      <c r="I297" s="3"/>
      <c r="J297" s="2"/>
      <c r="K297" s="3"/>
      <c r="L297" s="2"/>
      <c r="M297" s="2"/>
      <c r="N297" s="2"/>
      <c r="O297" s="2"/>
    </row>
    <row r="298">
      <c r="A298" s="2"/>
      <c r="B298" s="2"/>
      <c r="C298" s="2"/>
      <c r="D298" s="3"/>
      <c r="E298" s="3"/>
      <c r="F298" s="3"/>
      <c r="G298" s="3"/>
      <c r="H298" s="3"/>
      <c r="I298" s="3"/>
      <c r="J298" s="2"/>
      <c r="K298" s="3"/>
      <c r="L298" s="2"/>
      <c r="M298" s="2"/>
      <c r="N298" s="2"/>
      <c r="O298" s="2"/>
    </row>
    <row r="299">
      <c r="A299" s="2"/>
      <c r="B299" s="2"/>
      <c r="C299" s="2"/>
      <c r="D299" s="3"/>
      <c r="E299" s="3"/>
      <c r="F299" s="3"/>
      <c r="G299" s="3"/>
      <c r="H299" s="3"/>
      <c r="I299" s="3"/>
      <c r="J299" s="2"/>
      <c r="K299" s="3"/>
      <c r="L299" s="2"/>
      <c r="M299" s="2"/>
      <c r="N299" s="2"/>
      <c r="O299" s="2"/>
    </row>
    <row r="300">
      <c r="A300" s="2"/>
      <c r="B300" s="2"/>
      <c r="C300" s="2"/>
      <c r="D300" s="3"/>
      <c r="E300" s="3"/>
      <c r="F300" s="3"/>
      <c r="G300" s="3"/>
      <c r="H300" s="3"/>
      <c r="I300" s="3"/>
      <c r="J300" s="2"/>
      <c r="K300" s="3"/>
      <c r="L300" s="2"/>
      <c r="M300" s="2"/>
      <c r="N300" s="2"/>
      <c r="O300" s="2"/>
    </row>
    <row r="301">
      <c r="A301" s="2"/>
      <c r="B301" s="2"/>
      <c r="C301" s="2"/>
      <c r="D301" s="3"/>
      <c r="E301" s="3"/>
      <c r="F301" s="3"/>
      <c r="G301" s="3"/>
      <c r="H301" s="3"/>
      <c r="I301" s="3"/>
      <c r="J301" s="2"/>
      <c r="K301" s="3"/>
      <c r="L301" s="2"/>
      <c r="M301" s="2"/>
      <c r="N301" s="2"/>
      <c r="O301" s="2"/>
    </row>
    <row r="302">
      <c r="A302" s="2"/>
      <c r="B302" s="2"/>
      <c r="C302" s="2"/>
      <c r="D302" s="3"/>
      <c r="E302" s="3"/>
      <c r="F302" s="3"/>
      <c r="G302" s="3"/>
      <c r="H302" s="3"/>
      <c r="I302" s="3"/>
      <c r="J302" s="2"/>
      <c r="K302" s="3"/>
      <c r="L302" s="2"/>
      <c r="M302" s="2"/>
      <c r="N302" s="2"/>
      <c r="O302" s="2"/>
    </row>
    <row r="303">
      <c r="A303" s="2"/>
      <c r="B303" s="2"/>
      <c r="C303" s="2"/>
      <c r="D303" s="3"/>
      <c r="E303" s="3"/>
      <c r="F303" s="3"/>
      <c r="G303" s="3"/>
      <c r="H303" s="3"/>
      <c r="I303" s="3"/>
      <c r="J303" s="2"/>
      <c r="K303" s="3"/>
      <c r="L303" s="2"/>
      <c r="M303" s="2"/>
      <c r="N303" s="2"/>
      <c r="O303" s="2"/>
    </row>
    <row r="304">
      <c r="A304" s="2"/>
      <c r="B304" s="2"/>
      <c r="C304" s="2"/>
      <c r="D304" s="3"/>
      <c r="E304" s="3"/>
      <c r="F304" s="3"/>
      <c r="G304" s="3"/>
      <c r="H304" s="3"/>
      <c r="I304" s="3"/>
      <c r="J304" s="2"/>
      <c r="K304" s="3"/>
      <c r="L304" s="2"/>
      <c r="M304" s="2"/>
      <c r="N304" s="2"/>
      <c r="O304" s="2"/>
    </row>
    <row r="305">
      <c r="A305" s="2"/>
      <c r="B305" s="2"/>
      <c r="C305" s="2"/>
      <c r="D305" s="3"/>
      <c r="E305" s="3"/>
      <c r="F305" s="3"/>
      <c r="G305" s="3"/>
      <c r="H305" s="3"/>
      <c r="I305" s="3"/>
      <c r="J305" s="2"/>
      <c r="K305" s="3"/>
      <c r="L305" s="2"/>
      <c r="M305" s="2"/>
      <c r="N305" s="2"/>
      <c r="O305" s="2"/>
    </row>
    <row r="306">
      <c r="A306" s="2"/>
      <c r="B306" s="2"/>
      <c r="C306" s="2"/>
      <c r="D306" s="3"/>
      <c r="E306" s="3"/>
      <c r="F306" s="3"/>
      <c r="G306" s="3"/>
      <c r="H306" s="3"/>
      <c r="I306" s="3"/>
      <c r="J306" s="2"/>
      <c r="K306" s="3"/>
      <c r="L306" s="2"/>
      <c r="M306" s="2"/>
      <c r="N306" s="2"/>
      <c r="O306" s="2"/>
    </row>
    <row r="307">
      <c r="A307" s="2"/>
      <c r="B307" s="2"/>
      <c r="C307" s="2"/>
      <c r="D307" s="3"/>
      <c r="E307" s="3"/>
      <c r="F307" s="3"/>
      <c r="G307" s="3"/>
      <c r="H307" s="3"/>
      <c r="I307" s="3"/>
      <c r="J307" s="2"/>
      <c r="K307" s="3"/>
      <c r="L307" s="2"/>
      <c r="M307" s="2"/>
      <c r="N307" s="2"/>
      <c r="O307" s="2"/>
    </row>
    <row r="308">
      <c r="A308" s="2"/>
      <c r="B308" s="2"/>
      <c r="C308" s="2"/>
      <c r="D308" s="3"/>
      <c r="E308" s="3"/>
      <c r="F308" s="3"/>
      <c r="G308" s="3"/>
      <c r="H308" s="3"/>
      <c r="I308" s="3"/>
      <c r="J308" s="2"/>
      <c r="K308" s="3"/>
      <c r="L308" s="2"/>
      <c r="M308" s="2"/>
      <c r="N308" s="2"/>
      <c r="O308" s="2"/>
    </row>
    <row r="309">
      <c r="A309" s="2"/>
      <c r="B309" s="2"/>
      <c r="C309" s="2"/>
      <c r="D309" s="3"/>
      <c r="E309" s="3"/>
      <c r="F309" s="3"/>
      <c r="G309" s="3"/>
      <c r="H309" s="3"/>
      <c r="I309" s="3"/>
      <c r="J309" s="2"/>
      <c r="K309" s="3"/>
      <c r="L309" s="2"/>
      <c r="M309" s="2"/>
      <c r="N309" s="2"/>
      <c r="O309" s="2"/>
    </row>
    <row r="310">
      <c r="A310" s="2"/>
      <c r="B310" s="2"/>
      <c r="C310" s="2"/>
      <c r="D310" s="3"/>
      <c r="E310" s="3"/>
      <c r="F310" s="3"/>
      <c r="G310" s="3"/>
      <c r="H310" s="3"/>
      <c r="I310" s="3"/>
      <c r="J310" s="2"/>
      <c r="K310" s="3"/>
      <c r="L310" s="2"/>
      <c r="M310" s="2"/>
      <c r="N310" s="2"/>
      <c r="O310" s="2"/>
    </row>
    <row r="311">
      <c r="A311" s="2"/>
      <c r="B311" s="2"/>
      <c r="C311" s="2"/>
      <c r="D311" s="3"/>
      <c r="E311" s="3"/>
      <c r="F311" s="3"/>
      <c r="G311" s="3"/>
      <c r="H311" s="3"/>
      <c r="I311" s="3"/>
      <c r="J311" s="2"/>
      <c r="K311" s="3"/>
      <c r="L311" s="2"/>
      <c r="M311" s="2"/>
      <c r="N311" s="2"/>
      <c r="O311" s="2"/>
    </row>
    <row r="312">
      <c r="A312" s="2"/>
      <c r="B312" s="2"/>
      <c r="C312" s="2"/>
      <c r="D312" s="3"/>
      <c r="E312" s="3"/>
      <c r="F312" s="3"/>
      <c r="G312" s="3"/>
      <c r="H312" s="3"/>
      <c r="I312" s="3"/>
      <c r="J312" s="2"/>
      <c r="K312" s="3"/>
      <c r="L312" s="2"/>
      <c r="M312" s="2"/>
      <c r="N312" s="2"/>
      <c r="O312" s="2"/>
    </row>
    <row r="313">
      <c r="A313" s="2"/>
      <c r="B313" s="2"/>
      <c r="C313" s="2"/>
      <c r="D313" s="3"/>
      <c r="E313" s="3"/>
      <c r="F313" s="3"/>
      <c r="G313" s="3"/>
      <c r="H313" s="3"/>
      <c r="I313" s="3"/>
      <c r="J313" s="2"/>
      <c r="K313" s="3"/>
      <c r="L313" s="2"/>
      <c r="M313" s="2"/>
      <c r="N313" s="2"/>
      <c r="O313" s="2"/>
    </row>
    <row r="314">
      <c r="A314" s="2"/>
      <c r="B314" s="2"/>
      <c r="C314" s="2"/>
      <c r="D314" s="3"/>
      <c r="E314" s="3"/>
      <c r="F314" s="3"/>
      <c r="G314" s="3"/>
      <c r="H314" s="3"/>
      <c r="I314" s="3"/>
      <c r="J314" s="2"/>
      <c r="K314" s="3"/>
      <c r="L314" s="2"/>
      <c r="M314" s="2"/>
      <c r="N314" s="2"/>
      <c r="O314" s="2"/>
    </row>
    <row r="315">
      <c r="A315" s="2"/>
      <c r="B315" s="2"/>
      <c r="C315" s="2"/>
      <c r="D315" s="3"/>
      <c r="E315" s="3"/>
      <c r="F315" s="3"/>
      <c r="G315" s="3"/>
      <c r="H315" s="3"/>
      <c r="I315" s="3"/>
      <c r="J315" s="2"/>
      <c r="K315" s="3"/>
      <c r="L315" s="2"/>
      <c r="M315" s="2"/>
      <c r="N315" s="2"/>
      <c r="O315" s="2"/>
    </row>
    <row r="316">
      <c r="A316" s="2"/>
      <c r="B316" s="2"/>
      <c r="C316" s="2"/>
      <c r="D316" s="3"/>
      <c r="E316" s="3"/>
      <c r="F316" s="3"/>
      <c r="G316" s="3"/>
      <c r="H316" s="3"/>
      <c r="I316" s="3"/>
      <c r="J316" s="2"/>
      <c r="K316" s="3"/>
      <c r="L316" s="2"/>
      <c r="M316" s="2"/>
      <c r="N316" s="2"/>
      <c r="O316" s="2"/>
    </row>
    <row r="317">
      <c r="A317" s="2"/>
      <c r="B317" s="2"/>
      <c r="C317" s="2"/>
      <c r="D317" s="3"/>
      <c r="E317" s="3"/>
      <c r="F317" s="3"/>
      <c r="G317" s="3"/>
      <c r="H317" s="3"/>
      <c r="I317" s="3"/>
      <c r="J317" s="2"/>
      <c r="K317" s="3"/>
      <c r="L317" s="2"/>
      <c r="M317" s="2"/>
      <c r="N317" s="2"/>
      <c r="O317" s="2"/>
    </row>
    <row r="318">
      <c r="A318" s="2"/>
      <c r="B318" s="2"/>
      <c r="C318" s="2"/>
      <c r="D318" s="3"/>
      <c r="E318" s="3"/>
      <c r="F318" s="3"/>
      <c r="G318" s="3"/>
      <c r="H318" s="3"/>
      <c r="I318" s="3"/>
      <c r="J318" s="2"/>
      <c r="K318" s="3"/>
      <c r="L318" s="2"/>
      <c r="M318" s="2"/>
      <c r="N318" s="2"/>
      <c r="O318" s="2"/>
    </row>
    <row r="319">
      <c r="A319" s="2"/>
      <c r="B319" s="2"/>
      <c r="C319" s="2"/>
      <c r="D319" s="3"/>
      <c r="E319" s="3"/>
      <c r="F319" s="3"/>
      <c r="G319" s="3"/>
      <c r="H319" s="3"/>
      <c r="I319" s="3"/>
      <c r="J319" s="2"/>
      <c r="K319" s="3"/>
      <c r="L319" s="2"/>
      <c r="M319" s="2"/>
      <c r="N319" s="2"/>
      <c r="O319" s="2"/>
    </row>
    <row r="320">
      <c r="A320" s="2"/>
      <c r="B320" s="2"/>
      <c r="C320" s="2"/>
      <c r="D320" s="3"/>
      <c r="E320" s="3"/>
      <c r="F320" s="3"/>
      <c r="G320" s="3"/>
      <c r="H320" s="3"/>
      <c r="I320" s="3"/>
      <c r="J320" s="2"/>
      <c r="K320" s="3"/>
      <c r="L320" s="2"/>
      <c r="M320" s="2"/>
      <c r="N320" s="2"/>
      <c r="O320" s="2"/>
    </row>
    <row r="321">
      <c r="A321" s="2"/>
      <c r="B321" s="2"/>
      <c r="C321" s="2"/>
      <c r="D321" s="3"/>
      <c r="E321" s="3"/>
      <c r="F321" s="3"/>
      <c r="G321" s="3"/>
      <c r="H321" s="3"/>
      <c r="I321" s="3"/>
      <c r="J321" s="2"/>
      <c r="K321" s="3"/>
      <c r="L321" s="2"/>
      <c r="M321" s="2"/>
      <c r="N321" s="2"/>
      <c r="O321" s="2"/>
    </row>
    <row r="322">
      <c r="A322" s="2"/>
      <c r="B322" s="2"/>
      <c r="C322" s="2"/>
      <c r="D322" s="3"/>
      <c r="E322" s="3"/>
      <c r="F322" s="3"/>
      <c r="G322" s="3"/>
      <c r="H322" s="3"/>
      <c r="I322" s="3"/>
      <c r="J322" s="2"/>
      <c r="K322" s="3"/>
      <c r="L322" s="2"/>
      <c r="M322" s="2"/>
      <c r="N322" s="2"/>
      <c r="O322" s="2"/>
    </row>
    <row r="323">
      <c r="A323" s="2"/>
      <c r="B323" s="2"/>
      <c r="C323" s="2"/>
      <c r="D323" s="3"/>
      <c r="E323" s="3"/>
      <c r="F323" s="3"/>
      <c r="G323" s="3"/>
      <c r="H323" s="3"/>
      <c r="I323" s="3"/>
      <c r="J323" s="2"/>
      <c r="K323" s="3"/>
      <c r="L323" s="2"/>
      <c r="M323" s="2"/>
      <c r="N323" s="2"/>
      <c r="O323" s="2"/>
    </row>
    <row r="324">
      <c r="A324" s="2"/>
      <c r="B324" s="2"/>
      <c r="C324" s="2"/>
      <c r="D324" s="3"/>
      <c r="E324" s="3"/>
      <c r="F324" s="3"/>
      <c r="G324" s="3"/>
      <c r="H324" s="3"/>
      <c r="I324" s="3"/>
      <c r="J324" s="2"/>
      <c r="K324" s="3"/>
      <c r="L324" s="2"/>
      <c r="M324" s="2"/>
      <c r="N324" s="2"/>
      <c r="O324" s="2"/>
    </row>
    <row r="325">
      <c r="A325" s="2"/>
      <c r="B325" s="2"/>
      <c r="C325" s="2"/>
      <c r="D325" s="3"/>
      <c r="E325" s="3"/>
      <c r="F325" s="3"/>
      <c r="G325" s="3"/>
      <c r="H325" s="3"/>
      <c r="I325" s="3"/>
      <c r="J325" s="2"/>
      <c r="K325" s="3"/>
      <c r="L325" s="2"/>
      <c r="M325" s="2"/>
      <c r="N325" s="2"/>
      <c r="O325" s="2"/>
    </row>
    <row r="326">
      <c r="A326" s="2"/>
      <c r="B326" s="2"/>
      <c r="C326" s="2"/>
      <c r="D326" s="3"/>
      <c r="E326" s="3"/>
      <c r="F326" s="3"/>
      <c r="G326" s="3"/>
      <c r="H326" s="3"/>
      <c r="I326" s="3"/>
      <c r="J326" s="2"/>
      <c r="K326" s="3"/>
      <c r="L326" s="2"/>
      <c r="M326" s="2"/>
      <c r="N326" s="2"/>
      <c r="O326" s="2"/>
    </row>
    <row r="327">
      <c r="A327" s="2"/>
      <c r="B327" s="2"/>
      <c r="C327" s="2"/>
      <c r="D327" s="3"/>
      <c r="E327" s="3"/>
      <c r="F327" s="3"/>
      <c r="G327" s="3"/>
      <c r="H327" s="3"/>
      <c r="I327" s="3"/>
      <c r="J327" s="2"/>
      <c r="K327" s="3"/>
      <c r="L327" s="2"/>
      <c r="M327" s="2"/>
      <c r="N327" s="2"/>
      <c r="O327" s="2"/>
    </row>
    <row r="328">
      <c r="A328" s="2"/>
      <c r="B328" s="2"/>
      <c r="C328" s="2"/>
      <c r="D328" s="3"/>
      <c r="E328" s="3"/>
      <c r="F328" s="3"/>
      <c r="G328" s="3"/>
      <c r="H328" s="3"/>
      <c r="I328" s="3"/>
      <c r="J328" s="2"/>
      <c r="K328" s="3"/>
      <c r="L328" s="2"/>
      <c r="M328" s="2"/>
      <c r="N328" s="2"/>
      <c r="O328" s="2"/>
    </row>
    <row r="329">
      <c r="A329" s="2"/>
      <c r="B329" s="2"/>
      <c r="C329" s="2"/>
      <c r="D329" s="3"/>
      <c r="E329" s="3"/>
      <c r="F329" s="3"/>
      <c r="G329" s="3"/>
      <c r="H329" s="3"/>
      <c r="I329" s="3"/>
      <c r="J329" s="2"/>
      <c r="K329" s="3"/>
      <c r="L329" s="2"/>
      <c r="M329" s="2"/>
      <c r="N329" s="2"/>
      <c r="O329" s="2"/>
    </row>
    <row r="330">
      <c r="A330" s="2"/>
      <c r="B330" s="2"/>
      <c r="C330" s="2"/>
      <c r="D330" s="3"/>
      <c r="E330" s="3"/>
      <c r="F330" s="3"/>
      <c r="G330" s="3"/>
      <c r="H330" s="3"/>
      <c r="I330" s="3"/>
      <c r="J330" s="2"/>
      <c r="K330" s="3"/>
      <c r="L330" s="2"/>
      <c r="M330" s="2"/>
      <c r="N330" s="2"/>
      <c r="O330" s="2"/>
    </row>
    <row r="331">
      <c r="A331" s="2"/>
      <c r="B331" s="2"/>
      <c r="C331" s="2"/>
      <c r="D331" s="3"/>
      <c r="E331" s="3"/>
      <c r="F331" s="3"/>
      <c r="G331" s="3"/>
      <c r="H331" s="3"/>
      <c r="I331" s="3"/>
      <c r="J331" s="2"/>
      <c r="K331" s="3"/>
      <c r="L331" s="2"/>
      <c r="M331" s="2"/>
      <c r="N331" s="2"/>
      <c r="O331" s="2"/>
    </row>
    <row r="332">
      <c r="A332" s="2"/>
      <c r="B332" s="2"/>
      <c r="C332" s="2"/>
      <c r="D332" s="3"/>
      <c r="E332" s="3"/>
      <c r="F332" s="3"/>
      <c r="G332" s="3"/>
      <c r="H332" s="3"/>
      <c r="I332" s="3"/>
      <c r="J332" s="2"/>
      <c r="K332" s="3"/>
      <c r="L332" s="2"/>
      <c r="M332" s="2"/>
      <c r="N332" s="2"/>
      <c r="O332" s="2"/>
    </row>
    <row r="333">
      <c r="A333" s="2"/>
      <c r="B333" s="2"/>
      <c r="C333" s="2"/>
      <c r="D333" s="3"/>
      <c r="E333" s="3"/>
      <c r="F333" s="3"/>
      <c r="G333" s="3"/>
      <c r="H333" s="3"/>
      <c r="I333" s="3"/>
      <c r="J333" s="2"/>
      <c r="K333" s="3"/>
      <c r="L333" s="2"/>
      <c r="M333" s="2"/>
      <c r="N333" s="2"/>
      <c r="O333" s="2"/>
    </row>
    <row r="334">
      <c r="A334" s="2"/>
      <c r="B334" s="2"/>
      <c r="C334" s="2"/>
      <c r="D334" s="3"/>
      <c r="E334" s="3"/>
      <c r="F334" s="3"/>
      <c r="G334" s="3"/>
      <c r="H334" s="3"/>
      <c r="I334" s="3"/>
      <c r="J334" s="2"/>
      <c r="K334" s="3"/>
      <c r="L334" s="2"/>
      <c r="M334" s="2"/>
      <c r="N334" s="2"/>
      <c r="O334" s="2"/>
    </row>
    <row r="335">
      <c r="A335" s="2"/>
      <c r="B335" s="2"/>
      <c r="C335" s="2"/>
      <c r="D335" s="3"/>
      <c r="E335" s="3"/>
      <c r="F335" s="3"/>
      <c r="G335" s="3"/>
      <c r="H335" s="3"/>
      <c r="I335" s="3"/>
      <c r="J335" s="2"/>
      <c r="K335" s="3"/>
      <c r="L335" s="2"/>
      <c r="M335" s="2"/>
      <c r="N335" s="2"/>
      <c r="O335" s="2"/>
    </row>
    <row r="336">
      <c r="A336" s="2"/>
      <c r="B336" s="2"/>
      <c r="C336" s="2"/>
      <c r="D336" s="3"/>
      <c r="E336" s="3"/>
      <c r="F336" s="3"/>
      <c r="G336" s="3"/>
      <c r="H336" s="3"/>
      <c r="I336" s="3"/>
      <c r="J336" s="2"/>
      <c r="K336" s="3"/>
      <c r="L336" s="2"/>
      <c r="M336" s="2"/>
      <c r="N336" s="2"/>
      <c r="O336" s="2"/>
    </row>
    <row r="337">
      <c r="A337" s="2"/>
      <c r="B337" s="2"/>
      <c r="C337" s="2"/>
      <c r="D337" s="3"/>
      <c r="E337" s="3"/>
      <c r="F337" s="3"/>
      <c r="G337" s="3"/>
      <c r="H337" s="3"/>
      <c r="I337" s="3"/>
      <c r="J337" s="2"/>
      <c r="K337" s="3"/>
      <c r="L337" s="2"/>
      <c r="M337" s="2"/>
      <c r="N337" s="2"/>
      <c r="O337" s="2"/>
    </row>
    <row r="338">
      <c r="A338" s="2"/>
      <c r="B338" s="2"/>
      <c r="C338" s="2"/>
      <c r="D338" s="3"/>
      <c r="E338" s="3"/>
      <c r="F338" s="3"/>
      <c r="G338" s="3"/>
      <c r="H338" s="3"/>
      <c r="I338" s="3"/>
      <c r="J338" s="2"/>
      <c r="K338" s="3"/>
      <c r="L338" s="2"/>
      <c r="M338" s="2"/>
      <c r="N338" s="2"/>
      <c r="O338" s="2"/>
    </row>
    <row r="339">
      <c r="A339" s="2"/>
      <c r="B339" s="2"/>
      <c r="C339" s="2"/>
      <c r="D339" s="3"/>
      <c r="E339" s="3"/>
      <c r="F339" s="3"/>
      <c r="G339" s="3"/>
      <c r="H339" s="3"/>
      <c r="I339" s="3"/>
      <c r="J339" s="2"/>
      <c r="K339" s="3"/>
      <c r="L339" s="2"/>
      <c r="M339" s="2"/>
      <c r="N339" s="2"/>
      <c r="O339" s="2"/>
    </row>
    <row r="340">
      <c r="A340" s="2"/>
      <c r="B340" s="2"/>
      <c r="C340" s="2"/>
      <c r="D340" s="3"/>
      <c r="E340" s="3"/>
      <c r="F340" s="3"/>
      <c r="G340" s="3"/>
      <c r="H340" s="3"/>
      <c r="I340" s="3"/>
      <c r="J340" s="2"/>
      <c r="K340" s="3"/>
      <c r="L340" s="2"/>
      <c r="M340" s="2"/>
      <c r="N340" s="2"/>
      <c r="O340" s="2"/>
    </row>
    <row r="341">
      <c r="A341" s="2"/>
      <c r="B341" s="2"/>
      <c r="C341" s="2"/>
      <c r="D341" s="3"/>
      <c r="E341" s="3"/>
      <c r="F341" s="3"/>
      <c r="G341" s="3"/>
      <c r="H341" s="3"/>
      <c r="I341" s="3"/>
      <c r="J341" s="2"/>
      <c r="K341" s="3"/>
      <c r="L341" s="2"/>
      <c r="M341" s="2"/>
      <c r="N341" s="2"/>
      <c r="O341" s="2"/>
    </row>
    <row r="342">
      <c r="A342" s="2"/>
      <c r="B342" s="2"/>
      <c r="C342" s="2"/>
      <c r="D342" s="3"/>
      <c r="E342" s="3"/>
      <c r="F342" s="3"/>
      <c r="G342" s="3"/>
      <c r="H342" s="3"/>
      <c r="I342" s="3"/>
      <c r="J342" s="2"/>
      <c r="K342" s="3"/>
      <c r="L342" s="2"/>
      <c r="M342" s="2"/>
      <c r="N342" s="2"/>
      <c r="O342" s="2"/>
    </row>
    <row r="343">
      <c r="A343" s="2"/>
      <c r="B343" s="2"/>
      <c r="C343" s="2"/>
      <c r="D343" s="3"/>
      <c r="E343" s="3"/>
      <c r="F343" s="3"/>
      <c r="G343" s="3"/>
      <c r="H343" s="3"/>
      <c r="I343" s="3"/>
      <c r="J343" s="2"/>
      <c r="K343" s="3"/>
      <c r="L343" s="2"/>
      <c r="M343" s="2"/>
      <c r="N343" s="2"/>
      <c r="O343" s="2"/>
    </row>
    <row r="344">
      <c r="A344" s="2"/>
      <c r="B344" s="2"/>
      <c r="C344" s="2"/>
      <c r="D344" s="3"/>
      <c r="E344" s="3"/>
      <c r="F344" s="3"/>
      <c r="G344" s="3"/>
      <c r="H344" s="3"/>
      <c r="I344" s="3"/>
      <c r="J344" s="2"/>
      <c r="K344" s="3"/>
      <c r="L344" s="2"/>
      <c r="M344" s="2"/>
      <c r="N344" s="2"/>
      <c r="O344" s="2"/>
    </row>
    <row r="345">
      <c r="A345" s="2"/>
      <c r="B345" s="2"/>
      <c r="C345" s="2"/>
      <c r="D345" s="3"/>
      <c r="E345" s="3"/>
      <c r="F345" s="3"/>
      <c r="G345" s="3"/>
      <c r="H345" s="3"/>
      <c r="I345" s="3"/>
      <c r="J345" s="2"/>
      <c r="K345" s="3"/>
      <c r="L345" s="2"/>
      <c r="M345" s="2"/>
      <c r="N345" s="2"/>
      <c r="O345" s="2"/>
    </row>
    <row r="346">
      <c r="A346" s="2"/>
      <c r="B346" s="2"/>
      <c r="C346" s="2"/>
      <c r="D346" s="3"/>
      <c r="E346" s="3"/>
      <c r="F346" s="3"/>
      <c r="G346" s="3"/>
      <c r="H346" s="3"/>
      <c r="I346" s="3"/>
      <c r="J346" s="2"/>
      <c r="K346" s="3"/>
      <c r="L346" s="2"/>
      <c r="M346" s="2"/>
      <c r="N346" s="2"/>
      <c r="O346" s="2"/>
    </row>
    <row r="347">
      <c r="A347" s="2"/>
      <c r="B347" s="2"/>
      <c r="C347" s="2"/>
      <c r="D347" s="3"/>
      <c r="E347" s="3"/>
      <c r="F347" s="3"/>
      <c r="G347" s="3"/>
      <c r="H347" s="3"/>
      <c r="I347" s="3"/>
      <c r="J347" s="2"/>
      <c r="K347" s="3"/>
      <c r="L347" s="2"/>
      <c r="M347" s="2"/>
      <c r="N347" s="2"/>
      <c r="O347" s="2"/>
    </row>
    <row r="348">
      <c r="A348" s="2"/>
      <c r="B348" s="2"/>
      <c r="C348" s="2"/>
      <c r="D348" s="3"/>
      <c r="E348" s="3"/>
      <c r="F348" s="3"/>
      <c r="G348" s="3"/>
      <c r="H348" s="3"/>
      <c r="I348" s="3"/>
      <c r="J348" s="2"/>
      <c r="K348" s="3"/>
      <c r="L348" s="2"/>
      <c r="M348" s="2"/>
      <c r="N348" s="2"/>
      <c r="O348" s="2"/>
    </row>
    <row r="349">
      <c r="A349" s="2"/>
      <c r="B349" s="2"/>
      <c r="C349" s="2"/>
      <c r="D349" s="3"/>
      <c r="E349" s="3"/>
      <c r="F349" s="3"/>
      <c r="G349" s="3"/>
      <c r="H349" s="3"/>
      <c r="I349" s="3"/>
      <c r="J349" s="2"/>
      <c r="K349" s="3"/>
      <c r="L349" s="2"/>
      <c r="M349" s="2"/>
      <c r="N349" s="2"/>
      <c r="O349" s="2"/>
    </row>
    <row r="350">
      <c r="A350" s="2"/>
      <c r="B350" s="2"/>
      <c r="C350" s="2"/>
      <c r="D350" s="3"/>
      <c r="E350" s="3"/>
      <c r="F350" s="3"/>
      <c r="G350" s="3"/>
      <c r="H350" s="3"/>
      <c r="I350" s="3"/>
      <c r="J350" s="2"/>
      <c r="K350" s="3"/>
      <c r="L350" s="2"/>
      <c r="M350" s="2"/>
      <c r="N350" s="2"/>
      <c r="O350" s="2"/>
    </row>
    <row r="351">
      <c r="A351" s="2"/>
      <c r="B351" s="2"/>
      <c r="C351" s="2"/>
      <c r="D351" s="3"/>
      <c r="E351" s="3"/>
      <c r="F351" s="3"/>
      <c r="G351" s="3"/>
      <c r="H351" s="3"/>
      <c r="I351" s="3"/>
      <c r="J351" s="2"/>
      <c r="K351" s="3"/>
      <c r="L351" s="2"/>
      <c r="M351" s="2"/>
      <c r="N351" s="2"/>
      <c r="O351" s="2"/>
    </row>
    <row r="352">
      <c r="A352" s="2"/>
      <c r="B352" s="2"/>
      <c r="C352" s="2"/>
      <c r="D352" s="3"/>
      <c r="E352" s="3"/>
      <c r="F352" s="3"/>
      <c r="G352" s="3"/>
      <c r="H352" s="3"/>
      <c r="I352" s="3"/>
      <c r="J352" s="2"/>
      <c r="K352" s="3"/>
      <c r="L352" s="2"/>
      <c r="M352" s="2"/>
      <c r="N352" s="2"/>
      <c r="O352" s="2"/>
    </row>
    <row r="353">
      <c r="A353" s="2"/>
      <c r="B353" s="2"/>
      <c r="C353" s="2"/>
      <c r="D353" s="3"/>
      <c r="E353" s="3"/>
      <c r="F353" s="3"/>
      <c r="G353" s="3"/>
      <c r="H353" s="3"/>
      <c r="I353" s="3"/>
      <c r="J353" s="2"/>
      <c r="K353" s="3"/>
      <c r="L353" s="2"/>
      <c r="M353" s="2"/>
      <c r="N353" s="2"/>
      <c r="O353" s="2"/>
    </row>
    <row r="354">
      <c r="A354" s="2"/>
      <c r="B354" s="2"/>
      <c r="C354" s="2"/>
      <c r="D354" s="3"/>
      <c r="E354" s="3"/>
      <c r="F354" s="3"/>
      <c r="G354" s="3"/>
      <c r="H354" s="3"/>
      <c r="I354" s="3"/>
      <c r="J354" s="2"/>
      <c r="K354" s="3"/>
      <c r="L354" s="2"/>
      <c r="M354" s="2"/>
      <c r="N354" s="2"/>
      <c r="O354" s="2"/>
    </row>
    <row r="355">
      <c r="A355" s="2"/>
      <c r="B355" s="2"/>
      <c r="C355" s="2"/>
      <c r="D355" s="3"/>
      <c r="E355" s="3"/>
      <c r="F355" s="3"/>
      <c r="G355" s="3"/>
      <c r="H355" s="3"/>
      <c r="I355" s="3"/>
      <c r="J355" s="2"/>
      <c r="K355" s="3"/>
      <c r="L355" s="2"/>
      <c r="M355" s="2"/>
      <c r="N355" s="2"/>
      <c r="O355" s="2"/>
    </row>
    <row r="356">
      <c r="A356" s="2"/>
      <c r="B356" s="2"/>
      <c r="C356" s="2"/>
      <c r="D356" s="3"/>
      <c r="E356" s="3"/>
      <c r="F356" s="3"/>
      <c r="G356" s="3"/>
      <c r="H356" s="3"/>
      <c r="I356" s="3"/>
      <c r="J356" s="2"/>
      <c r="K356" s="3"/>
      <c r="L356" s="2"/>
      <c r="M356" s="2"/>
      <c r="N356" s="2"/>
      <c r="O356" s="2"/>
    </row>
    <row r="357">
      <c r="A357" s="2"/>
      <c r="B357" s="2"/>
      <c r="C357" s="2"/>
      <c r="D357" s="3"/>
      <c r="E357" s="3"/>
      <c r="F357" s="3"/>
      <c r="G357" s="3"/>
      <c r="H357" s="3"/>
      <c r="I357" s="3"/>
      <c r="J357" s="2"/>
      <c r="K357" s="3"/>
      <c r="L357" s="2"/>
      <c r="M357" s="2"/>
      <c r="N357" s="2"/>
      <c r="O357" s="2"/>
    </row>
    <row r="358">
      <c r="A358" s="2"/>
      <c r="B358" s="2"/>
      <c r="C358" s="2"/>
      <c r="D358" s="3"/>
      <c r="E358" s="3"/>
      <c r="F358" s="3"/>
      <c r="G358" s="3"/>
      <c r="H358" s="3"/>
      <c r="I358" s="3"/>
      <c r="J358" s="2"/>
      <c r="K358" s="3"/>
      <c r="L358" s="2"/>
      <c r="M358" s="2"/>
      <c r="N358" s="2"/>
      <c r="O358" s="2"/>
    </row>
    <row r="359">
      <c r="A359" s="2"/>
      <c r="B359" s="2"/>
      <c r="C359" s="2"/>
      <c r="D359" s="3"/>
      <c r="E359" s="3"/>
      <c r="F359" s="3"/>
      <c r="G359" s="3"/>
      <c r="H359" s="3"/>
      <c r="I359" s="3"/>
      <c r="J359" s="2"/>
      <c r="K359" s="3"/>
      <c r="L359" s="2"/>
      <c r="M359" s="2"/>
      <c r="N359" s="2"/>
      <c r="O359" s="2"/>
    </row>
    <row r="360">
      <c r="A360" s="2"/>
      <c r="B360" s="2"/>
      <c r="C360" s="2"/>
      <c r="D360" s="3"/>
      <c r="E360" s="3"/>
      <c r="F360" s="3"/>
      <c r="G360" s="3"/>
      <c r="H360" s="3"/>
      <c r="I360" s="3"/>
      <c r="J360" s="2"/>
      <c r="K360" s="3"/>
      <c r="L360" s="2"/>
      <c r="M360" s="2"/>
      <c r="N360" s="2"/>
      <c r="O360" s="2"/>
    </row>
    <row r="361">
      <c r="A361" s="2"/>
      <c r="B361" s="2"/>
      <c r="C361" s="2"/>
      <c r="D361" s="3"/>
      <c r="E361" s="3"/>
      <c r="F361" s="3"/>
      <c r="G361" s="3"/>
      <c r="H361" s="3"/>
      <c r="I361" s="3"/>
      <c r="J361" s="2"/>
      <c r="K361" s="3"/>
      <c r="L361" s="2"/>
      <c r="M361" s="2"/>
      <c r="N361" s="2"/>
      <c r="O361" s="2"/>
    </row>
    <row r="362">
      <c r="A362" s="2"/>
      <c r="B362" s="2"/>
      <c r="C362" s="2"/>
      <c r="D362" s="3"/>
      <c r="E362" s="3"/>
      <c r="F362" s="3"/>
      <c r="G362" s="3"/>
      <c r="H362" s="3"/>
      <c r="I362" s="3"/>
      <c r="J362" s="2"/>
      <c r="K362" s="3"/>
      <c r="L362" s="2"/>
      <c r="M362" s="2"/>
      <c r="N362" s="2"/>
      <c r="O362" s="2"/>
    </row>
    <row r="363">
      <c r="A363" s="2"/>
      <c r="B363" s="2"/>
      <c r="C363" s="2"/>
      <c r="D363" s="3"/>
      <c r="E363" s="3"/>
      <c r="F363" s="3"/>
      <c r="G363" s="3"/>
      <c r="H363" s="3"/>
      <c r="I363" s="3"/>
      <c r="J363" s="2"/>
      <c r="K363" s="3"/>
      <c r="L363" s="2"/>
      <c r="M363" s="2"/>
      <c r="N363" s="2"/>
      <c r="O363" s="2"/>
    </row>
    <row r="364">
      <c r="A364" s="2"/>
      <c r="B364" s="2"/>
      <c r="C364" s="2"/>
      <c r="D364" s="3"/>
      <c r="E364" s="3"/>
      <c r="F364" s="3"/>
      <c r="G364" s="3"/>
      <c r="H364" s="3"/>
      <c r="I364" s="3"/>
      <c r="J364" s="2"/>
      <c r="K364" s="3"/>
      <c r="L364" s="2"/>
      <c r="M364" s="2"/>
      <c r="N364" s="2"/>
      <c r="O364" s="2"/>
    </row>
    <row r="365">
      <c r="A365" s="2"/>
      <c r="B365" s="2"/>
      <c r="C365" s="2"/>
      <c r="D365" s="3"/>
      <c r="E365" s="3"/>
      <c r="F365" s="3"/>
      <c r="G365" s="3"/>
      <c r="H365" s="3"/>
      <c r="I365" s="3"/>
      <c r="J365" s="2"/>
      <c r="K365" s="3"/>
      <c r="L365" s="2"/>
      <c r="M365" s="2"/>
      <c r="N365" s="2"/>
      <c r="O365" s="2"/>
    </row>
    <row r="366">
      <c r="A366" s="2"/>
      <c r="B366" s="2"/>
      <c r="C366" s="2"/>
      <c r="D366" s="3"/>
      <c r="E366" s="3"/>
      <c r="F366" s="3"/>
      <c r="G366" s="3"/>
      <c r="H366" s="3"/>
      <c r="I366" s="3"/>
      <c r="J366" s="2"/>
      <c r="K366" s="3"/>
      <c r="L366" s="2"/>
      <c r="M366" s="2"/>
      <c r="N366" s="2"/>
      <c r="O366" s="2"/>
    </row>
    <row r="367">
      <c r="A367" s="2"/>
      <c r="B367" s="2"/>
      <c r="C367" s="2"/>
      <c r="D367" s="3"/>
      <c r="E367" s="3"/>
      <c r="F367" s="3"/>
      <c r="G367" s="3"/>
      <c r="H367" s="3"/>
      <c r="I367" s="3"/>
      <c r="J367" s="2"/>
      <c r="K367" s="3"/>
      <c r="L367" s="2"/>
      <c r="M367" s="2"/>
      <c r="N367" s="2"/>
      <c r="O367" s="2"/>
    </row>
    <row r="368">
      <c r="A368" s="2"/>
      <c r="B368" s="2"/>
      <c r="C368" s="2"/>
      <c r="D368" s="3"/>
      <c r="E368" s="3"/>
      <c r="F368" s="3"/>
      <c r="G368" s="3"/>
      <c r="H368" s="3"/>
      <c r="I368" s="3"/>
      <c r="J368" s="2"/>
      <c r="K368" s="3"/>
      <c r="L368" s="2"/>
      <c r="M368" s="2"/>
      <c r="N368" s="2"/>
      <c r="O368" s="2"/>
    </row>
    <row r="369">
      <c r="A369" s="2"/>
      <c r="B369" s="2"/>
      <c r="C369" s="2"/>
      <c r="D369" s="3"/>
      <c r="E369" s="3"/>
      <c r="F369" s="3"/>
      <c r="G369" s="3"/>
      <c r="H369" s="3"/>
      <c r="I369" s="3"/>
      <c r="J369" s="2"/>
      <c r="K369" s="3"/>
      <c r="L369" s="2"/>
      <c r="M369" s="2"/>
      <c r="N369" s="2"/>
      <c r="O369" s="2"/>
    </row>
    <row r="370">
      <c r="A370" s="2"/>
      <c r="B370" s="2"/>
      <c r="C370" s="2"/>
      <c r="D370" s="3"/>
      <c r="E370" s="3"/>
      <c r="F370" s="3"/>
      <c r="G370" s="3"/>
      <c r="H370" s="3"/>
      <c r="I370" s="3"/>
      <c r="J370" s="2"/>
      <c r="K370" s="3"/>
      <c r="L370" s="2"/>
      <c r="M370" s="2"/>
      <c r="N370" s="2"/>
      <c r="O370" s="2"/>
    </row>
    <row r="371">
      <c r="A371" s="2"/>
      <c r="B371" s="2"/>
      <c r="C371" s="2"/>
      <c r="D371" s="3"/>
      <c r="E371" s="3"/>
      <c r="F371" s="3"/>
      <c r="G371" s="3"/>
      <c r="H371" s="3"/>
      <c r="I371" s="3"/>
      <c r="J371" s="2"/>
      <c r="K371" s="3"/>
      <c r="L371" s="2"/>
      <c r="M371" s="2"/>
      <c r="N371" s="2"/>
      <c r="O371" s="2"/>
    </row>
    <row r="372">
      <c r="A372" s="2"/>
      <c r="B372" s="2"/>
      <c r="C372" s="2"/>
      <c r="D372" s="3"/>
      <c r="E372" s="3"/>
      <c r="F372" s="3"/>
      <c r="G372" s="3"/>
      <c r="H372" s="3"/>
      <c r="I372" s="3"/>
      <c r="J372" s="2"/>
      <c r="K372" s="3"/>
      <c r="L372" s="2"/>
      <c r="M372" s="2"/>
      <c r="N372" s="2"/>
      <c r="O372" s="2"/>
    </row>
    <row r="373">
      <c r="A373" s="2"/>
      <c r="B373" s="2"/>
      <c r="C373" s="2"/>
      <c r="D373" s="3"/>
      <c r="E373" s="3"/>
      <c r="F373" s="3"/>
      <c r="G373" s="3"/>
      <c r="H373" s="3"/>
      <c r="I373" s="3"/>
      <c r="J373" s="2"/>
      <c r="K373" s="3"/>
      <c r="L373" s="2"/>
      <c r="M373" s="2"/>
      <c r="N373" s="2"/>
      <c r="O373" s="2"/>
    </row>
    <row r="374">
      <c r="A374" s="2"/>
      <c r="B374" s="2"/>
      <c r="C374" s="2"/>
      <c r="D374" s="3"/>
      <c r="E374" s="3"/>
      <c r="F374" s="3"/>
      <c r="G374" s="3"/>
      <c r="H374" s="3"/>
      <c r="I374" s="3"/>
      <c r="J374" s="2"/>
      <c r="K374" s="3"/>
      <c r="L374" s="2"/>
      <c r="M374" s="2"/>
      <c r="N374" s="2"/>
      <c r="O374" s="2"/>
    </row>
    <row r="375">
      <c r="A375" s="2"/>
      <c r="B375" s="2"/>
      <c r="C375" s="2"/>
      <c r="D375" s="3"/>
      <c r="E375" s="3"/>
      <c r="F375" s="3"/>
      <c r="G375" s="3"/>
      <c r="H375" s="3"/>
      <c r="I375" s="3"/>
      <c r="J375" s="2"/>
      <c r="K375" s="3"/>
      <c r="L375" s="2"/>
      <c r="M375" s="2"/>
      <c r="N375" s="2"/>
      <c r="O375" s="2"/>
    </row>
    <row r="376">
      <c r="A376" s="2"/>
      <c r="B376" s="2"/>
      <c r="C376" s="2"/>
      <c r="D376" s="3"/>
      <c r="E376" s="3"/>
      <c r="F376" s="3"/>
      <c r="G376" s="3"/>
      <c r="H376" s="3"/>
      <c r="I376" s="3"/>
      <c r="J376" s="2"/>
      <c r="K376" s="3"/>
      <c r="L376" s="2"/>
      <c r="M376" s="2"/>
      <c r="N376" s="2"/>
      <c r="O376" s="2"/>
    </row>
    <row r="377">
      <c r="A377" s="2"/>
      <c r="B377" s="2"/>
      <c r="C377" s="2"/>
      <c r="D377" s="3"/>
      <c r="E377" s="3"/>
      <c r="F377" s="3"/>
      <c r="G377" s="3"/>
      <c r="H377" s="3"/>
      <c r="I377" s="3"/>
      <c r="J377" s="2"/>
      <c r="K377" s="3"/>
      <c r="L377" s="2"/>
      <c r="M377" s="2"/>
      <c r="N377" s="2"/>
      <c r="O377" s="2"/>
    </row>
    <row r="378">
      <c r="A378" s="2"/>
      <c r="B378" s="2"/>
      <c r="C378" s="2"/>
      <c r="D378" s="3"/>
      <c r="E378" s="3"/>
      <c r="F378" s="3"/>
      <c r="G378" s="3"/>
      <c r="H378" s="3"/>
      <c r="I378" s="3"/>
      <c r="J378" s="2"/>
      <c r="K378" s="3"/>
      <c r="L378" s="2"/>
      <c r="M378" s="2"/>
      <c r="N378" s="2"/>
      <c r="O378" s="2"/>
    </row>
    <row r="379">
      <c r="A379" s="2"/>
      <c r="B379" s="2"/>
      <c r="C379" s="2"/>
      <c r="D379" s="3"/>
      <c r="E379" s="3"/>
      <c r="F379" s="3"/>
      <c r="G379" s="3"/>
      <c r="H379" s="3"/>
      <c r="I379" s="3"/>
      <c r="J379" s="2"/>
      <c r="K379" s="3"/>
      <c r="L379" s="2"/>
      <c r="M379" s="2"/>
      <c r="N379" s="2"/>
      <c r="O379" s="2"/>
    </row>
    <row r="380">
      <c r="A380" s="2"/>
      <c r="B380" s="2"/>
      <c r="C380" s="2"/>
      <c r="D380" s="3"/>
      <c r="E380" s="3"/>
      <c r="F380" s="3"/>
      <c r="G380" s="3"/>
      <c r="H380" s="3"/>
      <c r="I380" s="3"/>
      <c r="J380" s="2"/>
      <c r="K380" s="3"/>
      <c r="L380" s="2"/>
      <c r="M380" s="2"/>
      <c r="N380" s="2"/>
      <c r="O380" s="2"/>
    </row>
    <row r="381">
      <c r="A381" s="2"/>
      <c r="B381" s="2"/>
      <c r="C381" s="2"/>
      <c r="D381" s="3"/>
      <c r="E381" s="3"/>
      <c r="F381" s="3"/>
      <c r="G381" s="3"/>
      <c r="H381" s="3"/>
      <c r="I381" s="3"/>
      <c r="J381" s="2"/>
      <c r="K381" s="3"/>
      <c r="L381" s="2"/>
      <c r="M381" s="2"/>
      <c r="N381" s="2"/>
      <c r="O381" s="2"/>
    </row>
    <row r="382">
      <c r="A382" s="2"/>
      <c r="B382" s="2"/>
      <c r="C382" s="2"/>
      <c r="D382" s="3"/>
      <c r="E382" s="3"/>
      <c r="F382" s="3"/>
      <c r="G382" s="3"/>
      <c r="H382" s="3"/>
      <c r="I382" s="3"/>
      <c r="J382" s="2"/>
      <c r="K382" s="3"/>
      <c r="L382" s="2"/>
      <c r="M382" s="2"/>
      <c r="N382" s="2"/>
      <c r="O382" s="2"/>
    </row>
    <row r="383">
      <c r="A383" s="2"/>
      <c r="B383" s="2"/>
      <c r="C383" s="2"/>
      <c r="D383" s="3"/>
      <c r="E383" s="3"/>
      <c r="F383" s="3"/>
      <c r="G383" s="3"/>
      <c r="H383" s="3"/>
      <c r="I383" s="3"/>
      <c r="J383" s="2"/>
      <c r="K383" s="3"/>
      <c r="L383" s="2"/>
      <c r="M383" s="2"/>
      <c r="N383" s="2"/>
      <c r="O383" s="2"/>
    </row>
    <row r="384">
      <c r="A384" s="2"/>
      <c r="B384" s="2"/>
      <c r="C384" s="2"/>
      <c r="D384" s="3"/>
      <c r="E384" s="3"/>
      <c r="F384" s="3"/>
      <c r="G384" s="3"/>
      <c r="H384" s="3"/>
      <c r="I384" s="3"/>
      <c r="J384" s="2"/>
      <c r="K384" s="3"/>
      <c r="L384" s="2"/>
      <c r="M384" s="2"/>
      <c r="N384" s="2"/>
      <c r="O384" s="2"/>
    </row>
    <row r="385">
      <c r="A385" s="2"/>
      <c r="B385" s="2"/>
      <c r="C385" s="2"/>
      <c r="D385" s="3"/>
      <c r="E385" s="3"/>
      <c r="F385" s="3"/>
      <c r="G385" s="3"/>
      <c r="H385" s="3"/>
      <c r="I385" s="3"/>
      <c r="J385" s="2"/>
      <c r="K385" s="3"/>
      <c r="L385" s="2"/>
      <c r="M385" s="2"/>
      <c r="N385" s="2"/>
      <c r="O385" s="2"/>
    </row>
    <row r="386">
      <c r="A386" s="2"/>
      <c r="B386" s="2"/>
      <c r="C386" s="2"/>
      <c r="D386" s="3"/>
      <c r="E386" s="3"/>
      <c r="F386" s="3"/>
      <c r="G386" s="3"/>
      <c r="H386" s="3"/>
      <c r="I386" s="3"/>
      <c r="J386" s="2"/>
      <c r="K386" s="3"/>
      <c r="L386" s="2"/>
      <c r="M386" s="2"/>
      <c r="N386" s="2"/>
      <c r="O386" s="2"/>
    </row>
    <row r="387">
      <c r="A387" s="2"/>
      <c r="B387" s="2"/>
      <c r="C387" s="2"/>
      <c r="D387" s="3"/>
      <c r="E387" s="3"/>
      <c r="F387" s="3"/>
      <c r="G387" s="3"/>
      <c r="H387" s="3"/>
      <c r="I387" s="3"/>
      <c r="J387" s="2"/>
      <c r="K387" s="3"/>
      <c r="L387" s="2"/>
      <c r="M387" s="2"/>
      <c r="N387" s="2"/>
      <c r="O387" s="2"/>
    </row>
    <row r="388">
      <c r="A388" s="2"/>
      <c r="B388" s="2"/>
      <c r="C388" s="2"/>
      <c r="D388" s="3"/>
      <c r="E388" s="3"/>
      <c r="F388" s="3"/>
      <c r="G388" s="3"/>
      <c r="H388" s="3"/>
      <c r="I388" s="3"/>
      <c r="J388" s="2"/>
      <c r="K388" s="3"/>
      <c r="L388" s="2"/>
      <c r="M388" s="2"/>
      <c r="N388" s="2"/>
      <c r="O388" s="2"/>
    </row>
    <row r="389">
      <c r="A389" s="2"/>
      <c r="B389" s="2"/>
      <c r="C389" s="2"/>
      <c r="D389" s="3"/>
      <c r="E389" s="3"/>
      <c r="F389" s="3"/>
      <c r="G389" s="3"/>
      <c r="H389" s="3"/>
      <c r="I389" s="3"/>
      <c r="J389" s="2"/>
      <c r="K389" s="3"/>
      <c r="L389" s="2"/>
      <c r="M389" s="2"/>
      <c r="N389" s="2"/>
      <c r="O389" s="2"/>
    </row>
    <row r="390">
      <c r="A390" s="2"/>
      <c r="B390" s="2"/>
      <c r="C390" s="2"/>
      <c r="D390" s="3"/>
      <c r="E390" s="3"/>
      <c r="F390" s="3"/>
      <c r="G390" s="3"/>
      <c r="H390" s="3"/>
      <c r="I390" s="3"/>
      <c r="J390" s="2"/>
      <c r="K390" s="3"/>
      <c r="L390" s="2"/>
      <c r="M390" s="2"/>
      <c r="N390" s="2"/>
      <c r="O390" s="2"/>
    </row>
    <row r="391">
      <c r="A391" s="2"/>
      <c r="B391" s="2"/>
      <c r="C391" s="2"/>
      <c r="D391" s="3"/>
      <c r="E391" s="3"/>
      <c r="F391" s="3"/>
      <c r="G391" s="3"/>
      <c r="H391" s="3"/>
      <c r="I391" s="3"/>
      <c r="J391" s="2"/>
      <c r="K391" s="3"/>
      <c r="L391" s="2"/>
      <c r="M391" s="2"/>
      <c r="N391" s="2"/>
      <c r="O391" s="2"/>
    </row>
    <row r="392">
      <c r="A392" s="2"/>
      <c r="B392" s="2"/>
      <c r="C392" s="2"/>
      <c r="D392" s="3"/>
      <c r="E392" s="3"/>
      <c r="F392" s="3"/>
      <c r="G392" s="3"/>
      <c r="H392" s="3"/>
      <c r="I392" s="3"/>
      <c r="J392" s="2"/>
      <c r="K392" s="3"/>
      <c r="L392" s="2"/>
      <c r="M392" s="2"/>
      <c r="N392" s="2"/>
      <c r="O392" s="2"/>
    </row>
    <row r="393">
      <c r="A393" s="2"/>
      <c r="B393" s="2"/>
      <c r="C393" s="2"/>
      <c r="D393" s="3"/>
      <c r="E393" s="3"/>
      <c r="F393" s="3"/>
      <c r="G393" s="3"/>
      <c r="H393" s="3"/>
      <c r="I393" s="3"/>
      <c r="J393" s="2"/>
      <c r="K393" s="3"/>
      <c r="L393" s="2"/>
      <c r="M393" s="2"/>
      <c r="N393" s="2"/>
      <c r="O393" s="2"/>
    </row>
    <row r="394">
      <c r="A394" s="2"/>
      <c r="B394" s="2"/>
      <c r="C394" s="2"/>
      <c r="D394" s="3"/>
      <c r="E394" s="3"/>
      <c r="F394" s="3"/>
      <c r="G394" s="3"/>
      <c r="H394" s="3"/>
      <c r="I394" s="3"/>
      <c r="J394" s="2"/>
      <c r="K394" s="3"/>
      <c r="L394" s="2"/>
      <c r="M394" s="2"/>
      <c r="N394" s="2"/>
      <c r="O394" s="2"/>
    </row>
    <row r="395">
      <c r="A395" s="2"/>
      <c r="B395" s="2"/>
      <c r="C395" s="2"/>
      <c r="D395" s="3"/>
      <c r="E395" s="3"/>
      <c r="F395" s="3"/>
      <c r="G395" s="3"/>
      <c r="H395" s="3"/>
      <c r="I395" s="3"/>
      <c r="J395" s="2"/>
      <c r="K395" s="3"/>
      <c r="L395" s="2"/>
      <c r="M395" s="2"/>
      <c r="N395" s="2"/>
      <c r="O395" s="2"/>
    </row>
    <row r="396">
      <c r="A396" s="2"/>
      <c r="B396" s="2"/>
      <c r="C396" s="2"/>
      <c r="D396" s="3"/>
      <c r="E396" s="3"/>
      <c r="F396" s="3"/>
      <c r="G396" s="3"/>
      <c r="H396" s="3"/>
      <c r="I396" s="3"/>
      <c r="J396" s="2"/>
      <c r="K396" s="3"/>
      <c r="L396" s="2"/>
      <c r="M396" s="2"/>
      <c r="N396" s="2"/>
      <c r="O396" s="2"/>
    </row>
    <row r="397">
      <c r="A397" s="2"/>
      <c r="B397" s="2"/>
      <c r="C397" s="2"/>
      <c r="D397" s="3"/>
      <c r="E397" s="3"/>
      <c r="F397" s="3"/>
      <c r="G397" s="3"/>
      <c r="H397" s="3"/>
      <c r="I397" s="3"/>
      <c r="J397" s="2"/>
      <c r="K397" s="3"/>
      <c r="L397" s="2"/>
      <c r="M397" s="2"/>
      <c r="N397" s="2"/>
      <c r="O397" s="2"/>
    </row>
    <row r="398">
      <c r="A398" s="2"/>
      <c r="B398" s="2"/>
      <c r="C398" s="2"/>
      <c r="D398" s="3"/>
      <c r="E398" s="3"/>
      <c r="F398" s="3"/>
      <c r="G398" s="3"/>
      <c r="H398" s="3"/>
      <c r="I398" s="3"/>
      <c r="J398" s="2"/>
      <c r="K398" s="3"/>
      <c r="L398" s="2"/>
      <c r="M398" s="2"/>
      <c r="N398" s="2"/>
      <c r="O398" s="2"/>
    </row>
    <row r="399">
      <c r="A399" s="2"/>
      <c r="B399" s="2"/>
      <c r="C399" s="2"/>
      <c r="D399" s="3"/>
      <c r="E399" s="3"/>
      <c r="F399" s="3"/>
      <c r="G399" s="3"/>
      <c r="H399" s="3"/>
      <c r="I399" s="3"/>
      <c r="J399" s="2"/>
      <c r="K399" s="3"/>
      <c r="L399" s="2"/>
      <c r="M399" s="2"/>
      <c r="N399" s="2"/>
      <c r="O399" s="2"/>
    </row>
    <row r="400">
      <c r="A400" s="2"/>
      <c r="B400" s="2"/>
      <c r="C400" s="2"/>
      <c r="D400" s="3"/>
      <c r="E400" s="3"/>
      <c r="F400" s="3"/>
      <c r="G400" s="3"/>
      <c r="H400" s="3"/>
      <c r="I400" s="3"/>
      <c r="J400" s="2"/>
      <c r="K400" s="3"/>
      <c r="L400" s="2"/>
      <c r="M400" s="2"/>
      <c r="N400" s="2"/>
      <c r="O400" s="2"/>
    </row>
    <row r="401">
      <c r="A401" s="2"/>
      <c r="B401" s="2"/>
      <c r="C401" s="2"/>
      <c r="D401" s="3"/>
      <c r="E401" s="3"/>
      <c r="F401" s="3"/>
      <c r="G401" s="3"/>
      <c r="H401" s="3"/>
      <c r="I401" s="3"/>
      <c r="J401" s="2"/>
      <c r="K401" s="3"/>
      <c r="L401" s="2"/>
      <c r="M401" s="2"/>
      <c r="N401" s="2"/>
      <c r="O401" s="2"/>
    </row>
    <row r="402">
      <c r="A402" s="2"/>
      <c r="B402" s="2"/>
      <c r="C402" s="2"/>
      <c r="D402" s="3"/>
      <c r="E402" s="3"/>
      <c r="F402" s="3"/>
      <c r="G402" s="3"/>
      <c r="H402" s="3"/>
      <c r="I402" s="3"/>
      <c r="J402" s="2"/>
      <c r="K402" s="3"/>
      <c r="L402" s="2"/>
      <c r="M402" s="2"/>
      <c r="N402" s="2"/>
      <c r="O402" s="2"/>
    </row>
    <row r="403">
      <c r="A403" s="2"/>
      <c r="B403" s="2"/>
      <c r="C403" s="2"/>
      <c r="D403" s="3"/>
      <c r="E403" s="3"/>
      <c r="F403" s="3"/>
      <c r="G403" s="3"/>
      <c r="H403" s="3"/>
      <c r="I403" s="3"/>
      <c r="J403" s="2"/>
      <c r="K403" s="3"/>
      <c r="L403" s="2"/>
      <c r="M403" s="2"/>
      <c r="N403" s="2"/>
      <c r="O403" s="2"/>
    </row>
    <row r="404">
      <c r="A404" s="2"/>
      <c r="B404" s="2"/>
      <c r="C404" s="2"/>
      <c r="D404" s="3"/>
      <c r="E404" s="3"/>
      <c r="F404" s="3"/>
      <c r="G404" s="3"/>
      <c r="H404" s="3"/>
      <c r="I404" s="3"/>
      <c r="J404" s="2"/>
      <c r="K404" s="3"/>
      <c r="L404" s="2"/>
      <c r="M404" s="2"/>
      <c r="N404" s="2"/>
      <c r="O404" s="2"/>
    </row>
    <row r="405">
      <c r="A405" s="2"/>
      <c r="B405" s="2"/>
      <c r="C405" s="2"/>
      <c r="D405" s="3"/>
      <c r="E405" s="3"/>
      <c r="F405" s="3"/>
      <c r="G405" s="3"/>
      <c r="H405" s="3"/>
      <c r="I405" s="3"/>
      <c r="J405" s="2"/>
      <c r="K405" s="3"/>
      <c r="L405" s="2"/>
      <c r="M405" s="2"/>
      <c r="N405" s="2"/>
      <c r="O405" s="2"/>
    </row>
    <row r="406">
      <c r="A406" s="2"/>
      <c r="B406" s="2"/>
      <c r="C406" s="2"/>
      <c r="D406" s="3"/>
      <c r="E406" s="3"/>
      <c r="F406" s="3"/>
      <c r="G406" s="3"/>
      <c r="H406" s="3"/>
      <c r="I406" s="3"/>
      <c r="J406" s="2"/>
      <c r="K406" s="3"/>
      <c r="L406" s="2"/>
      <c r="M406" s="2"/>
      <c r="N406" s="2"/>
      <c r="O406" s="2"/>
    </row>
    <row r="407">
      <c r="A407" s="2"/>
      <c r="B407" s="2"/>
      <c r="C407" s="2"/>
      <c r="D407" s="3"/>
      <c r="E407" s="3"/>
      <c r="F407" s="3"/>
      <c r="G407" s="3"/>
      <c r="H407" s="3"/>
      <c r="I407" s="3"/>
      <c r="J407" s="2"/>
      <c r="K407" s="3"/>
      <c r="L407" s="2"/>
      <c r="M407" s="2"/>
      <c r="N407" s="2"/>
      <c r="O407" s="2"/>
    </row>
    <row r="408">
      <c r="A408" s="2"/>
      <c r="B408" s="2"/>
      <c r="C408" s="2"/>
      <c r="D408" s="3"/>
      <c r="E408" s="3"/>
      <c r="F408" s="3"/>
      <c r="G408" s="3"/>
      <c r="H408" s="3"/>
      <c r="I408" s="3"/>
      <c r="J408" s="2"/>
      <c r="K408" s="3"/>
      <c r="L408" s="2"/>
      <c r="M408" s="2"/>
      <c r="N408" s="2"/>
      <c r="O408" s="2"/>
    </row>
    <row r="409">
      <c r="A409" s="2"/>
      <c r="B409" s="2"/>
      <c r="C409" s="2"/>
      <c r="D409" s="3"/>
      <c r="E409" s="3"/>
      <c r="F409" s="3"/>
      <c r="G409" s="3"/>
      <c r="H409" s="3"/>
      <c r="I409" s="3"/>
      <c r="J409" s="2"/>
      <c r="K409" s="3"/>
      <c r="L409" s="2"/>
      <c r="M409" s="2"/>
      <c r="N409" s="2"/>
      <c r="O409" s="2"/>
    </row>
    <row r="410">
      <c r="A410" s="2"/>
      <c r="B410" s="2"/>
      <c r="C410" s="2"/>
      <c r="D410" s="3"/>
      <c r="E410" s="3"/>
      <c r="F410" s="3"/>
      <c r="G410" s="3"/>
      <c r="H410" s="3"/>
      <c r="I410" s="3"/>
      <c r="J410" s="2"/>
      <c r="K410" s="3"/>
      <c r="L410" s="2"/>
      <c r="M410" s="2"/>
      <c r="N410" s="2"/>
      <c r="O410" s="2"/>
    </row>
    <row r="411">
      <c r="A411" s="2"/>
      <c r="B411" s="2"/>
      <c r="C411" s="2"/>
      <c r="D411" s="3"/>
      <c r="E411" s="3"/>
      <c r="F411" s="3"/>
      <c r="G411" s="3"/>
      <c r="H411" s="3"/>
      <c r="I411" s="3"/>
      <c r="J411" s="2"/>
      <c r="K411" s="3"/>
      <c r="L411" s="2"/>
      <c r="M411" s="2"/>
      <c r="N411" s="2"/>
      <c r="O411" s="2"/>
    </row>
    <row r="412">
      <c r="A412" s="2"/>
      <c r="B412" s="2"/>
      <c r="C412" s="2"/>
      <c r="D412" s="3"/>
      <c r="E412" s="3"/>
      <c r="F412" s="3"/>
      <c r="G412" s="3"/>
      <c r="H412" s="3"/>
      <c r="I412" s="3"/>
      <c r="J412" s="2"/>
      <c r="K412" s="3"/>
      <c r="L412" s="2"/>
      <c r="M412" s="2"/>
      <c r="N412" s="2"/>
      <c r="O412" s="2"/>
    </row>
    <row r="413">
      <c r="A413" s="2"/>
      <c r="B413" s="2"/>
      <c r="C413" s="2"/>
      <c r="D413" s="3"/>
      <c r="E413" s="3"/>
      <c r="F413" s="3"/>
      <c r="G413" s="3"/>
      <c r="H413" s="3"/>
      <c r="I413" s="3"/>
      <c r="J413" s="2"/>
      <c r="K413" s="3"/>
      <c r="L413" s="2"/>
      <c r="M413" s="2"/>
      <c r="N413" s="2"/>
      <c r="O413" s="2"/>
    </row>
    <row r="414">
      <c r="A414" s="2"/>
      <c r="B414" s="2"/>
      <c r="C414" s="2"/>
      <c r="D414" s="3"/>
      <c r="E414" s="3"/>
      <c r="F414" s="3"/>
      <c r="G414" s="3"/>
      <c r="H414" s="3"/>
      <c r="I414" s="3"/>
      <c r="J414" s="2"/>
      <c r="K414" s="3"/>
      <c r="L414" s="2"/>
      <c r="M414" s="2"/>
      <c r="N414" s="2"/>
      <c r="O414" s="2"/>
    </row>
    <row r="415">
      <c r="A415" s="2"/>
      <c r="B415" s="2"/>
      <c r="C415" s="2"/>
      <c r="D415" s="3"/>
      <c r="E415" s="3"/>
      <c r="F415" s="3"/>
      <c r="G415" s="3"/>
      <c r="H415" s="3"/>
      <c r="I415" s="3"/>
      <c r="J415" s="2"/>
      <c r="K415" s="3"/>
      <c r="L415" s="2"/>
      <c r="M415" s="2"/>
      <c r="N415" s="2"/>
      <c r="O415" s="2"/>
    </row>
    <row r="416">
      <c r="A416" s="2"/>
      <c r="B416" s="2"/>
      <c r="C416" s="2"/>
      <c r="D416" s="3"/>
      <c r="E416" s="3"/>
      <c r="F416" s="3"/>
      <c r="G416" s="3"/>
      <c r="H416" s="3"/>
      <c r="I416" s="3"/>
      <c r="J416" s="2"/>
      <c r="K416" s="3"/>
      <c r="L416" s="2"/>
      <c r="M416" s="2"/>
      <c r="N416" s="2"/>
      <c r="O416" s="2"/>
    </row>
    <row r="417">
      <c r="A417" s="2"/>
      <c r="B417" s="2"/>
      <c r="C417" s="2"/>
      <c r="D417" s="3"/>
      <c r="E417" s="3"/>
      <c r="F417" s="3"/>
      <c r="G417" s="3"/>
      <c r="H417" s="3"/>
      <c r="I417" s="3"/>
      <c r="J417" s="2"/>
      <c r="K417" s="3"/>
      <c r="L417" s="2"/>
      <c r="M417" s="2"/>
      <c r="N417" s="2"/>
      <c r="O417" s="2"/>
    </row>
    <row r="418">
      <c r="A418" s="2"/>
      <c r="B418" s="2"/>
      <c r="C418" s="2"/>
      <c r="D418" s="3"/>
      <c r="E418" s="3"/>
      <c r="F418" s="3"/>
      <c r="G418" s="3"/>
      <c r="H418" s="3"/>
      <c r="I418" s="3"/>
      <c r="J418" s="2"/>
      <c r="K418" s="3"/>
      <c r="L418" s="2"/>
      <c r="M418" s="2"/>
      <c r="N418" s="2"/>
      <c r="O418" s="2"/>
    </row>
    <row r="419">
      <c r="A419" s="2"/>
      <c r="B419" s="2"/>
      <c r="C419" s="2"/>
      <c r="D419" s="3"/>
      <c r="E419" s="3"/>
      <c r="F419" s="3"/>
      <c r="G419" s="3"/>
      <c r="H419" s="3"/>
      <c r="I419" s="3"/>
      <c r="J419" s="2"/>
      <c r="K419" s="3"/>
      <c r="L419" s="2"/>
      <c r="M419" s="2"/>
      <c r="N419" s="2"/>
      <c r="O419" s="2"/>
    </row>
    <row r="420">
      <c r="A420" s="2"/>
      <c r="B420" s="2"/>
      <c r="C420" s="2"/>
      <c r="D420" s="3"/>
      <c r="E420" s="3"/>
      <c r="F420" s="3"/>
      <c r="G420" s="3"/>
      <c r="H420" s="3"/>
      <c r="I420" s="3"/>
      <c r="J420" s="2"/>
      <c r="K420" s="3"/>
      <c r="L420" s="2"/>
      <c r="M420" s="2"/>
      <c r="N420" s="2"/>
      <c r="O420" s="2"/>
    </row>
    <row r="421">
      <c r="A421" s="2"/>
      <c r="B421" s="2"/>
      <c r="C421" s="2"/>
      <c r="D421" s="3"/>
      <c r="E421" s="3"/>
      <c r="F421" s="3"/>
      <c r="G421" s="3"/>
      <c r="H421" s="3"/>
      <c r="I421" s="3"/>
      <c r="J421" s="2"/>
      <c r="K421" s="3"/>
      <c r="L421" s="2"/>
      <c r="M421" s="2"/>
      <c r="N421" s="2"/>
      <c r="O421" s="2"/>
    </row>
    <row r="422">
      <c r="A422" s="2"/>
      <c r="B422" s="2"/>
      <c r="C422" s="2"/>
      <c r="D422" s="3"/>
      <c r="E422" s="3"/>
      <c r="F422" s="3"/>
      <c r="G422" s="3"/>
      <c r="H422" s="3"/>
      <c r="I422" s="3"/>
      <c r="J422" s="2"/>
      <c r="K422" s="3"/>
      <c r="L422" s="2"/>
      <c r="M422" s="2"/>
      <c r="N422" s="2"/>
      <c r="O422" s="2"/>
    </row>
    <row r="423">
      <c r="A423" s="2"/>
      <c r="B423" s="2"/>
      <c r="C423" s="2"/>
      <c r="D423" s="3"/>
      <c r="E423" s="3"/>
      <c r="F423" s="3"/>
      <c r="G423" s="3"/>
      <c r="H423" s="3"/>
      <c r="I423" s="3"/>
      <c r="J423" s="2"/>
      <c r="K423" s="3"/>
      <c r="L423" s="2"/>
      <c r="M423" s="2"/>
      <c r="N423" s="2"/>
      <c r="O423" s="2"/>
    </row>
    <row r="424">
      <c r="A424" s="2"/>
      <c r="B424" s="2"/>
      <c r="C424" s="2"/>
      <c r="D424" s="3"/>
      <c r="E424" s="3"/>
      <c r="F424" s="3"/>
      <c r="G424" s="3"/>
      <c r="H424" s="3"/>
      <c r="I424" s="3"/>
      <c r="J424" s="2"/>
      <c r="K424" s="3"/>
      <c r="L424" s="2"/>
      <c r="M424" s="2"/>
      <c r="N424" s="2"/>
      <c r="O424" s="2"/>
    </row>
    <row r="425">
      <c r="A425" s="2"/>
      <c r="B425" s="2"/>
      <c r="C425" s="2"/>
      <c r="D425" s="3"/>
      <c r="E425" s="3"/>
      <c r="F425" s="3"/>
      <c r="G425" s="3"/>
      <c r="H425" s="3"/>
      <c r="I425" s="3"/>
      <c r="J425" s="2"/>
      <c r="K425" s="3"/>
      <c r="L425" s="2"/>
      <c r="M425" s="2"/>
      <c r="N425" s="2"/>
      <c r="O425" s="2"/>
    </row>
    <row r="426">
      <c r="A426" s="2"/>
      <c r="B426" s="2"/>
      <c r="C426" s="2"/>
      <c r="D426" s="3"/>
      <c r="E426" s="3"/>
      <c r="F426" s="3"/>
      <c r="G426" s="3"/>
      <c r="H426" s="3"/>
      <c r="I426" s="3"/>
      <c r="J426" s="2"/>
      <c r="K426" s="3"/>
      <c r="L426" s="2"/>
      <c r="M426" s="2"/>
      <c r="N426" s="2"/>
      <c r="O426" s="2"/>
    </row>
    <row r="427">
      <c r="A427" s="2"/>
      <c r="B427" s="2"/>
      <c r="C427" s="2"/>
      <c r="D427" s="3"/>
      <c r="E427" s="3"/>
      <c r="F427" s="3"/>
      <c r="G427" s="3"/>
      <c r="H427" s="3"/>
      <c r="I427" s="3"/>
      <c r="J427" s="2"/>
      <c r="K427" s="3"/>
      <c r="L427" s="2"/>
      <c r="M427" s="2"/>
      <c r="N427" s="2"/>
      <c r="O427" s="2"/>
    </row>
    <row r="428">
      <c r="A428" s="2"/>
      <c r="B428" s="2"/>
      <c r="C428" s="2"/>
      <c r="D428" s="3"/>
      <c r="E428" s="3"/>
      <c r="F428" s="3"/>
      <c r="G428" s="3"/>
      <c r="H428" s="3"/>
      <c r="I428" s="3"/>
      <c r="J428" s="2"/>
      <c r="K428" s="3"/>
      <c r="L428" s="2"/>
      <c r="M428" s="2"/>
      <c r="N428" s="2"/>
      <c r="O428" s="2"/>
    </row>
    <row r="429">
      <c r="A429" s="2"/>
      <c r="B429" s="2"/>
      <c r="C429" s="2"/>
      <c r="D429" s="3"/>
      <c r="E429" s="3"/>
      <c r="F429" s="3"/>
      <c r="G429" s="3"/>
      <c r="H429" s="3"/>
      <c r="I429" s="3"/>
      <c r="J429" s="2"/>
      <c r="K429" s="3"/>
      <c r="L429" s="2"/>
      <c r="M429" s="2"/>
      <c r="N429" s="2"/>
      <c r="O429" s="2"/>
    </row>
    <row r="430">
      <c r="A430" s="2"/>
      <c r="B430" s="2"/>
      <c r="C430" s="2"/>
      <c r="D430" s="3"/>
      <c r="E430" s="3"/>
      <c r="F430" s="3"/>
      <c r="G430" s="3"/>
      <c r="H430" s="3"/>
      <c r="I430" s="3"/>
      <c r="J430" s="2"/>
      <c r="K430" s="3"/>
      <c r="L430" s="2"/>
      <c r="M430" s="2"/>
      <c r="N430" s="2"/>
      <c r="O430" s="2"/>
    </row>
    <row r="431">
      <c r="A431" s="2"/>
      <c r="B431" s="2"/>
      <c r="C431" s="2"/>
      <c r="D431" s="3"/>
      <c r="E431" s="3"/>
      <c r="F431" s="3"/>
      <c r="G431" s="3"/>
      <c r="H431" s="3"/>
      <c r="I431" s="3"/>
      <c r="J431" s="2"/>
      <c r="K431" s="3"/>
      <c r="L431" s="2"/>
      <c r="M431" s="2"/>
      <c r="N431" s="2"/>
      <c r="O431" s="2"/>
    </row>
    <row r="432">
      <c r="A432" s="2"/>
      <c r="B432" s="2"/>
      <c r="C432" s="2"/>
      <c r="D432" s="3"/>
      <c r="E432" s="3"/>
      <c r="F432" s="3"/>
      <c r="G432" s="3"/>
      <c r="H432" s="3"/>
      <c r="I432" s="3"/>
      <c r="J432" s="2"/>
      <c r="K432" s="3"/>
      <c r="L432" s="2"/>
      <c r="M432" s="2"/>
      <c r="N432" s="2"/>
      <c r="O432" s="2"/>
    </row>
    <row r="433">
      <c r="A433" s="2"/>
      <c r="B433" s="2"/>
      <c r="C433" s="2"/>
      <c r="D433" s="3"/>
      <c r="E433" s="3"/>
      <c r="F433" s="3"/>
      <c r="G433" s="3"/>
      <c r="H433" s="3"/>
      <c r="I433" s="3"/>
      <c r="J433" s="2"/>
      <c r="K433" s="3"/>
      <c r="L433" s="2"/>
      <c r="M433" s="2"/>
      <c r="N433" s="2"/>
      <c r="O433" s="2"/>
    </row>
    <row r="434">
      <c r="A434" s="2"/>
      <c r="B434" s="2"/>
      <c r="C434" s="2"/>
      <c r="D434" s="3"/>
      <c r="E434" s="3"/>
      <c r="F434" s="3"/>
      <c r="G434" s="3"/>
      <c r="H434" s="3"/>
      <c r="I434" s="3"/>
      <c r="J434" s="2"/>
      <c r="K434" s="3"/>
      <c r="L434" s="2"/>
      <c r="M434" s="2"/>
      <c r="N434" s="2"/>
      <c r="O434" s="2"/>
    </row>
    <row r="435">
      <c r="A435" s="2"/>
      <c r="B435" s="2"/>
      <c r="C435" s="2"/>
      <c r="D435" s="3"/>
      <c r="E435" s="3"/>
      <c r="F435" s="3"/>
      <c r="G435" s="3"/>
      <c r="H435" s="3"/>
      <c r="I435" s="3"/>
      <c r="J435" s="2"/>
      <c r="K435" s="3"/>
      <c r="L435" s="2"/>
      <c r="M435" s="2"/>
      <c r="N435" s="2"/>
      <c r="O435" s="2"/>
    </row>
    <row r="436">
      <c r="A436" s="2"/>
      <c r="B436" s="2"/>
      <c r="C436" s="2"/>
      <c r="D436" s="3"/>
      <c r="E436" s="3"/>
      <c r="F436" s="3"/>
      <c r="G436" s="3"/>
      <c r="H436" s="3"/>
      <c r="I436" s="3"/>
      <c r="J436" s="2"/>
      <c r="K436" s="3"/>
      <c r="L436" s="2"/>
      <c r="M436" s="2"/>
      <c r="N436" s="2"/>
      <c r="O436" s="2"/>
    </row>
    <row r="437">
      <c r="A437" s="2"/>
      <c r="B437" s="2"/>
      <c r="C437" s="2"/>
      <c r="D437" s="3"/>
      <c r="E437" s="3"/>
      <c r="F437" s="3"/>
      <c r="G437" s="3"/>
      <c r="H437" s="3"/>
      <c r="I437" s="3"/>
      <c r="J437" s="2"/>
      <c r="K437" s="3"/>
      <c r="L437" s="2"/>
      <c r="M437" s="2"/>
      <c r="N437" s="2"/>
      <c r="O437" s="2"/>
    </row>
    <row r="438">
      <c r="A438" s="2"/>
      <c r="B438" s="2"/>
      <c r="C438" s="2"/>
      <c r="D438" s="3"/>
      <c r="E438" s="3"/>
      <c r="F438" s="3"/>
      <c r="G438" s="3"/>
      <c r="H438" s="3"/>
      <c r="I438" s="3"/>
      <c r="J438" s="2"/>
      <c r="K438" s="3"/>
      <c r="L438" s="2"/>
      <c r="M438" s="2"/>
      <c r="N438" s="2"/>
      <c r="O438" s="2"/>
    </row>
    <row r="439">
      <c r="A439" s="2"/>
      <c r="B439" s="2"/>
      <c r="C439" s="2"/>
      <c r="D439" s="3"/>
      <c r="E439" s="3"/>
      <c r="F439" s="3"/>
      <c r="G439" s="3"/>
      <c r="H439" s="3"/>
      <c r="I439" s="3"/>
      <c r="J439" s="2"/>
      <c r="K439" s="3"/>
      <c r="L439" s="2"/>
      <c r="M439" s="2"/>
      <c r="N439" s="2"/>
      <c r="O439" s="2"/>
    </row>
    <row r="440">
      <c r="A440" s="2"/>
      <c r="B440" s="2"/>
      <c r="C440" s="2"/>
      <c r="D440" s="3"/>
      <c r="E440" s="3"/>
      <c r="F440" s="3"/>
      <c r="G440" s="3"/>
      <c r="H440" s="3"/>
      <c r="I440" s="3"/>
      <c r="J440" s="2"/>
      <c r="K440" s="3"/>
      <c r="L440" s="2"/>
      <c r="M440" s="2"/>
      <c r="N440" s="2"/>
      <c r="O440" s="2"/>
    </row>
    <row r="441">
      <c r="A441" s="2"/>
      <c r="B441" s="2"/>
      <c r="C441" s="2"/>
      <c r="D441" s="3"/>
      <c r="E441" s="3"/>
      <c r="F441" s="3"/>
      <c r="G441" s="3"/>
      <c r="H441" s="3"/>
      <c r="I441" s="3"/>
      <c r="J441" s="2"/>
      <c r="K441" s="3"/>
      <c r="L441" s="2"/>
      <c r="M441" s="2"/>
      <c r="N441" s="2"/>
      <c r="O441" s="2"/>
    </row>
    <row r="442">
      <c r="A442" s="2"/>
      <c r="B442" s="2"/>
      <c r="C442" s="2"/>
      <c r="D442" s="3"/>
      <c r="E442" s="3"/>
      <c r="F442" s="3"/>
      <c r="G442" s="3"/>
      <c r="H442" s="3"/>
      <c r="I442" s="3"/>
      <c r="J442" s="2"/>
      <c r="K442" s="3"/>
      <c r="L442" s="2"/>
      <c r="M442" s="2"/>
      <c r="N442" s="2"/>
      <c r="O442" s="2"/>
    </row>
    <row r="443">
      <c r="A443" s="2"/>
      <c r="B443" s="2"/>
      <c r="C443" s="2"/>
      <c r="D443" s="3"/>
      <c r="E443" s="3"/>
      <c r="F443" s="3"/>
      <c r="G443" s="3"/>
      <c r="H443" s="3"/>
      <c r="I443" s="3"/>
      <c r="J443" s="2"/>
      <c r="K443" s="3"/>
      <c r="L443" s="2"/>
      <c r="M443" s="2"/>
      <c r="N443" s="2"/>
      <c r="O443" s="2"/>
    </row>
    <row r="444">
      <c r="A444" s="2"/>
      <c r="B444" s="2"/>
      <c r="C444" s="2"/>
      <c r="D444" s="3"/>
      <c r="E444" s="3"/>
      <c r="F444" s="3"/>
      <c r="G444" s="3"/>
      <c r="H444" s="3"/>
      <c r="I444" s="3"/>
      <c r="J444" s="2"/>
      <c r="K444" s="3"/>
      <c r="L444" s="2"/>
      <c r="M444" s="2"/>
      <c r="N444" s="2"/>
      <c r="O444" s="2"/>
    </row>
    <row r="445">
      <c r="A445" s="2"/>
      <c r="B445" s="2"/>
      <c r="C445" s="2"/>
      <c r="D445" s="3"/>
      <c r="E445" s="3"/>
      <c r="F445" s="3"/>
      <c r="G445" s="3"/>
      <c r="H445" s="3"/>
      <c r="I445" s="3"/>
      <c r="J445" s="2"/>
      <c r="K445" s="3"/>
      <c r="L445" s="2"/>
      <c r="M445" s="2"/>
      <c r="N445" s="2"/>
      <c r="O445" s="2"/>
    </row>
    <row r="446">
      <c r="A446" s="2"/>
      <c r="B446" s="2"/>
      <c r="C446" s="2"/>
      <c r="D446" s="3"/>
      <c r="E446" s="3"/>
      <c r="F446" s="3"/>
      <c r="G446" s="3"/>
      <c r="H446" s="3"/>
      <c r="I446" s="3"/>
      <c r="J446" s="2"/>
      <c r="K446" s="3"/>
      <c r="L446" s="2"/>
      <c r="M446" s="2"/>
      <c r="N446" s="2"/>
      <c r="O446" s="2"/>
    </row>
    <row r="447">
      <c r="A447" s="2"/>
      <c r="B447" s="2"/>
      <c r="C447" s="2"/>
      <c r="D447" s="3"/>
      <c r="E447" s="3"/>
      <c r="F447" s="3"/>
      <c r="G447" s="3"/>
      <c r="H447" s="3"/>
      <c r="I447" s="3"/>
      <c r="J447" s="2"/>
      <c r="K447" s="3"/>
      <c r="L447" s="2"/>
      <c r="M447" s="2"/>
      <c r="N447" s="2"/>
      <c r="O447" s="2"/>
    </row>
    <row r="448">
      <c r="A448" s="2"/>
      <c r="B448" s="2"/>
      <c r="C448" s="2"/>
      <c r="D448" s="3"/>
      <c r="E448" s="3"/>
      <c r="F448" s="3"/>
      <c r="G448" s="3"/>
      <c r="H448" s="3"/>
      <c r="I448" s="3"/>
      <c r="J448" s="2"/>
      <c r="K448" s="3"/>
      <c r="L448" s="2"/>
      <c r="M448" s="2"/>
      <c r="N448" s="2"/>
      <c r="O448" s="2"/>
    </row>
    <row r="449">
      <c r="A449" s="2"/>
      <c r="B449" s="2"/>
      <c r="C449" s="2"/>
      <c r="D449" s="3"/>
      <c r="E449" s="3"/>
      <c r="F449" s="3"/>
      <c r="G449" s="3"/>
      <c r="H449" s="3"/>
      <c r="I449" s="3"/>
      <c r="J449" s="2"/>
      <c r="K449" s="3"/>
      <c r="L449" s="2"/>
      <c r="M449" s="2"/>
      <c r="N449" s="2"/>
      <c r="O449" s="2"/>
    </row>
    <row r="450">
      <c r="A450" s="2"/>
      <c r="B450" s="2"/>
      <c r="C450" s="2"/>
      <c r="D450" s="3"/>
      <c r="E450" s="3"/>
      <c r="F450" s="3"/>
      <c r="G450" s="3"/>
      <c r="H450" s="3"/>
      <c r="I450" s="3"/>
      <c r="J450" s="2"/>
      <c r="K450" s="3"/>
      <c r="L450" s="2"/>
      <c r="M450" s="2"/>
      <c r="N450" s="2"/>
      <c r="O450" s="2"/>
    </row>
    <row r="451">
      <c r="A451" s="2"/>
      <c r="B451" s="2"/>
      <c r="C451" s="2"/>
      <c r="D451" s="3"/>
      <c r="E451" s="3"/>
      <c r="F451" s="3"/>
      <c r="G451" s="3"/>
      <c r="H451" s="3"/>
      <c r="I451" s="3"/>
      <c r="J451" s="2"/>
      <c r="K451" s="3"/>
      <c r="L451" s="2"/>
      <c r="M451" s="2"/>
      <c r="N451" s="2"/>
      <c r="O451" s="2"/>
    </row>
    <row r="452">
      <c r="A452" s="2"/>
      <c r="B452" s="2"/>
      <c r="C452" s="2"/>
      <c r="D452" s="3"/>
      <c r="E452" s="3"/>
      <c r="F452" s="3"/>
      <c r="G452" s="3"/>
      <c r="H452" s="3"/>
      <c r="I452" s="3"/>
      <c r="J452" s="2"/>
      <c r="K452" s="3"/>
      <c r="L452" s="2"/>
      <c r="M452" s="2"/>
      <c r="N452" s="2"/>
      <c r="O452" s="2"/>
    </row>
    <row r="453">
      <c r="A453" s="2"/>
      <c r="B453" s="2"/>
      <c r="C453" s="2"/>
      <c r="D453" s="3"/>
      <c r="E453" s="3"/>
      <c r="F453" s="3"/>
      <c r="G453" s="3"/>
      <c r="H453" s="3"/>
      <c r="I453" s="3"/>
      <c r="J453" s="2"/>
      <c r="K453" s="3"/>
      <c r="L453" s="2"/>
      <c r="M453" s="2"/>
      <c r="N453" s="2"/>
      <c r="O453" s="2"/>
    </row>
    <row r="454">
      <c r="A454" s="2"/>
      <c r="B454" s="2"/>
      <c r="C454" s="2"/>
      <c r="D454" s="3"/>
      <c r="E454" s="3"/>
      <c r="F454" s="3"/>
      <c r="G454" s="3"/>
      <c r="H454" s="3"/>
      <c r="I454" s="3"/>
      <c r="J454" s="2"/>
      <c r="K454" s="3"/>
      <c r="L454" s="2"/>
      <c r="M454" s="2"/>
      <c r="N454" s="2"/>
      <c r="O454" s="2"/>
    </row>
    <row r="455">
      <c r="A455" s="2"/>
      <c r="B455" s="2"/>
      <c r="C455" s="2"/>
      <c r="D455" s="3"/>
      <c r="E455" s="3"/>
      <c r="F455" s="3"/>
      <c r="G455" s="3"/>
      <c r="H455" s="3"/>
      <c r="I455" s="3"/>
      <c r="J455" s="2"/>
      <c r="K455" s="3"/>
      <c r="L455" s="2"/>
      <c r="M455" s="2"/>
      <c r="N455" s="2"/>
      <c r="O455" s="2"/>
    </row>
    <row r="456">
      <c r="A456" s="2"/>
      <c r="B456" s="2"/>
      <c r="C456" s="2"/>
      <c r="D456" s="3"/>
      <c r="E456" s="3"/>
      <c r="F456" s="3"/>
      <c r="G456" s="3"/>
      <c r="H456" s="3"/>
      <c r="I456" s="3"/>
      <c r="J456" s="2"/>
      <c r="K456" s="3"/>
      <c r="L456" s="2"/>
      <c r="M456" s="2"/>
      <c r="N456" s="2"/>
      <c r="O456" s="2"/>
    </row>
    <row r="457">
      <c r="A457" s="2"/>
      <c r="B457" s="2"/>
      <c r="C457" s="2"/>
      <c r="D457" s="3"/>
      <c r="E457" s="3"/>
      <c r="F457" s="3"/>
      <c r="G457" s="3"/>
      <c r="H457" s="3"/>
      <c r="I457" s="3"/>
      <c r="J457" s="2"/>
      <c r="K457" s="3"/>
      <c r="L457" s="2"/>
      <c r="M457" s="2"/>
      <c r="N457" s="2"/>
      <c r="O457" s="2"/>
    </row>
    <row r="458">
      <c r="A458" s="2"/>
      <c r="B458" s="2"/>
      <c r="C458" s="2"/>
      <c r="D458" s="3"/>
      <c r="E458" s="3"/>
      <c r="F458" s="3"/>
      <c r="G458" s="3"/>
      <c r="H458" s="3"/>
      <c r="I458" s="3"/>
      <c r="J458" s="2"/>
      <c r="K458" s="3"/>
      <c r="L458" s="2"/>
      <c r="M458" s="2"/>
      <c r="N458" s="2"/>
      <c r="O458" s="2"/>
    </row>
    <row r="459">
      <c r="A459" s="2"/>
      <c r="B459" s="2"/>
      <c r="C459" s="2"/>
      <c r="D459" s="3"/>
      <c r="E459" s="3"/>
      <c r="F459" s="3"/>
      <c r="G459" s="3"/>
      <c r="H459" s="3"/>
      <c r="I459" s="3"/>
      <c r="J459" s="2"/>
      <c r="K459" s="3"/>
      <c r="L459" s="2"/>
      <c r="M459" s="2"/>
      <c r="N459" s="2"/>
      <c r="O459" s="2"/>
    </row>
    <row r="460">
      <c r="A460" s="2"/>
      <c r="B460" s="2"/>
      <c r="C460" s="2"/>
      <c r="D460" s="3"/>
      <c r="E460" s="3"/>
      <c r="F460" s="3"/>
      <c r="G460" s="3"/>
      <c r="H460" s="3"/>
      <c r="I460" s="3"/>
      <c r="J460" s="2"/>
      <c r="K460" s="3"/>
      <c r="L460" s="2"/>
      <c r="M460" s="2"/>
      <c r="N460" s="2"/>
      <c r="O460" s="2"/>
    </row>
    <row r="461">
      <c r="A461" s="2"/>
      <c r="B461" s="2"/>
      <c r="C461" s="2"/>
      <c r="D461" s="3"/>
      <c r="E461" s="3"/>
      <c r="F461" s="3"/>
      <c r="G461" s="3"/>
      <c r="H461" s="3"/>
      <c r="I461" s="3"/>
      <c r="J461" s="2"/>
      <c r="K461" s="3"/>
      <c r="L461" s="2"/>
      <c r="M461" s="2"/>
      <c r="N461" s="2"/>
      <c r="O461" s="2"/>
    </row>
    <row r="462">
      <c r="A462" s="2"/>
      <c r="B462" s="2"/>
      <c r="C462" s="2"/>
      <c r="D462" s="3"/>
      <c r="E462" s="3"/>
      <c r="F462" s="3"/>
      <c r="G462" s="3"/>
      <c r="H462" s="3"/>
      <c r="I462" s="3"/>
      <c r="J462" s="2"/>
      <c r="K462" s="3"/>
      <c r="L462" s="2"/>
      <c r="M462" s="2"/>
      <c r="N462" s="2"/>
      <c r="O462" s="2"/>
    </row>
    <row r="463">
      <c r="A463" s="2"/>
      <c r="B463" s="2"/>
      <c r="C463" s="2"/>
      <c r="D463" s="3"/>
      <c r="E463" s="3"/>
      <c r="F463" s="3"/>
      <c r="G463" s="3"/>
      <c r="H463" s="3"/>
      <c r="I463" s="3"/>
      <c r="J463" s="2"/>
      <c r="K463" s="3"/>
      <c r="L463" s="2"/>
      <c r="M463" s="2"/>
      <c r="N463" s="2"/>
      <c r="O463" s="2"/>
    </row>
    <row r="464">
      <c r="A464" s="2"/>
      <c r="B464" s="2"/>
      <c r="C464" s="2"/>
      <c r="D464" s="3"/>
      <c r="E464" s="3"/>
      <c r="F464" s="3"/>
      <c r="G464" s="3"/>
      <c r="H464" s="3"/>
      <c r="I464" s="3"/>
      <c r="J464" s="2"/>
      <c r="K464" s="3"/>
      <c r="L464" s="2"/>
      <c r="M464" s="2"/>
      <c r="N464" s="2"/>
      <c r="O464" s="2"/>
    </row>
    <row r="465">
      <c r="A465" s="2"/>
      <c r="B465" s="2"/>
      <c r="C465" s="2"/>
      <c r="D465" s="3"/>
      <c r="E465" s="3"/>
      <c r="F465" s="3"/>
      <c r="G465" s="3"/>
      <c r="H465" s="3"/>
      <c r="I465" s="3"/>
      <c r="J465" s="2"/>
      <c r="K465" s="3"/>
      <c r="L465" s="2"/>
      <c r="M465" s="2"/>
      <c r="N465" s="2"/>
      <c r="O465" s="2"/>
    </row>
    <row r="466">
      <c r="A466" s="2"/>
      <c r="B466" s="2"/>
      <c r="C466" s="2"/>
      <c r="D466" s="3"/>
      <c r="E466" s="3"/>
      <c r="F466" s="3"/>
      <c r="G466" s="3"/>
      <c r="H466" s="3"/>
      <c r="I466" s="3"/>
      <c r="J466" s="2"/>
      <c r="K466" s="3"/>
      <c r="L466" s="2"/>
      <c r="M466" s="2"/>
      <c r="N466" s="2"/>
      <c r="O466" s="2"/>
    </row>
    <row r="467">
      <c r="A467" s="2"/>
      <c r="B467" s="2"/>
      <c r="C467" s="2"/>
      <c r="D467" s="3"/>
      <c r="E467" s="3"/>
      <c r="F467" s="3"/>
      <c r="G467" s="3"/>
      <c r="H467" s="3"/>
      <c r="I467" s="3"/>
      <c r="J467" s="2"/>
      <c r="K467" s="3"/>
      <c r="L467" s="2"/>
      <c r="M467" s="2"/>
      <c r="N467" s="2"/>
      <c r="O467" s="2"/>
    </row>
    <row r="468">
      <c r="A468" s="2"/>
      <c r="B468" s="2"/>
      <c r="C468" s="2"/>
      <c r="D468" s="3"/>
      <c r="E468" s="3"/>
      <c r="F468" s="3"/>
      <c r="G468" s="3"/>
      <c r="H468" s="3"/>
      <c r="I468" s="3"/>
      <c r="J468" s="2"/>
      <c r="K468" s="3"/>
      <c r="L468" s="2"/>
      <c r="M468" s="2"/>
      <c r="N468" s="2"/>
      <c r="O468" s="2"/>
    </row>
    <row r="469">
      <c r="A469" s="2"/>
      <c r="B469" s="2"/>
      <c r="C469" s="2"/>
      <c r="D469" s="3"/>
      <c r="E469" s="3"/>
      <c r="F469" s="3"/>
      <c r="G469" s="3"/>
      <c r="H469" s="3"/>
      <c r="I469" s="3"/>
      <c r="J469" s="2"/>
      <c r="K469" s="3"/>
      <c r="L469" s="2"/>
      <c r="M469" s="2"/>
      <c r="N469" s="2"/>
      <c r="O469" s="2"/>
    </row>
    <row r="470">
      <c r="A470" s="2"/>
      <c r="B470" s="2"/>
      <c r="C470" s="2"/>
      <c r="D470" s="3"/>
      <c r="E470" s="3"/>
      <c r="F470" s="3"/>
      <c r="G470" s="3"/>
      <c r="H470" s="3"/>
      <c r="I470" s="3"/>
      <c r="J470" s="2"/>
      <c r="K470" s="3"/>
      <c r="L470" s="2"/>
      <c r="M470" s="2"/>
      <c r="N470" s="2"/>
      <c r="O470" s="2"/>
    </row>
    <row r="471">
      <c r="A471" s="2"/>
      <c r="B471" s="2"/>
      <c r="C471" s="2"/>
      <c r="D471" s="3"/>
      <c r="E471" s="3"/>
      <c r="F471" s="3"/>
      <c r="G471" s="3"/>
      <c r="H471" s="3"/>
      <c r="I471" s="3"/>
      <c r="J471" s="2"/>
      <c r="K471" s="3"/>
      <c r="L471" s="2"/>
      <c r="M471" s="2"/>
      <c r="N471" s="2"/>
      <c r="O471" s="2"/>
    </row>
    <row r="472">
      <c r="A472" s="2"/>
      <c r="B472" s="2"/>
      <c r="C472" s="2"/>
      <c r="D472" s="3"/>
      <c r="E472" s="3"/>
      <c r="F472" s="3"/>
      <c r="G472" s="3"/>
      <c r="H472" s="3"/>
      <c r="I472" s="3"/>
      <c r="J472" s="2"/>
      <c r="K472" s="3"/>
      <c r="L472" s="2"/>
      <c r="M472" s="2"/>
      <c r="N472" s="2"/>
      <c r="O472" s="2"/>
    </row>
    <row r="473">
      <c r="A473" s="2"/>
      <c r="B473" s="2"/>
      <c r="C473" s="2"/>
      <c r="D473" s="3"/>
      <c r="E473" s="3"/>
      <c r="F473" s="3"/>
      <c r="G473" s="3"/>
      <c r="H473" s="3"/>
      <c r="I473" s="3"/>
      <c r="J473" s="2"/>
      <c r="K473" s="3"/>
      <c r="L473" s="2"/>
      <c r="M473" s="2"/>
      <c r="N473" s="2"/>
      <c r="O473" s="2"/>
    </row>
    <row r="474">
      <c r="A474" s="2"/>
      <c r="B474" s="2"/>
      <c r="C474" s="2"/>
      <c r="D474" s="3"/>
      <c r="E474" s="3"/>
      <c r="F474" s="3"/>
      <c r="G474" s="3"/>
      <c r="H474" s="3"/>
      <c r="I474" s="3"/>
      <c r="J474" s="2"/>
      <c r="K474" s="3"/>
      <c r="L474" s="2"/>
      <c r="M474" s="2"/>
      <c r="N474" s="2"/>
      <c r="O474" s="2"/>
    </row>
    <row r="475">
      <c r="A475" s="2"/>
      <c r="B475" s="2"/>
      <c r="C475" s="2"/>
      <c r="D475" s="3"/>
      <c r="E475" s="3"/>
      <c r="F475" s="3"/>
      <c r="G475" s="3"/>
      <c r="H475" s="3"/>
      <c r="I475" s="3"/>
      <c r="J475" s="2"/>
      <c r="K475" s="3"/>
      <c r="L475" s="2"/>
      <c r="M475" s="2"/>
      <c r="N475" s="2"/>
      <c r="O475" s="2"/>
    </row>
    <row r="476">
      <c r="A476" s="2"/>
      <c r="B476" s="2"/>
      <c r="C476" s="2"/>
      <c r="D476" s="3"/>
      <c r="E476" s="3"/>
      <c r="F476" s="3"/>
      <c r="G476" s="3"/>
      <c r="H476" s="3"/>
      <c r="I476" s="3"/>
      <c r="J476" s="2"/>
      <c r="K476" s="3"/>
      <c r="L476" s="2"/>
      <c r="M476" s="2"/>
      <c r="N476" s="2"/>
      <c r="O476" s="2"/>
    </row>
    <row r="477">
      <c r="A477" s="2"/>
      <c r="B477" s="2"/>
      <c r="C477" s="2"/>
      <c r="D477" s="3"/>
      <c r="E477" s="3"/>
      <c r="F477" s="3"/>
      <c r="G477" s="3"/>
      <c r="H477" s="3"/>
      <c r="I477" s="3"/>
      <c r="J477" s="2"/>
      <c r="K477" s="3"/>
      <c r="L477" s="2"/>
      <c r="M477" s="2"/>
      <c r="N477" s="2"/>
      <c r="O477" s="2"/>
    </row>
    <row r="478">
      <c r="A478" s="2"/>
      <c r="B478" s="2"/>
      <c r="C478" s="2"/>
      <c r="D478" s="3"/>
      <c r="E478" s="3"/>
      <c r="F478" s="3"/>
      <c r="G478" s="3"/>
      <c r="H478" s="3"/>
      <c r="I478" s="3"/>
      <c r="J478" s="2"/>
      <c r="K478" s="3"/>
      <c r="L478" s="2"/>
      <c r="M478" s="2"/>
      <c r="N478" s="2"/>
      <c r="O478" s="2"/>
    </row>
    <row r="479">
      <c r="A479" s="2"/>
      <c r="B479" s="2"/>
      <c r="C479" s="2"/>
      <c r="D479" s="3"/>
      <c r="E479" s="3"/>
      <c r="F479" s="3"/>
      <c r="G479" s="3"/>
      <c r="H479" s="3"/>
      <c r="I479" s="3"/>
      <c r="J479" s="2"/>
      <c r="K479" s="3"/>
      <c r="L479" s="2"/>
      <c r="M479" s="2"/>
      <c r="N479" s="2"/>
      <c r="O479" s="2"/>
    </row>
    <row r="480">
      <c r="A480" s="2"/>
      <c r="B480" s="2"/>
      <c r="C480" s="2"/>
      <c r="D480" s="3"/>
      <c r="E480" s="3"/>
      <c r="F480" s="3"/>
      <c r="G480" s="3"/>
      <c r="H480" s="3"/>
      <c r="I480" s="3"/>
      <c r="J480" s="2"/>
      <c r="K480" s="3"/>
      <c r="L480" s="2"/>
      <c r="M480" s="2"/>
      <c r="N480" s="2"/>
      <c r="O480" s="2"/>
    </row>
    <row r="481">
      <c r="A481" s="2"/>
      <c r="B481" s="2"/>
      <c r="C481" s="2"/>
      <c r="D481" s="3"/>
      <c r="E481" s="3"/>
      <c r="F481" s="3"/>
      <c r="G481" s="3"/>
      <c r="H481" s="3"/>
      <c r="I481" s="3"/>
      <c r="J481" s="2"/>
      <c r="K481" s="3"/>
      <c r="L481" s="2"/>
      <c r="M481" s="2"/>
      <c r="N481" s="2"/>
      <c r="O481" s="2"/>
    </row>
    <row r="482">
      <c r="A482" s="2"/>
      <c r="B482" s="2"/>
      <c r="C482" s="2"/>
      <c r="D482" s="3"/>
      <c r="E482" s="3"/>
      <c r="F482" s="3"/>
      <c r="G482" s="3"/>
      <c r="H482" s="3"/>
      <c r="I482" s="3"/>
      <c r="J482" s="2"/>
      <c r="K482" s="3"/>
      <c r="L482" s="2"/>
      <c r="M482" s="2"/>
      <c r="N482" s="2"/>
      <c r="O482" s="2"/>
    </row>
    <row r="483">
      <c r="A483" s="2"/>
      <c r="B483" s="2"/>
      <c r="C483" s="2"/>
      <c r="D483" s="3"/>
      <c r="E483" s="3"/>
      <c r="F483" s="3"/>
      <c r="G483" s="3"/>
      <c r="H483" s="3"/>
      <c r="I483" s="3"/>
      <c r="J483" s="2"/>
      <c r="K483" s="3"/>
      <c r="L483" s="2"/>
      <c r="M483" s="2"/>
      <c r="N483" s="2"/>
      <c r="O483" s="2"/>
    </row>
    <row r="484">
      <c r="A484" s="2"/>
      <c r="B484" s="2"/>
      <c r="C484" s="2"/>
      <c r="D484" s="3"/>
      <c r="E484" s="3"/>
      <c r="F484" s="3"/>
      <c r="G484" s="3"/>
      <c r="H484" s="3"/>
      <c r="I484" s="3"/>
      <c r="J484" s="2"/>
      <c r="K484" s="3"/>
      <c r="L484" s="2"/>
      <c r="M484" s="2"/>
      <c r="N484" s="2"/>
      <c r="O484" s="2"/>
    </row>
    <row r="485">
      <c r="A485" s="2"/>
      <c r="B485" s="2"/>
      <c r="C485" s="2"/>
      <c r="D485" s="3"/>
      <c r="E485" s="3"/>
      <c r="F485" s="3"/>
      <c r="G485" s="3"/>
      <c r="H485" s="3"/>
      <c r="I485" s="3"/>
      <c r="J485" s="2"/>
      <c r="K485" s="3"/>
      <c r="L485" s="2"/>
      <c r="M485" s="2"/>
      <c r="N485" s="2"/>
      <c r="O485" s="2"/>
    </row>
    <row r="486">
      <c r="A486" s="2"/>
      <c r="B486" s="2"/>
      <c r="C486" s="2"/>
      <c r="D486" s="3"/>
      <c r="E486" s="3"/>
      <c r="F486" s="3"/>
      <c r="G486" s="3"/>
      <c r="H486" s="3"/>
      <c r="I486" s="3"/>
      <c r="J486" s="2"/>
      <c r="K486" s="3"/>
      <c r="L486" s="2"/>
      <c r="M486" s="2"/>
      <c r="N486" s="2"/>
      <c r="O486" s="2"/>
    </row>
    <row r="487">
      <c r="A487" s="2"/>
      <c r="B487" s="2"/>
      <c r="C487" s="2"/>
      <c r="D487" s="3"/>
      <c r="E487" s="3"/>
      <c r="F487" s="3"/>
      <c r="G487" s="3"/>
      <c r="H487" s="3"/>
      <c r="I487" s="3"/>
      <c r="J487" s="2"/>
      <c r="K487" s="3"/>
      <c r="L487" s="2"/>
      <c r="M487" s="2"/>
      <c r="N487" s="2"/>
      <c r="O487" s="2"/>
    </row>
    <row r="488">
      <c r="A488" s="2"/>
      <c r="B488" s="2"/>
      <c r="C488" s="2"/>
      <c r="D488" s="3"/>
      <c r="E488" s="3"/>
      <c r="F488" s="3"/>
      <c r="G488" s="3"/>
      <c r="H488" s="3"/>
      <c r="I488" s="3"/>
      <c r="J488" s="2"/>
      <c r="K488" s="3"/>
      <c r="L488" s="2"/>
      <c r="M488" s="2"/>
      <c r="N488" s="2"/>
      <c r="O488" s="2"/>
    </row>
    <row r="489">
      <c r="A489" s="2"/>
      <c r="B489" s="2"/>
      <c r="C489" s="2"/>
      <c r="D489" s="3"/>
      <c r="E489" s="3"/>
      <c r="F489" s="3"/>
      <c r="G489" s="3"/>
      <c r="H489" s="3"/>
      <c r="I489" s="3"/>
      <c r="J489" s="2"/>
      <c r="K489" s="3"/>
      <c r="L489" s="2"/>
      <c r="M489" s="2"/>
      <c r="N489" s="2"/>
      <c r="O489" s="2"/>
    </row>
    <row r="490">
      <c r="A490" s="2"/>
      <c r="B490" s="2"/>
      <c r="C490" s="2"/>
      <c r="D490" s="3"/>
      <c r="E490" s="3"/>
      <c r="F490" s="3"/>
      <c r="G490" s="3"/>
      <c r="H490" s="3"/>
      <c r="I490" s="3"/>
      <c r="J490" s="2"/>
      <c r="K490" s="3"/>
      <c r="L490" s="2"/>
      <c r="M490" s="2"/>
      <c r="N490" s="2"/>
      <c r="O490" s="2"/>
    </row>
    <row r="491">
      <c r="A491" s="2"/>
      <c r="B491" s="2"/>
      <c r="C491" s="2"/>
      <c r="D491" s="3"/>
      <c r="E491" s="3"/>
      <c r="F491" s="3"/>
      <c r="G491" s="3"/>
      <c r="H491" s="3"/>
      <c r="I491" s="3"/>
      <c r="J491" s="2"/>
      <c r="K491" s="3"/>
      <c r="L491" s="2"/>
      <c r="M491" s="2"/>
      <c r="N491" s="2"/>
      <c r="O491" s="2"/>
    </row>
    <row r="492">
      <c r="A492" s="2"/>
      <c r="B492" s="2"/>
      <c r="C492" s="2"/>
      <c r="D492" s="3"/>
      <c r="E492" s="3"/>
      <c r="F492" s="3"/>
      <c r="G492" s="3"/>
      <c r="H492" s="3"/>
      <c r="I492" s="3"/>
      <c r="J492" s="2"/>
      <c r="K492" s="3"/>
      <c r="L492" s="2"/>
      <c r="M492" s="2"/>
      <c r="N492" s="2"/>
      <c r="O492" s="2"/>
    </row>
    <row r="493">
      <c r="A493" s="2"/>
      <c r="B493" s="2"/>
      <c r="C493" s="2"/>
      <c r="D493" s="3"/>
      <c r="E493" s="3"/>
      <c r="F493" s="3"/>
      <c r="G493" s="3"/>
      <c r="H493" s="3"/>
      <c r="I493" s="3"/>
      <c r="J493" s="2"/>
      <c r="K493" s="3"/>
      <c r="L493" s="2"/>
      <c r="M493" s="2"/>
      <c r="N493" s="2"/>
      <c r="O493" s="2"/>
    </row>
    <row r="494">
      <c r="A494" s="2"/>
      <c r="B494" s="2"/>
      <c r="C494" s="2"/>
      <c r="D494" s="3"/>
      <c r="E494" s="3"/>
      <c r="F494" s="3"/>
      <c r="G494" s="3"/>
      <c r="H494" s="3"/>
      <c r="I494" s="3"/>
      <c r="J494" s="2"/>
      <c r="K494" s="3"/>
      <c r="L494" s="2"/>
      <c r="M494" s="2"/>
      <c r="N494" s="2"/>
      <c r="O494" s="2"/>
    </row>
    <row r="495">
      <c r="A495" s="2"/>
      <c r="B495" s="2"/>
      <c r="C495" s="2"/>
      <c r="D495" s="3"/>
      <c r="E495" s="3"/>
      <c r="F495" s="3"/>
      <c r="G495" s="3"/>
      <c r="H495" s="3"/>
      <c r="I495" s="3"/>
      <c r="J495" s="2"/>
      <c r="K495" s="3"/>
      <c r="L495" s="2"/>
      <c r="M495" s="2"/>
      <c r="N495" s="2"/>
      <c r="O495" s="2"/>
    </row>
    <row r="496">
      <c r="A496" s="2"/>
      <c r="B496" s="2"/>
      <c r="C496" s="2"/>
      <c r="D496" s="3"/>
      <c r="E496" s="3"/>
      <c r="F496" s="3"/>
      <c r="G496" s="3"/>
      <c r="H496" s="3"/>
      <c r="I496" s="3"/>
      <c r="J496" s="2"/>
      <c r="K496" s="3"/>
      <c r="L496" s="2"/>
      <c r="M496" s="2"/>
      <c r="N496" s="2"/>
      <c r="O496" s="2"/>
    </row>
    <row r="497">
      <c r="A497" s="2"/>
      <c r="B497" s="2"/>
      <c r="C497" s="2"/>
      <c r="D497" s="3"/>
      <c r="E497" s="3"/>
      <c r="F497" s="3"/>
      <c r="G497" s="3"/>
      <c r="H497" s="3"/>
      <c r="I497" s="3"/>
      <c r="J497" s="2"/>
      <c r="K497" s="3"/>
      <c r="L497" s="2"/>
      <c r="M497" s="2"/>
      <c r="N497" s="2"/>
      <c r="O497" s="2"/>
    </row>
    <row r="498">
      <c r="A498" s="2"/>
      <c r="B498" s="2"/>
      <c r="C498" s="2"/>
      <c r="D498" s="3"/>
      <c r="E498" s="3"/>
      <c r="F498" s="3"/>
      <c r="G498" s="3"/>
      <c r="H498" s="3"/>
      <c r="I498" s="3"/>
      <c r="J498" s="2"/>
      <c r="K498" s="3"/>
      <c r="L498" s="2"/>
      <c r="M498" s="2"/>
      <c r="N498" s="2"/>
      <c r="O498" s="2"/>
    </row>
    <row r="499">
      <c r="A499" s="2"/>
      <c r="B499" s="2"/>
      <c r="C499" s="2"/>
      <c r="D499" s="3"/>
      <c r="E499" s="3"/>
      <c r="F499" s="3"/>
      <c r="G499" s="3"/>
      <c r="H499" s="3"/>
      <c r="I499" s="3"/>
      <c r="J499" s="2"/>
      <c r="K499" s="3"/>
      <c r="L499" s="2"/>
      <c r="M499" s="2"/>
      <c r="N499" s="2"/>
      <c r="O499" s="2"/>
    </row>
    <row r="500">
      <c r="A500" s="2"/>
      <c r="B500" s="2"/>
      <c r="C500" s="2"/>
      <c r="D500" s="3"/>
      <c r="E500" s="3"/>
      <c r="F500" s="3"/>
      <c r="G500" s="3"/>
      <c r="H500" s="3"/>
      <c r="I500" s="3"/>
      <c r="J500" s="2"/>
      <c r="K500" s="3"/>
      <c r="L500" s="2"/>
      <c r="M500" s="2"/>
      <c r="N500" s="2"/>
      <c r="O500" s="2"/>
    </row>
    <row r="501">
      <c r="A501" s="2"/>
      <c r="B501" s="2"/>
      <c r="C501" s="2"/>
      <c r="D501" s="3"/>
      <c r="E501" s="3"/>
      <c r="F501" s="3"/>
      <c r="G501" s="3"/>
      <c r="H501" s="3"/>
      <c r="I501" s="3"/>
      <c r="J501" s="2"/>
      <c r="K501" s="3"/>
      <c r="L501" s="2"/>
      <c r="M501" s="2"/>
      <c r="N501" s="2"/>
      <c r="O501" s="2"/>
    </row>
    <row r="502">
      <c r="A502" s="2"/>
      <c r="B502" s="2"/>
      <c r="C502" s="2"/>
      <c r="D502" s="3"/>
      <c r="E502" s="3"/>
      <c r="F502" s="3"/>
      <c r="G502" s="3"/>
      <c r="H502" s="3"/>
      <c r="I502" s="3"/>
      <c r="J502" s="2"/>
      <c r="K502" s="3"/>
      <c r="L502" s="2"/>
      <c r="M502" s="2"/>
      <c r="N502" s="2"/>
      <c r="O502" s="2"/>
    </row>
    <row r="503">
      <c r="A503" s="2"/>
      <c r="B503" s="2"/>
      <c r="C503" s="2"/>
      <c r="D503" s="3"/>
      <c r="E503" s="3"/>
      <c r="F503" s="3"/>
      <c r="G503" s="3"/>
      <c r="H503" s="3"/>
      <c r="I503" s="3"/>
      <c r="J503" s="2"/>
      <c r="K503" s="3"/>
      <c r="L503" s="2"/>
      <c r="M503" s="2"/>
      <c r="N503" s="2"/>
      <c r="O503" s="2"/>
    </row>
    <row r="504">
      <c r="A504" s="2"/>
      <c r="B504" s="2"/>
      <c r="C504" s="2"/>
      <c r="D504" s="3"/>
      <c r="E504" s="3"/>
      <c r="F504" s="3"/>
      <c r="G504" s="3"/>
      <c r="H504" s="3"/>
      <c r="I504" s="3"/>
      <c r="J504" s="2"/>
      <c r="K504" s="3"/>
      <c r="L504" s="2"/>
      <c r="M504" s="2"/>
      <c r="N504" s="2"/>
      <c r="O504" s="2"/>
    </row>
    <row r="505">
      <c r="A505" s="2"/>
      <c r="B505" s="2"/>
      <c r="C505" s="2"/>
      <c r="D505" s="3"/>
      <c r="E505" s="3"/>
      <c r="F505" s="3"/>
      <c r="G505" s="3"/>
      <c r="H505" s="3"/>
      <c r="I505" s="3"/>
      <c r="J505" s="2"/>
      <c r="K505" s="3"/>
      <c r="L505" s="2"/>
      <c r="M505" s="2"/>
      <c r="N505" s="2"/>
      <c r="O505" s="2"/>
    </row>
    <row r="506">
      <c r="A506" s="2"/>
      <c r="B506" s="2"/>
      <c r="C506" s="2"/>
      <c r="D506" s="3"/>
      <c r="E506" s="3"/>
      <c r="F506" s="3"/>
      <c r="G506" s="3"/>
      <c r="H506" s="3"/>
      <c r="I506" s="3"/>
      <c r="J506" s="2"/>
      <c r="K506" s="3"/>
      <c r="L506" s="2"/>
      <c r="M506" s="2"/>
      <c r="N506" s="2"/>
      <c r="O506" s="2"/>
    </row>
    <row r="507">
      <c r="A507" s="2"/>
      <c r="B507" s="2"/>
      <c r="C507" s="2"/>
      <c r="D507" s="3"/>
      <c r="E507" s="3"/>
      <c r="F507" s="3"/>
      <c r="G507" s="3"/>
      <c r="H507" s="3"/>
      <c r="I507" s="3"/>
      <c r="J507" s="2"/>
      <c r="K507" s="3"/>
      <c r="L507" s="2"/>
      <c r="M507" s="2"/>
      <c r="N507" s="2"/>
      <c r="O507" s="2"/>
    </row>
    <row r="508">
      <c r="A508" s="2"/>
      <c r="B508" s="2"/>
      <c r="C508" s="2"/>
      <c r="D508" s="3"/>
      <c r="E508" s="3"/>
      <c r="F508" s="3"/>
      <c r="G508" s="3"/>
      <c r="H508" s="3"/>
      <c r="I508" s="3"/>
      <c r="J508" s="2"/>
      <c r="K508" s="3"/>
      <c r="L508" s="2"/>
      <c r="M508" s="2"/>
      <c r="N508" s="2"/>
      <c r="O508" s="2"/>
    </row>
    <row r="509">
      <c r="A509" s="2"/>
      <c r="B509" s="2"/>
      <c r="C509" s="2"/>
      <c r="D509" s="3"/>
      <c r="E509" s="3"/>
      <c r="F509" s="3"/>
      <c r="G509" s="3"/>
      <c r="H509" s="3"/>
      <c r="I509" s="3"/>
      <c r="J509" s="2"/>
      <c r="K509" s="3"/>
      <c r="L509" s="2"/>
      <c r="M509" s="2"/>
      <c r="N509" s="2"/>
      <c r="O509" s="2"/>
    </row>
    <row r="510">
      <c r="A510" s="2"/>
      <c r="B510" s="2"/>
      <c r="C510" s="2"/>
      <c r="D510" s="3"/>
      <c r="E510" s="3"/>
      <c r="F510" s="3"/>
      <c r="G510" s="3"/>
      <c r="H510" s="3"/>
      <c r="I510" s="3"/>
      <c r="J510" s="2"/>
      <c r="K510" s="3"/>
      <c r="L510" s="2"/>
      <c r="M510" s="2"/>
      <c r="N510" s="2"/>
      <c r="O510" s="2"/>
    </row>
    <row r="511">
      <c r="A511" s="2"/>
      <c r="B511" s="2"/>
      <c r="C511" s="2"/>
      <c r="D511" s="3"/>
      <c r="E511" s="3"/>
      <c r="F511" s="3"/>
      <c r="G511" s="3"/>
      <c r="H511" s="3"/>
      <c r="I511" s="3"/>
      <c r="J511" s="2"/>
      <c r="K511" s="3"/>
      <c r="L511" s="2"/>
      <c r="M511" s="2"/>
      <c r="N511" s="2"/>
      <c r="O511" s="2"/>
    </row>
    <row r="512">
      <c r="A512" s="2"/>
      <c r="B512" s="2"/>
      <c r="C512" s="2"/>
      <c r="D512" s="3"/>
      <c r="E512" s="3"/>
      <c r="F512" s="3"/>
      <c r="G512" s="3"/>
      <c r="H512" s="3"/>
      <c r="I512" s="3"/>
      <c r="J512" s="2"/>
      <c r="K512" s="3"/>
      <c r="L512" s="2"/>
      <c r="M512" s="2"/>
      <c r="N512" s="2"/>
      <c r="O512" s="2"/>
    </row>
    <row r="513">
      <c r="A513" s="2"/>
      <c r="B513" s="2"/>
      <c r="C513" s="2"/>
      <c r="D513" s="3"/>
      <c r="E513" s="3"/>
      <c r="F513" s="3"/>
      <c r="G513" s="3"/>
      <c r="H513" s="3"/>
      <c r="I513" s="3"/>
      <c r="J513" s="2"/>
      <c r="K513" s="3"/>
      <c r="L513" s="2"/>
      <c r="M513" s="2"/>
      <c r="N513" s="2"/>
      <c r="O513" s="2"/>
    </row>
    <row r="514">
      <c r="A514" s="2"/>
      <c r="B514" s="2"/>
      <c r="C514" s="2"/>
      <c r="D514" s="3"/>
      <c r="E514" s="3"/>
      <c r="F514" s="3"/>
      <c r="G514" s="3"/>
      <c r="H514" s="3"/>
      <c r="I514" s="3"/>
      <c r="J514" s="2"/>
      <c r="K514" s="3"/>
      <c r="L514" s="2"/>
      <c r="M514" s="2"/>
      <c r="N514" s="2"/>
      <c r="O514" s="2"/>
    </row>
    <row r="515">
      <c r="A515" s="2"/>
      <c r="B515" s="2"/>
      <c r="C515" s="2"/>
      <c r="D515" s="3"/>
      <c r="E515" s="3"/>
      <c r="F515" s="3"/>
      <c r="G515" s="3"/>
      <c r="H515" s="3"/>
      <c r="I515" s="3"/>
      <c r="J515" s="2"/>
      <c r="K515" s="3"/>
      <c r="L515" s="2"/>
      <c r="M515" s="2"/>
      <c r="N515" s="2"/>
      <c r="O515" s="2"/>
    </row>
    <row r="516">
      <c r="A516" s="2"/>
      <c r="B516" s="2"/>
      <c r="C516" s="2"/>
      <c r="D516" s="3"/>
      <c r="E516" s="3"/>
      <c r="F516" s="3"/>
      <c r="G516" s="3"/>
      <c r="H516" s="3"/>
      <c r="I516" s="3"/>
      <c r="J516" s="2"/>
      <c r="K516" s="3"/>
      <c r="L516" s="2"/>
      <c r="M516" s="2"/>
      <c r="N516" s="2"/>
      <c r="O516" s="2"/>
    </row>
    <row r="517">
      <c r="A517" s="2"/>
      <c r="B517" s="2"/>
      <c r="C517" s="2"/>
      <c r="D517" s="3"/>
      <c r="E517" s="3"/>
      <c r="F517" s="3"/>
      <c r="G517" s="3"/>
      <c r="H517" s="3"/>
      <c r="I517" s="3"/>
      <c r="J517" s="2"/>
      <c r="K517" s="3"/>
      <c r="L517" s="2"/>
      <c r="M517" s="2"/>
      <c r="N517" s="2"/>
      <c r="O517" s="2"/>
    </row>
    <row r="518">
      <c r="A518" s="2"/>
      <c r="B518" s="2"/>
      <c r="C518" s="2"/>
      <c r="D518" s="3"/>
      <c r="E518" s="3"/>
      <c r="F518" s="3"/>
      <c r="G518" s="3"/>
      <c r="H518" s="3"/>
      <c r="I518" s="3"/>
      <c r="J518" s="2"/>
      <c r="K518" s="3"/>
      <c r="L518" s="2"/>
      <c r="M518" s="2"/>
      <c r="N518" s="2"/>
      <c r="O518" s="2"/>
    </row>
    <row r="519">
      <c r="A519" s="2"/>
      <c r="B519" s="2"/>
      <c r="C519" s="2"/>
      <c r="D519" s="3"/>
      <c r="E519" s="3"/>
      <c r="F519" s="3"/>
      <c r="G519" s="3"/>
      <c r="H519" s="3"/>
      <c r="I519" s="3"/>
      <c r="J519" s="2"/>
      <c r="K519" s="3"/>
      <c r="L519" s="2"/>
      <c r="M519" s="2"/>
      <c r="N519" s="2"/>
      <c r="O519" s="2"/>
    </row>
    <row r="520">
      <c r="A520" s="2"/>
      <c r="B520" s="2"/>
      <c r="C520" s="2"/>
      <c r="D520" s="3"/>
      <c r="E520" s="3"/>
      <c r="F520" s="3"/>
      <c r="G520" s="3"/>
      <c r="H520" s="3"/>
      <c r="I520" s="3"/>
      <c r="J520" s="2"/>
      <c r="K520" s="3"/>
      <c r="L520" s="2"/>
      <c r="M520" s="2"/>
      <c r="N520" s="2"/>
      <c r="O520" s="2"/>
    </row>
    <row r="521">
      <c r="A521" s="2"/>
      <c r="B521" s="2"/>
      <c r="C521" s="2"/>
      <c r="D521" s="3"/>
      <c r="E521" s="3"/>
      <c r="F521" s="3"/>
      <c r="G521" s="3"/>
      <c r="H521" s="3"/>
      <c r="I521" s="3"/>
      <c r="J521" s="2"/>
      <c r="K521" s="3"/>
      <c r="L521" s="2"/>
      <c r="M521" s="2"/>
      <c r="N521" s="2"/>
      <c r="O521" s="2"/>
    </row>
    <row r="522">
      <c r="A522" s="2"/>
      <c r="B522" s="2"/>
      <c r="C522" s="2"/>
      <c r="D522" s="3"/>
      <c r="E522" s="3"/>
      <c r="F522" s="3"/>
      <c r="G522" s="3"/>
      <c r="H522" s="3"/>
      <c r="I522" s="3"/>
      <c r="J522" s="2"/>
      <c r="K522" s="3"/>
      <c r="L522" s="2"/>
      <c r="M522" s="2"/>
      <c r="N522" s="2"/>
      <c r="O522" s="2"/>
    </row>
    <row r="523">
      <c r="A523" s="2"/>
      <c r="B523" s="2"/>
      <c r="C523" s="2"/>
      <c r="D523" s="3"/>
      <c r="E523" s="3"/>
      <c r="F523" s="3"/>
      <c r="G523" s="3"/>
      <c r="H523" s="3"/>
      <c r="I523" s="3"/>
      <c r="J523" s="2"/>
      <c r="K523" s="3"/>
      <c r="L523" s="2"/>
      <c r="M523" s="2"/>
      <c r="N523" s="2"/>
      <c r="O523" s="2"/>
    </row>
    <row r="524">
      <c r="A524" s="2"/>
      <c r="B524" s="2"/>
      <c r="C524" s="2"/>
      <c r="D524" s="3"/>
      <c r="E524" s="3"/>
      <c r="F524" s="3"/>
      <c r="G524" s="3"/>
      <c r="H524" s="3"/>
      <c r="I524" s="3"/>
      <c r="J524" s="2"/>
      <c r="K524" s="3"/>
      <c r="L524" s="2"/>
      <c r="M524" s="2"/>
      <c r="N524" s="2"/>
      <c r="O524" s="2"/>
    </row>
    <row r="525">
      <c r="A525" s="2"/>
      <c r="B525" s="2"/>
      <c r="C525" s="2"/>
      <c r="D525" s="3"/>
      <c r="E525" s="3"/>
      <c r="F525" s="3"/>
      <c r="G525" s="3"/>
      <c r="H525" s="3"/>
      <c r="I525" s="3"/>
      <c r="J525" s="2"/>
      <c r="K525" s="3"/>
      <c r="L525" s="2"/>
      <c r="M525" s="2"/>
      <c r="N525" s="2"/>
      <c r="O525" s="2"/>
    </row>
    <row r="526">
      <c r="A526" s="2"/>
      <c r="B526" s="2"/>
      <c r="C526" s="2"/>
      <c r="D526" s="3"/>
      <c r="E526" s="3"/>
      <c r="F526" s="3"/>
      <c r="G526" s="3"/>
      <c r="H526" s="3"/>
      <c r="I526" s="3"/>
      <c r="J526" s="2"/>
      <c r="K526" s="3"/>
      <c r="L526" s="2"/>
      <c r="M526" s="2"/>
      <c r="N526" s="2"/>
      <c r="O526" s="2"/>
    </row>
    <row r="527">
      <c r="A527" s="2"/>
      <c r="B527" s="2"/>
      <c r="C527" s="2"/>
      <c r="D527" s="3"/>
      <c r="E527" s="3"/>
      <c r="F527" s="3"/>
      <c r="G527" s="3"/>
      <c r="H527" s="3"/>
      <c r="I527" s="3"/>
      <c r="J527" s="2"/>
      <c r="K527" s="3"/>
      <c r="L527" s="2"/>
      <c r="M527" s="2"/>
      <c r="N527" s="2"/>
      <c r="O527" s="2"/>
    </row>
    <row r="528">
      <c r="A528" s="2"/>
      <c r="B528" s="2"/>
      <c r="C528" s="2"/>
      <c r="D528" s="3"/>
      <c r="E528" s="3"/>
      <c r="F528" s="3"/>
      <c r="G528" s="3"/>
      <c r="H528" s="3"/>
      <c r="I528" s="3"/>
      <c r="J528" s="2"/>
      <c r="K528" s="3"/>
      <c r="L528" s="2"/>
      <c r="M528" s="2"/>
      <c r="N528" s="2"/>
      <c r="O528" s="2"/>
    </row>
    <row r="529">
      <c r="A529" s="2"/>
      <c r="B529" s="2"/>
      <c r="C529" s="2"/>
      <c r="D529" s="3"/>
      <c r="E529" s="3"/>
      <c r="F529" s="3"/>
      <c r="G529" s="3"/>
      <c r="H529" s="3"/>
      <c r="I529" s="3"/>
      <c r="J529" s="2"/>
      <c r="K529" s="3"/>
      <c r="L529" s="2"/>
      <c r="M529" s="2"/>
      <c r="N529" s="2"/>
      <c r="O529" s="2"/>
    </row>
    <row r="530">
      <c r="A530" s="2"/>
      <c r="B530" s="2"/>
      <c r="C530" s="2"/>
      <c r="D530" s="3"/>
      <c r="E530" s="3"/>
      <c r="F530" s="3"/>
      <c r="G530" s="3"/>
      <c r="H530" s="3"/>
      <c r="I530" s="3"/>
      <c r="J530" s="2"/>
      <c r="K530" s="3"/>
      <c r="L530" s="2"/>
      <c r="M530" s="2"/>
      <c r="N530" s="2"/>
      <c r="O530" s="2"/>
    </row>
    <row r="531">
      <c r="A531" s="2"/>
      <c r="B531" s="2"/>
      <c r="C531" s="2"/>
      <c r="D531" s="3"/>
      <c r="E531" s="3"/>
      <c r="F531" s="3"/>
      <c r="G531" s="3"/>
      <c r="H531" s="3"/>
      <c r="I531" s="3"/>
      <c r="J531" s="2"/>
      <c r="K531" s="3"/>
      <c r="L531" s="2"/>
      <c r="M531" s="2"/>
      <c r="N531" s="2"/>
      <c r="O531" s="2"/>
    </row>
    <row r="532">
      <c r="A532" s="2"/>
      <c r="B532" s="2"/>
      <c r="C532" s="2"/>
      <c r="D532" s="3"/>
      <c r="E532" s="3"/>
      <c r="F532" s="3"/>
      <c r="G532" s="3"/>
      <c r="H532" s="3"/>
      <c r="I532" s="3"/>
      <c r="J532" s="2"/>
      <c r="K532" s="3"/>
      <c r="L532" s="2"/>
      <c r="M532" s="2"/>
      <c r="N532" s="2"/>
      <c r="O532" s="2"/>
    </row>
    <row r="533">
      <c r="A533" s="2"/>
      <c r="B533" s="2"/>
      <c r="C533" s="2"/>
      <c r="D533" s="3"/>
      <c r="E533" s="3"/>
      <c r="F533" s="3"/>
      <c r="G533" s="3"/>
      <c r="H533" s="3"/>
      <c r="I533" s="3"/>
      <c r="J533" s="2"/>
      <c r="K533" s="3"/>
      <c r="L533" s="2"/>
      <c r="M533" s="2"/>
      <c r="N533" s="2"/>
      <c r="O533" s="2"/>
    </row>
    <row r="534">
      <c r="A534" s="2"/>
      <c r="B534" s="2"/>
      <c r="C534" s="2"/>
      <c r="D534" s="3"/>
      <c r="E534" s="3"/>
      <c r="F534" s="3"/>
      <c r="G534" s="3"/>
      <c r="H534" s="3"/>
      <c r="I534" s="3"/>
      <c r="J534" s="2"/>
      <c r="K534" s="3"/>
      <c r="L534" s="2"/>
      <c r="M534" s="2"/>
      <c r="N534" s="2"/>
      <c r="O534" s="2"/>
    </row>
    <row r="535">
      <c r="A535" s="2"/>
      <c r="B535" s="2"/>
      <c r="C535" s="2"/>
      <c r="D535" s="3"/>
      <c r="E535" s="3"/>
      <c r="F535" s="3"/>
      <c r="G535" s="3"/>
      <c r="H535" s="3"/>
      <c r="I535" s="3"/>
      <c r="J535" s="2"/>
      <c r="K535" s="3"/>
      <c r="L535" s="2"/>
      <c r="M535" s="2"/>
      <c r="N535" s="2"/>
      <c r="O535" s="2"/>
    </row>
    <row r="536">
      <c r="A536" s="2"/>
      <c r="B536" s="2"/>
      <c r="C536" s="2"/>
      <c r="D536" s="3"/>
      <c r="E536" s="3"/>
      <c r="F536" s="3"/>
      <c r="G536" s="3"/>
      <c r="H536" s="3"/>
      <c r="I536" s="3"/>
      <c r="J536" s="2"/>
      <c r="K536" s="3"/>
      <c r="L536" s="2"/>
      <c r="M536" s="2"/>
      <c r="N536" s="2"/>
      <c r="O536" s="2"/>
    </row>
    <row r="537">
      <c r="A537" s="2"/>
      <c r="B537" s="2"/>
      <c r="C537" s="2"/>
      <c r="D537" s="3"/>
      <c r="E537" s="3"/>
      <c r="F537" s="3"/>
      <c r="G537" s="3"/>
      <c r="H537" s="3"/>
      <c r="I537" s="3"/>
      <c r="J537" s="2"/>
      <c r="K537" s="3"/>
      <c r="L537" s="2"/>
      <c r="M537" s="2"/>
      <c r="N537" s="2"/>
      <c r="O537" s="2"/>
    </row>
    <row r="538">
      <c r="A538" s="2"/>
      <c r="B538" s="2"/>
      <c r="C538" s="2"/>
      <c r="D538" s="3"/>
      <c r="E538" s="3"/>
      <c r="F538" s="3"/>
      <c r="G538" s="3"/>
      <c r="H538" s="3"/>
      <c r="I538" s="3"/>
      <c r="J538" s="2"/>
      <c r="K538" s="3"/>
      <c r="L538" s="2"/>
      <c r="M538" s="2"/>
      <c r="N538" s="2"/>
      <c r="O538" s="2"/>
    </row>
    <row r="539">
      <c r="A539" s="2"/>
      <c r="B539" s="2"/>
      <c r="C539" s="2"/>
      <c r="D539" s="3"/>
      <c r="E539" s="3"/>
      <c r="F539" s="3"/>
      <c r="G539" s="3"/>
      <c r="H539" s="3"/>
      <c r="I539" s="3"/>
      <c r="J539" s="2"/>
      <c r="K539" s="3"/>
      <c r="L539" s="2"/>
      <c r="M539" s="2"/>
      <c r="N539" s="2"/>
      <c r="O539" s="2"/>
    </row>
    <row r="540">
      <c r="A540" s="2"/>
      <c r="B540" s="2"/>
      <c r="C540" s="2"/>
      <c r="D540" s="3"/>
      <c r="E540" s="3"/>
      <c r="F540" s="3"/>
      <c r="G540" s="3"/>
      <c r="H540" s="3"/>
      <c r="I540" s="3"/>
      <c r="J540" s="2"/>
      <c r="K540" s="3"/>
      <c r="L540" s="2"/>
      <c r="M540" s="2"/>
      <c r="N540" s="2"/>
      <c r="O540" s="2"/>
    </row>
    <row r="541">
      <c r="A541" s="2"/>
      <c r="B541" s="2"/>
      <c r="C541" s="2"/>
      <c r="D541" s="3"/>
      <c r="E541" s="3"/>
      <c r="F541" s="3"/>
      <c r="G541" s="3"/>
      <c r="H541" s="3"/>
      <c r="I541" s="3"/>
      <c r="J541" s="2"/>
      <c r="K541" s="3"/>
      <c r="L541" s="2"/>
      <c r="M541" s="2"/>
      <c r="N541" s="2"/>
      <c r="O541" s="2"/>
    </row>
    <row r="542">
      <c r="A542" s="2"/>
      <c r="B542" s="2"/>
      <c r="C542" s="2"/>
      <c r="D542" s="3"/>
      <c r="E542" s="3"/>
      <c r="F542" s="3"/>
      <c r="G542" s="3"/>
      <c r="H542" s="3"/>
      <c r="I542" s="3"/>
      <c r="J542" s="2"/>
      <c r="K542" s="3"/>
      <c r="L542" s="2"/>
      <c r="M542" s="2"/>
      <c r="N542" s="2"/>
      <c r="O542" s="2"/>
    </row>
    <row r="543">
      <c r="A543" s="2"/>
      <c r="B543" s="2"/>
      <c r="C543" s="2"/>
      <c r="D543" s="3"/>
      <c r="E543" s="3"/>
      <c r="F543" s="3"/>
      <c r="G543" s="3"/>
      <c r="H543" s="3"/>
      <c r="I543" s="3"/>
      <c r="J543" s="2"/>
      <c r="K543" s="3"/>
      <c r="L543" s="2"/>
      <c r="M543" s="2"/>
      <c r="N543" s="2"/>
      <c r="O543" s="2"/>
    </row>
    <row r="544">
      <c r="A544" s="2"/>
      <c r="B544" s="2"/>
      <c r="C544" s="2"/>
      <c r="D544" s="3"/>
      <c r="E544" s="3"/>
      <c r="F544" s="3"/>
      <c r="G544" s="3"/>
      <c r="H544" s="3"/>
      <c r="I544" s="3"/>
      <c r="J544" s="2"/>
      <c r="K544" s="3"/>
      <c r="L544" s="2"/>
      <c r="M544" s="2"/>
      <c r="N544" s="2"/>
      <c r="O544" s="2"/>
    </row>
    <row r="545">
      <c r="A545" s="2"/>
      <c r="B545" s="2"/>
      <c r="C545" s="2"/>
      <c r="D545" s="3"/>
      <c r="E545" s="3"/>
      <c r="F545" s="3"/>
      <c r="G545" s="3"/>
      <c r="H545" s="3"/>
      <c r="I545" s="3"/>
      <c r="J545" s="2"/>
      <c r="K545" s="3"/>
      <c r="L545" s="2"/>
      <c r="M545" s="2"/>
      <c r="N545" s="2"/>
      <c r="O545" s="2"/>
    </row>
    <row r="546">
      <c r="A546" s="2"/>
      <c r="B546" s="2"/>
      <c r="C546" s="2"/>
      <c r="D546" s="3"/>
      <c r="E546" s="3"/>
      <c r="F546" s="3"/>
      <c r="G546" s="3"/>
      <c r="H546" s="3"/>
      <c r="I546" s="3"/>
      <c r="J546" s="2"/>
      <c r="K546" s="3"/>
      <c r="L546" s="2"/>
      <c r="M546" s="2"/>
      <c r="N546" s="2"/>
      <c r="O546" s="2"/>
    </row>
    <row r="547">
      <c r="A547" s="2"/>
      <c r="B547" s="2"/>
      <c r="C547" s="2"/>
      <c r="D547" s="3"/>
      <c r="E547" s="3"/>
      <c r="F547" s="3"/>
      <c r="G547" s="3"/>
      <c r="H547" s="3"/>
      <c r="I547" s="3"/>
      <c r="J547" s="2"/>
      <c r="K547" s="3"/>
      <c r="L547" s="2"/>
      <c r="M547" s="2"/>
      <c r="N547" s="2"/>
      <c r="O547" s="2"/>
    </row>
    <row r="548">
      <c r="A548" s="2"/>
      <c r="B548" s="2"/>
      <c r="C548" s="2"/>
      <c r="D548" s="3"/>
      <c r="E548" s="3"/>
      <c r="F548" s="3"/>
      <c r="G548" s="3"/>
      <c r="H548" s="3"/>
      <c r="I548" s="3"/>
      <c r="J548" s="2"/>
      <c r="K548" s="3"/>
      <c r="L548" s="2"/>
      <c r="M548" s="2"/>
      <c r="N548" s="2"/>
      <c r="O548" s="2"/>
    </row>
    <row r="549">
      <c r="A549" s="2"/>
      <c r="B549" s="2"/>
      <c r="C549" s="2"/>
      <c r="D549" s="3"/>
      <c r="E549" s="3"/>
      <c r="F549" s="3"/>
      <c r="G549" s="3"/>
      <c r="H549" s="3"/>
      <c r="I549" s="3"/>
      <c r="J549" s="2"/>
      <c r="K549" s="3"/>
      <c r="L549" s="2"/>
      <c r="M549" s="2"/>
      <c r="N549" s="2"/>
      <c r="O549" s="2"/>
    </row>
    <row r="550">
      <c r="A550" s="2"/>
      <c r="B550" s="2"/>
      <c r="C550" s="2"/>
      <c r="D550" s="3"/>
      <c r="E550" s="3"/>
      <c r="F550" s="3"/>
      <c r="G550" s="3"/>
      <c r="H550" s="3"/>
      <c r="I550" s="3"/>
      <c r="J550" s="2"/>
      <c r="K550" s="3"/>
      <c r="L550" s="2"/>
      <c r="M550" s="2"/>
      <c r="N550" s="2"/>
      <c r="O550" s="2"/>
    </row>
    <row r="551">
      <c r="A551" s="2"/>
      <c r="B551" s="2"/>
      <c r="C551" s="2"/>
      <c r="D551" s="3"/>
      <c r="E551" s="3"/>
      <c r="F551" s="3"/>
      <c r="G551" s="3"/>
      <c r="H551" s="3"/>
      <c r="I551" s="3"/>
      <c r="J551" s="2"/>
      <c r="K551" s="3"/>
      <c r="L551" s="2"/>
      <c r="M551" s="2"/>
      <c r="N551" s="2"/>
      <c r="O551" s="2"/>
    </row>
    <row r="552">
      <c r="A552" s="2"/>
      <c r="B552" s="2"/>
      <c r="C552" s="2"/>
      <c r="D552" s="3"/>
      <c r="E552" s="3"/>
      <c r="F552" s="3"/>
      <c r="G552" s="3"/>
      <c r="H552" s="3"/>
      <c r="I552" s="3"/>
      <c r="J552" s="2"/>
      <c r="K552" s="3"/>
      <c r="L552" s="2"/>
      <c r="M552" s="2"/>
      <c r="N552" s="2"/>
      <c r="O552" s="2"/>
    </row>
    <row r="553">
      <c r="A553" s="2"/>
      <c r="B553" s="2"/>
      <c r="C553" s="2"/>
      <c r="D553" s="3"/>
      <c r="E553" s="3"/>
      <c r="F553" s="3"/>
      <c r="G553" s="3"/>
      <c r="H553" s="3"/>
      <c r="I553" s="3"/>
      <c r="J553" s="2"/>
      <c r="K553" s="3"/>
      <c r="L553" s="2"/>
      <c r="M553" s="2"/>
      <c r="N553" s="2"/>
      <c r="O553" s="2"/>
    </row>
    <row r="554">
      <c r="A554" s="2"/>
      <c r="B554" s="2"/>
      <c r="C554" s="2"/>
      <c r="D554" s="3"/>
      <c r="E554" s="3"/>
      <c r="F554" s="3"/>
      <c r="G554" s="3"/>
      <c r="H554" s="3"/>
      <c r="I554" s="3"/>
      <c r="J554" s="2"/>
      <c r="K554" s="3"/>
      <c r="L554" s="2"/>
      <c r="M554" s="2"/>
      <c r="N554" s="2"/>
      <c r="O554" s="2"/>
    </row>
    <row r="555">
      <c r="A555" s="2"/>
      <c r="B555" s="2"/>
      <c r="C555" s="2"/>
      <c r="D555" s="3"/>
      <c r="E555" s="3"/>
      <c r="F555" s="3"/>
      <c r="G555" s="3"/>
      <c r="H555" s="3"/>
      <c r="I555" s="3"/>
      <c r="J555" s="2"/>
      <c r="K555" s="3"/>
      <c r="L555" s="2"/>
      <c r="M555" s="2"/>
      <c r="N555" s="2"/>
      <c r="O555" s="2"/>
    </row>
    <row r="556">
      <c r="A556" s="2"/>
      <c r="B556" s="2"/>
      <c r="C556" s="2"/>
      <c r="D556" s="3"/>
      <c r="E556" s="3"/>
      <c r="F556" s="3"/>
      <c r="G556" s="3"/>
      <c r="H556" s="3"/>
      <c r="I556" s="3"/>
      <c r="J556" s="2"/>
      <c r="K556" s="3"/>
      <c r="L556" s="2"/>
      <c r="M556" s="2"/>
      <c r="N556" s="2"/>
      <c r="O556" s="2"/>
    </row>
    <row r="557">
      <c r="A557" s="2"/>
      <c r="B557" s="2"/>
      <c r="C557" s="2"/>
      <c r="D557" s="3"/>
      <c r="E557" s="3"/>
      <c r="F557" s="3"/>
      <c r="G557" s="3"/>
      <c r="H557" s="3"/>
      <c r="I557" s="3"/>
      <c r="J557" s="2"/>
      <c r="K557" s="3"/>
      <c r="L557" s="2"/>
      <c r="M557" s="2"/>
      <c r="N557" s="2"/>
      <c r="O557" s="2"/>
    </row>
    <row r="558">
      <c r="A558" s="2"/>
      <c r="B558" s="2"/>
      <c r="C558" s="2"/>
      <c r="D558" s="3"/>
      <c r="E558" s="3"/>
      <c r="F558" s="3"/>
      <c r="G558" s="3"/>
      <c r="H558" s="3"/>
      <c r="I558" s="3"/>
      <c r="J558" s="2"/>
      <c r="K558" s="3"/>
      <c r="L558" s="2"/>
      <c r="M558" s="2"/>
      <c r="N558" s="2"/>
      <c r="O558" s="2"/>
    </row>
    <row r="559">
      <c r="A559" s="2"/>
      <c r="B559" s="2"/>
      <c r="C559" s="2"/>
      <c r="D559" s="3"/>
      <c r="E559" s="3"/>
      <c r="F559" s="3"/>
      <c r="G559" s="3"/>
      <c r="H559" s="3"/>
      <c r="I559" s="3"/>
      <c r="J559" s="2"/>
      <c r="K559" s="3"/>
      <c r="L559" s="2"/>
      <c r="M559" s="2"/>
      <c r="N559" s="2"/>
      <c r="O559" s="2"/>
    </row>
    <row r="560">
      <c r="A560" s="2"/>
      <c r="B560" s="2"/>
      <c r="C560" s="2"/>
      <c r="D560" s="3"/>
      <c r="E560" s="3"/>
      <c r="F560" s="3"/>
      <c r="G560" s="3"/>
      <c r="H560" s="3"/>
      <c r="I560" s="3"/>
      <c r="J560" s="2"/>
      <c r="K560" s="3"/>
      <c r="L560" s="2"/>
      <c r="M560" s="2"/>
      <c r="N560" s="2"/>
      <c r="O560" s="2"/>
    </row>
    <row r="561">
      <c r="A561" s="2"/>
      <c r="B561" s="2"/>
      <c r="C561" s="2"/>
      <c r="D561" s="3"/>
      <c r="E561" s="3"/>
      <c r="F561" s="3"/>
      <c r="G561" s="3"/>
      <c r="H561" s="3"/>
      <c r="I561" s="3"/>
      <c r="J561" s="2"/>
      <c r="K561" s="3"/>
      <c r="L561" s="2"/>
      <c r="M561" s="2"/>
      <c r="N561" s="2"/>
      <c r="O561" s="2"/>
    </row>
    <row r="562">
      <c r="A562" s="2"/>
      <c r="B562" s="2"/>
      <c r="C562" s="2"/>
      <c r="D562" s="3"/>
      <c r="E562" s="3"/>
      <c r="F562" s="3"/>
      <c r="G562" s="3"/>
      <c r="H562" s="3"/>
      <c r="I562" s="3"/>
      <c r="J562" s="2"/>
      <c r="K562" s="3"/>
      <c r="L562" s="2"/>
      <c r="M562" s="2"/>
      <c r="N562" s="2"/>
      <c r="O562" s="2"/>
    </row>
    <row r="563">
      <c r="A563" s="2"/>
      <c r="B563" s="2"/>
      <c r="C563" s="2"/>
      <c r="D563" s="3"/>
      <c r="E563" s="3"/>
      <c r="F563" s="3"/>
      <c r="G563" s="3"/>
      <c r="H563" s="3"/>
      <c r="I563" s="3"/>
      <c r="J563" s="2"/>
      <c r="K563" s="3"/>
      <c r="L563" s="2"/>
      <c r="M563" s="2"/>
      <c r="N563" s="2"/>
      <c r="O563" s="2"/>
    </row>
    <row r="564">
      <c r="A564" s="2"/>
      <c r="B564" s="2"/>
      <c r="C564" s="2"/>
      <c r="D564" s="3"/>
      <c r="E564" s="3"/>
      <c r="F564" s="3"/>
      <c r="G564" s="3"/>
      <c r="H564" s="3"/>
      <c r="I564" s="3"/>
      <c r="J564" s="2"/>
      <c r="K564" s="3"/>
      <c r="L564" s="2"/>
      <c r="M564" s="2"/>
      <c r="N564" s="2"/>
      <c r="O564" s="2"/>
    </row>
    <row r="565">
      <c r="A565" s="2"/>
      <c r="B565" s="2"/>
      <c r="C565" s="2"/>
      <c r="D565" s="3"/>
      <c r="E565" s="3"/>
      <c r="F565" s="3"/>
      <c r="G565" s="3"/>
      <c r="H565" s="3"/>
      <c r="I565" s="3"/>
      <c r="J565" s="2"/>
      <c r="K565" s="3"/>
      <c r="L565" s="2"/>
      <c r="M565" s="2"/>
      <c r="N565" s="2"/>
      <c r="O565" s="2"/>
    </row>
    <row r="566">
      <c r="A566" s="2"/>
      <c r="B566" s="2"/>
      <c r="C566" s="2"/>
      <c r="D566" s="3"/>
      <c r="E566" s="3"/>
      <c r="F566" s="3"/>
      <c r="G566" s="3"/>
      <c r="H566" s="3"/>
      <c r="I566" s="3"/>
      <c r="J566" s="2"/>
      <c r="K566" s="3"/>
      <c r="L566" s="2"/>
      <c r="M566" s="2"/>
      <c r="N566" s="2"/>
      <c r="O566" s="2"/>
    </row>
    <row r="567">
      <c r="A567" s="2"/>
      <c r="B567" s="2"/>
      <c r="C567" s="2"/>
      <c r="D567" s="3"/>
      <c r="E567" s="3"/>
      <c r="F567" s="3"/>
      <c r="G567" s="3"/>
      <c r="H567" s="3"/>
      <c r="I567" s="3"/>
      <c r="J567" s="2"/>
      <c r="K567" s="3"/>
      <c r="L567" s="2"/>
      <c r="M567" s="2"/>
      <c r="N567" s="2"/>
      <c r="O567" s="2"/>
    </row>
    <row r="568">
      <c r="A568" s="2"/>
      <c r="B568" s="2"/>
      <c r="C568" s="2"/>
      <c r="D568" s="3"/>
      <c r="E568" s="3"/>
      <c r="F568" s="3"/>
      <c r="G568" s="3"/>
      <c r="H568" s="3"/>
      <c r="I568" s="3"/>
      <c r="J568" s="2"/>
      <c r="K568" s="3"/>
      <c r="L568" s="2"/>
      <c r="M568" s="2"/>
      <c r="N568" s="2"/>
      <c r="O568" s="2"/>
    </row>
    <row r="569">
      <c r="A569" s="2"/>
      <c r="B569" s="2"/>
      <c r="C569" s="2"/>
      <c r="D569" s="3"/>
      <c r="E569" s="3"/>
      <c r="F569" s="3"/>
      <c r="G569" s="3"/>
      <c r="H569" s="3"/>
      <c r="I569" s="3"/>
      <c r="J569" s="2"/>
      <c r="K569" s="3"/>
      <c r="L569" s="2"/>
      <c r="M569" s="2"/>
      <c r="N569" s="2"/>
      <c r="O569" s="2"/>
    </row>
    <row r="570">
      <c r="A570" s="2"/>
      <c r="B570" s="2"/>
      <c r="C570" s="2"/>
      <c r="D570" s="3"/>
      <c r="E570" s="3"/>
      <c r="F570" s="3"/>
      <c r="G570" s="3"/>
      <c r="H570" s="3"/>
      <c r="I570" s="3"/>
      <c r="J570" s="2"/>
      <c r="K570" s="3"/>
      <c r="L570" s="2"/>
      <c r="M570" s="2"/>
      <c r="N570" s="2"/>
      <c r="O570" s="2"/>
    </row>
    <row r="571">
      <c r="A571" s="2"/>
      <c r="B571" s="2"/>
      <c r="C571" s="2"/>
      <c r="D571" s="3"/>
      <c r="E571" s="3"/>
      <c r="F571" s="3"/>
      <c r="G571" s="3"/>
      <c r="H571" s="3"/>
      <c r="I571" s="3"/>
      <c r="J571" s="2"/>
      <c r="K571" s="3"/>
      <c r="L571" s="2"/>
      <c r="M571" s="2"/>
      <c r="N571" s="2"/>
      <c r="O571" s="2"/>
    </row>
    <row r="572">
      <c r="A572" s="2"/>
      <c r="B572" s="2"/>
      <c r="C572" s="2"/>
      <c r="D572" s="3"/>
      <c r="E572" s="3"/>
      <c r="F572" s="3"/>
      <c r="G572" s="3"/>
      <c r="H572" s="3"/>
      <c r="I572" s="3"/>
      <c r="J572" s="2"/>
      <c r="K572" s="3"/>
      <c r="L572" s="2"/>
      <c r="M572" s="2"/>
      <c r="N572" s="2"/>
      <c r="O572" s="2"/>
    </row>
    <row r="573">
      <c r="A573" s="2"/>
      <c r="B573" s="2"/>
      <c r="C573" s="2"/>
      <c r="D573" s="3"/>
      <c r="E573" s="3"/>
      <c r="F573" s="3"/>
      <c r="G573" s="3"/>
      <c r="H573" s="3"/>
      <c r="I573" s="3"/>
      <c r="J573" s="2"/>
      <c r="K573" s="3"/>
      <c r="L573" s="2"/>
      <c r="M573" s="2"/>
      <c r="N573" s="2"/>
      <c r="O573" s="2"/>
    </row>
    <row r="574">
      <c r="A574" s="2"/>
      <c r="B574" s="2"/>
      <c r="C574" s="2"/>
      <c r="D574" s="3"/>
      <c r="E574" s="3"/>
      <c r="F574" s="3"/>
      <c r="G574" s="3"/>
      <c r="H574" s="3"/>
      <c r="I574" s="3"/>
      <c r="J574" s="2"/>
      <c r="K574" s="3"/>
      <c r="L574" s="2"/>
      <c r="M574" s="2"/>
      <c r="N574" s="2"/>
      <c r="O574" s="2"/>
    </row>
    <row r="575">
      <c r="A575" s="2"/>
      <c r="B575" s="2"/>
      <c r="C575" s="2"/>
      <c r="D575" s="3"/>
      <c r="E575" s="3"/>
      <c r="F575" s="3"/>
      <c r="G575" s="3"/>
      <c r="H575" s="3"/>
      <c r="I575" s="3"/>
      <c r="J575" s="2"/>
      <c r="K575" s="3"/>
      <c r="L575" s="2"/>
      <c r="M575" s="2"/>
      <c r="N575" s="2"/>
      <c r="O575" s="2"/>
    </row>
    <row r="576">
      <c r="A576" s="2"/>
      <c r="B576" s="2"/>
      <c r="C576" s="2"/>
      <c r="D576" s="3"/>
      <c r="E576" s="3"/>
      <c r="F576" s="3"/>
      <c r="G576" s="3"/>
      <c r="H576" s="3"/>
      <c r="I576" s="3"/>
      <c r="J576" s="2"/>
      <c r="K576" s="3"/>
      <c r="L576" s="2"/>
      <c r="M576" s="2"/>
      <c r="N576" s="2"/>
      <c r="O576" s="2"/>
    </row>
    <row r="577">
      <c r="A577" s="2"/>
      <c r="B577" s="2"/>
      <c r="C577" s="2"/>
      <c r="D577" s="3"/>
      <c r="E577" s="3"/>
      <c r="F577" s="3"/>
      <c r="G577" s="3"/>
      <c r="H577" s="3"/>
      <c r="I577" s="3"/>
      <c r="J577" s="2"/>
      <c r="K577" s="3"/>
      <c r="L577" s="2"/>
      <c r="M577" s="2"/>
      <c r="N577" s="2"/>
      <c r="O577" s="2"/>
    </row>
    <row r="578">
      <c r="A578" s="2"/>
      <c r="B578" s="2"/>
      <c r="C578" s="2"/>
      <c r="D578" s="3"/>
      <c r="E578" s="3"/>
      <c r="F578" s="3"/>
      <c r="G578" s="3"/>
      <c r="H578" s="3"/>
      <c r="I578" s="3"/>
      <c r="J578" s="2"/>
      <c r="K578" s="3"/>
      <c r="L578" s="2"/>
      <c r="M578" s="2"/>
      <c r="N578" s="2"/>
      <c r="O578" s="2"/>
    </row>
    <row r="579">
      <c r="A579" s="2"/>
      <c r="B579" s="2"/>
      <c r="C579" s="2"/>
      <c r="D579" s="3"/>
      <c r="E579" s="3"/>
      <c r="F579" s="3"/>
      <c r="G579" s="3"/>
      <c r="H579" s="3"/>
      <c r="I579" s="3"/>
      <c r="J579" s="2"/>
      <c r="K579" s="3"/>
      <c r="L579" s="2"/>
      <c r="M579" s="2"/>
      <c r="N579" s="2"/>
      <c r="O579" s="2"/>
    </row>
    <row r="580">
      <c r="A580" s="2"/>
      <c r="B580" s="2"/>
      <c r="C580" s="2"/>
      <c r="D580" s="3"/>
      <c r="E580" s="3"/>
      <c r="F580" s="3"/>
      <c r="G580" s="3"/>
      <c r="H580" s="3"/>
      <c r="I580" s="3"/>
      <c r="J580" s="2"/>
      <c r="K580" s="3"/>
      <c r="L580" s="2"/>
      <c r="M580" s="2"/>
      <c r="N580" s="2"/>
      <c r="O580" s="2"/>
    </row>
    <row r="581">
      <c r="A581" s="2"/>
      <c r="B581" s="2"/>
      <c r="C581" s="2"/>
      <c r="D581" s="3"/>
      <c r="E581" s="3"/>
      <c r="F581" s="3"/>
      <c r="G581" s="3"/>
      <c r="H581" s="3"/>
      <c r="I581" s="3"/>
      <c r="J581" s="2"/>
      <c r="K581" s="3"/>
      <c r="L581" s="2"/>
      <c r="M581" s="2"/>
      <c r="N581" s="2"/>
      <c r="O581" s="2"/>
    </row>
    <row r="582">
      <c r="A582" s="2"/>
      <c r="B582" s="2"/>
      <c r="C582" s="2"/>
      <c r="D582" s="3"/>
      <c r="E582" s="3"/>
      <c r="F582" s="3"/>
      <c r="G582" s="3"/>
      <c r="H582" s="3"/>
      <c r="I582" s="3"/>
      <c r="J582" s="2"/>
      <c r="K582" s="3"/>
      <c r="L582" s="2"/>
      <c r="M582" s="2"/>
      <c r="N582" s="2"/>
      <c r="O582" s="2"/>
    </row>
    <row r="583">
      <c r="A583" s="2"/>
      <c r="B583" s="2"/>
      <c r="C583" s="2"/>
      <c r="D583" s="3"/>
      <c r="E583" s="3"/>
      <c r="F583" s="3"/>
      <c r="G583" s="3"/>
      <c r="H583" s="3"/>
      <c r="I583" s="3"/>
      <c r="J583" s="2"/>
      <c r="K583" s="3"/>
      <c r="L583" s="2"/>
      <c r="M583" s="2"/>
      <c r="N583" s="2"/>
      <c r="O583" s="2"/>
    </row>
    <row r="584">
      <c r="A584" s="2"/>
      <c r="B584" s="2"/>
      <c r="C584" s="2"/>
      <c r="D584" s="3"/>
      <c r="E584" s="3"/>
      <c r="F584" s="3"/>
      <c r="G584" s="3"/>
      <c r="H584" s="3"/>
      <c r="I584" s="3"/>
      <c r="J584" s="2"/>
      <c r="K584" s="3"/>
      <c r="L584" s="2"/>
      <c r="M584" s="2"/>
      <c r="N584" s="2"/>
      <c r="O584" s="2"/>
    </row>
    <row r="585">
      <c r="A585" s="2"/>
      <c r="B585" s="2"/>
      <c r="C585" s="2"/>
      <c r="D585" s="3"/>
      <c r="E585" s="3"/>
      <c r="F585" s="3"/>
      <c r="G585" s="3"/>
      <c r="H585" s="3"/>
      <c r="I585" s="3"/>
      <c r="J585" s="2"/>
      <c r="K585" s="3"/>
      <c r="L585" s="2"/>
      <c r="M585" s="2"/>
      <c r="N585" s="2"/>
      <c r="O585" s="2"/>
    </row>
    <row r="586">
      <c r="A586" s="2"/>
      <c r="B586" s="2"/>
      <c r="C586" s="2"/>
      <c r="D586" s="3"/>
      <c r="E586" s="3"/>
      <c r="F586" s="3"/>
      <c r="G586" s="3"/>
      <c r="H586" s="3"/>
      <c r="I586" s="3"/>
      <c r="J586" s="2"/>
      <c r="K586" s="3"/>
      <c r="L586" s="2"/>
      <c r="M586" s="2"/>
      <c r="N586" s="2"/>
      <c r="O586" s="2"/>
    </row>
    <row r="587">
      <c r="A587" s="2"/>
      <c r="B587" s="2"/>
      <c r="C587" s="2"/>
      <c r="D587" s="3"/>
      <c r="E587" s="3"/>
      <c r="F587" s="3"/>
      <c r="G587" s="3"/>
      <c r="H587" s="3"/>
      <c r="I587" s="3"/>
      <c r="J587" s="2"/>
      <c r="K587" s="3"/>
      <c r="L587" s="2"/>
      <c r="M587" s="2"/>
      <c r="N587" s="2"/>
      <c r="O587" s="2"/>
    </row>
    <row r="588">
      <c r="A588" s="2"/>
      <c r="B588" s="2"/>
      <c r="C588" s="2"/>
      <c r="D588" s="3"/>
      <c r="E588" s="3"/>
      <c r="F588" s="3"/>
      <c r="G588" s="3"/>
      <c r="H588" s="3"/>
      <c r="I588" s="3"/>
      <c r="J588" s="2"/>
      <c r="K588" s="3"/>
      <c r="L588" s="2"/>
      <c r="M588" s="2"/>
      <c r="N588" s="2"/>
      <c r="O588" s="2"/>
    </row>
    <row r="589">
      <c r="A589" s="2"/>
      <c r="B589" s="2"/>
      <c r="C589" s="2"/>
      <c r="D589" s="3"/>
      <c r="E589" s="3"/>
      <c r="F589" s="3"/>
      <c r="G589" s="3"/>
      <c r="H589" s="3"/>
      <c r="I589" s="3"/>
      <c r="J589" s="2"/>
      <c r="K589" s="3"/>
      <c r="L589" s="2"/>
      <c r="M589" s="2"/>
      <c r="N589" s="2"/>
      <c r="O589" s="2"/>
    </row>
    <row r="590">
      <c r="A590" s="2"/>
      <c r="B590" s="2"/>
      <c r="C590" s="2"/>
      <c r="D590" s="3"/>
      <c r="E590" s="3"/>
      <c r="F590" s="3"/>
      <c r="G590" s="3"/>
      <c r="H590" s="3"/>
      <c r="I590" s="3"/>
      <c r="J590" s="2"/>
      <c r="K590" s="3"/>
      <c r="L590" s="2"/>
      <c r="M590" s="2"/>
      <c r="N590" s="2"/>
      <c r="O590" s="2"/>
    </row>
    <row r="591">
      <c r="A591" s="2"/>
      <c r="B591" s="2"/>
      <c r="C591" s="2"/>
      <c r="D591" s="3"/>
      <c r="E591" s="3"/>
      <c r="F591" s="3"/>
      <c r="G591" s="3"/>
      <c r="H591" s="3"/>
      <c r="I591" s="3"/>
      <c r="J591" s="2"/>
      <c r="K591" s="3"/>
      <c r="L591" s="2"/>
      <c r="M591" s="2"/>
      <c r="N591" s="2"/>
      <c r="O591" s="2"/>
    </row>
    <row r="592">
      <c r="A592" s="2"/>
      <c r="B592" s="2"/>
      <c r="C592" s="2"/>
      <c r="D592" s="3"/>
      <c r="E592" s="3"/>
      <c r="F592" s="3"/>
      <c r="G592" s="3"/>
      <c r="H592" s="3"/>
      <c r="I592" s="3"/>
      <c r="J592" s="2"/>
      <c r="K592" s="3"/>
      <c r="L592" s="2"/>
      <c r="M592" s="2"/>
      <c r="N592" s="2"/>
      <c r="O592" s="2"/>
    </row>
    <row r="593">
      <c r="A593" s="2"/>
      <c r="B593" s="2"/>
      <c r="C593" s="2"/>
      <c r="D593" s="3"/>
      <c r="E593" s="3"/>
      <c r="F593" s="3"/>
      <c r="G593" s="3"/>
      <c r="H593" s="3"/>
      <c r="I593" s="3"/>
      <c r="J593" s="2"/>
      <c r="K593" s="3"/>
      <c r="L593" s="2"/>
      <c r="M593" s="2"/>
      <c r="N593" s="2"/>
      <c r="O593" s="2"/>
    </row>
    <row r="594">
      <c r="A594" s="2"/>
      <c r="B594" s="2"/>
      <c r="C594" s="2"/>
      <c r="D594" s="3"/>
      <c r="E594" s="3"/>
      <c r="F594" s="3"/>
      <c r="G594" s="3"/>
      <c r="H594" s="3"/>
      <c r="I594" s="3"/>
      <c r="J594" s="2"/>
      <c r="K594" s="3"/>
      <c r="L594" s="2"/>
      <c r="M594" s="2"/>
      <c r="N594" s="2"/>
      <c r="O594" s="2"/>
    </row>
    <row r="595">
      <c r="A595" s="2"/>
      <c r="B595" s="2"/>
      <c r="C595" s="2"/>
      <c r="D595" s="3"/>
      <c r="E595" s="3"/>
      <c r="F595" s="3"/>
      <c r="G595" s="3"/>
      <c r="H595" s="3"/>
      <c r="I595" s="3"/>
      <c r="J595" s="2"/>
      <c r="K595" s="3"/>
      <c r="L595" s="2"/>
      <c r="M595" s="2"/>
      <c r="N595" s="2"/>
      <c r="O595" s="2"/>
    </row>
    <row r="596">
      <c r="A596" s="2"/>
      <c r="B596" s="2"/>
      <c r="C596" s="2"/>
      <c r="D596" s="3"/>
      <c r="E596" s="3"/>
      <c r="F596" s="3"/>
      <c r="G596" s="3"/>
      <c r="H596" s="3"/>
      <c r="I596" s="3"/>
      <c r="J596" s="2"/>
      <c r="K596" s="3"/>
      <c r="L596" s="2"/>
      <c r="M596" s="2"/>
      <c r="N596" s="2"/>
      <c r="O596" s="2"/>
    </row>
    <row r="597">
      <c r="A597" s="2"/>
      <c r="B597" s="2"/>
      <c r="C597" s="2"/>
      <c r="D597" s="3"/>
      <c r="E597" s="3"/>
      <c r="F597" s="3"/>
      <c r="G597" s="3"/>
      <c r="H597" s="3"/>
      <c r="I597" s="3"/>
      <c r="J597" s="2"/>
      <c r="K597" s="3"/>
      <c r="L597" s="2"/>
      <c r="M597" s="2"/>
      <c r="N597" s="2"/>
      <c r="O597" s="2"/>
    </row>
    <row r="598">
      <c r="A598" s="2"/>
      <c r="B598" s="2"/>
      <c r="C598" s="2"/>
      <c r="D598" s="3"/>
      <c r="E598" s="3"/>
      <c r="F598" s="3"/>
      <c r="G598" s="3"/>
      <c r="H598" s="3"/>
      <c r="I598" s="3"/>
      <c r="J598" s="2"/>
      <c r="K598" s="3"/>
      <c r="L598" s="2"/>
      <c r="M598" s="2"/>
      <c r="N598" s="2"/>
      <c r="O598" s="2"/>
    </row>
    <row r="599">
      <c r="A599" s="2"/>
      <c r="B599" s="2"/>
      <c r="C599" s="2"/>
      <c r="D599" s="3"/>
      <c r="E599" s="3"/>
      <c r="F599" s="3"/>
      <c r="G599" s="3"/>
      <c r="H599" s="3"/>
      <c r="I599" s="3"/>
      <c r="J599" s="2"/>
      <c r="K599" s="3"/>
      <c r="L599" s="2"/>
      <c r="M599" s="2"/>
      <c r="N599" s="2"/>
      <c r="O599" s="2"/>
    </row>
    <row r="600">
      <c r="A600" s="2"/>
      <c r="B600" s="2"/>
      <c r="C600" s="2"/>
      <c r="D600" s="3"/>
      <c r="E600" s="3"/>
      <c r="F600" s="3"/>
      <c r="G600" s="3"/>
      <c r="H600" s="3"/>
      <c r="I600" s="3"/>
      <c r="J600" s="2"/>
      <c r="K600" s="3"/>
      <c r="L600" s="2"/>
      <c r="M600" s="2"/>
      <c r="N600" s="2"/>
      <c r="O600" s="2"/>
    </row>
    <row r="601">
      <c r="A601" s="2"/>
      <c r="B601" s="2"/>
      <c r="C601" s="2"/>
      <c r="D601" s="3"/>
      <c r="E601" s="3"/>
      <c r="F601" s="3"/>
      <c r="G601" s="3"/>
      <c r="H601" s="3"/>
      <c r="I601" s="3"/>
      <c r="J601" s="2"/>
      <c r="K601" s="3"/>
      <c r="L601" s="2"/>
      <c r="M601" s="2"/>
      <c r="N601" s="2"/>
      <c r="O601" s="2"/>
    </row>
    <row r="602">
      <c r="A602" s="2"/>
      <c r="B602" s="2"/>
      <c r="C602" s="2"/>
      <c r="D602" s="3"/>
      <c r="E602" s="3"/>
      <c r="F602" s="3"/>
      <c r="G602" s="3"/>
      <c r="H602" s="3"/>
      <c r="I602" s="3"/>
      <c r="J602" s="2"/>
      <c r="K602" s="3"/>
      <c r="L602" s="2"/>
      <c r="M602" s="2"/>
      <c r="N602" s="2"/>
      <c r="O602" s="2"/>
    </row>
    <row r="603">
      <c r="A603" s="2"/>
      <c r="B603" s="2"/>
      <c r="C603" s="2"/>
      <c r="D603" s="3"/>
      <c r="E603" s="3"/>
      <c r="F603" s="3"/>
      <c r="G603" s="3"/>
      <c r="H603" s="3"/>
      <c r="I603" s="3"/>
      <c r="J603" s="2"/>
      <c r="K603" s="3"/>
      <c r="L603" s="2"/>
      <c r="M603" s="2"/>
      <c r="N603" s="2"/>
      <c r="O603" s="2"/>
    </row>
    <row r="604">
      <c r="A604" s="2"/>
      <c r="B604" s="2"/>
      <c r="C604" s="2"/>
      <c r="D604" s="3"/>
      <c r="E604" s="3"/>
      <c r="F604" s="3"/>
      <c r="G604" s="3"/>
      <c r="H604" s="3"/>
      <c r="I604" s="3"/>
      <c r="J604" s="2"/>
      <c r="K604" s="3"/>
      <c r="L604" s="2"/>
      <c r="M604" s="2"/>
      <c r="N604" s="2"/>
      <c r="O604" s="2"/>
    </row>
    <row r="605">
      <c r="A605" s="2"/>
      <c r="B605" s="2"/>
      <c r="C605" s="2"/>
      <c r="D605" s="3"/>
      <c r="E605" s="3"/>
      <c r="F605" s="3"/>
      <c r="G605" s="3"/>
      <c r="H605" s="3"/>
      <c r="I605" s="3"/>
      <c r="J605" s="2"/>
      <c r="K605" s="3"/>
      <c r="L605" s="2"/>
      <c r="M605" s="2"/>
      <c r="N605" s="2"/>
      <c r="O605" s="2"/>
    </row>
    <row r="606">
      <c r="A606" s="2"/>
      <c r="B606" s="2"/>
      <c r="C606" s="2"/>
      <c r="D606" s="3"/>
      <c r="E606" s="3"/>
      <c r="F606" s="3"/>
      <c r="G606" s="3"/>
      <c r="H606" s="3"/>
      <c r="I606" s="3"/>
      <c r="J606" s="2"/>
      <c r="K606" s="3"/>
      <c r="L606" s="2"/>
      <c r="M606" s="2"/>
      <c r="N606" s="2"/>
      <c r="O606" s="2"/>
    </row>
    <row r="607">
      <c r="A607" s="2"/>
      <c r="B607" s="2"/>
      <c r="C607" s="2"/>
      <c r="D607" s="3"/>
      <c r="E607" s="3"/>
      <c r="F607" s="3"/>
      <c r="G607" s="3"/>
      <c r="H607" s="3"/>
      <c r="I607" s="3"/>
      <c r="J607" s="2"/>
      <c r="K607" s="3"/>
      <c r="L607" s="2"/>
      <c r="M607" s="2"/>
      <c r="N607" s="2"/>
      <c r="O607" s="2"/>
    </row>
    <row r="608">
      <c r="A608" s="2"/>
      <c r="B608" s="2"/>
      <c r="C608" s="2"/>
      <c r="D608" s="3"/>
      <c r="E608" s="3"/>
      <c r="F608" s="3"/>
      <c r="G608" s="3"/>
      <c r="H608" s="3"/>
      <c r="I608" s="3"/>
      <c r="J608" s="2"/>
      <c r="K608" s="3"/>
      <c r="L608" s="2"/>
      <c r="M608" s="2"/>
      <c r="N608" s="2"/>
      <c r="O608" s="2"/>
    </row>
    <row r="609">
      <c r="A609" s="2"/>
      <c r="B609" s="2"/>
      <c r="C609" s="2"/>
      <c r="D609" s="3"/>
      <c r="E609" s="3"/>
      <c r="F609" s="3"/>
      <c r="G609" s="3"/>
      <c r="H609" s="3"/>
      <c r="I609" s="3"/>
      <c r="J609" s="2"/>
      <c r="K609" s="3"/>
      <c r="L609" s="2"/>
      <c r="M609" s="2"/>
      <c r="N609" s="2"/>
      <c r="O609" s="2"/>
    </row>
    <row r="610">
      <c r="A610" s="2"/>
      <c r="B610" s="2"/>
      <c r="C610" s="2"/>
      <c r="D610" s="3"/>
      <c r="E610" s="3"/>
      <c r="F610" s="3"/>
      <c r="G610" s="3"/>
      <c r="H610" s="3"/>
      <c r="I610" s="3"/>
      <c r="J610" s="2"/>
      <c r="K610" s="3"/>
      <c r="L610" s="2"/>
      <c r="M610" s="2"/>
      <c r="N610" s="2"/>
      <c r="O610" s="2"/>
    </row>
    <row r="611">
      <c r="A611" s="2"/>
      <c r="B611" s="2"/>
      <c r="C611" s="2"/>
      <c r="D611" s="3"/>
      <c r="E611" s="3"/>
      <c r="F611" s="3"/>
      <c r="G611" s="3"/>
      <c r="H611" s="3"/>
      <c r="I611" s="3"/>
      <c r="J611" s="2"/>
      <c r="K611" s="3"/>
      <c r="L611" s="2"/>
      <c r="M611" s="2"/>
      <c r="N611" s="2"/>
      <c r="O611" s="2"/>
    </row>
    <row r="612">
      <c r="A612" s="2"/>
      <c r="B612" s="2"/>
      <c r="C612" s="2"/>
      <c r="D612" s="3"/>
      <c r="E612" s="3"/>
      <c r="F612" s="3"/>
      <c r="G612" s="3"/>
      <c r="H612" s="3"/>
      <c r="I612" s="3"/>
      <c r="J612" s="2"/>
      <c r="K612" s="3"/>
      <c r="L612" s="2"/>
      <c r="M612" s="2"/>
      <c r="N612" s="2"/>
      <c r="O612" s="2"/>
    </row>
    <row r="613">
      <c r="A613" s="2"/>
      <c r="B613" s="2"/>
      <c r="C613" s="2"/>
      <c r="D613" s="3"/>
      <c r="E613" s="3"/>
      <c r="F613" s="3"/>
      <c r="G613" s="3"/>
      <c r="H613" s="3"/>
      <c r="I613" s="3"/>
      <c r="J613" s="2"/>
      <c r="K613" s="3"/>
      <c r="L613" s="2"/>
      <c r="M613" s="2"/>
      <c r="N613" s="2"/>
      <c r="O613" s="2"/>
    </row>
    <row r="614">
      <c r="A614" s="2"/>
      <c r="B614" s="2"/>
      <c r="C614" s="2"/>
      <c r="D614" s="3"/>
      <c r="E614" s="3"/>
      <c r="F614" s="3"/>
      <c r="G614" s="3"/>
      <c r="H614" s="3"/>
      <c r="I614" s="3"/>
      <c r="J614" s="2"/>
      <c r="K614" s="3"/>
      <c r="L614" s="2"/>
      <c r="M614" s="2"/>
      <c r="N614" s="2"/>
      <c r="O614" s="2"/>
    </row>
    <row r="615">
      <c r="A615" s="2"/>
      <c r="B615" s="2"/>
      <c r="C615" s="2"/>
      <c r="D615" s="3"/>
      <c r="E615" s="3"/>
      <c r="F615" s="3"/>
      <c r="G615" s="3"/>
      <c r="H615" s="3"/>
      <c r="I615" s="3"/>
      <c r="J615" s="2"/>
      <c r="K615" s="3"/>
      <c r="L615" s="2"/>
      <c r="M615" s="2"/>
      <c r="N615" s="2"/>
      <c r="O615" s="2"/>
    </row>
    <row r="616">
      <c r="A616" s="2"/>
      <c r="B616" s="2"/>
      <c r="C616" s="2"/>
      <c r="D616" s="3"/>
      <c r="E616" s="3"/>
      <c r="F616" s="3"/>
      <c r="G616" s="3"/>
      <c r="H616" s="3"/>
      <c r="I616" s="3"/>
      <c r="J616" s="2"/>
      <c r="K616" s="3"/>
      <c r="L616" s="2"/>
      <c r="M616" s="2"/>
      <c r="N616" s="2"/>
      <c r="O616" s="2"/>
    </row>
    <row r="617">
      <c r="A617" s="2"/>
      <c r="B617" s="2"/>
      <c r="C617" s="2"/>
      <c r="D617" s="3"/>
      <c r="E617" s="3"/>
      <c r="F617" s="3"/>
      <c r="G617" s="3"/>
      <c r="H617" s="3"/>
      <c r="I617" s="3"/>
      <c r="J617" s="2"/>
      <c r="K617" s="3"/>
      <c r="L617" s="2"/>
      <c r="M617" s="2"/>
      <c r="N617" s="2"/>
      <c r="O617" s="2"/>
    </row>
    <row r="618">
      <c r="A618" s="2"/>
      <c r="B618" s="2"/>
      <c r="C618" s="2"/>
      <c r="D618" s="3"/>
      <c r="E618" s="3"/>
      <c r="F618" s="3"/>
      <c r="G618" s="3"/>
      <c r="H618" s="3"/>
      <c r="I618" s="3"/>
      <c r="J618" s="2"/>
      <c r="K618" s="3"/>
      <c r="L618" s="2"/>
      <c r="M618" s="2"/>
      <c r="N618" s="2"/>
      <c r="O618" s="2"/>
    </row>
    <row r="619">
      <c r="A619" s="2"/>
      <c r="B619" s="2"/>
      <c r="C619" s="2"/>
      <c r="D619" s="3"/>
      <c r="E619" s="3"/>
      <c r="F619" s="3"/>
      <c r="G619" s="3"/>
      <c r="H619" s="3"/>
      <c r="I619" s="3"/>
      <c r="J619" s="2"/>
      <c r="K619" s="3"/>
      <c r="L619" s="2"/>
      <c r="M619" s="2"/>
      <c r="N619" s="2"/>
      <c r="O619" s="2"/>
    </row>
    <row r="620">
      <c r="A620" s="2"/>
      <c r="B620" s="2"/>
      <c r="C620" s="2"/>
      <c r="D620" s="3"/>
      <c r="E620" s="3"/>
      <c r="F620" s="3"/>
      <c r="G620" s="3"/>
      <c r="H620" s="3"/>
      <c r="I620" s="3"/>
      <c r="J620" s="2"/>
      <c r="K620" s="3"/>
      <c r="L620" s="2"/>
      <c r="M620" s="2"/>
      <c r="N620" s="2"/>
      <c r="O620" s="2"/>
    </row>
    <row r="621">
      <c r="A621" s="2"/>
      <c r="B621" s="2"/>
      <c r="C621" s="2"/>
      <c r="D621" s="3"/>
      <c r="E621" s="3"/>
      <c r="F621" s="3"/>
      <c r="G621" s="3"/>
      <c r="H621" s="3"/>
      <c r="I621" s="3"/>
      <c r="J621" s="2"/>
      <c r="K621" s="3"/>
      <c r="L621" s="2"/>
      <c r="M621" s="2"/>
      <c r="N621" s="2"/>
      <c r="O621" s="2"/>
    </row>
    <row r="622">
      <c r="A622" s="2"/>
      <c r="B622" s="2"/>
      <c r="C622" s="2"/>
      <c r="D622" s="3"/>
      <c r="E622" s="3"/>
      <c r="F622" s="3"/>
      <c r="G622" s="3"/>
      <c r="H622" s="3"/>
      <c r="I622" s="3"/>
      <c r="J622" s="2"/>
      <c r="K622" s="3"/>
      <c r="L622" s="2"/>
      <c r="M622" s="2"/>
      <c r="N622" s="2"/>
      <c r="O622" s="2"/>
    </row>
    <row r="623">
      <c r="A623" s="2"/>
      <c r="B623" s="2"/>
      <c r="C623" s="2"/>
      <c r="D623" s="3"/>
      <c r="E623" s="3"/>
      <c r="F623" s="3"/>
      <c r="G623" s="3"/>
      <c r="H623" s="3"/>
      <c r="I623" s="3"/>
      <c r="J623" s="2"/>
      <c r="K623" s="3"/>
      <c r="L623" s="2"/>
      <c r="M623" s="2"/>
      <c r="N623" s="2"/>
      <c r="O623" s="2"/>
    </row>
    <row r="624">
      <c r="A624" s="2"/>
      <c r="B624" s="2"/>
      <c r="C624" s="2"/>
      <c r="D624" s="3"/>
      <c r="E624" s="3"/>
      <c r="F624" s="3"/>
      <c r="G624" s="3"/>
      <c r="H624" s="3"/>
      <c r="I624" s="3"/>
      <c r="J624" s="2"/>
      <c r="K624" s="3"/>
      <c r="L624" s="2"/>
      <c r="M624" s="2"/>
      <c r="N624" s="2"/>
      <c r="O624" s="2"/>
    </row>
    <row r="625">
      <c r="A625" s="2"/>
      <c r="B625" s="2"/>
      <c r="C625" s="2"/>
      <c r="D625" s="3"/>
      <c r="E625" s="3"/>
      <c r="F625" s="3"/>
      <c r="G625" s="3"/>
      <c r="H625" s="3"/>
      <c r="I625" s="3"/>
      <c r="J625" s="2"/>
      <c r="K625" s="3"/>
      <c r="L625" s="2"/>
      <c r="M625" s="2"/>
      <c r="N625" s="2"/>
      <c r="O625" s="2"/>
    </row>
    <row r="626">
      <c r="A626" s="2"/>
      <c r="B626" s="2"/>
      <c r="C626" s="2"/>
      <c r="D626" s="3"/>
      <c r="E626" s="3"/>
      <c r="F626" s="3"/>
      <c r="G626" s="3"/>
      <c r="H626" s="3"/>
      <c r="I626" s="3"/>
      <c r="J626" s="2"/>
      <c r="K626" s="3"/>
      <c r="L626" s="2"/>
      <c r="M626" s="2"/>
      <c r="N626" s="2"/>
      <c r="O626" s="2"/>
    </row>
    <row r="627">
      <c r="A627" s="2"/>
      <c r="B627" s="2"/>
      <c r="C627" s="2"/>
      <c r="D627" s="3"/>
      <c r="E627" s="3"/>
      <c r="F627" s="3"/>
      <c r="G627" s="3"/>
      <c r="H627" s="3"/>
      <c r="I627" s="3"/>
      <c r="J627" s="2"/>
      <c r="K627" s="3"/>
      <c r="L627" s="2"/>
      <c r="M627" s="2"/>
      <c r="N627" s="2"/>
      <c r="O627" s="2"/>
    </row>
    <row r="628">
      <c r="A628" s="2"/>
      <c r="B628" s="2"/>
      <c r="C628" s="2"/>
      <c r="D628" s="3"/>
      <c r="E628" s="3"/>
      <c r="F628" s="3"/>
      <c r="G628" s="3"/>
      <c r="H628" s="3"/>
      <c r="I628" s="3"/>
      <c r="J628" s="2"/>
      <c r="K628" s="3"/>
      <c r="L628" s="2"/>
      <c r="M628" s="2"/>
      <c r="N628" s="2"/>
      <c r="O628" s="2"/>
    </row>
    <row r="629">
      <c r="A629" s="2"/>
      <c r="B629" s="2"/>
      <c r="C629" s="2"/>
      <c r="D629" s="3"/>
      <c r="E629" s="3"/>
      <c r="F629" s="3"/>
      <c r="G629" s="3"/>
      <c r="H629" s="3"/>
      <c r="I629" s="3"/>
      <c r="J629" s="2"/>
      <c r="K629" s="3"/>
      <c r="L629" s="2"/>
      <c r="M629" s="2"/>
      <c r="N629" s="2"/>
      <c r="O629" s="2"/>
    </row>
    <row r="630">
      <c r="A630" s="2"/>
      <c r="B630" s="2"/>
      <c r="C630" s="2"/>
      <c r="D630" s="3"/>
      <c r="E630" s="3"/>
      <c r="F630" s="3"/>
      <c r="G630" s="3"/>
      <c r="H630" s="3"/>
      <c r="I630" s="3"/>
      <c r="J630" s="2"/>
      <c r="K630" s="3"/>
      <c r="L630" s="2"/>
      <c r="M630" s="2"/>
      <c r="N630" s="2"/>
      <c r="O630" s="2"/>
    </row>
    <row r="631">
      <c r="A631" s="2"/>
      <c r="B631" s="2"/>
      <c r="C631" s="2"/>
      <c r="D631" s="3"/>
      <c r="E631" s="3"/>
      <c r="F631" s="3"/>
      <c r="G631" s="3"/>
      <c r="H631" s="3"/>
      <c r="I631" s="3"/>
      <c r="J631" s="2"/>
      <c r="K631" s="3"/>
      <c r="L631" s="2"/>
      <c r="M631" s="2"/>
      <c r="N631" s="2"/>
      <c r="O631" s="2"/>
    </row>
    <row r="632">
      <c r="A632" s="2"/>
      <c r="B632" s="2"/>
      <c r="C632" s="2"/>
      <c r="D632" s="3"/>
      <c r="E632" s="3"/>
      <c r="F632" s="3"/>
      <c r="G632" s="3"/>
      <c r="H632" s="3"/>
      <c r="I632" s="3"/>
      <c r="J632" s="2"/>
      <c r="K632" s="3"/>
      <c r="L632" s="2"/>
      <c r="M632" s="2"/>
      <c r="N632" s="2"/>
      <c r="O632" s="2"/>
    </row>
    <row r="633">
      <c r="A633" s="2"/>
      <c r="B633" s="2"/>
      <c r="C633" s="2"/>
      <c r="D633" s="3"/>
      <c r="E633" s="3"/>
      <c r="F633" s="3"/>
      <c r="G633" s="3"/>
      <c r="H633" s="3"/>
      <c r="I633" s="3"/>
      <c r="J633" s="2"/>
      <c r="K633" s="3"/>
      <c r="L633" s="2"/>
      <c r="M633" s="2"/>
      <c r="N633" s="2"/>
      <c r="O633" s="2"/>
    </row>
    <row r="634">
      <c r="A634" s="2"/>
      <c r="B634" s="2"/>
      <c r="C634" s="2"/>
      <c r="D634" s="3"/>
      <c r="E634" s="3"/>
      <c r="F634" s="3"/>
      <c r="G634" s="3"/>
      <c r="H634" s="3"/>
      <c r="I634" s="3"/>
      <c r="J634" s="2"/>
      <c r="K634" s="3"/>
      <c r="L634" s="2"/>
      <c r="M634" s="2"/>
      <c r="N634" s="2"/>
      <c r="O634" s="2"/>
    </row>
    <row r="635">
      <c r="A635" s="2"/>
      <c r="B635" s="2"/>
      <c r="C635" s="2"/>
      <c r="D635" s="3"/>
      <c r="E635" s="3"/>
      <c r="F635" s="3"/>
      <c r="G635" s="3"/>
      <c r="H635" s="3"/>
      <c r="I635" s="3"/>
      <c r="J635" s="2"/>
      <c r="K635" s="3"/>
      <c r="L635" s="2"/>
      <c r="M635" s="2"/>
      <c r="N635" s="2"/>
      <c r="O635" s="2"/>
    </row>
    <row r="636">
      <c r="A636" s="2"/>
      <c r="B636" s="2"/>
      <c r="C636" s="2"/>
      <c r="D636" s="3"/>
      <c r="E636" s="3"/>
      <c r="F636" s="3"/>
      <c r="G636" s="3"/>
      <c r="H636" s="3"/>
      <c r="I636" s="3"/>
      <c r="J636" s="2"/>
      <c r="K636" s="3"/>
      <c r="L636" s="2"/>
      <c r="M636" s="2"/>
      <c r="N636" s="2"/>
      <c r="O636" s="2"/>
    </row>
    <row r="637">
      <c r="A637" s="2"/>
      <c r="B637" s="2"/>
      <c r="C637" s="2"/>
      <c r="D637" s="3"/>
      <c r="E637" s="3"/>
      <c r="F637" s="3"/>
      <c r="G637" s="3"/>
      <c r="H637" s="3"/>
      <c r="I637" s="3"/>
      <c r="J637" s="2"/>
      <c r="K637" s="3"/>
      <c r="L637" s="2"/>
      <c r="M637" s="2"/>
      <c r="N637" s="2"/>
      <c r="O637" s="2"/>
    </row>
    <row r="638">
      <c r="A638" s="2"/>
      <c r="B638" s="2"/>
      <c r="C638" s="2"/>
      <c r="D638" s="3"/>
      <c r="E638" s="3"/>
      <c r="F638" s="3"/>
      <c r="G638" s="3"/>
      <c r="H638" s="3"/>
      <c r="I638" s="3"/>
      <c r="J638" s="2"/>
      <c r="K638" s="3"/>
      <c r="L638" s="2"/>
      <c r="M638" s="2"/>
      <c r="N638" s="2"/>
      <c r="O638" s="2"/>
    </row>
    <row r="639">
      <c r="A639" s="2"/>
      <c r="B639" s="2"/>
      <c r="C639" s="2"/>
      <c r="D639" s="3"/>
      <c r="E639" s="3"/>
      <c r="F639" s="3"/>
      <c r="G639" s="3"/>
      <c r="H639" s="3"/>
      <c r="I639" s="3"/>
      <c r="J639" s="2"/>
      <c r="K639" s="3"/>
      <c r="L639" s="2"/>
      <c r="M639" s="2"/>
      <c r="N639" s="2"/>
      <c r="O639" s="2"/>
    </row>
    <row r="640">
      <c r="A640" s="2"/>
      <c r="B640" s="2"/>
      <c r="C640" s="2"/>
      <c r="D640" s="3"/>
      <c r="E640" s="3"/>
      <c r="F640" s="3"/>
      <c r="G640" s="3"/>
      <c r="H640" s="3"/>
      <c r="I640" s="3"/>
      <c r="J640" s="2"/>
      <c r="K640" s="3"/>
      <c r="L640" s="2"/>
      <c r="M640" s="2"/>
      <c r="N640" s="2"/>
      <c r="O640" s="2"/>
    </row>
    <row r="641">
      <c r="A641" s="2"/>
      <c r="B641" s="2"/>
      <c r="C641" s="2"/>
      <c r="D641" s="3"/>
      <c r="E641" s="3"/>
      <c r="F641" s="3"/>
      <c r="G641" s="3"/>
      <c r="H641" s="3"/>
      <c r="I641" s="3"/>
      <c r="J641" s="2"/>
      <c r="K641" s="3"/>
      <c r="L641" s="2"/>
      <c r="M641" s="2"/>
      <c r="N641" s="2"/>
      <c r="O641" s="2"/>
    </row>
    <row r="642">
      <c r="A642" s="2"/>
      <c r="B642" s="2"/>
      <c r="C642" s="2"/>
      <c r="D642" s="3"/>
      <c r="E642" s="3"/>
      <c r="F642" s="3"/>
      <c r="G642" s="3"/>
      <c r="H642" s="3"/>
      <c r="I642" s="3"/>
      <c r="J642" s="2"/>
      <c r="K642" s="3"/>
      <c r="L642" s="2"/>
      <c r="M642" s="2"/>
      <c r="N642" s="2"/>
      <c r="O642" s="2"/>
    </row>
    <row r="643">
      <c r="A643" s="2"/>
      <c r="B643" s="2"/>
      <c r="C643" s="2"/>
      <c r="D643" s="3"/>
      <c r="E643" s="3"/>
      <c r="F643" s="3"/>
      <c r="G643" s="3"/>
      <c r="H643" s="3"/>
      <c r="I643" s="3"/>
      <c r="J643" s="2"/>
      <c r="K643" s="3"/>
      <c r="L643" s="2"/>
      <c r="M643" s="2"/>
      <c r="N643" s="2"/>
      <c r="O643" s="2"/>
    </row>
    <row r="644">
      <c r="A644" s="2"/>
      <c r="B644" s="2"/>
      <c r="C644" s="2"/>
      <c r="D644" s="3"/>
      <c r="E644" s="3"/>
      <c r="F644" s="3"/>
      <c r="G644" s="3"/>
      <c r="H644" s="3"/>
      <c r="I644" s="3"/>
      <c r="J644" s="2"/>
      <c r="K644" s="3"/>
      <c r="L644" s="2"/>
      <c r="M644" s="2"/>
      <c r="N644" s="2"/>
      <c r="O644" s="2"/>
    </row>
    <row r="645">
      <c r="A645" s="2"/>
      <c r="B645" s="2"/>
      <c r="C645" s="2"/>
      <c r="D645" s="3"/>
      <c r="E645" s="3"/>
      <c r="F645" s="3"/>
      <c r="G645" s="3"/>
      <c r="H645" s="3"/>
      <c r="I645" s="3"/>
      <c r="J645" s="2"/>
      <c r="K645" s="3"/>
      <c r="L645" s="2"/>
      <c r="M645" s="2"/>
      <c r="N645" s="2"/>
      <c r="O645" s="2"/>
    </row>
    <row r="646">
      <c r="A646" s="2"/>
      <c r="B646" s="2"/>
      <c r="C646" s="2"/>
      <c r="D646" s="3"/>
      <c r="E646" s="3"/>
      <c r="F646" s="3"/>
      <c r="G646" s="3"/>
      <c r="H646" s="3"/>
      <c r="I646" s="3"/>
      <c r="J646" s="2"/>
      <c r="K646" s="3"/>
      <c r="L646" s="2"/>
      <c r="M646" s="2"/>
      <c r="N646" s="2"/>
      <c r="O646" s="2"/>
    </row>
    <row r="647">
      <c r="A647" s="2"/>
      <c r="B647" s="2"/>
      <c r="C647" s="2"/>
      <c r="D647" s="3"/>
      <c r="E647" s="3"/>
      <c r="F647" s="3"/>
      <c r="G647" s="3"/>
      <c r="H647" s="3"/>
      <c r="I647" s="3"/>
      <c r="J647" s="2"/>
      <c r="K647" s="3"/>
      <c r="L647" s="2"/>
      <c r="M647" s="2"/>
      <c r="N647" s="2"/>
      <c r="O647" s="2"/>
    </row>
    <row r="648">
      <c r="A648" s="2"/>
      <c r="B648" s="2"/>
      <c r="C648" s="2"/>
      <c r="D648" s="3"/>
      <c r="E648" s="3"/>
      <c r="F648" s="3"/>
      <c r="G648" s="3"/>
      <c r="H648" s="3"/>
      <c r="I648" s="3"/>
      <c r="J648" s="2"/>
      <c r="K648" s="3"/>
      <c r="L648" s="2"/>
      <c r="M648" s="2"/>
      <c r="N648" s="2"/>
      <c r="O648" s="2"/>
    </row>
    <row r="649">
      <c r="A649" s="2"/>
      <c r="B649" s="2"/>
      <c r="C649" s="2"/>
      <c r="D649" s="3"/>
      <c r="E649" s="3"/>
      <c r="F649" s="3"/>
      <c r="G649" s="3"/>
      <c r="H649" s="3"/>
      <c r="I649" s="3"/>
      <c r="J649" s="2"/>
      <c r="K649" s="3"/>
      <c r="L649" s="2"/>
      <c r="M649" s="2"/>
      <c r="N649" s="2"/>
      <c r="O649" s="2"/>
    </row>
    <row r="650">
      <c r="A650" s="2"/>
      <c r="B650" s="2"/>
      <c r="C650" s="2"/>
      <c r="D650" s="3"/>
      <c r="E650" s="3"/>
      <c r="F650" s="3"/>
      <c r="G650" s="3"/>
      <c r="H650" s="3"/>
      <c r="I650" s="3"/>
      <c r="J650" s="2"/>
      <c r="K650" s="3"/>
      <c r="L650" s="2"/>
      <c r="M650" s="2"/>
      <c r="N650" s="2"/>
      <c r="O650" s="2"/>
    </row>
    <row r="651">
      <c r="A651" s="2"/>
      <c r="B651" s="2"/>
      <c r="C651" s="2"/>
      <c r="D651" s="3"/>
      <c r="E651" s="3"/>
      <c r="F651" s="3"/>
      <c r="G651" s="3"/>
      <c r="H651" s="3"/>
      <c r="I651" s="3"/>
      <c r="J651" s="2"/>
      <c r="K651" s="3"/>
      <c r="L651" s="2"/>
      <c r="M651" s="2"/>
      <c r="N651" s="2"/>
      <c r="O651" s="2"/>
    </row>
    <row r="652">
      <c r="A652" s="2"/>
      <c r="B652" s="2"/>
      <c r="C652" s="2"/>
      <c r="D652" s="3"/>
      <c r="E652" s="3"/>
      <c r="F652" s="3"/>
      <c r="G652" s="3"/>
      <c r="H652" s="3"/>
      <c r="I652" s="3"/>
      <c r="J652" s="2"/>
      <c r="K652" s="3"/>
      <c r="L652" s="2"/>
      <c r="M652" s="2"/>
      <c r="N652" s="2"/>
      <c r="O652" s="2"/>
    </row>
    <row r="653">
      <c r="A653" s="2"/>
      <c r="B653" s="2"/>
      <c r="C653" s="2"/>
      <c r="D653" s="3"/>
      <c r="E653" s="3"/>
      <c r="F653" s="3"/>
      <c r="G653" s="3"/>
      <c r="H653" s="3"/>
      <c r="I653" s="3"/>
      <c r="J653" s="2"/>
      <c r="K653" s="3"/>
      <c r="L653" s="2"/>
      <c r="M653" s="2"/>
      <c r="N653" s="2"/>
      <c r="O653" s="2"/>
    </row>
    <row r="654">
      <c r="A654" s="2"/>
      <c r="B654" s="2"/>
      <c r="C654" s="2"/>
      <c r="D654" s="3"/>
      <c r="E654" s="3"/>
      <c r="F654" s="3"/>
      <c r="G654" s="3"/>
      <c r="H654" s="3"/>
      <c r="I654" s="3"/>
      <c r="J654" s="2"/>
      <c r="K654" s="3"/>
      <c r="L654" s="2"/>
      <c r="M654" s="2"/>
      <c r="N654" s="2"/>
      <c r="O654" s="2"/>
    </row>
    <row r="655">
      <c r="A655" s="2"/>
      <c r="B655" s="2"/>
      <c r="C655" s="2"/>
      <c r="D655" s="3"/>
      <c r="E655" s="3"/>
      <c r="F655" s="3"/>
      <c r="G655" s="3"/>
      <c r="H655" s="3"/>
      <c r="I655" s="3"/>
      <c r="J655" s="2"/>
      <c r="K655" s="3"/>
      <c r="L655" s="2"/>
      <c r="M655" s="2"/>
      <c r="N655" s="2"/>
      <c r="O655" s="2"/>
    </row>
    <row r="656">
      <c r="A656" s="2"/>
      <c r="B656" s="2"/>
      <c r="C656" s="2"/>
      <c r="D656" s="3"/>
      <c r="E656" s="3"/>
      <c r="F656" s="3"/>
      <c r="G656" s="3"/>
      <c r="H656" s="3"/>
      <c r="I656" s="3"/>
      <c r="J656" s="2"/>
      <c r="K656" s="3"/>
      <c r="L656" s="2"/>
      <c r="M656" s="2"/>
      <c r="N656" s="2"/>
      <c r="O656" s="2"/>
    </row>
    <row r="657">
      <c r="A657" s="2"/>
      <c r="B657" s="2"/>
      <c r="C657" s="2"/>
      <c r="D657" s="3"/>
      <c r="E657" s="3"/>
      <c r="F657" s="3"/>
      <c r="G657" s="3"/>
      <c r="H657" s="3"/>
      <c r="I657" s="3"/>
      <c r="J657" s="2"/>
      <c r="K657" s="3"/>
      <c r="L657" s="2"/>
      <c r="M657" s="2"/>
      <c r="N657" s="2"/>
      <c r="O657" s="2"/>
    </row>
    <row r="658">
      <c r="A658" s="2"/>
      <c r="B658" s="2"/>
      <c r="C658" s="2"/>
      <c r="D658" s="3"/>
      <c r="E658" s="3"/>
      <c r="F658" s="3"/>
      <c r="G658" s="3"/>
      <c r="H658" s="3"/>
      <c r="I658" s="3"/>
      <c r="J658" s="2"/>
      <c r="K658" s="3"/>
      <c r="L658" s="2"/>
      <c r="M658" s="2"/>
      <c r="N658" s="2"/>
      <c r="O658" s="2"/>
    </row>
    <row r="659">
      <c r="A659" s="2"/>
      <c r="B659" s="2"/>
      <c r="C659" s="2"/>
      <c r="D659" s="3"/>
      <c r="E659" s="3"/>
      <c r="F659" s="3"/>
      <c r="G659" s="3"/>
      <c r="H659" s="3"/>
      <c r="I659" s="3"/>
      <c r="J659" s="2"/>
      <c r="K659" s="3"/>
      <c r="L659" s="2"/>
      <c r="M659" s="2"/>
      <c r="N659" s="2"/>
      <c r="O659" s="2"/>
    </row>
    <row r="660">
      <c r="A660" s="2"/>
      <c r="B660" s="2"/>
      <c r="C660" s="2"/>
      <c r="D660" s="3"/>
      <c r="E660" s="3"/>
      <c r="F660" s="3"/>
      <c r="G660" s="3"/>
      <c r="H660" s="3"/>
      <c r="I660" s="3"/>
      <c r="J660" s="2"/>
      <c r="K660" s="3"/>
      <c r="L660" s="2"/>
      <c r="M660" s="2"/>
      <c r="N660" s="2"/>
      <c r="O660" s="2"/>
    </row>
    <row r="661">
      <c r="A661" s="2"/>
      <c r="B661" s="2"/>
      <c r="C661" s="2"/>
      <c r="D661" s="3"/>
      <c r="E661" s="3"/>
      <c r="F661" s="3"/>
      <c r="G661" s="3"/>
      <c r="H661" s="3"/>
      <c r="I661" s="3"/>
      <c r="J661" s="2"/>
      <c r="K661" s="3"/>
      <c r="L661" s="2"/>
      <c r="M661" s="2"/>
      <c r="N661" s="2"/>
      <c r="O661" s="2"/>
    </row>
    <row r="662">
      <c r="A662" s="2"/>
      <c r="B662" s="2"/>
      <c r="C662" s="2"/>
      <c r="D662" s="3"/>
      <c r="E662" s="3"/>
      <c r="F662" s="3"/>
      <c r="G662" s="3"/>
      <c r="H662" s="3"/>
      <c r="I662" s="3"/>
      <c r="J662" s="2"/>
      <c r="K662" s="3"/>
      <c r="L662" s="2"/>
      <c r="M662" s="2"/>
      <c r="N662" s="2"/>
      <c r="O662" s="2"/>
    </row>
    <row r="663">
      <c r="A663" s="2"/>
      <c r="B663" s="2"/>
      <c r="C663" s="2"/>
      <c r="D663" s="3"/>
      <c r="E663" s="3"/>
      <c r="F663" s="3"/>
      <c r="G663" s="3"/>
      <c r="H663" s="3"/>
      <c r="I663" s="3"/>
      <c r="J663" s="2"/>
      <c r="K663" s="3"/>
      <c r="L663" s="2"/>
      <c r="M663" s="2"/>
      <c r="N663" s="2"/>
      <c r="O663" s="2"/>
    </row>
    <row r="664">
      <c r="A664" s="2"/>
      <c r="B664" s="2"/>
      <c r="C664" s="2"/>
      <c r="D664" s="3"/>
      <c r="E664" s="3"/>
      <c r="F664" s="3"/>
      <c r="G664" s="3"/>
      <c r="H664" s="3"/>
      <c r="I664" s="3"/>
      <c r="J664" s="2"/>
      <c r="K664" s="3"/>
      <c r="L664" s="2"/>
      <c r="M664" s="2"/>
      <c r="N664" s="2"/>
      <c r="O664" s="2"/>
    </row>
    <row r="665">
      <c r="A665" s="2"/>
      <c r="B665" s="2"/>
      <c r="C665" s="2"/>
      <c r="D665" s="3"/>
      <c r="E665" s="3"/>
      <c r="F665" s="3"/>
      <c r="G665" s="3"/>
      <c r="H665" s="3"/>
      <c r="I665" s="3"/>
      <c r="J665" s="2"/>
      <c r="K665" s="3"/>
      <c r="L665" s="2"/>
      <c r="M665" s="2"/>
      <c r="N665" s="2"/>
      <c r="O665" s="2"/>
    </row>
    <row r="666">
      <c r="A666" s="2"/>
      <c r="B666" s="2"/>
      <c r="C666" s="2"/>
      <c r="D666" s="3"/>
      <c r="E666" s="3"/>
      <c r="F666" s="3"/>
      <c r="G666" s="3"/>
      <c r="H666" s="3"/>
      <c r="I666" s="3"/>
      <c r="J666" s="2"/>
      <c r="K666" s="3"/>
      <c r="L666" s="2"/>
      <c r="M666" s="2"/>
      <c r="N666" s="2"/>
      <c r="O666" s="2"/>
    </row>
    <row r="667">
      <c r="A667" s="2"/>
      <c r="B667" s="2"/>
      <c r="C667" s="2"/>
      <c r="D667" s="3"/>
      <c r="E667" s="3"/>
      <c r="F667" s="3"/>
      <c r="G667" s="3"/>
      <c r="H667" s="3"/>
      <c r="I667" s="3"/>
      <c r="J667" s="2"/>
      <c r="K667" s="3"/>
      <c r="L667" s="2"/>
      <c r="M667" s="2"/>
      <c r="N667" s="2"/>
      <c r="O667" s="2"/>
    </row>
    <row r="668">
      <c r="A668" s="2"/>
      <c r="B668" s="2"/>
      <c r="C668" s="2"/>
      <c r="D668" s="3"/>
      <c r="E668" s="3"/>
      <c r="F668" s="3"/>
      <c r="G668" s="3"/>
      <c r="H668" s="3"/>
      <c r="I668" s="3"/>
      <c r="J668" s="2"/>
      <c r="K668" s="3"/>
      <c r="L668" s="2"/>
      <c r="M668" s="2"/>
      <c r="N668" s="2"/>
      <c r="O668" s="2"/>
    </row>
    <row r="669">
      <c r="A669" s="2"/>
      <c r="B669" s="2"/>
      <c r="C669" s="2"/>
      <c r="D669" s="3"/>
      <c r="E669" s="3"/>
      <c r="F669" s="3"/>
      <c r="G669" s="3"/>
      <c r="H669" s="3"/>
      <c r="I669" s="3"/>
      <c r="J669" s="2"/>
      <c r="K669" s="3"/>
      <c r="L669" s="2"/>
      <c r="M669" s="2"/>
      <c r="N669" s="2"/>
      <c r="O669" s="2"/>
    </row>
    <row r="670">
      <c r="A670" s="2"/>
      <c r="B670" s="2"/>
      <c r="C670" s="2"/>
      <c r="D670" s="3"/>
      <c r="E670" s="3"/>
      <c r="F670" s="3"/>
      <c r="G670" s="3"/>
      <c r="H670" s="3"/>
      <c r="I670" s="3"/>
      <c r="J670" s="2"/>
      <c r="K670" s="3"/>
      <c r="L670" s="2"/>
      <c r="M670" s="2"/>
      <c r="N670" s="2"/>
      <c r="O670" s="2"/>
    </row>
    <row r="671">
      <c r="A671" s="2"/>
      <c r="B671" s="2"/>
      <c r="C671" s="2"/>
      <c r="D671" s="3"/>
      <c r="E671" s="3"/>
      <c r="F671" s="3"/>
      <c r="G671" s="3"/>
      <c r="H671" s="3"/>
      <c r="I671" s="3"/>
      <c r="J671" s="2"/>
      <c r="K671" s="3"/>
      <c r="L671" s="2"/>
      <c r="M671" s="2"/>
      <c r="N671" s="2"/>
      <c r="O671" s="2"/>
    </row>
    <row r="672">
      <c r="A672" s="2"/>
      <c r="B672" s="2"/>
      <c r="C672" s="2"/>
      <c r="D672" s="3"/>
      <c r="E672" s="3"/>
      <c r="F672" s="3"/>
      <c r="G672" s="3"/>
      <c r="H672" s="3"/>
      <c r="I672" s="3"/>
      <c r="J672" s="2"/>
      <c r="K672" s="3"/>
      <c r="L672" s="2"/>
      <c r="M672" s="2"/>
      <c r="N672" s="2"/>
      <c r="O672" s="2"/>
    </row>
    <row r="673">
      <c r="A673" s="2"/>
      <c r="B673" s="2"/>
      <c r="C673" s="2"/>
      <c r="D673" s="3"/>
      <c r="E673" s="3"/>
      <c r="F673" s="3"/>
      <c r="G673" s="3"/>
      <c r="H673" s="3"/>
      <c r="I673" s="3"/>
      <c r="J673" s="2"/>
      <c r="K673" s="3"/>
      <c r="L673" s="2"/>
      <c r="M673" s="2"/>
      <c r="N673" s="2"/>
      <c r="O673" s="2"/>
    </row>
    <row r="674">
      <c r="A674" s="2"/>
      <c r="B674" s="2"/>
      <c r="C674" s="2"/>
      <c r="D674" s="3"/>
      <c r="E674" s="3"/>
      <c r="F674" s="3"/>
      <c r="G674" s="3"/>
      <c r="H674" s="3"/>
      <c r="I674" s="3"/>
      <c r="J674" s="2"/>
      <c r="K674" s="3"/>
      <c r="L674" s="2"/>
      <c r="M674" s="2"/>
      <c r="N674" s="2"/>
      <c r="O674" s="2"/>
    </row>
    <row r="675">
      <c r="A675" s="2"/>
      <c r="B675" s="2"/>
      <c r="C675" s="2"/>
      <c r="D675" s="3"/>
      <c r="E675" s="3"/>
      <c r="F675" s="3"/>
      <c r="G675" s="3"/>
      <c r="H675" s="3"/>
      <c r="I675" s="3"/>
      <c r="J675" s="2"/>
      <c r="K675" s="3"/>
      <c r="L675" s="2"/>
      <c r="M675" s="2"/>
      <c r="N675" s="2"/>
      <c r="O675" s="2"/>
    </row>
    <row r="676">
      <c r="A676" s="2"/>
      <c r="B676" s="2"/>
      <c r="C676" s="2"/>
      <c r="D676" s="3"/>
      <c r="E676" s="3"/>
      <c r="F676" s="3"/>
      <c r="G676" s="3"/>
      <c r="H676" s="3"/>
      <c r="I676" s="3"/>
      <c r="J676" s="2"/>
      <c r="K676" s="3"/>
      <c r="L676" s="2"/>
      <c r="M676" s="2"/>
      <c r="N676" s="2"/>
      <c r="O676" s="2"/>
    </row>
    <row r="677">
      <c r="A677" s="2"/>
      <c r="B677" s="2"/>
      <c r="C677" s="2"/>
      <c r="D677" s="3"/>
      <c r="E677" s="3"/>
      <c r="F677" s="3"/>
      <c r="G677" s="3"/>
      <c r="H677" s="3"/>
      <c r="I677" s="3"/>
      <c r="J677" s="2"/>
      <c r="K677" s="3"/>
      <c r="L677" s="2"/>
      <c r="M677" s="2"/>
      <c r="N677" s="2"/>
      <c r="O677" s="2"/>
    </row>
    <row r="678">
      <c r="A678" s="2"/>
      <c r="B678" s="2"/>
      <c r="C678" s="2"/>
      <c r="D678" s="3"/>
      <c r="E678" s="3"/>
      <c r="F678" s="3"/>
      <c r="G678" s="3"/>
      <c r="H678" s="3"/>
      <c r="I678" s="3"/>
      <c r="J678" s="2"/>
      <c r="K678" s="3"/>
      <c r="L678" s="2"/>
      <c r="M678" s="2"/>
      <c r="N678" s="2"/>
      <c r="O678" s="2"/>
    </row>
    <row r="679">
      <c r="A679" s="2"/>
      <c r="B679" s="2"/>
      <c r="C679" s="2"/>
      <c r="D679" s="3"/>
      <c r="E679" s="3"/>
      <c r="F679" s="3"/>
      <c r="G679" s="3"/>
      <c r="H679" s="3"/>
      <c r="I679" s="3"/>
      <c r="J679" s="2"/>
      <c r="K679" s="3"/>
      <c r="L679" s="2"/>
      <c r="M679" s="2"/>
      <c r="N679" s="2"/>
      <c r="O679" s="2"/>
    </row>
    <row r="680">
      <c r="A680" s="2"/>
      <c r="B680" s="2"/>
      <c r="C680" s="2"/>
      <c r="D680" s="3"/>
      <c r="E680" s="3"/>
      <c r="F680" s="3"/>
      <c r="G680" s="3"/>
      <c r="H680" s="3"/>
      <c r="I680" s="3"/>
      <c r="J680" s="2"/>
      <c r="K680" s="3"/>
      <c r="L680" s="2"/>
      <c r="M680" s="2"/>
      <c r="N680" s="2"/>
      <c r="O680" s="2"/>
    </row>
    <row r="681">
      <c r="A681" s="2"/>
      <c r="B681" s="2"/>
      <c r="C681" s="2"/>
      <c r="D681" s="3"/>
      <c r="E681" s="3"/>
      <c r="F681" s="3"/>
      <c r="G681" s="3"/>
      <c r="H681" s="3"/>
      <c r="I681" s="3"/>
      <c r="J681" s="2"/>
      <c r="K681" s="3"/>
      <c r="L681" s="2"/>
      <c r="M681" s="2"/>
      <c r="N681" s="2"/>
      <c r="O681" s="2"/>
    </row>
    <row r="682">
      <c r="A682" s="2"/>
      <c r="B682" s="2"/>
      <c r="C682" s="2"/>
      <c r="D682" s="3"/>
      <c r="E682" s="3"/>
      <c r="F682" s="3"/>
      <c r="G682" s="3"/>
      <c r="H682" s="3"/>
      <c r="I682" s="3"/>
      <c r="J682" s="2"/>
      <c r="K682" s="3"/>
      <c r="L682" s="2"/>
      <c r="M682" s="2"/>
      <c r="N682" s="2"/>
      <c r="O682" s="2"/>
    </row>
    <row r="683">
      <c r="A683" s="2"/>
      <c r="B683" s="2"/>
      <c r="C683" s="2"/>
      <c r="D683" s="3"/>
      <c r="E683" s="3"/>
      <c r="F683" s="3"/>
      <c r="G683" s="3"/>
      <c r="H683" s="3"/>
      <c r="I683" s="3"/>
      <c r="J683" s="2"/>
      <c r="K683" s="3"/>
      <c r="L683" s="2"/>
      <c r="M683" s="2"/>
      <c r="N683" s="2"/>
      <c r="O683" s="2"/>
    </row>
    <row r="684">
      <c r="A684" s="2"/>
      <c r="B684" s="2"/>
      <c r="C684" s="2"/>
      <c r="D684" s="3"/>
      <c r="E684" s="3"/>
      <c r="F684" s="3"/>
      <c r="G684" s="3"/>
      <c r="H684" s="3"/>
      <c r="I684" s="3"/>
      <c r="J684" s="2"/>
      <c r="K684" s="3"/>
      <c r="L684" s="2"/>
      <c r="M684" s="2"/>
      <c r="N684" s="2"/>
      <c r="O684" s="2"/>
    </row>
    <row r="685">
      <c r="A685" s="2"/>
      <c r="B685" s="2"/>
      <c r="C685" s="2"/>
      <c r="D685" s="3"/>
      <c r="E685" s="3"/>
      <c r="F685" s="3"/>
      <c r="G685" s="3"/>
      <c r="H685" s="3"/>
      <c r="I685" s="3"/>
      <c r="J685" s="2"/>
      <c r="K685" s="3"/>
      <c r="L685" s="2"/>
      <c r="M685" s="2"/>
      <c r="N685" s="2"/>
      <c r="O685" s="2"/>
    </row>
    <row r="686">
      <c r="A686" s="2"/>
      <c r="B686" s="2"/>
      <c r="C686" s="2"/>
      <c r="D686" s="3"/>
      <c r="E686" s="3"/>
      <c r="F686" s="3"/>
      <c r="G686" s="3"/>
      <c r="H686" s="3"/>
      <c r="I686" s="3"/>
      <c r="J686" s="2"/>
      <c r="K686" s="3"/>
      <c r="L686" s="2"/>
      <c r="M686" s="2"/>
      <c r="N686" s="2"/>
      <c r="O686" s="2"/>
    </row>
    <row r="687">
      <c r="A687" s="2"/>
      <c r="B687" s="2"/>
      <c r="C687" s="2"/>
      <c r="D687" s="3"/>
      <c r="E687" s="3"/>
      <c r="F687" s="3"/>
      <c r="G687" s="3"/>
      <c r="H687" s="3"/>
      <c r="I687" s="3"/>
      <c r="J687" s="2"/>
      <c r="K687" s="3"/>
      <c r="L687" s="2"/>
      <c r="M687" s="2"/>
      <c r="N687" s="2"/>
      <c r="O687" s="2"/>
    </row>
    <row r="688">
      <c r="A688" s="2"/>
      <c r="B688" s="2"/>
      <c r="C688" s="2"/>
      <c r="D688" s="3"/>
      <c r="E688" s="3"/>
      <c r="F688" s="3"/>
      <c r="G688" s="3"/>
      <c r="H688" s="3"/>
      <c r="I688" s="3"/>
      <c r="J688" s="2"/>
      <c r="K688" s="3"/>
      <c r="L688" s="2"/>
      <c r="M688" s="2"/>
      <c r="N688" s="2"/>
      <c r="O688" s="2"/>
    </row>
    <row r="689">
      <c r="A689" s="2"/>
      <c r="B689" s="2"/>
      <c r="C689" s="2"/>
      <c r="D689" s="3"/>
      <c r="E689" s="3"/>
      <c r="F689" s="3"/>
      <c r="G689" s="3"/>
      <c r="H689" s="3"/>
      <c r="I689" s="3"/>
      <c r="J689" s="2"/>
      <c r="K689" s="3"/>
      <c r="L689" s="2"/>
      <c r="M689" s="2"/>
      <c r="N689" s="2"/>
      <c r="O689" s="2"/>
    </row>
    <row r="690">
      <c r="A690" s="2"/>
      <c r="B690" s="2"/>
      <c r="C690" s="2"/>
      <c r="D690" s="3"/>
      <c r="E690" s="3"/>
      <c r="F690" s="3"/>
      <c r="G690" s="3"/>
      <c r="H690" s="3"/>
      <c r="I690" s="3"/>
      <c r="J690" s="2"/>
      <c r="K690" s="3"/>
      <c r="L690" s="2"/>
      <c r="M690" s="2"/>
      <c r="N690" s="2"/>
      <c r="O690" s="2"/>
    </row>
    <row r="691">
      <c r="A691" s="2"/>
      <c r="B691" s="2"/>
      <c r="C691" s="2"/>
      <c r="D691" s="3"/>
      <c r="E691" s="3"/>
      <c r="F691" s="3"/>
      <c r="G691" s="3"/>
      <c r="H691" s="3"/>
      <c r="I691" s="3"/>
      <c r="J691" s="2"/>
      <c r="K691" s="3"/>
      <c r="L691" s="2"/>
      <c r="M691" s="2"/>
      <c r="N691" s="2"/>
      <c r="O691" s="2"/>
    </row>
    <row r="692">
      <c r="A692" s="2"/>
      <c r="B692" s="2"/>
      <c r="C692" s="2"/>
      <c r="D692" s="3"/>
      <c r="E692" s="3"/>
      <c r="F692" s="3"/>
      <c r="G692" s="3"/>
      <c r="H692" s="3"/>
      <c r="I692" s="3"/>
      <c r="J692" s="2"/>
      <c r="K692" s="3"/>
      <c r="L692" s="2"/>
      <c r="M692" s="2"/>
      <c r="N692" s="2"/>
      <c r="O692" s="2"/>
    </row>
    <row r="693">
      <c r="A693" s="2"/>
      <c r="B693" s="2"/>
      <c r="C693" s="2"/>
      <c r="D693" s="3"/>
      <c r="E693" s="3"/>
      <c r="F693" s="3"/>
      <c r="G693" s="3"/>
      <c r="H693" s="3"/>
      <c r="I693" s="3"/>
      <c r="J693" s="2"/>
      <c r="K693" s="3"/>
      <c r="L693" s="2"/>
      <c r="M693" s="2"/>
      <c r="N693" s="2"/>
      <c r="O693" s="2"/>
    </row>
    <row r="694">
      <c r="A694" s="2"/>
      <c r="B694" s="2"/>
      <c r="C694" s="2"/>
      <c r="D694" s="3"/>
      <c r="E694" s="3"/>
      <c r="F694" s="3"/>
      <c r="G694" s="3"/>
      <c r="H694" s="3"/>
      <c r="I694" s="3"/>
      <c r="J694" s="2"/>
      <c r="K694" s="3"/>
      <c r="L694" s="2"/>
      <c r="M694" s="2"/>
      <c r="N694" s="2"/>
      <c r="O694" s="2"/>
    </row>
    <row r="695">
      <c r="A695" s="2"/>
      <c r="B695" s="2"/>
      <c r="C695" s="2"/>
      <c r="D695" s="3"/>
      <c r="E695" s="3"/>
      <c r="F695" s="3"/>
      <c r="G695" s="3"/>
      <c r="H695" s="3"/>
      <c r="I695" s="3"/>
      <c r="J695" s="2"/>
      <c r="K695" s="3"/>
      <c r="L695" s="2"/>
      <c r="M695" s="2"/>
      <c r="N695" s="2"/>
      <c r="O695" s="2"/>
    </row>
    <row r="696">
      <c r="A696" s="2"/>
      <c r="B696" s="2"/>
      <c r="C696" s="2"/>
      <c r="D696" s="3"/>
      <c r="E696" s="3"/>
      <c r="F696" s="3"/>
      <c r="G696" s="3"/>
      <c r="H696" s="3"/>
      <c r="I696" s="3"/>
      <c r="J696" s="2"/>
      <c r="K696" s="3"/>
      <c r="L696" s="2"/>
      <c r="M696" s="2"/>
      <c r="N696" s="2"/>
      <c r="O696" s="2"/>
    </row>
    <row r="697">
      <c r="A697" s="2"/>
      <c r="B697" s="2"/>
      <c r="C697" s="2"/>
      <c r="D697" s="3"/>
      <c r="E697" s="3"/>
      <c r="F697" s="3"/>
      <c r="G697" s="3"/>
      <c r="H697" s="3"/>
      <c r="I697" s="3"/>
      <c r="J697" s="2"/>
      <c r="K697" s="3"/>
      <c r="L697" s="2"/>
      <c r="M697" s="2"/>
      <c r="N697" s="2"/>
      <c r="O697" s="2"/>
    </row>
    <row r="698">
      <c r="A698" s="2"/>
      <c r="B698" s="2"/>
      <c r="C698" s="2"/>
      <c r="D698" s="3"/>
      <c r="E698" s="3"/>
      <c r="F698" s="3"/>
      <c r="G698" s="3"/>
      <c r="H698" s="3"/>
      <c r="I698" s="3"/>
      <c r="J698" s="2"/>
      <c r="K698" s="3"/>
      <c r="L698" s="2"/>
      <c r="M698" s="2"/>
      <c r="N698" s="2"/>
      <c r="O698" s="2"/>
    </row>
    <row r="699">
      <c r="A699" s="2"/>
      <c r="B699" s="2"/>
      <c r="C699" s="2"/>
      <c r="D699" s="3"/>
      <c r="E699" s="3"/>
      <c r="F699" s="3"/>
      <c r="G699" s="3"/>
      <c r="H699" s="3"/>
      <c r="I699" s="3"/>
      <c r="J699" s="2"/>
      <c r="K699" s="3"/>
      <c r="L699" s="2"/>
      <c r="M699" s="2"/>
      <c r="N699" s="2"/>
      <c r="O699" s="2"/>
    </row>
    <row r="700">
      <c r="A700" s="2"/>
      <c r="B700" s="2"/>
      <c r="C700" s="2"/>
      <c r="D700" s="3"/>
      <c r="E700" s="3"/>
      <c r="F700" s="3"/>
      <c r="G700" s="3"/>
      <c r="H700" s="3"/>
      <c r="I700" s="3"/>
      <c r="J700" s="2"/>
      <c r="K700" s="3"/>
      <c r="L700" s="2"/>
      <c r="M700" s="2"/>
      <c r="N700" s="2"/>
      <c r="O700" s="2"/>
    </row>
    <row r="701">
      <c r="A701" s="2"/>
      <c r="B701" s="2"/>
      <c r="C701" s="2"/>
      <c r="D701" s="3"/>
      <c r="E701" s="3"/>
      <c r="F701" s="3"/>
      <c r="G701" s="3"/>
      <c r="H701" s="3"/>
      <c r="I701" s="3"/>
      <c r="J701" s="2"/>
      <c r="K701" s="3"/>
      <c r="L701" s="2"/>
      <c r="M701" s="2"/>
      <c r="N701" s="2"/>
      <c r="O701" s="2"/>
    </row>
    <row r="702">
      <c r="A702" s="2"/>
      <c r="B702" s="2"/>
      <c r="C702" s="2"/>
      <c r="D702" s="3"/>
      <c r="E702" s="3"/>
      <c r="F702" s="3"/>
      <c r="G702" s="3"/>
      <c r="H702" s="3"/>
      <c r="I702" s="3"/>
      <c r="J702" s="2"/>
      <c r="K702" s="3"/>
      <c r="L702" s="2"/>
      <c r="M702" s="2"/>
      <c r="N702" s="2"/>
      <c r="O702" s="2"/>
    </row>
    <row r="703">
      <c r="A703" s="2"/>
      <c r="B703" s="2"/>
      <c r="C703" s="2"/>
      <c r="D703" s="3"/>
      <c r="E703" s="3"/>
      <c r="F703" s="3"/>
      <c r="G703" s="3"/>
      <c r="H703" s="3"/>
      <c r="I703" s="3"/>
      <c r="J703" s="2"/>
      <c r="K703" s="3"/>
      <c r="L703" s="2"/>
      <c r="M703" s="2"/>
      <c r="N703" s="2"/>
      <c r="O703" s="2"/>
    </row>
    <row r="704">
      <c r="A704" s="2"/>
      <c r="B704" s="2"/>
      <c r="C704" s="2"/>
      <c r="D704" s="3"/>
      <c r="E704" s="3"/>
      <c r="F704" s="3"/>
      <c r="G704" s="3"/>
      <c r="H704" s="3"/>
      <c r="I704" s="3"/>
      <c r="J704" s="2"/>
      <c r="K704" s="3"/>
      <c r="L704" s="2"/>
      <c r="M704" s="2"/>
      <c r="N704" s="2"/>
      <c r="O704" s="2"/>
    </row>
    <row r="705">
      <c r="A705" s="2"/>
      <c r="B705" s="2"/>
      <c r="C705" s="2"/>
      <c r="D705" s="3"/>
      <c r="E705" s="3"/>
      <c r="F705" s="3"/>
      <c r="G705" s="3"/>
      <c r="H705" s="3"/>
      <c r="I705" s="3"/>
      <c r="J705" s="2"/>
      <c r="K705" s="3"/>
      <c r="L705" s="2"/>
      <c r="M705" s="2"/>
      <c r="N705" s="2"/>
      <c r="O705" s="2"/>
    </row>
    <row r="706">
      <c r="A706" s="2"/>
      <c r="B706" s="2"/>
      <c r="C706" s="2"/>
      <c r="D706" s="3"/>
      <c r="E706" s="3"/>
      <c r="F706" s="3"/>
      <c r="G706" s="3"/>
      <c r="H706" s="3"/>
      <c r="I706" s="3"/>
      <c r="J706" s="2"/>
      <c r="K706" s="3"/>
      <c r="L706" s="2"/>
      <c r="M706" s="2"/>
      <c r="N706" s="2"/>
      <c r="O706" s="2"/>
    </row>
    <row r="707">
      <c r="A707" s="2"/>
      <c r="B707" s="2"/>
      <c r="C707" s="2"/>
      <c r="D707" s="3"/>
      <c r="E707" s="3"/>
      <c r="F707" s="3"/>
      <c r="G707" s="3"/>
      <c r="H707" s="3"/>
      <c r="I707" s="3"/>
      <c r="J707" s="2"/>
      <c r="K707" s="3"/>
      <c r="L707" s="2"/>
      <c r="M707" s="2"/>
      <c r="N707" s="2"/>
      <c r="O707" s="2"/>
    </row>
    <row r="708">
      <c r="A708" s="2"/>
      <c r="B708" s="2"/>
      <c r="C708" s="2"/>
      <c r="D708" s="3"/>
      <c r="E708" s="3"/>
      <c r="F708" s="3"/>
      <c r="G708" s="3"/>
      <c r="H708" s="3"/>
      <c r="I708" s="3"/>
      <c r="J708" s="2"/>
      <c r="K708" s="3"/>
      <c r="L708" s="2"/>
      <c r="M708" s="2"/>
      <c r="N708" s="2"/>
      <c r="O708" s="2"/>
    </row>
    <row r="709">
      <c r="A709" s="2"/>
      <c r="B709" s="2"/>
      <c r="C709" s="2"/>
      <c r="D709" s="3"/>
      <c r="E709" s="3"/>
      <c r="F709" s="3"/>
      <c r="G709" s="3"/>
      <c r="H709" s="3"/>
      <c r="I709" s="3"/>
      <c r="J709" s="2"/>
      <c r="K709" s="3"/>
      <c r="L709" s="2"/>
      <c r="M709" s="2"/>
      <c r="N709" s="2"/>
      <c r="O709" s="2"/>
    </row>
    <row r="710">
      <c r="A710" s="2"/>
      <c r="B710" s="2"/>
      <c r="C710" s="2"/>
      <c r="D710" s="3"/>
      <c r="E710" s="3"/>
      <c r="F710" s="3"/>
      <c r="G710" s="3"/>
      <c r="H710" s="3"/>
      <c r="I710" s="3"/>
      <c r="J710" s="2"/>
      <c r="K710" s="3"/>
      <c r="L710" s="2"/>
      <c r="M710" s="2"/>
      <c r="N710" s="2"/>
      <c r="O710" s="2"/>
    </row>
    <row r="711">
      <c r="A711" s="2"/>
      <c r="B711" s="2"/>
      <c r="C711" s="2"/>
      <c r="D711" s="3"/>
      <c r="E711" s="3"/>
      <c r="F711" s="3"/>
      <c r="G711" s="3"/>
      <c r="H711" s="3"/>
      <c r="I711" s="3"/>
      <c r="J711" s="2"/>
      <c r="K711" s="3"/>
      <c r="L711" s="2"/>
      <c r="M711" s="2"/>
      <c r="N711" s="2"/>
      <c r="O711" s="2"/>
    </row>
    <row r="712">
      <c r="A712" s="2"/>
      <c r="B712" s="2"/>
      <c r="C712" s="2"/>
      <c r="D712" s="3"/>
      <c r="E712" s="3"/>
      <c r="F712" s="3"/>
      <c r="G712" s="3"/>
      <c r="H712" s="3"/>
      <c r="I712" s="3"/>
      <c r="J712" s="2"/>
      <c r="K712" s="3"/>
      <c r="L712" s="2"/>
      <c r="M712" s="2"/>
      <c r="N712" s="2"/>
      <c r="O712" s="2"/>
    </row>
    <row r="713">
      <c r="A713" s="2"/>
      <c r="B713" s="2"/>
      <c r="C713" s="2"/>
      <c r="D713" s="3"/>
      <c r="E713" s="3"/>
      <c r="F713" s="3"/>
      <c r="G713" s="3"/>
      <c r="H713" s="3"/>
      <c r="I713" s="3"/>
      <c r="J713" s="2"/>
      <c r="K713" s="3"/>
      <c r="L713" s="2"/>
      <c r="M713" s="2"/>
      <c r="N713" s="2"/>
      <c r="O713" s="2"/>
    </row>
    <row r="714">
      <c r="A714" s="2"/>
      <c r="B714" s="2"/>
      <c r="C714" s="2"/>
      <c r="D714" s="3"/>
      <c r="E714" s="3"/>
      <c r="F714" s="3"/>
      <c r="G714" s="3"/>
      <c r="H714" s="3"/>
      <c r="I714" s="3"/>
      <c r="J714" s="2"/>
      <c r="K714" s="3"/>
      <c r="L714" s="2"/>
      <c r="M714" s="2"/>
      <c r="N714" s="2"/>
      <c r="O714" s="2"/>
    </row>
    <row r="715">
      <c r="A715" s="2"/>
      <c r="B715" s="2"/>
      <c r="C715" s="2"/>
      <c r="D715" s="3"/>
      <c r="E715" s="3"/>
      <c r="F715" s="3"/>
      <c r="G715" s="3"/>
      <c r="H715" s="3"/>
      <c r="I715" s="3"/>
      <c r="J715" s="2"/>
      <c r="K715" s="3"/>
      <c r="L715" s="2"/>
      <c r="M715" s="2"/>
      <c r="N715" s="2"/>
      <c r="O715" s="2"/>
    </row>
    <row r="716">
      <c r="A716" s="2"/>
      <c r="B716" s="2"/>
      <c r="C716" s="2"/>
      <c r="D716" s="3"/>
      <c r="E716" s="3"/>
      <c r="F716" s="3"/>
      <c r="G716" s="3"/>
      <c r="H716" s="3"/>
      <c r="I716" s="3"/>
      <c r="J716" s="2"/>
      <c r="K716" s="3"/>
      <c r="L716" s="2"/>
      <c r="M716" s="2"/>
      <c r="N716" s="2"/>
      <c r="O716" s="2"/>
    </row>
    <row r="717">
      <c r="A717" s="2"/>
      <c r="B717" s="2"/>
      <c r="C717" s="2"/>
      <c r="D717" s="3"/>
      <c r="E717" s="3"/>
      <c r="F717" s="3"/>
      <c r="G717" s="3"/>
      <c r="H717" s="3"/>
      <c r="I717" s="3"/>
      <c r="J717" s="2"/>
      <c r="K717" s="3"/>
      <c r="L717" s="2"/>
      <c r="M717" s="2"/>
      <c r="N717" s="2"/>
      <c r="O717" s="2"/>
    </row>
    <row r="718">
      <c r="A718" s="2"/>
      <c r="B718" s="2"/>
      <c r="C718" s="2"/>
      <c r="D718" s="3"/>
      <c r="E718" s="3"/>
      <c r="F718" s="3"/>
      <c r="G718" s="3"/>
      <c r="H718" s="3"/>
      <c r="I718" s="3"/>
      <c r="J718" s="2"/>
      <c r="K718" s="3"/>
      <c r="L718" s="2"/>
      <c r="M718" s="2"/>
      <c r="N718" s="2"/>
      <c r="O718" s="2"/>
    </row>
    <row r="719">
      <c r="A719" s="2"/>
      <c r="B719" s="2"/>
      <c r="C719" s="2"/>
      <c r="D719" s="3"/>
      <c r="E719" s="3"/>
      <c r="F719" s="3"/>
      <c r="G719" s="3"/>
      <c r="H719" s="3"/>
      <c r="I719" s="3"/>
      <c r="J719" s="2"/>
      <c r="K719" s="3"/>
      <c r="L719" s="2"/>
      <c r="M719" s="2"/>
      <c r="N719" s="2"/>
      <c r="O719" s="2"/>
    </row>
    <row r="720">
      <c r="A720" s="2"/>
      <c r="B720" s="2"/>
      <c r="C720" s="2"/>
      <c r="D720" s="3"/>
      <c r="E720" s="3"/>
      <c r="F720" s="3"/>
      <c r="G720" s="3"/>
      <c r="H720" s="3"/>
      <c r="I720" s="3"/>
      <c r="J720" s="2"/>
      <c r="K720" s="3"/>
      <c r="L720" s="2"/>
      <c r="M720" s="2"/>
      <c r="N720" s="2"/>
      <c r="O720" s="2"/>
    </row>
    <row r="721">
      <c r="A721" s="2"/>
      <c r="B721" s="2"/>
      <c r="C721" s="2"/>
      <c r="D721" s="3"/>
      <c r="E721" s="3"/>
      <c r="F721" s="3"/>
      <c r="G721" s="3"/>
      <c r="H721" s="3"/>
      <c r="I721" s="3"/>
      <c r="J721" s="2"/>
      <c r="K721" s="3"/>
      <c r="L721" s="2"/>
      <c r="M721" s="2"/>
      <c r="N721" s="2"/>
      <c r="O721" s="2"/>
    </row>
    <row r="722">
      <c r="A722" s="2"/>
      <c r="B722" s="2"/>
      <c r="C722" s="2"/>
      <c r="D722" s="3"/>
      <c r="E722" s="3"/>
      <c r="F722" s="3"/>
      <c r="G722" s="3"/>
      <c r="H722" s="3"/>
      <c r="I722" s="3"/>
      <c r="J722" s="2"/>
      <c r="K722" s="3"/>
      <c r="L722" s="2"/>
      <c r="M722" s="2"/>
      <c r="N722" s="2"/>
      <c r="O722" s="2"/>
    </row>
    <row r="723">
      <c r="A723" s="2"/>
      <c r="B723" s="2"/>
      <c r="C723" s="2"/>
      <c r="D723" s="3"/>
      <c r="E723" s="3"/>
      <c r="F723" s="3"/>
      <c r="G723" s="3"/>
      <c r="H723" s="3"/>
      <c r="I723" s="3"/>
      <c r="J723" s="2"/>
      <c r="K723" s="3"/>
      <c r="L723" s="2"/>
      <c r="M723" s="2"/>
      <c r="N723" s="2"/>
      <c r="O723" s="2"/>
    </row>
    <row r="724">
      <c r="A724" s="2"/>
      <c r="B724" s="2"/>
      <c r="C724" s="2"/>
      <c r="D724" s="3"/>
      <c r="E724" s="3"/>
      <c r="F724" s="3"/>
      <c r="G724" s="3"/>
      <c r="H724" s="3"/>
      <c r="I724" s="3"/>
      <c r="J724" s="2"/>
      <c r="K724" s="3"/>
      <c r="L724" s="2"/>
      <c r="M724" s="2"/>
      <c r="N724" s="2"/>
      <c r="O724" s="2"/>
    </row>
    <row r="725">
      <c r="A725" s="2"/>
      <c r="B725" s="2"/>
      <c r="C725" s="2"/>
      <c r="D725" s="3"/>
      <c r="E725" s="3"/>
      <c r="F725" s="3"/>
      <c r="G725" s="3"/>
      <c r="H725" s="3"/>
      <c r="I725" s="3"/>
      <c r="J725" s="2"/>
      <c r="K725" s="3"/>
      <c r="L725" s="2"/>
      <c r="M725" s="2"/>
      <c r="N725" s="2"/>
      <c r="O725" s="2"/>
    </row>
    <row r="726">
      <c r="A726" s="2"/>
      <c r="B726" s="2"/>
      <c r="C726" s="2"/>
      <c r="D726" s="3"/>
      <c r="E726" s="3"/>
      <c r="F726" s="3"/>
      <c r="G726" s="3"/>
      <c r="H726" s="3"/>
      <c r="I726" s="3"/>
      <c r="J726" s="2"/>
      <c r="K726" s="3"/>
      <c r="L726" s="2"/>
      <c r="M726" s="2"/>
      <c r="N726" s="2"/>
      <c r="O726" s="2"/>
    </row>
    <row r="727">
      <c r="A727" s="2"/>
      <c r="B727" s="2"/>
      <c r="C727" s="2"/>
      <c r="D727" s="3"/>
      <c r="E727" s="3"/>
      <c r="F727" s="3"/>
      <c r="G727" s="3"/>
      <c r="H727" s="3"/>
      <c r="I727" s="3"/>
      <c r="J727" s="2"/>
      <c r="K727" s="3"/>
      <c r="L727" s="2"/>
      <c r="M727" s="2"/>
      <c r="N727" s="2"/>
      <c r="O727" s="2"/>
    </row>
    <row r="728">
      <c r="A728" s="2"/>
      <c r="B728" s="2"/>
      <c r="C728" s="2"/>
      <c r="D728" s="3"/>
      <c r="E728" s="3"/>
      <c r="F728" s="3"/>
      <c r="G728" s="3"/>
      <c r="H728" s="3"/>
      <c r="I728" s="3"/>
      <c r="J728" s="2"/>
      <c r="K728" s="3"/>
      <c r="L728" s="2"/>
      <c r="M728" s="2"/>
      <c r="N728" s="2"/>
      <c r="O728" s="2"/>
    </row>
    <row r="729">
      <c r="A729" s="2"/>
      <c r="B729" s="2"/>
      <c r="C729" s="2"/>
      <c r="D729" s="3"/>
      <c r="E729" s="3"/>
      <c r="F729" s="3"/>
      <c r="G729" s="3"/>
      <c r="H729" s="3"/>
      <c r="I729" s="3"/>
      <c r="J729" s="2"/>
      <c r="K729" s="3"/>
      <c r="L729" s="2"/>
      <c r="M729" s="2"/>
      <c r="N729" s="2"/>
      <c r="O729" s="2"/>
    </row>
    <row r="730">
      <c r="A730" s="2"/>
      <c r="B730" s="2"/>
      <c r="C730" s="2"/>
      <c r="D730" s="3"/>
      <c r="E730" s="3"/>
      <c r="F730" s="3"/>
      <c r="G730" s="3"/>
      <c r="H730" s="3"/>
      <c r="I730" s="3"/>
      <c r="J730" s="2"/>
      <c r="K730" s="3"/>
      <c r="L730" s="2"/>
      <c r="M730" s="2"/>
      <c r="N730" s="2"/>
      <c r="O730" s="2"/>
    </row>
    <row r="731">
      <c r="A731" s="2"/>
      <c r="B731" s="2"/>
      <c r="C731" s="2"/>
      <c r="D731" s="3"/>
      <c r="E731" s="3"/>
      <c r="F731" s="3"/>
      <c r="G731" s="3"/>
      <c r="H731" s="3"/>
      <c r="I731" s="3"/>
      <c r="J731" s="2"/>
      <c r="K731" s="3"/>
      <c r="L731" s="2"/>
      <c r="M731" s="2"/>
      <c r="N731" s="2"/>
      <c r="O731" s="2"/>
    </row>
    <row r="732">
      <c r="A732" s="2"/>
      <c r="B732" s="2"/>
      <c r="C732" s="2"/>
      <c r="D732" s="3"/>
      <c r="E732" s="3"/>
      <c r="F732" s="3"/>
      <c r="G732" s="3"/>
      <c r="H732" s="3"/>
      <c r="I732" s="3"/>
      <c r="J732" s="2"/>
      <c r="K732" s="3"/>
      <c r="L732" s="2"/>
      <c r="M732" s="2"/>
      <c r="N732" s="2"/>
      <c r="O732" s="2"/>
    </row>
    <row r="733">
      <c r="A733" s="2"/>
      <c r="B733" s="2"/>
      <c r="C733" s="2"/>
      <c r="D733" s="3"/>
      <c r="E733" s="3"/>
      <c r="F733" s="3"/>
      <c r="G733" s="3"/>
      <c r="H733" s="3"/>
      <c r="I733" s="3"/>
      <c r="J733" s="2"/>
      <c r="K733" s="3"/>
      <c r="L733" s="2"/>
      <c r="M733" s="2"/>
      <c r="N733" s="2"/>
      <c r="O733" s="2"/>
    </row>
  </sheetData>
  <autoFilter ref="$A$1:$O$21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topLeftCell="E1" activePane="topRight" state="frozen"/>
      <selection activeCell="F2" sqref="F2" pane="topRight"/>
    </sheetView>
  </sheetViews>
  <sheetFormatPr customHeight="1" defaultColWidth="12.63" defaultRowHeight="15.75"/>
  <cols>
    <col customWidth="1" min="1" max="1" width="17.75"/>
    <col customWidth="1" min="2" max="2" width="33.13"/>
    <col customWidth="1" min="3" max="3" width="14.88"/>
    <col customWidth="1" min="4" max="4" width="39.63"/>
    <col customWidth="1" min="5" max="5" width="11.63"/>
    <col customWidth="1" min="6" max="6" width="17.25"/>
    <col customWidth="1" min="7" max="8" width="7.88"/>
    <col customWidth="1" min="9" max="9" width="8.75"/>
    <col customWidth="1" min="10" max="10" width="11.13"/>
    <col customWidth="1" min="11" max="11" width="14.88"/>
    <col customWidth="1" min="12" max="12" width="22.63"/>
    <col customWidth="1" min="14" max="14" width="15.25"/>
    <col customWidth="1" min="15" max="15" width="24.75"/>
  </cols>
  <sheetData>
    <row r="1">
      <c r="A1" s="1" t="str">
        <f>IFERROR(__xludf.DUMMYFUNCTION("importrange(""https://docs.google.com/spreadsheets/d/1DFSlwt9ZlRKT_PkoQJfzrg8zKlOpfXCy8ogf6GGmJUE/edit?gid=577777541#gid=577777541"", ""Sites SY24-25!A:O"")"),"Sponsor #")</f>
        <v>Sponsor #</v>
      </c>
      <c r="B1" s="1" t="str">
        <f>IFERROR(__xludf.DUMMYFUNCTION("""COMPUTED_VALUE"""),"Sponsor Name")</f>
        <v>Sponsor Name</v>
      </c>
      <c r="C1" s="1" t="str">
        <f>IFERROR(__xludf.DUMMYFUNCTION("""COMPUTED_VALUE"""),"Site Code")</f>
        <v>Site Code</v>
      </c>
      <c r="D1" s="1" t="str">
        <f>IFERROR(__xludf.DUMMYFUNCTION("""COMPUTED_VALUE"""),"Site Name")</f>
        <v>Site Name</v>
      </c>
      <c r="E1" s="1" t="str">
        <f>IFERROR(__xludf.DUMMYFUNCTION("""COMPUTED_VALUE"""),"Breakfast")</f>
        <v>Breakfast</v>
      </c>
      <c r="F1" s="1" t="str">
        <f>IFERROR(__xludf.DUMMYFUNCTION("""COMPUTED_VALUE"""),"Lunch")</f>
        <v>Lunch</v>
      </c>
      <c r="G1" s="1" t="str">
        <f>IFERROR(__xludf.DUMMYFUNCTION("""COMPUTED_VALUE"""),"Snack")</f>
        <v>Snack</v>
      </c>
      <c r="H1" s="1" t="str">
        <f>IFERROR(__xludf.DUMMYFUNCTION("""COMPUTED_VALUE"""),"Milk")</f>
        <v>Milk</v>
      </c>
      <c r="I1" s="1" t="str">
        <f>IFERROR(__xludf.DUMMYFUNCTION("""COMPUTED_VALUE"""),"FFVP Sites")</f>
        <v>FFVP Sites</v>
      </c>
      <c r="J1" s="1" t="str">
        <f>IFERROR(__xludf.DUMMYFUNCTION("""COMPUTED_VALUE"""),"Breakfast After the Bell Program*")</f>
        <v>Breakfast After the Bell Program*</v>
      </c>
      <c r="K1" s="1" t="str">
        <f>IFERROR(__xludf.DUMMYFUNCTION("""COMPUTED_VALUE"""),"HSMA")</f>
        <v>HSMA</v>
      </c>
      <c r="L1" s="1" t="str">
        <f>IFERROR(__xludf.DUMMYFUNCTION("""COMPUTED_VALUE"""),"CEP Group")</f>
        <v>CEP Group</v>
      </c>
      <c r="M1" s="1" t="str">
        <f>IFERROR(__xludf.DUMMYFUNCTION("""COMPUTED_VALUE"""),"
Prov 2")</f>
        <v>
Prov 2</v>
      </c>
      <c r="N1" s="1" t="str">
        <f>IFERROR(__xludf.DUMMYFUNCTION("""COMPUTED_VALUE"""),"SFSP ")</f>
        <v>SFSP </v>
      </c>
      <c r="O1" s="1" t="str">
        <f>IFERROR(__xludf.DUMMYFUNCTION("""COMPUTED_VALUE"""),"Notes")</f>
        <v>Notes</v>
      </c>
    </row>
    <row r="2">
      <c r="A2" s="2" t="str">
        <f>IFERROR(__xludf.DUMMYFUNCTION("""COMPUTED_VALUE"""),"0010")</f>
        <v>0010</v>
      </c>
      <c r="B2" s="2" t="str">
        <f>IFERROR(__xludf.DUMMYFUNCTION("""COMPUTED_VALUE"""),"MAPLETON 1")</f>
        <v>MAPLETON 1</v>
      </c>
      <c r="C2" s="2" t="str">
        <f>IFERROR(__xludf.DUMMYFUNCTION("""COMPUTED_VALUE"""),"00187")</f>
        <v>00187</v>
      </c>
      <c r="D2" s="2" t="str">
        <f>IFERROR(__xludf.DUMMYFUNCTION("""COMPUTED_VALUE"""),"MAPLETON EXPEDITIONARY SCHOOL OF THE ARTS")</f>
        <v>MAPLETON EXPEDITIONARY SCHOOL OF THE ARTS</v>
      </c>
      <c r="E2" s="3" t="str">
        <f>IFERROR(__xludf.DUMMYFUNCTION("""COMPUTED_VALUE"""),"Y")</f>
        <v>Y</v>
      </c>
      <c r="F2" s="3" t="str">
        <f>IFERROR(__xludf.DUMMYFUNCTION("""COMPUTED_VALUE"""),"Y")</f>
        <v>Y</v>
      </c>
      <c r="G2" s="3"/>
      <c r="H2" s="3"/>
      <c r="I2" s="3" t="str">
        <f>IFERROR(__xludf.DUMMYFUNCTION("""COMPUTED_VALUE""")," ")</f>
        <v> </v>
      </c>
      <c r="J2" s="3" t="str">
        <f>IFERROR(__xludf.DUMMYFUNCTION("""COMPUTED_VALUE"""),"Y")</f>
        <v>Y</v>
      </c>
      <c r="K2" s="3" t="str">
        <f>IFERROR(__xludf.DUMMYFUNCTION("""COMPUTED_VALUE"""),"Y")</f>
        <v>Y</v>
      </c>
      <c r="L2" s="3" t="str">
        <f>IFERROR(__xludf.DUMMYFUNCTION("""COMPUTED_VALUE"""),"Group 4")</f>
        <v>Group 4</v>
      </c>
      <c r="M2" s="3"/>
      <c r="N2" s="5" t="str">
        <f>IFERROR(__xludf.DUMMYFUNCTION("""COMPUTED_VALUE""")," ")</f>
        <v> </v>
      </c>
      <c r="O2" s="5"/>
    </row>
    <row r="3">
      <c r="A3" s="2" t="str">
        <f>IFERROR(__xludf.DUMMYFUNCTION("""COMPUTED_VALUE"""),"0010")</f>
        <v>0010</v>
      </c>
      <c r="B3" s="2" t="str">
        <f>IFERROR(__xludf.DUMMYFUNCTION("""COMPUTED_VALUE"""),"MAPLETON 1")</f>
        <v>MAPLETON 1</v>
      </c>
      <c r="C3" s="2" t="str">
        <f>IFERROR(__xludf.DUMMYFUNCTION("""COMPUTED_VALUE"""),"00212")</f>
        <v>00212</v>
      </c>
      <c r="D3" s="2" t="str">
        <f>IFERROR(__xludf.DUMMYFUNCTION("""COMPUTED_VALUE"""),"MAPLETON EARLY CAREER PREPARATION")</f>
        <v>MAPLETON EARLY CAREER PREPARATION</v>
      </c>
      <c r="E3" s="3" t="str">
        <f>IFERROR(__xludf.DUMMYFUNCTION("""COMPUTED_VALUE"""),"Y")</f>
        <v>Y</v>
      </c>
      <c r="F3" s="3" t="str">
        <f>IFERROR(__xludf.DUMMYFUNCTION("""COMPUTED_VALUE"""),"Y")</f>
        <v>Y</v>
      </c>
      <c r="G3" s="3"/>
      <c r="H3" s="3"/>
      <c r="I3" s="3" t="str">
        <f>IFERROR(__xludf.DUMMYFUNCTION("""COMPUTED_VALUE""")," ")</f>
        <v> </v>
      </c>
      <c r="J3" s="3" t="str">
        <f>IFERROR(__xludf.DUMMYFUNCTION("""COMPUTED_VALUE"""),"Y")</f>
        <v>Y</v>
      </c>
      <c r="K3" s="3" t="str">
        <f>IFERROR(__xludf.DUMMYFUNCTION("""COMPUTED_VALUE"""),"Y")</f>
        <v>Y</v>
      </c>
      <c r="L3" s="3" t="str">
        <f>IFERROR(__xludf.DUMMYFUNCTION("""COMPUTED_VALUE"""),"Group 9")</f>
        <v>Group 9</v>
      </c>
      <c r="M3" s="3"/>
      <c r="N3" s="5" t="str">
        <f>IFERROR(__xludf.DUMMYFUNCTION("""COMPUTED_VALUE""")," ")</f>
        <v> </v>
      </c>
      <c r="O3" s="5"/>
    </row>
    <row r="4">
      <c r="A4" s="2" t="str">
        <f>IFERROR(__xludf.DUMMYFUNCTION("""COMPUTED_VALUE"""),"0010")</f>
        <v>0010</v>
      </c>
      <c r="B4" s="2" t="str">
        <f>IFERROR(__xludf.DUMMYFUNCTION("""COMPUTED_VALUE"""),"MAPLETON 1")</f>
        <v>MAPLETON 1</v>
      </c>
      <c r="C4" s="2" t="str">
        <f>IFERROR(__xludf.DUMMYFUNCTION("""COMPUTED_VALUE"""),"00263")</f>
        <v>00263</v>
      </c>
      <c r="D4" s="2" t="str">
        <f>IFERROR(__xludf.DUMMYFUNCTION("""COMPUTED_VALUE"""),"GLOBAL LEADERSHIP ACADEMY")</f>
        <v>GLOBAL LEADERSHIP ACADEMY</v>
      </c>
      <c r="E4" s="3" t="str">
        <f>IFERROR(__xludf.DUMMYFUNCTION("""COMPUTED_VALUE"""),"Y")</f>
        <v>Y</v>
      </c>
      <c r="F4" s="3" t="str">
        <f>IFERROR(__xludf.DUMMYFUNCTION("""COMPUTED_VALUE"""),"Y")</f>
        <v>Y</v>
      </c>
      <c r="G4" s="3"/>
      <c r="H4" s="3"/>
      <c r="I4" s="3" t="str">
        <f>IFERROR(__xludf.DUMMYFUNCTION("""COMPUTED_VALUE""")," ")</f>
        <v> </v>
      </c>
      <c r="J4" s="3" t="str">
        <f>IFERROR(__xludf.DUMMYFUNCTION("""COMPUTED_VALUE"""),"Y")</f>
        <v>Y</v>
      </c>
      <c r="K4" s="3" t="str">
        <f>IFERROR(__xludf.DUMMYFUNCTION("""COMPUTED_VALUE"""),"Y")</f>
        <v>Y</v>
      </c>
      <c r="L4" s="3" t="str">
        <f>IFERROR(__xludf.DUMMYFUNCTION("""COMPUTED_VALUE"""),"Group 5")</f>
        <v>Group 5</v>
      </c>
      <c r="M4" s="3"/>
      <c r="N4" s="5" t="str">
        <f>IFERROR(__xludf.DUMMYFUNCTION("""COMPUTED_VALUE""")," ")</f>
        <v> </v>
      </c>
      <c r="O4" s="5"/>
    </row>
    <row r="5">
      <c r="A5" s="2" t="str">
        <f>IFERROR(__xludf.DUMMYFUNCTION("""COMPUTED_VALUE"""),"0010")</f>
        <v>0010</v>
      </c>
      <c r="B5" s="2" t="str">
        <f>IFERROR(__xludf.DUMMYFUNCTION("""COMPUTED_VALUE"""),"MAPLETON 1")</f>
        <v>MAPLETON 1</v>
      </c>
      <c r="C5" s="2" t="str">
        <f>IFERROR(__xludf.DUMMYFUNCTION("""COMPUTED_VALUE"""),"00309")</f>
        <v>00309</v>
      </c>
      <c r="D5" s="2" t="str">
        <f>IFERROR(__xludf.DUMMYFUNCTION("""COMPUTED_VALUE"""),"ACADEMY HIGH SCHOOL")</f>
        <v>ACADEMY HIGH SCHOOL</v>
      </c>
      <c r="E5" s="3" t="str">
        <f>IFERROR(__xludf.DUMMYFUNCTION("""COMPUTED_VALUE"""),"Y")</f>
        <v>Y</v>
      </c>
      <c r="F5" s="3" t="str">
        <f>IFERROR(__xludf.DUMMYFUNCTION("""COMPUTED_VALUE"""),"Y")</f>
        <v>Y</v>
      </c>
      <c r="G5" s="3"/>
      <c r="H5" s="3"/>
      <c r="I5" s="3" t="str">
        <f>IFERROR(__xludf.DUMMYFUNCTION("""COMPUTED_VALUE""")," ")</f>
        <v> </v>
      </c>
      <c r="J5" s="3" t="str">
        <f>IFERROR(__xludf.DUMMYFUNCTION("""COMPUTED_VALUE"""),"Y")</f>
        <v>Y</v>
      </c>
      <c r="K5" s="3" t="str">
        <f>IFERROR(__xludf.DUMMYFUNCTION("""COMPUTED_VALUE"""),"Y")</f>
        <v>Y</v>
      </c>
      <c r="L5" s="3" t="str">
        <f>IFERROR(__xludf.DUMMYFUNCTION("""COMPUTED_VALUE"""),"Group 9")</f>
        <v>Group 9</v>
      </c>
      <c r="M5" s="3"/>
      <c r="N5" s="5" t="str">
        <f>IFERROR(__xludf.DUMMYFUNCTION("""COMPUTED_VALUE""")," ")</f>
        <v> </v>
      </c>
      <c r="O5" s="5"/>
    </row>
    <row r="6">
      <c r="A6" s="2" t="str">
        <f>IFERROR(__xludf.DUMMYFUNCTION("""COMPUTED_VALUE"""),"0010")</f>
        <v>0010</v>
      </c>
      <c r="B6" s="2" t="str">
        <f>IFERROR(__xludf.DUMMYFUNCTION("""COMPUTED_VALUE"""),"MAPLETON 1")</f>
        <v>MAPLETON 1</v>
      </c>
      <c r="C6" s="2" t="str">
        <f>IFERROR(__xludf.DUMMYFUNCTION("""COMPUTED_VALUE"""),"00501")</f>
        <v>00501</v>
      </c>
      <c r="D6" s="2" t="str">
        <f>IFERROR(__xludf.DUMMYFUNCTION("""COMPUTED_VALUE"""),"MONTEREY COMMUNITY SCHOOL")</f>
        <v>MONTEREY COMMUNITY SCHOOL</v>
      </c>
      <c r="E6" s="3" t="str">
        <f>IFERROR(__xludf.DUMMYFUNCTION("""COMPUTED_VALUE"""),"Y")</f>
        <v>Y</v>
      </c>
      <c r="F6" s="3" t="str">
        <f>IFERROR(__xludf.DUMMYFUNCTION("""COMPUTED_VALUE"""),"Y")</f>
        <v>Y</v>
      </c>
      <c r="G6" s="3"/>
      <c r="H6" s="3"/>
      <c r="I6" s="3" t="str">
        <f>IFERROR(__xludf.DUMMYFUNCTION("""COMPUTED_VALUE""")," ")</f>
        <v> </v>
      </c>
      <c r="J6" s="3" t="str">
        <f>IFERROR(__xludf.DUMMYFUNCTION("""COMPUTED_VALUE"""),"Y")</f>
        <v>Y</v>
      </c>
      <c r="K6" s="3" t="str">
        <f>IFERROR(__xludf.DUMMYFUNCTION("""COMPUTED_VALUE"""),"Y")</f>
        <v>Y</v>
      </c>
      <c r="L6" s="3" t="str">
        <f>IFERROR(__xludf.DUMMYFUNCTION("""COMPUTED_VALUE"""),"Group 7")</f>
        <v>Group 7</v>
      </c>
      <c r="M6" s="3"/>
      <c r="N6" s="5" t="str">
        <f>IFERROR(__xludf.DUMMYFUNCTION("""COMPUTED_VALUE""")," ")</f>
        <v> </v>
      </c>
      <c r="O6" s="5"/>
    </row>
    <row r="7">
      <c r="A7" s="2" t="str">
        <f>IFERROR(__xludf.DUMMYFUNCTION("""COMPUTED_VALUE"""),"0010")</f>
        <v>0010</v>
      </c>
      <c r="B7" s="2" t="str">
        <f>IFERROR(__xludf.DUMMYFUNCTION("""COMPUTED_VALUE"""),"MAPLETON 1")</f>
        <v>MAPLETON 1</v>
      </c>
      <c r="C7" s="2" t="str">
        <f>IFERROR(__xludf.DUMMYFUNCTION("""COMPUTED_VALUE"""),"00502")</f>
        <v>00502</v>
      </c>
      <c r="D7" s="2" t="str">
        <f>IFERROR(__xludf.DUMMYFUNCTION("""COMPUTED_VALUE"""),"MEADOW COMMUNITY SCHOOL")</f>
        <v>MEADOW COMMUNITY SCHOOL</v>
      </c>
      <c r="E7" s="3" t="str">
        <f>IFERROR(__xludf.DUMMYFUNCTION("""COMPUTED_VALUE"""),"Y")</f>
        <v>Y</v>
      </c>
      <c r="F7" s="3" t="str">
        <f>IFERROR(__xludf.DUMMYFUNCTION("""COMPUTED_VALUE"""),"Y")</f>
        <v>Y</v>
      </c>
      <c r="G7" s="3"/>
      <c r="H7" s="3"/>
      <c r="I7" s="3" t="str">
        <f>IFERROR(__xludf.DUMMYFUNCTION("""COMPUTED_VALUE""")," ")</f>
        <v> </v>
      </c>
      <c r="J7" s="3" t="str">
        <f>IFERROR(__xludf.DUMMYFUNCTION("""COMPUTED_VALUE"""),"Y")</f>
        <v>Y</v>
      </c>
      <c r="K7" s="3" t="str">
        <f>IFERROR(__xludf.DUMMYFUNCTION("""COMPUTED_VALUE"""),"Y")</f>
        <v>Y</v>
      </c>
      <c r="L7" s="3" t="str">
        <f>IFERROR(__xludf.DUMMYFUNCTION("""COMPUTED_VALUE"""),"Group 6")</f>
        <v>Group 6</v>
      </c>
      <c r="M7" s="3"/>
      <c r="N7" s="5" t="str">
        <f>IFERROR(__xludf.DUMMYFUNCTION("""COMPUTED_VALUE""")," ")</f>
        <v> </v>
      </c>
      <c r="O7" s="5"/>
    </row>
    <row r="8">
      <c r="A8" s="2" t="str">
        <f>IFERROR(__xludf.DUMMYFUNCTION("""COMPUTED_VALUE"""),"0010")</f>
        <v>0010</v>
      </c>
      <c r="B8" s="2" t="str">
        <f>IFERROR(__xludf.DUMMYFUNCTION("""COMPUTED_VALUE"""),"MAPLETON 1")</f>
        <v>MAPLETON 1</v>
      </c>
      <c r="C8" s="2" t="str">
        <f>IFERROR(__xludf.DUMMYFUNCTION("""COMPUTED_VALUE"""),"00503")</f>
        <v>00503</v>
      </c>
      <c r="D8" s="2" t="str">
        <f>IFERROR(__xludf.DUMMYFUNCTION("""COMPUTED_VALUE"""),"YORK INTERNATIONAL")</f>
        <v>YORK INTERNATIONAL</v>
      </c>
      <c r="E8" s="3" t="str">
        <f>IFERROR(__xludf.DUMMYFUNCTION("""COMPUTED_VALUE"""),"Y")</f>
        <v>Y</v>
      </c>
      <c r="F8" s="3" t="str">
        <f>IFERROR(__xludf.DUMMYFUNCTION("""COMPUTED_VALUE"""),"Y")</f>
        <v>Y</v>
      </c>
      <c r="G8" s="3" t="str">
        <f>IFERROR(__xludf.DUMMYFUNCTION("""COMPUTED_VALUE"""),"Y")</f>
        <v>Y</v>
      </c>
      <c r="H8" s="3"/>
      <c r="I8" s="3" t="str">
        <f>IFERROR(__xludf.DUMMYFUNCTION("""COMPUTED_VALUE""")," ")</f>
        <v> </v>
      </c>
      <c r="J8" s="3" t="str">
        <f>IFERROR(__xludf.DUMMYFUNCTION("""COMPUTED_VALUE"""),"Y")</f>
        <v>Y</v>
      </c>
      <c r="K8" s="3" t="str">
        <f>IFERROR(__xludf.DUMMYFUNCTION("""COMPUTED_VALUE"""),"Y")</f>
        <v>Y</v>
      </c>
      <c r="L8" s="3" t="str">
        <f>IFERROR(__xludf.DUMMYFUNCTION("""COMPUTED_VALUE"""),"Group 3")</f>
        <v>Group 3</v>
      </c>
      <c r="M8" s="3"/>
      <c r="N8" s="5" t="str">
        <f>IFERROR(__xludf.DUMMYFUNCTION("""COMPUTED_VALUE"""),"Y")</f>
        <v>Y</v>
      </c>
      <c r="O8" s="5"/>
    </row>
    <row r="9">
      <c r="A9" s="2" t="str">
        <f>IFERROR(__xludf.DUMMYFUNCTION("""COMPUTED_VALUE"""),"0010")</f>
        <v>0010</v>
      </c>
      <c r="B9" s="2" t="str">
        <f>IFERROR(__xludf.DUMMYFUNCTION("""COMPUTED_VALUE"""),"MAPLETON 1")</f>
        <v>MAPLETON 1</v>
      </c>
      <c r="C9" s="2" t="str">
        <f>IFERROR(__xludf.DUMMYFUNCTION("""COMPUTED_VALUE"""),"00504")</f>
        <v>00504</v>
      </c>
      <c r="D9" s="2" t="str">
        <f>IFERROR(__xludf.DUMMYFUNCTION("""COMPUTED_VALUE"""),"WELBY COMMUNITY SCHOOL")</f>
        <v>WELBY COMMUNITY SCHOOL</v>
      </c>
      <c r="E9" s="3" t="str">
        <f>IFERROR(__xludf.DUMMYFUNCTION("""COMPUTED_VALUE"""),"Y")</f>
        <v>Y</v>
      </c>
      <c r="F9" s="3" t="str">
        <f>IFERROR(__xludf.DUMMYFUNCTION("""COMPUTED_VALUE"""),"Y")</f>
        <v>Y</v>
      </c>
      <c r="G9" s="3"/>
      <c r="H9" s="3"/>
      <c r="I9" s="3" t="str">
        <f>IFERROR(__xludf.DUMMYFUNCTION("""COMPUTED_VALUE""")," ")</f>
        <v> </v>
      </c>
      <c r="J9" s="3" t="str">
        <f>IFERROR(__xludf.DUMMYFUNCTION("""COMPUTED_VALUE"""),"Y")</f>
        <v>Y</v>
      </c>
      <c r="K9" s="3" t="str">
        <f>IFERROR(__xludf.DUMMYFUNCTION("""COMPUTED_VALUE"""),"Y")</f>
        <v>Y</v>
      </c>
      <c r="L9" s="3" t="str">
        <f>IFERROR(__xludf.DUMMYFUNCTION("""COMPUTED_VALUE"""),"Group 1")</f>
        <v>Group 1</v>
      </c>
      <c r="M9" s="3"/>
      <c r="N9" s="5" t="str">
        <f>IFERROR(__xludf.DUMMYFUNCTION("""COMPUTED_VALUE""")," ")</f>
        <v> </v>
      </c>
      <c r="O9" s="5"/>
    </row>
    <row r="10">
      <c r="A10" s="2" t="str">
        <f>IFERROR(__xludf.DUMMYFUNCTION("""COMPUTED_VALUE"""),"0010")</f>
        <v>0010</v>
      </c>
      <c r="B10" s="2" t="str">
        <f>IFERROR(__xludf.DUMMYFUNCTION("""COMPUTED_VALUE"""),"MAPLETON 1")</f>
        <v>MAPLETON 1</v>
      </c>
      <c r="C10" s="2" t="str">
        <f>IFERROR(__xludf.DUMMYFUNCTION("""COMPUTED_VALUE"""),"00505")</f>
        <v>00505</v>
      </c>
      <c r="D10" s="2" t="str">
        <f>IFERROR(__xludf.DUMMYFUNCTION("""COMPUTED_VALUE"""),"ACHIEVE ACADEMY")</f>
        <v>ACHIEVE ACADEMY</v>
      </c>
      <c r="E10" s="3" t="str">
        <f>IFERROR(__xludf.DUMMYFUNCTION("""COMPUTED_VALUE"""),"Y")</f>
        <v>Y</v>
      </c>
      <c r="F10" s="3" t="str">
        <f>IFERROR(__xludf.DUMMYFUNCTION("""COMPUTED_VALUE"""),"Y")</f>
        <v>Y</v>
      </c>
      <c r="G10" s="3"/>
      <c r="H10" s="3"/>
      <c r="I10" s="3" t="str">
        <f>IFERROR(__xludf.DUMMYFUNCTION("""COMPUTED_VALUE""")," ")</f>
        <v> </v>
      </c>
      <c r="J10" s="3" t="str">
        <f>IFERROR(__xludf.DUMMYFUNCTION("""COMPUTED_VALUE"""),"Y")</f>
        <v>Y</v>
      </c>
      <c r="K10" s="3" t="str">
        <f>IFERROR(__xludf.DUMMYFUNCTION("""COMPUTED_VALUE"""),"Y")</f>
        <v>Y</v>
      </c>
      <c r="L10" s="3" t="str">
        <f>IFERROR(__xludf.DUMMYFUNCTION("""COMPUTED_VALUE"""),"Group 8")</f>
        <v>Group 8</v>
      </c>
      <c r="M10" s="3"/>
      <c r="N10" s="5" t="str">
        <f>IFERROR(__xludf.DUMMYFUNCTION("""COMPUTED_VALUE""")," ")</f>
        <v> </v>
      </c>
      <c r="O10" s="5"/>
    </row>
    <row r="11">
      <c r="A11" s="2" t="str">
        <f>IFERROR(__xludf.DUMMYFUNCTION("""COMPUTED_VALUE"""),"0010")</f>
        <v>0010</v>
      </c>
      <c r="B11" s="2" t="str">
        <f>IFERROR(__xludf.DUMMYFUNCTION("""COMPUTED_VALUE"""),"MAPLETON 1")</f>
        <v>MAPLETON 1</v>
      </c>
      <c r="C11" s="2" t="str">
        <f>IFERROR(__xludf.DUMMYFUNCTION("""COMPUTED_VALUE"""),"00506")</f>
        <v>00506</v>
      </c>
      <c r="D11" s="2" t="str">
        <f>IFERROR(__xludf.DUMMYFUNCTION("""COMPUTED_VALUE"""),"EXPLORE ELEMENTARY")</f>
        <v>EXPLORE ELEMENTARY</v>
      </c>
      <c r="E11" s="3" t="str">
        <f>IFERROR(__xludf.DUMMYFUNCTION("""COMPUTED_VALUE"""),"Y")</f>
        <v>Y</v>
      </c>
      <c r="F11" s="3" t="str">
        <f>IFERROR(__xludf.DUMMYFUNCTION("""COMPUTED_VALUE"""),"Y")</f>
        <v>Y</v>
      </c>
      <c r="G11" s="3" t="str">
        <f>IFERROR(__xludf.DUMMYFUNCTION("""COMPUTED_VALUE"""),"Y")</f>
        <v>Y</v>
      </c>
      <c r="H11" s="3"/>
      <c r="I11" s="3" t="str">
        <f>IFERROR(__xludf.DUMMYFUNCTION("""COMPUTED_VALUE""")," ")</f>
        <v> </v>
      </c>
      <c r="J11" s="3" t="str">
        <f>IFERROR(__xludf.DUMMYFUNCTION("""COMPUTED_VALUE""")," ")</f>
        <v> </v>
      </c>
      <c r="K11" s="3" t="str">
        <f>IFERROR(__xludf.DUMMYFUNCTION("""COMPUTED_VALUE"""),"Y")</f>
        <v>Y</v>
      </c>
      <c r="L11" s="3" t="str">
        <f>IFERROR(__xludf.DUMMYFUNCTION("""COMPUTED_VALUE"""),"Group 1")</f>
        <v>Group 1</v>
      </c>
      <c r="M11" s="3"/>
      <c r="N11" s="5" t="str">
        <f>IFERROR(__xludf.DUMMYFUNCTION("""COMPUTED_VALUE""")," ")</f>
        <v> </v>
      </c>
      <c r="O11" s="5"/>
    </row>
    <row r="12">
      <c r="A12" s="2" t="str">
        <f>IFERROR(__xludf.DUMMYFUNCTION("""COMPUTED_VALUE"""),"0010")</f>
        <v>0010</v>
      </c>
      <c r="B12" s="2" t="str">
        <f>IFERROR(__xludf.DUMMYFUNCTION("""COMPUTED_VALUE"""),"MAPLETON 1")</f>
        <v>MAPLETON 1</v>
      </c>
      <c r="C12" s="2" t="str">
        <f>IFERROR(__xludf.DUMMYFUNCTION("""COMPUTED_VALUE"""),"00507")</f>
        <v>00507</v>
      </c>
      <c r="D12" s="2" t="str">
        <f>IFERROR(__xludf.DUMMYFUNCTION("""COMPUTED_VALUE"""),"ADVENTURE ELEMENTARY")</f>
        <v>ADVENTURE ELEMENTARY</v>
      </c>
      <c r="E12" s="3" t="str">
        <f>IFERROR(__xludf.DUMMYFUNCTION("""COMPUTED_VALUE"""),"Y")</f>
        <v>Y</v>
      </c>
      <c r="F12" s="3" t="str">
        <f>IFERROR(__xludf.DUMMYFUNCTION("""COMPUTED_VALUE"""),"Y")</f>
        <v>Y</v>
      </c>
      <c r="G12" s="3" t="str">
        <f>IFERROR(__xludf.DUMMYFUNCTION("""COMPUTED_VALUE"""),"Y")</f>
        <v>Y</v>
      </c>
      <c r="H12" s="3"/>
      <c r="I12" s="3" t="str">
        <f>IFERROR(__xludf.DUMMYFUNCTION("""COMPUTED_VALUE""")," ")</f>
        <v> </v>
      </c>
      <c r="J12" s="3" t="str">
        <f>IFERROR(__xludf.DUMMYFUNCTION("""COMPUTED_VALUE"""),"Y")</f>
        <v>Y</v>
      </c>
      <c r="K12" s="3" t="str">
        <f>IFERROR(__xludf.DUMMYFUNCTION("""COMPUTED_VALUE"""),"Y")</f>
        <v>Y</v>
      </c>
      <c r="L12" s="3" t="str">
        <f>IFERROR(__xludf.DUMMYFUNCTION("""COMPUTED_VALUE"""),"Group 2")</f>
        <v>Group 2</v>
      </c>
      <c r="M12" s="3"/>
      <c r="N12" s="5" t="str">
        <f>IFERROR(__xludf.DUMMYFUNCTION("""COMPUTED_VALUE"""),"Y")</f>
        <v>Y</v>
      </c>
      <c r="O12" s="5"/>
    </row>
    <row r="13">
      <c r="A13" s="2" t="str">
        <f>IFERROR(__xludf.DUMMYFUNCTION("""COMPUTED_VALUE"""),"0010")</f>
        <v>0010</v>
      </c>
      <c r="B13" s="2" t="str">
        <f>IFERROR(__xludf.DUMMYFUNCTION("""COMPUTED_VALUE"""),"MAPLETON 1")</f>
        <v>MAPLETON 1</v>
      </c>
      <c r="C13" s="2" t="str">
        <f>IFERROR(__xludf.DUMMYFUNCTION("""COMPUTED_VALUE"""),"00509")</f>
        <v>00509</v>
      </c>
      <c r="D13" s="2" t="str">
        <f>IFERROR(__xludf.DUMMYFUNCTION("""COMPUTED_VALUE"""),"CLAYTON PARTNERSHIP SCHOOL")</f>
        <v>CLAYTON PARTNERSHIP SCHOOL</v>
      </c>
      <c r="E13" s="3" t="str">
        <f>IFERROR(__xludf.DUMMYFUNCTION("""COMPUTED_VALUE"""),"Y")</f>
        <v>Y</v>
      </c>
      <c r="F13" s="3" t="str">
        <f>IFERROR(__xludf.DUMMYFUNCTION("""COMPUTED_VALUE"""),"Y")</f>
        <v>Y</v>
      </c>
      <c r="G13" s="3"/>
      <c r="H13" s="3"/>
      <c r="I13" s="3" t="str">
        <f>IFERROR(__xludf.DUMMYFUNCTION("""COMPUTED_VALUE""")," ")</f>
        <v> </v>
      </c>
      <c r="J13" s="3" t="str">
        <f>IFERROR(__xludf.DUMMYFUNCTION("""COMPUTED_VALUE"""),"Y")</f>
        <v>Y</v>
      </c>
      <c r="K13" s="3" t="str">
        <f>IFERROR(__xludf.DUMMYFUNCTION("""COMPUTED_VALUE"""),"Y")</f>
        <v>Y</v>
      </c>
      <c r="L13" s="3" t="str">
        <f>IFERROR(__xludf.DUMMYFUNCTION("""COMPUTED_VALUE"""),"Group 6")</f>
        <v>Group 6</v>
      </c>
      <c r="M13" s="3"/>
      <c r="N13" s="5" t="str">
        <f>IFERROR(__xludf.DUMMYFUNCTION("""COMPUTED_VALUE""")," ")</f>
        <v> </v>
      </c>
      <c r="O13" s="5"/>
    </row>
    <row r="14">
      <c r="A14" s="2" t="str">
        <f>IFERROR(__xludf.DUMMYFUNCTION("""COMPUTED_VALUE"""),"0010")</f>
        <v>0010</v>
      </c>
      <c r="B14" s="2" t="str">
        <f>IFERROR(__xludf.DUMMYFUNCTION("""COMPUTED_VALUE"""),"MAPLETON 1")</f>
        <v>MAPLETON 1</v>
      </c>
      <c r="C14" s="2" t="str">
        <f>IFERROR(__xludf.DUMMYFUNCTION("""COMPUTED_VALUE"""),"02768")</f>
        <v>02768</v>
      </c>
      <c r="D14" s="2" t="str">
        <f>IFERROR(__xludf.DUMMYFUNCTION("""COMPUTED_VALUE"""),"Preschool on Poze")</f>
        <v>Preschool on Poze</v>
      </c>
      <c r="E14" s="3" t="str">
        <f>IFERROR(__xludf.DUMMYFUNCTION("""COMPUTED_VALUE"""),"Y")</f>
        <v>Y</v>
      </c>
      <c r="F14" s="3" t="str">
        <f>IFERROR(__xludf.DUMMYFUNCTION("""COMPUTED_VALUE"""),"Y")</f>
        <v>Y</v>
      </c>
      <c r="G14" s="3" t="str">
        <f>IFERROR(__xludf.DUMMYFUNCTION("""COMPUTED_VALUE"""),"Y")</f>
        <v>Y</v>
      </c>
      <c r="H14" s="3"/>
      <c r="I14" s="3" t="str">
        <f>IFERROR(__xludf.DUMMYFUNCTION("""COMPUTED_VALUE""")," ")</f>
        <v> </v>
      </c>
      <c r="J14" s="3" t="str">
        <f>IFERROR(__xludf.DUMMYFUNCTION("""COMPUTED_VALUE""")," ")</f>
        <v> </v>
      </c>
      <c r="K14" s="3" t="str">
        <f>IFERROR(__xludf.DUMMYFUNCTION("""COMPUTED_VALUE"""),"Y")</f>
        <v>Y</v>
      </c>
      <c r="L14" s="3" t="str">
        <f>IFERROR(__xludf.DUMMYFUNCTION("""COMPUTED_VALUE"""),"Group 1")</f>
        <v>Group 1</v>
      </c>
      <c r="M14" s="3"/>
      <c r="N14" s="5" t="str">
        <f>IFERROR(__xludf.DUMMYFUNCTION("""COMPUTED_VALUE""")," ")</f>
        <v> </v>
      </c>
      <c r="O14" s="5"/>
    </row>
    <row r="15">
      <c r="A15" s="2" t="str">
        <f>IFERROR(__xludf.DUMMYFUNCTION("""COMPUTED_VALUE"""),"0010")</f>
        <v>0010</v>
      </c>
      <c r="B15" s="2" t="str">
        <f>IFERROR(__xludf.DUMMYFUNCTION("""COMPUTED_VALUE"""),"MAPLETON 1")</f>
        <v>MAPLETON 1</v>
      </c>
      <c r="C15" s="2" t="str">
        <f>IFERROR(__xludf.DUMMYFUNCTION("""COMPUTED_VALUE"""),"03590")</f>
        <v>03590</v>
      </c>
      <c r="D15" s="2" t="str">
        <f>IFERROR(__xludf.DUMMYFUNCTION("""COMPUTED_VALUE"""),"Global Intermediate Academy")</f>
        <v>Global Intermediate Academy</v>
      </c>
      <c r="E15" s="3" t="str">
        <f>IFERROR(__xludf.DUMMYFUNCTION("""COMPUTED_VALUE"""),"Y")</f>
        <v>Y</v>
      </c>
      <c r="F15" s="3" t="str">
        <f>IFERROR(__xludf.DUMMYFUNCTION("""COMPUTED_VALUE"""),"Y")</f>
        <v>Y</v>
      </c>
      <c r="G15" s="3"/>
      <c r="H15" s="3"/>
      <c r="I15" s="3" t="str">
        <f>IFERROR(__xludf.DUMMYFUNCTION("""COMPUTED_VALUE""")," ")</f>
        <v> </v>
      </c>
      <c r="J15" s="3" t="str">
        <f>IFERROR(__xludf.DUMMYFUNCTION("""COMPUTED_VALUE"""),"Y")</f>
        <v>Y</v>
      </c>
      <c r="K15" s="3" t="str">
        <f>IFERROR(__xludf.DUMMYFUNCTION("""COMPUTED_VALUE"""),"Y")</f>
        <v>Y</v>
      </c>
      <c r="L15" s="3" t="str">
        <f>IFERROR(__xludf.DUMMYFUNCTION("""COMPUTED_VALUE"""),"Group 7")</f>
        <v>Group 7</v>
      </c>
      <c r="M15" s="3"/>
      <c r="N15" s="5" t="str">
        <f>IFERROR(__xludf.DUMMYFUNCTION("""COMPUTED_VALUE""")," ")</f>
        <v> </v>
      </c>
      <c r="O15" s="5"/>
    </row>
    <row r="16">
      <c r="A16" s="2" t="str">
        <f>IFERROR(__xludf.DUMMYFUNCTION("""COMPUTED_VALUE"""),"0010")</f>
        <v>0010</v>
      </c>
      <c r="B16" s="2" t="str">
        <f>IFERROR(__xludf.DUMMYFUNCTION("""COMPUTED_VALUE"""),"MAPLETON 1")</f>
        <v>MAPLETON 1</v>
      </c>
      <c r="C16" s="2" t="str">
        <f>IFERROR(__xludf.DUMMYFUNCTION("""COMPUTED_VALUE"""),"03623")</f>
        <v>03623</v>
      </c>
      <c r="D16" s="2" t="str">
        <f>IFERROR(__xludf.DUMMYFUNCTION("""COMPUTED_VALUE"""),"Global Primary Academy")</f>
        <v>Global Primary Academy</v>
      </c>
      <c r="E16" s="3" t="str">
        <f>IFERROR(__xludf.DUMMYFUNCTION("""COMPUTED_VALUE"""),"Y")</f>
        <v>Y</v>
      </c>
      <c r="F16" s="3" t="str">
        <f>IFERROR(__xludf.DUMMYFUNCTION("""COMPUTED_VALUE"""),"Y")</f>
        <v>Y</v>
      </c>
      <c r="G16" s="3" t="str">
        <f>IFERROR(__xludf.DUMMYFUNCTION("""COMPUTED_VALUE"""),"Y")</f>
        <v>Y</v>
      </c>
      <c r="H16" s="3"/>
      <c r="I16" s="3" t="str">
        <f>IFERROR(__xludf.DUMMYFUNCTION("""COMPUTED_VALUE""")," ")</f>
        <v> </v>
      </c>
      <c r="J16" s="3" t="str">
        <f>IFERROR(__xludf.DUMMYFUNCTION("""COMPUTED_VALUE"""),"Y")</f>
        <v>Y</v>
      </c>
      <c r="K16" s="3" t="str">
        <f>IFERROR(__xludf.DUMMYFUNCTION("""COMPUTED_VALUE"""),"Y")</f>
        <v>Y</v>
      </c>
      <c r="L16" s="3" t="str">
        <f>IFERROR(__xludf.DUMMYFUNCTION("""COMPUTED_VALUE"""),"Group 8")</f>
        <v>Group 8</v>
      </c>
      <c r="M16" s="3"/>
      <c r="N16" s="5" t="str">
        <f>IFERROR(__xludf.DUMMYFUNCTION("""COMPUTED_VALUE"""),"Y")</f>
        <v>Y</v>
      </c>
      <c r="O16" s="5"/>
    </row>
    <row r="17">
      <c r="A17" s="2" t="str">
        <f>IFERROR(__xludf.DUMMYFUNCTION("""COMPUTED_VALUE"""),"0010")</f>
        <v>0010</v>
      </c>
      <c r="B17" s="2" t="str">
        <f>IFERROR(__xludf.DUMMYFUNCTION("""COMPUTED_VALUE"""),"MAPLETON 1")</f>
        <v>MAPLETON 1</v>
      </c>
      <c r="C17" s="2" t="str">
        <f>IFERROR(__xludf.DUMMYFUNCTION("""COMPUTED_VALUE"""),"06315")</f>
        <v>06315</v>
      </c>
      <c r="D17" s="2" t="str">
        <f>IFERROR(__xludf.DUMMYFUNCTION("""COMPUTED_VALUE"""),"NORTH VALLEY SCHOOL FOR YOUNG ADULTS")</f>
        <v>NORTH VALLEY SCHOOL FOR YOUNG ADULTS</v>
      </c>
      <c r="E17" s="3" t="str">
        <f>IFERROR(__xludf.DUMMYFUNCTION("""COMPUTED_VALUE"""),"Y")</f>
        <v>Y</v>
      </c>
      <c r="F17" s="3" t="str">
        <f>IFERROR(__xludf.DUMMYFUNCTION("""COMPUTED_VALUE"""),"Y")</f>
        <v>Y</v>
      </c>
      <c r="G17" s="3"/>
      <c r="H17" s="3"/>
      <c r="I17" s="3" t="str">
        <f>IFERROR(__xludf.DUMMYFUNCTION("""COMPUTED_VALUE""")," ")</f>
        <v> </v>
      </c>
      <c r="J17" s="3" t="str">
        <f>IFERROR(__xludf.DUMMYFUNCTION("""COMPUTED_VALUE"""),"Y")</f>
        <v>Y</v>
      </c>
      <c r="K17" s="3" t="str">
        <f>IFERROR(__xludf.DUMMYFUNCTION("""COMPUTED_VALUE"""),"Y")</f>
        <v>Y</v>
      </c>
      <c r="L17" s="3" t="str">
        <f>IFERROR(__xludf.DUMMYFUNCTION("""COMPUTED_VALUE"""),"Group 3")</f>
        <v>Group 3</v>
      </c>
      <c r="M17" s="3"/>
      <c r="N17" s="5" t="str">
        <f>IFERROR(__xludf.DUMMYFUNCTION("""COMPUTED_VALUE""")," ")</f>
        <v> </v>
      </c>
      <c r="O17" s="5"/>
    </row>
    <row r="18">
      <c r="A18" s="2" t="str">
        <f>IFERROR(__xludf.DUMMYFUNCTION("""COMPUTED_VALUE"""),"0010")</f>
        <v>0010</v>
      </c>
      <c r="B18" s="2" t="str">
        <f>IFERROR(__xludf.DUMMYFUNCTION("""COMPUTED_VALUE"""),"MAPLETON 1")</f>
        <v>MAPLETON 1</v>
      </c>
      <c r="C18" s="2" t="str">
        <f>IFERROR(__xludf.DUMMYFUNCTION("""COMPUTED_VALUE"""),"06916")</f>
        <v>06916</v>
      </c>
      <c r="D18" s="2" t="str">
        <f>IFERROR(__xludf.DUMMYFUNCTION("""COMPUTED_VALUE"""),"Valley View Innovation School")</f>
        <v>Valley View Innovation School</v>
      </c>
      <c r="E18" s="3" t="str">
        <f>IFERROR(__xludf.DUMMYFUNCTION("""COMPUTED_VALUE"""),"Y")</f>
        <v>Y</v>
      </c>
      <c r="F18" s="3" t="str">
        <f>IFERROR(__xludf.DUMMYFUNCTION("""COMPUTED_VALUE"""),"Y")</f>
        <v>Y</v>
      </c>
      <c r="G18" s="3" t="str">
        <f>IFERROR(__xludf.DUMMYFUNCTION("""COMPUTED_VALUE"""),"Y")</f>
        <v>Y</v>
      </c>
      <c r="H18" s="3"/>
      <c r="I18" s="3" t="str">
        <f>IFERROR(__xludf.DUMMYFUNCTION("""COMPUTED_VALUE""")," ")</f>
        <v> </v>
      </c>
      <c r="J18" s="3" t="str">
        <f>IFERROR(__xludf.DUMMYFUNCTION("""COMPUTED_VALUE""")," ")</f>
        <v> </v>
      </c>
      <c r="K18" s="3" t="str">
        <f>IFERROR(__xludf.DUMMYFUNCTION("""COMPUTED_VALUE"""),"Y")</f>
        <v>Y</v>
      </c>
      <c r="L18" s="3" t="str">
        <f>IFERROR(__xludf.DUMMYFUNCTION("""COMPUTED_VALUE"""),"Group 9")</f>
        <v>Group 9</v>
      </c>
      <c r="M18" s="3"/>
      <c r="N18" s="5" t="str">
        <f>IFERROR(__xludf.DUMMYFUNCTION("""COMPUTED_VALUE""")," ")</f>
        <v> </v>
      </c>
      <c r="O18" s="5"/>
    </row>
    <row r="19">
      <c r="A19" s="2" t="str">
        <f>IFERROR(__xludf.DUMMYFUNCTION("""COMPUTED_VALUE"""),"0010")</f>
        <v>0010</v>
      </c>
      <c r="B19" s="2" t="str">
        <f>IFERROR(__xludf.DUMMYFUNCTION("""COMPUTED_VALUE"""),"MAPLETON 1")</f>
        <v>MAPLETON 1</v>
      </c>
      <c r="C19" s="2" t="str">
        <f>IFERROR(__xludf.DUMMYFUNCTION("""COMPUTED_VALUE"""),"06917")</f>
        <v>06917</v>
      </c>
      <c r="D19" s="2" t="str">
        <f>IFERROR(__xludf.DUMMYFUNCTION("""COMPUTED_VALUE"""),"Performing Arts School on Broadway")</f>
        <v>Performing Arts School on Broadway</v>
      </c>
      <c r="E19" s="3" t="str">
        <f>IFERROR(__xludf.DUMMYFUNCTION("""COMPUTED_VALUE"""),"Y")</f>
        <v>Y</v>
      </c>
      <c r="F19" s="3" t="str">
        <f>IFERROR(__xludf.DUMMYFUNCTION("""COMPUTED_VALUE"""),"Y")</f>
        <v>Y</v>
      </c>
      <c r="G19" s="3"/>
      <c r="H19" s="3"/>
      <c r="I19" s="3" t="str">
        <f>IFERROR(__xludf.DUMMYFUNCTION("""COMPUTED_VALUE""")," ")</f>
        <v> </v>
      </c>
      <c r="J19" s="3" t="str">
        <f>IFERROR(__xludf.DUMMYFUNCTION("""COMPUTED_VALUE""")," ")</f>
        <v> </v>
      </c>
      <c r="K19" s="3" t="str">
        <f>IFERROR(__xludf.DUMMYFUNCTION("""COMPUTED_VALUE"""),"Y")</f>
        <v>Y</v>
      </c>
      <c r="L19" s="3" t="str">
        <f>IFERROR(__xludf.DUMMYFUNCTION("""COMPUTED_VALUE"""),"Group 9")</f>
        <v>Group 9</v>
      </c>
      <c r="M19" s="3"/>
      <c r="N19" s="5" t="str">
        <f>IFERROR(__xludf.DUMMYFUNCTION("""COMPUTED_VALUE""")," ")</f>
        <v> </v>
      </c>
      <c r="O19" s="5"/>
    </row>
    <row r="20">
      <c r="A20" s="2" t="str">
        <f>IFERROR(__xludf.DUMMYFUNCTION("""COMPUTED_VALUE"""),"0010")</f>
        <v>0010</v>
      </c>
      <c r="B20" s="2" t="str">
        <f>IFERROR(__xludf.DUMMYFUNCTION("""COMPUTED_VALUE"""),"MAPLETON 1")</f>
        <v>MAPLETON 1</v>
      </c>
      <c r="C20" s="2" t="str">
        <f>IFERROR(__xludf.DUMMYFUNCTION("""COMPUTED_VALUE"""),"08823")</f>
        <v>08823</v>
      </c>
      <c r="D20" s="2" t="str">
        <f>IFERROR(__xludf.DUMMYFUNCTION("""COMPUTED_VALUE"""),"Trailside Academy")</f>
        <v>Trailside Academy</v>
      </c>
      <c r="E20" s="3" t="str">
        <f>IFERROR(__xludf.DUMMYFUNCTION("""COMPUTED_VALUE"""),"Y")</f>
        <v>Y</v>
      </c>
      <c r="F20" s="3" t="str">
        <f>IFERROR(__xludf.DUMMYFUNCTION("""COMPUTED_VALUE"""),"Y")</f>
        <v>Y</v>
      </c>
      <c r="G20" s="3" t="str">
        <f>IFERROR(__xludf.DUMMYFUNCTION("""COMPUTED_VALUE"""),"Y")</f>
        <v>Y</v>
      </c>
      <c r="H20" s="3"/>
      <c r="I20" s="3" t="str">
        <f>IFERROR(__xludf.DUMMYFUNCTION("""COMPUTED_VALUE""")," ")</f>
        <v> </v>
      </c>
      <c r="J20" s="3" t="str">
        <f>IFERROR(__xludf.DUMMYFUNCTION("""COMPUTED_VALUE""")," ")</f>
        <v> </v>
      </c>
      <c r="K20" s="3" t="str">
        <f>IFERROR(__xludf.DUMMYFUNCTION("""COMPUTED_VALUE"""),"Y")</f>
        <v>Y</v>
      </c>
      <c r="L20" s="3" t="str">
        <f>IFERROR(__xludf.DUMMYFUNCTION("""COMPUTED_VALUE"""),"Group 5")</f>
        <v>Group 5</v>
      </c>
      <c r="M20" s="3"/>
      <c r="N20" s="5" t="str">
        <f>IFERROR(__xludf.DUMMYFUNCTION("""COMPUTED_VALUE"""),"Y")</f>
        <v>Y</v>
      </c>
      <c r="O20" s="5"/>
    </row>
    <row r="21">
      <c r="A21" s="2" t="str">
        <f>IFERROR(__xludf.DUMMYFUNCTION("""COMPUTED_VALUE"""),"0020")</f>
        <v>0020</v>
      </c>
      <c r="B21" s="2" t="str">
        <f>IFERROR(__xludf.DUMMYFUNCTION("""COMPUTED_VALUE"""),"Adams 12 Five Star Schools")</f>
        <v>Adams 12 Five Star Schools</v>
      </c>
      <c r="C21" s="2" t="str">
        <f>IFERROR(__xludf.DUMMYFUNCTION("""COMPUTED_VALUE"""),"00014")</f>
        <v>00014</v>
      </c>
      <c r="D21" s="2" t="str">
        <f>IFERROR(__xludf.DUMMYFUNCTION("""COMPUTED_VALUE"""),"GLACIER PEAK ELEMENTARY SCHOOL")</f>
        <v>GLACIER PEAK ELEMENTARY SCHOOL</v>
      </c>
      <c r="E21" s="3" t="str">
        <f>IFERROR(__xludf.DUMMYFUNCTION("""COMPUTED_VALUE"""),"Y")</f>
        <v>Y</v>
      </c>
      <c r="F21" s="3" t="str">
        <f>IFERROR(__xludf.DUMMYFUNCTION("""COMPUTED_VALUE"""),"Y")</f>
        <v>Y</v>
      </c>
      <c r="G21" s="3"/>
      <c r="H21" s="3"/>
      <c r="I21" s="3" t="str">
        <f>IFERROR(__xludf.DUMMYFUNCTION("""COMPUTED_VALUE""")," ")</f>
        <v> </v>
      </c>
      <c r="J21" s="3" t="str">
        <f>IFERROR(__xludf.DUMMYFUNCTION("""COMPUTED_VALUE""")," ")</f>
        <v> </v>
      </c>
      <c r="K21" s="3" t="str">
        <f>IFERROR(__xludf.DUMMYFUNCTION("""COMPUTED_VALUE"""),"Y")</f>
        <v>Y</v>
      </c>
      <c r="L21" s="3" t="str">
        <f>IFERROR(__xludf.DUMMYFUNCTION("""COMPUTED_VALUE"""),"Group 11")</f>
        <v>Group 11</v>
      </c>
      <c r="M21" s="3"/>
      <c r="N21" s="5" t="str">
        <f>IFERROR(__xludf.DUMMYFUNCTION("""COMPUTED_VALUE""")," ")</f>
        <v> </v>
      </c>
      <c r="O21" s="5"/>
    </row>
    <row r="22">
      <c r="A22" s="2" t="str">
        <f>IFERROR(__xludf.DUMMYFUNCTION("""COMPUTED_VALUE"""),"0020")</f>
        <v>0020</v>
      </c>
      <c r="B22" s="2" t="str">
        <f>IFERROR(__xludf.DUMMYFUNCTION("""COMPUTED_VALUE"""),"Adams 12 Five Star Schools")</f>
        <v>Adams 12 Five Star Schools</v>
      </c>
      <c r="C22" s="2" t="str">
        <f>IFERROR(__xludf.DUMMYFUNCTION("""COMPUTED_VALUE"""),"00057")</f>
        <v>00057</v>
      </c>
      <c r="D22" s="2" t="str">
        <f>IFERROR(__xludf.DUMMYFUNCTION("""COMPUTED_VALUE"""),"ROCKY TOP MIDDLE SCHOOL")</f>
        <v>ROCKY TOP MIDDLE SCHOOL</v>
      </c>
      <c r="E22" s="3" t="str">
        <f>IFERROR(__xludf.DUMMYFUNCTION("""COMPUTED_VALUE"""),"Y")</f>
        <v>Y</v>
      </c>
      <c r="F22" s="3" t="str">
        <f>IFERROR(__xludf.DUMMYFUNCTION("""COMPUTED_VALUE"""),"Y")</f>
        <v>Y</v>
      </c>
      <c r="G22" s="3"/>
      <c r="H22" s="3"/>
      <c r="I22" s="3" t="str">
        <f>IFERROR(__xludf.DUMMYFUNCTION("""COMPUTED_VALUE""")," ")</f>
        <v> </v>
      </c>
      <c r="J22" s="3" t="str">
        <f>IFERROR(__xludf.DUMMYFUNCTION("""COMPUTED_VALUE""")," ")</f>
        <v> </v>
      </c>
      <c r="K22" s="3" t="str">
        <f>IFERROR(__xludf.DUMMYFUNCTION("""COMPUTED_VALUE"""),"Y")</f>
        <v>Y</v>
      </c>
      <c r="L22" s="3" t="str">
        <f>IFERROR(__xludf.DUMMYFUNCTION("""COMPUTED_VALUE"""),"Group 1")</f>
        <v>Group 1</v>
      </c>
      <c r="M22" s="3"/>
      <c r="N22" s="5" t="str">
        <f>IFERROR(__xludf.DUMMYFUNCTION("""COMPUTED_VALUE""")," ")</f>
        <v> </v>
      </c>
      <c r="O22" s="5"/>
    </row>
    <row r="23">
      <c r="A23" s="2" t="str">
        <f>IFERROR(__xludf.DUMMYFUNCTION("""COMPUTED_VALUE"""),"0020")</f>
        <v>0020</v>
      </c>
      <c r="B23" s="2" t="str">
        <f>IFERROR(__xludf.DUMMYFUNCTION("""COMPUTED_VALUE"""),"Adams 12 Five Star Schools")</f>
        <v>Adams 12 Five Star Schools</v>
      </c>
      <c r="C23" s="2" t="str">
        <f>IFERROR(__xludf.DUMMYFUNCTION("""COMPUTED_VALUE"""),"00059")</f>
        <v>00059</v>
      </c>
      <c r="D23" s="2" t="str">
        <f>IFERROR(__xludf.DUMMYFUNCTION("""COMPUTED_VALUE"""),"MERIDIAN ELEMENTARY")</f>
        <v>MERIDIAN ELEMENTARY</v>
      </c>
      <c r="E23" s="3" t="str">
        <f>IFERROR(__xludf.DUMMYFUNCTION("""COMPUTED_VALUE"""),"Y")</f>
        <v>Y</v>
      </c>
      <c r="F23" s="3" t="str">
        <f>IFERROR(__xludf.DUMMYFUNCTION("""COMPUTED_VALUE"""),"Y")</f>
        <v>Y</v>
      </c>
      <c r="G23" s="3"/>
      <c r="H23" s="3"/>
      <c r="I23" s="3" t="str">
        <f>IFERROR(__xludf.DUMMYFUNCTION("""COMPUTED_VALUE""")," ")</f>
        <v> </v>
      </c>
      <c r="J23" s="3" t="str">
        <f>IFERROR(__xludf.DUMMYFUNCTION("""COMPUTED_VALUE""")," ")</f>
        <v> </v>
      </c>
      <c r="K23" s="3" t="str">
        <f>IFERROR(__xludf.DUMMYFUNCTION("""COMPUTED_VALUE"""),"Y")</f>
        <v>Y</v>
      </c>
      <c r="L23" s="3" t="str">
        <f>IFERROR(__xludf.DUMMYFUNCTION("""COMPUTED_VALUE"""),"Group 5")</f>
        <v>Group 5</v>
      </c>
      <c r="M23" s="3"/>
      <c r="N23" s="5" t="str">
        <f>IFERROR(__xludf.DUMMYFUNCTION("""COMPUTED_VALUE""")," ")</f>
        <v> </v>
      </c>
      <c r="O23" s="5"/>
    </row>
    <row r="24">
      <c r="A24" s="2" t="str">
        <f>IFERROR(__xludf.DUMMYFUNCTION("""COMPUTED_VALUE"""),"0020")</f>
        <v>0020</v>
      </c>
      <c r="B24" s="2" t="str">
        <f>IFERROR(__xludf.DUMMYFUNCTION("""COMPUTED_VALUE"""),"Adams 12 Five Star Schools")</f>
        <v>Adams 12 Five Star Schools</v>
      </c>
      <c r="C24" s="2" t="str">
        <f>IFERROR(__xludf.DUMMYFUNCTION("""COMPUTED_VALUE"""),"00210")</f>
        <v>00210</v>
      </c>
      <c r="D24" s="2" t="str">
        <f>IFERROR(__xludf.DUMMYFUNCTION("""COMPUTED_VALUE"""),"VANTAGE POINT")</f>
        <v>VANTAGE POINT</v>
      </c>
      <c r="E24" s="3" t="str">
        <f>IFERROR(__xludf.DUMMYFUNCTION("""COMPUTED_VALUE"""),"Y")</f>
        <v>Y</v>
      </c>
      <c r="F24" s="3" t="str">
        <f>IFERROR(__xludf.DUMMYFUNCTION("""COMPUTED_VALUE"""),"Y")</f>
        <v>Y</v>
      </c>
      <c r="G24" s="3"/>
      <c r="H24" s="3"/>
      <c r="I24" s="3" t="str">
        <f>IFERROR(__xludf.DUMMYFUNCTION("""COMPUTED_VALUE""")," ")</f>
        <v> </v>
      </c>
      <c r="J24" s="3" t="str">
        <f>IFERROR(__xludf.DUMMYFUNCTION("""COMPUTED_VALUE"""),"Y")</f>
        <v>Y</v>
      </c>
      <c r="K24" s="3" t="str">
        <f>IFERROR(__xludf.DUMMYFUNCTION("""COMPUTED_VALUE"""),"Y")</f>
        <v>Y</v>
      </c>
      <c r="L24" s="3" t="str">
        <f>IFERROR(__xludf.DUMMYFUNCTION("""COMPUTED_VALUE"""),"Group 11")</f>
        <v>Group 11</v>
      </c>
      <c r="M24" s="3"/>
      <c r="N24" s="5" t="str">
        <f>IFERROR(__xludf.DUMMYFUNCTION("""COMPUTED_VALUE""")," ")</f>
        <v> </v>
      </c>
      <c r="O24" s="5"/>
    </row>
    <row r="25">
      <c r="A25" s="2" t="str">
        <f>IFERROR(__xludf.DUMMYFUNCTION("""COMPUTED_VALUE"""),"0020")</f>
        <v>0020</v>
      </c>
      <c r="B25" s="2" t="str">
        <f>IFERROR(__xludf.DUMMYFUNCTION("""COMPUTED_VALUE"""),"Adams 12 Five Star Schools")</f>
        <v>Adams 12 Five Star Schools</v>
      </c>
      <c r="C25" s="2" t="str">
        <f>IFERROR(__xludf.DUMMYFUNCTION("""COMPUTED_VALUE"""),"00301")</f>
        <v>00301</v>
      </c>
      <c r="D25" s="2" t="str">
        <f>IFERROR(__xludf.DUMMYFUNCTION("""COMPUTED_VALUE"""),"ARAPAHOE RIDGE ELEMENTARY SCHOOL")</f>
        <v>ARAPAHOE RIDGE ELEMENTARY SCHOOL</v>
      </c>
      <c r="E25" s="3" t="str">
        <f>IFERROR(__xludf.DUMMYFUNCTION("""COMPUTED_VALUE"""),"Y")</f>
        <v>Y</v>
      </c>
      <c r="F25" s="3" t="str">
        <f>IFERROR(__xludf.DUMMYFUNCTION("""COMPUTED_VALUE"""),"Y")</f>
        <v>Y</v>
      </c>
      <c r="G25" s="3"/>
      <c r="H25" s="3"/>
      <c r="I25" s="3" t="str">
        <f>IFERROR(__xludf.DUMMYFUNCTION("""COMPUTED_VALUE""")," ")</f>
        <v> </v>
      </c>
      <c r="J25" s="3" t="str">
        <f>IFERROR(__xludf.DUMMYFUNCTION("""COMPUTED_VALUE""")," ")</f>
        <v> </v>
      </c>
      <c r="K25" s="3" t="str">
        <f>IFERROR(__xludf.DUMMYFUNCTION("""COMPUTED_VALUE"""),"Y")</f>
        <v>Y</v>
      </c>
      <c r="L25" s="3" t="str">
        <f>IFERROR(__xludf.DUMMYFUNCTION("""COMPUTED_VALUE"""),"Group 3")</f>
        <v>Group 3</v>
      </c>
      <c r="M25" s="3"/>
      <c r="N25" s="5" t="str">
        <f>IFERROR(__xludf.DUMMYFUNCTION("""COMPUTED_VALUE"""),"Y")</f>
        <v>Y</v>
      </c>
      <c r="O25" s="5"/>
    </row>
    <row r="26">
      <c r="A26" s="2" t="str">
        <f>IFERROR(__xludf.DUMMYFUNCTION("""COMPUTED_VALUE"""),"0020")</f>
        <v>0020</v>
      </c>
      <c r="B26" s="2" t="str">
        <f>IFERROR(__xludf.DUMMYFUNCTION("""COMPUTED_VALUE"""),"Adams 12 Five Star Schools")</f>
        <v>Adams 12 Five Star Schools</v>
      </c>
      <c r="C26" s="2" t="str">
        <f>IFERROR(__xludf.DUMMYFUNCTION("""COMPUTED_VALUE"""),"01388")</f>
        <v>01388</v>
      </c>
      <c r="D26" s="2" t="str">
        <f>IFERROR(__xludf.DUMMYFUNCTION("""COMPUTED_VALUE"""),"CENTENNIAL ELEMENTARY SCHOOL")</f>
        <v>CENTENNIAL ELEMENTARY SCHOOL</v>
      </c>
      <c r="E26" s="3" t="str">
        <f>IFERROR(__xludf.DUMMYFUNCTION("""COMPUTED_VALUE"""),"Y")</f>
        <v>Y</v>
      </c>
      <c r="F26" s="3" t="str">
        <f>IFERROR(__xludf.DUMMYFUNCTION("""COMPUTED_VALUE"""),"Y")</f>
        <v>Y</v>
      </c>
      <c r="G26" s="3"/>
      <c r="H26" s="3"/>
      <c r="I26" s="3" t="str">
        <f>IFERROR(__xludf.DUMMYFUNCTION("""COMPUTED_VALUE""")," ")</f>
        <v> </v>
      </c>
      <c r="J26" s="3" t="str">
        <f>IFERROR(__xludf.DUMMYFUNCTION("""COMPUTED_VALUE"""),"Y")</f>
        <v>Y</v>
      </c>
      <c r="K26" s="3" t="str">
        <f>IFERROR(__xludf.DUMMYFUNCTION("""COMPUTED_VALUE"""),"Y")</f>
        <v>Y</v>
      </c>
      <c r="L26" s="3" t="str">
        <f>IFERROR(__xludf.DUMMYFUNCTION("""COMPUTED_VALUE"""),"Group 2")</f>
        <v>Group 2</v>
      </c>
      <c r="M26" s="3"/>
      <c r="N26" s="5" t="str">
        <f>IFERROR(__xludf.DUMMYFUNCTION("""COMPUTED_VALUE""")," ")</f>
        <v> </v>
      </c>
      <c r="O26" s="5"/>
    </row>
    <row r="27">
      <c r="A27" s="2" t="str">
        <f>IFERROR(__xludf.DUMMYFUNCTION("""COMPUTED_VALUE"""),"0020")</f>
        <v>0020</v>
      </c>
      <c r="B27" s="2" t="str">
        <f>IFERROR(__xludf.DUMMYFUNCTION("""COMPUTED_VALUE"""),"Adams 12 Five Star Schools")</f>
        <v>Adams 12 Five Star Schools</v>
      </c>
      <c r="C27" s="2" t="str">
        <f>IFERROR(__xludf.DUMMYFUNCTION("""COMPUTED_VALUE"""),"01480")</f>
        <v>01480</v>
      </c>
      <c r="D27" s="2" t="str">
        <f>IFERROR(__xludf.DUMMYFUNCTION("""COMPUTED_VALUE"""),"CENTURY MIDDLE SCHOOL")</f>
        <v>CENTURY MIDDLE SCHOOL</v>
      </c>
      <c r="E27" s="3" t="str">
        <f>IFERROR(__xludf.DUMMYFUNCTION("""COMPUTED_VALUE"""),"Y")</f>
        <v>Y</v>
      </c>
      <c r="F27" s="3" t="str">
        <f>IFERROR(__xludf.DUMMYFUNCTION("""COMPUTED_VALUE"""),"Y")</f>
        <v>Y</v>
      </c>
      <c r="G27" s="3"/>
      <c r="H27" s="3"/>
      <c r="I27" s="3" t="str">
        <f>IFERROR(__xludf.DUMMYFUNCTION("""COMPUTED_VALUE""")," ")</f>
        <v> </v>
      </c>
      <c r="J27" s="3" t="str">
        <f>IFERROR(__xludf.DUMMYFUNCTION("""COMPUTED_VALUE""")," ")</f>
        <v> </v>
      </c>
      <c r="K27" s="3" t="str">
        <f>IFERROR(__xludf.DUMMYFUNCTION("""COMPUTED_VALUE"""),"Y")</f>
        <v>Y</v>
      </c>
      <c r="L27" s="3" t="str">
        <f>IFERROR(__xludf.DUMMYFUNCTION("""COMPUTED_VALUE"""),"Group 14")</f>
        <v>Group 14</v>
      </c>
      <c r="M27" s="3"/>
      <c r="N27" s="5" t="str">
        <f>IFERROR(__xludf.DUMMYFUNCTION("""COMPUTED_VALUE""")," ")</f>
        <v> </v>
      </c>
      <c r="O27" s="5"/>
    </row>
    <row r="28">
      <c r="A28" s="2" t="str">
        <f>IFERROR(__xludf.DUMMYFUNCTION("""COMPUTED_VALUE"""),"0020")</f>
        <v>0020</v>
      </c>
      <c r="B28" s="2" t="str">
        <f>IFERROR(__xludf.DUMMYFUNCTION("""COMPUTED_VALUE"""),"Adams 12 Five Star Schools")</f>
        <v>Adams 12 Five Star Schools</v>
      </c>
      <c r="C28" s="2" t="str">
        <f>IFERROR(__xludf.DUMMYFUNCTION("""COMPUTED_VALUE"""),"01878")</f>
        <v>01878</v>
      </c>
      <c r="D28" s="2" t="str">
        <f>IFERROR(__xludf.DUMMYFUNCTION("""COMPUTED_VALUE"""),"CORONADO HILLS ELEMENTARY SCHOOL")</f>
        <v>CORONADO HILLS ELEMENTARY SCHOOL</v>
      </c>
      <c r="E28" s="3" t="str">
        <f>IFERROR(__xludf.DUMMYFUNCTION("""COMPUTED_VALUE"""),"Y")</f>
        <v>Y</v>
      </c>
      <c r="F28" s="3" t="str">
        <f>IFERROR(__xludf.DUMMYFUNCTION("""COMPUTED_VALUE"""),"Y")</f>
        <v>Y</v>
      </c>
      <c r="G28" s="3" t="str">
        <f>IFERROR(__xludf.DUMMYFUNCTION("""COMPUTED_VALUE"""),"Y")</f>
        <v>Y</v>
      </c>
      <c r="H28" s="3"/>
      <c r="I28" s="3" t="str">
        <f>IFERROR(__xludf.DUMMYFUNCTION("""COMPUTED_VALUE""")," ")</f>
        <v> </v>
      </c>
      <c r="J28" s="3" t="str">
        <f>IFERROR(__xludf.DUMMYFUNCTION("""COMPUTED_VALUE"""),"Y")</f>
        <v>Y</v>
      </c>
      <c r="K28" s="3" t="str">
        <f>IFERROR(__xludf.DUMMYFUNCTION("""COMPUTED_VALUE"""),"Y")</f>
        <v>Y</v>
      </c>
      <c r="L28" s="3" t="str">
        <f>IFERROR(__xludf.DUMMYFUNCTION("""COMPUTED_VALUE"""),"Group 9")</f>
        <v>Group 9</v>
      </c>
      <c r="M28" s="3"/>
      <c r="N28" s="5" t="str">
        <f>IFERROR(__xludf.DUMMYFUNCTION("""COMPUTED_VALUE"""),"Y")</f>
        <v>Y</v>
      </c>
      <c r="O28" s="5"/>
    </row>
    <row r="29">
      <c r="A29" s="2" t="str">
        <f>IFERROR(__xludf.DUMMYFUNCTION("""COMPUTED_VALUE"""),"0020")</f>
        <v>0020</v>
      </c>
      <c r="B29" s="2" t="str">
        <f>IFERROR(__xludf.DUMMYFUNCTION("""COMPUTED_VALUE"""),"Adams 12 Five Star Schools")</f>
        <v>Adams 12 Five Star Schools</v>
      </c>
      <c r="C29" s="2" t="str">
        <f>IFERROR(__xludf.DUMMYFUNCTION("""COMPUTED_VALUE"""),"01914")</f>
        <v>01914</v>
      </c>
      <c r="D29" s="2" t="str">
        <f>IFERROR(__xludf.DUMMYFUNCTION("""COMPUTED_VALUE"""),"COTTON CREEK ELEMENTARY SCHOOL")</f>
        <v>COTTON CREEK ELEMENTARY SCHOOL</v>
      </c>
      <c r="E29" s="3" t="str">
        <f>IFERROR(__xludf.DUMMYFUNCTION("""COMPUTED_VALUE"""),"Y")</f>
        <v>Y</v>
      </c>
      <c r="F29" s="3" t="str">
        <f>IFERROR(__xludf.DUMMYFUNCTION("""COMPUTED_VALUE"""),"Y")</f>
        <v>Y</v>
      </c>
      <c r="G29" s="3"/>
      <c r="H29" s="3"/>
      <c r="I29" s="3" t="str">
        <f>IFERROR(__xludf.DUMMYFUNCTION("""COMPUTED_VALUE""")," ")</f>
        <v> </v>
      </c>
      <c r="J29" s="3" t="str">
        <f>IFERROR(__xludf.DUMMYFUNCTION("""COMPUTED_VALUE""")," ")</f>
        <v> </v>
      </c>
      <c r="K29" s="3" t="str">
        <f>IFERROR(__xludf.DUMMYFUNCTION("""COMPUTED_VALUE"""),"Y")</f>
        <v>Y</v>
      </c>
      <c r="L29" s="3" t="str">
        <f>IFERROR(__xludf.DUMMYFUNCTION("""COMPUTED_VALUE"""),"Group 14")</f>
        <v>Group 14</v>
      </c>
      <c r="M29" s="3"/>
      <c r="N29" s="5" t="str">
        <f>IFERROR(__xludf.DUMMYFUNCTION("""COMPUTED_VALUE""")," ")</f>
        <v> </v>
      </c>
      <c r="O29" s="5"/>
    </row>
    <row r="30">
      <c r="A30" s="2" t="str">
        <f>IFERROR(__xludf.DUMMYFUNCTION("""COMPUTED_VALUE"""),"0020")</f>
        <v>0020</v>
      </c>
      <c r="B30" s="2" t="str">
        <f>IFERROR(__xludf.DUMMYFUNCTION("""COMPUTED_VALUE"""),"Adams 12 Five Star Schools")</f>
        <v>Adams 12 Five Star Schools</v>
      </c>
      <c r="C30" s="2" t="str">
        <f>IFERROR(__xludf.DUMMYFUNCTION("""COMPUTED_VALUE"""),"01937")</f>
        <v>01937</v>
      </c>
      <c r="D30" s="2" t="str">
        <f>IFERROR(__xludf.DUMMYFUNCTION("""COMPUTED_VALUE"""),"COYOTE RIDGE ELEMENTARY SCHOOL")</f>
        <v>COYOTE RIDGE ELEMENTARY SCHOOL</v>
      </c>
      <c r="E30" s="3" t="str">
        <f>IFERROR(__xludf.DUMMYFUNCTION("""COMPUTED_VALUE"""),"Y")</f>
        <v>Y</v>
      </c>
      <c r="F30" s="3" t="str">
        <f>IFERROR(__xludf.DUMMYFUNCTION("""COMPUTED_VALUE"""),"Y")</f>
        <v>Y</v>
      </c>
      <c r="G30" s="3"/>
      <c r="H30" s="3"/>
      <c r="I30" s="3" t="str">
        <f>IFERROR(__xludf.DUMMYFUNCTION("""COMPUTED_VALUE""")," ")</f>
        <v> </v>
      </c>
      <c r="J30" s="3" t="str">
        <f>IFERROR(__xludf.DUMMYFUNCTION("""COMPUTED_VALUE""")," ")</f>
        <v> </v>
      </c>
      <c r="K30" s="3" t="str">
        <f>IFERROR(__xludf.DUMMYFUNCTION("""COMPUTED_VALUE"""),"Y")</f>
        <v>Y</v>
      </c>
      <c r="L30" s="3" t="str">
        <f>IFERROR(__xludf.DUMMYFUNCTION("""COMPUTED_VALUE"""),"Group 18")</f>
        <v>Group 18</v>
      </c>
      <c r="M30" s="3"/>
      <c r="N30" s="5" t="str">
        <f>IFERROR(__xludf.DUMMYFUNCTION("""COMPUTED_VALUE""")," ")</f>
        <v> </v>
      </c>
      <c r="O30" s="5"/>
    </row>
    <row r="31">
      <c r="A31" s="2" t="str">
        <f>IFERROR(__xludf.DUMMYFUNCTION("""COMPUTED_VALUE"""),"0020")</f>
        <v>0020</v>
      </c>
      <c r="B31" s="2" t="str">
        <f>IFERROR(__xludf.DUMMYFUNCTION("""COMPUTED_VALUE"""),"Adams 12 Five Star Schools")</f>
        <v>Adams 12 Five Star Schools</v>
      </c>
      <c r="C31" s="2" t="str">
        <f>IFERROR(__xludf.DUMMYFUNCTION("""COMPUTED_VALUE"""),"02361")</f>
        <v>02361</v>
      </c>
      <c r="D31" s="2" t="str">
        <f>IFERROR(__xludf.DUMMYFUNCTION("""COMPUTED_VALUE"""),"EAGLEVIEW ELEMENTARY SCHOOL")</f>
        <v>EAGLEVIEW ELEMENTARY SCHOOL</v>
      </c>
      <c r="E31" s="3" t="str">
        <f>IFERROR(__xludf.DUMMYFUNCTION("""COMPUTED_VALUE"""),"Y")</f>
        <v>Y</v>
      </c>
      <c r="F31" s="3" t="str">
        <f>IFERROR(__xludf.DUMMYFUNCTION("""COMPUTED_VALUE"""),"Y")</f>
        <v>Y</v>
      </c>
      <c r="G31" s="3"/>
      <c r="H31" s="3"/>
      <c r="I31" s="3" t="str">
        <f>IFERROR(__xludf.DUMMYFUNCTION("""COMPUTED_VALUE""")," ")</f>
        <v> </v>
      </c>
      <c r="J31" s="3" t="str">
        <f>IFERROR(__xludf.DUMMYFUNCTION("""COMPUTED_VALUE""")," ")</f>
        <v> </v>
      </c>
      <c r="K31" s="3" t="str">
        <f>IFERROR(__xludf.DUMMYFUNCTION("""COMPUTED_VALUE"""),"Y")</f>
        <v>Y</v>
      </c>
      <c r="L31" s="3" t="str">
        <f>IFERROR(__xludf.DUMMYFUNCTION("""COMPUTED_VALUE"""),"Group 1")</f>
        <v>Group 1</v>
      </c>
      <c r="M31" s="3"/>
      <c r="N31" s="5" t="str">
        <f>IFERROR(__xludf.DUMMYFUNCTION("""COMPUTED_VALUE"""),"Y")</f>
        <v>Y</v>
      </c>
      <c r="O31" s="5"/>
    </row>
    <row r="32">
      <c r="A32" s="2" t="str">
        <f>IFERROR(__xludf.DUMMYFUNCTION("""COMPUTED_VALUE"""),"0020")</f>
        <v>0020</v>
      </c>
      <c r="B32" s="2" t="str">
        <f>IFERROR(__xludf.DUMMYFUNCTION("""COMPUTED_VALUE"""),"Adams 12 Five Star Schools")</f>
        <v>Adams 12 Five Star Schools</v>
      </c>
      <c r="C32" s="2" t="str">
        <f>IFERROR(__xludf.DUMMYFUNCTION("""COMPUTED_VALUE"""),"02410")</f>
        <v>02410</v>
      </c>
      <c r="D32" s="2" t="str">
        <f>IFERROR(__xludf.DUMMYFUNCTION("""COMPUTED_VALUE"""),"TARVER ELEMENTARY SCHOOL")</f>
        <v>TARVER ELEMENTARY SCHOOL</v>
      </c>
      <c r="E32" s="3" t="str">
        <f>IFERROR(__xludf.DUMMYFUNCTION("""COMPUTED_VALUE"""),"Y")</f>
        <v>Y</v>
      </c>
      <c r="F32" s="3" t="str">
        <f>IFERROR(__xludf.DUMMYFUNCTION("""COMPUTED_VALUE"""),"Y")</f>
        <v>Y</v>
      </c>
      <c r="G32" s="3"/>
      <c r="H32" s="3"/>
      <c r="I32" s="3" t="str">
        <f>IFERROR(__xludf.DUMMYFUNCTION("""COMPUTED_VALUE""")," ")</f>
        <v> </v>
      </c>
      <c r="J32" s="3" t="str">
        <f>IFERROR(__xludf.DUMMYFUNCTION("""COMPUTED_VALUE""")," ")</f>
        <v> </v>
      </c>
      <c r="K32" s="3" t="str">
        <f>IFERROR(__xludf.DUMMYFUNCTION("""COMPUTED_VALUE"""),"Y")</f>
        <v>Y</v>
      </c>
      <c r="L32" s="3" t="str">
        <f>IFERROR(__xludf.DUMMYFUNCTION("""COMPUTED_VALUE"""),"Group 18")</f>
        <v>Group 18</v>
      </c>
      <c r="M32" s="3"/>
      <c r="N32" s="5" t="str">
        <f>IFERROR(__xludf.DUMMYFUNCTION("""COMPUTED_VALUE""")," ")</f>
        <v> </v>
      </c>
      <c r="O32" s="5"/>
    </row>
    <row r="33">
      <c r="A33" s="2" t="str">
        <f>IFERROR(__xludf.DUMMYFUNCTION("""COMPUTED_VALUE"""),"0020")</f>
        <v>0020</v>
      </c>
      <c r="B33" s="2" t="str">
        <f>IFERROR(__xludf.DUMMYFUNCTION("""COMPUTED_VALUE"""),"Adams 12 Five Star Schools")</f>
        <v>Adams 12 Five Star Schools</v>
      </c>
      <c r="C33" s="2" t="str">
        <f>IFERROR(__xludf.DUMMYFUNCTION("""COMPUTED_VALUE"""),"02576")</f>
        <v>02576</v>
      </c>
      <c r="D33" s="2" t="str">
        <f>IFERROR(__xludf.DUMMYFUNCTION("""COMPUTED_VALUE"""),"CHERRY DRIVE ELEMENTARY SCHOOL")</f>
        <v>CHERRY DRIVE ELEMENTARY SCHOOL</v>
      </c>
      <c r="E33" s="3" t="str">
        <f>IFERROR(__xludf.DUMMYFUNCTION("""COMPUTED_VALUE"""),"Y")</f>
        <v>Y</v>
      </c>
      <c r="F33" s="3" t="str">
        <f>IFERROR(__xludf.DUMMYFUNCTION("""COMPUTED_VALUE"""),"Y")</f>
        <v>Y</v>
      </c>
      <c r="G33" s="3"/>
      <c r="H33" s="3"/>
      <c r="I33" s="3" t="str">
        <f>IFERROR(__xludf.DUMMYFUNCTION("""COMPUTED_VALUE""")," ")</f>
        <v> </v>
      </c>
      <c r="J33" s="3" t="str">
        <f>IFERROR(__xludf.DUMMYFUNCTION("""COMPUTED_VALUE""")," ")</f>
        <v> </v>
      </c>
      <c r="K33" s="3" t="str">
        <f>IFERROR(__xludf.DUMMYFUNCTION("""COMPUTED_VALUE"""),"Y")</f>
        <v>Y</v>
      </c>
      <c r="L33" s="3" t="str">
        <f>IFERROR(__xludf.DUMMYFUNCTION("""COMPUTED_VALUE"""),"Group 15")</f>
        <v>Group 15</v>
      </c>
      <c r="M33" s="3"/>
      <c r="N33" s="5" t="str">
        <f>IFERROR(__xludf.DUMMYFUNCTION("""COMPUTED_VALUE""")," ")</f>
        <v> </v>
      </c>
      <c r="O33" s="5"/>
    </row>
    <row r="34">
      <c r="A34" s="2" t="str">
        <f>IFERROR(__xludf.DUMMYFUNCTION("""COMPUTED_VALUE"""),"0020")</f>
        <v>0020</v>
      </c>
      <c r="B34" s="2" t="str">
        <f>IFERROR(__xludf.DUMMYFUNCTION("""COMPUTED_VALUE"""),"Adams 12 Five Star Schools")</f>
        <v>Adams 12 Five Star Schools</v>
      </c>
      <c r="C34" s="2" t="str">
        <f>IFERROR(__xludf.DUMMYFUNCTION("""COMPUTED_VALUE"""),"02578")</f>
        <v>02578</v>
      </c>
      <c r="D34" s="2" t="str">
        <f>IFERROR(__xludf.DUMMYFUNCTION("""COMPUTED_VALUE"""),"SKYVIEW ELEMENTARY SCHOOL")</f>
        <v>SKYVIEW ELEMENTARY SCHOOL</v>
      </c>
      <c r="E34" s="3" t="str">
        <f>IFERROR(__xludf.DUMMYFUNCTION("""COMPUTED_VALUE"""),"Y")</f>
        <v>Y</v>
      </c>
      <c r="F34" s="3" t="str">
        <f>IFERROR(__xludf.DUMMYFUNCTION("""COMPUTED_VALUE"""),"Y")</f>
        <v>Y</v>
      </c>
      <c r="G34" s="3"/>
      <c r="H34" s="3"/>
      <c r="I34" s="3" t="str">
        <f>IFERROR(__xludf.DUMMYFUNCTION("""COMPUTED_VALUE""")," ")</f>
        <v> </v>
      </c>
      <c r="J34" s="3" t="str">
        <f>IFERROR(__xludf.DUMMYFUNCTION("""COMPUTED_VALUE""")," ")</f>
        <v> </v>
      </c>
      <c r="K34" s="3" t="str">
        <f>IFERROR(__xludf.DUMMYFUNCTION("""COMPUTED_VALUE"""),"Y")</f>
        <v>Y</v>
      </c>
      <c r="L34" s="3" t="str">
        <f>IFERROR(__xludf.DUMMYFUNCTION("""COMPUTED_VALUE"""),"Group 12")</f>
        <v>Group 12</v>
      </c>
      <c r="M34" s="3"/>
      <c r="N34" s="5" t="str">
        <f>IFERROR(__xludf.DUMMYFUNCTION("""COMPUTED_VALUE""")," ")</f>
        <v> </v>
      </c>
      <c r="O34" s="5"/>
    </row>
    <row r="35">
      <c r="A35" s="2" t="str">
        <f>IFERROR(__xludf.DUMMYFUNCTION("""COMPUTED_VALUE"""),"0020")</f>
        <v>0020</v>
      </c>
      <c r="B35" s="2" t="str">
        <f>IFERROR(__xludf.DUMMYFUNCTION("""COMPUTED_VALUE"""),"Adams 12 Five Star Schools")</f>
        <v>Adams 12 Five Star Schools</v>
      </c>
      <c r="C35" s="2" t="str">
        <f>IFERROR(__xludf.DUMMYFUNCTION("""COMPUTED_VALUE"""),"02580")</f>
        <v>02580</v>
      </c>
      <c r="D35" s="2" t="str">
        <f>IFERROR(__xludf.DUMMYFUNCTION("""COMPUTED_VALUE"""),"HUNTERS GLEN ELEMENTARY SCHOOL")</f>
        <v>HUNTERS GLEN ELEMENTARY SCHOOL</v>
      </c>
      <c r="E35" s="3" t="str">
        <f>IFERROR(__xludf.DUMMYFUNCTION("""COMPUTED_VALUE"""),"Y")</f>
        <v>Y</v>
      </c>
      <c r="F35" s="3" t="str">
        <f>IFERROR(__xludf.DUMMYFUNCTION("""COMPUTED_VALUE"""),"Y")</f>
        <v>Y</v>
      </c>
      <c r="G35" s="3"/>
      <c r="H35" s="3"/>
      <c r="I35" s="3" t="str">
        <f>IFERROR(__xludf.DUMMYFUNCTION("""COMPUTED_VALUE""")," ")</f>
        <v> </v>
      </c>
      <c r="J35" s="3" t="str">
        <f>IFERROR(__xludf.DUMMYFUNCTION("""COMPUTED_VALUE""")," ")</f>
        <v> </v>
      </c>
      <c r="K35" s="3" t="str">
        <f>IFERROR(__xludf.DUMMYFUNCTION("""COMPUTED_VALUE"""),"Y")</f>
        <v>Y</v>
      </c>
      <c r="L35" s="3" t="str">
        <f>IFERROR(__xludf.DUMMYFUNCTION("""COMPUTED_VALUE"""),"Group 16")</f>
        <v>Group 16</v>
      </c>
      <c r="M35" s="3"/>
      <c r="N35" s="5" t="str">
        <f>IFERROR(__xludf.DUMMYFUNCTION("""COMPUTED_VALUE""")," ")</f>
        <v> </v>
      </c>
      <c r="O35" s="5"/>
    </row>
    <row r="36">
      <c r="A36" s="2" t="str">
        <f>IFERROR(__xludf.DUMMYFUNCTION("""COMPUTED_VALUE"""),"0020")</f>
        <v>0020</v>
      </c>
      <c r="B36" s="2" t="str">
        <f>IFERROR(__xludf.DUMMYFUNCTION("""COMPUTED_VALUE"""),"Adams 12 Five Star Schools")</f>
        <v>Adams 12 Five Star Schools</v>
      </c>
      <c r="C36" s="2" t="str">
        <f>IFERROR(__xludf.DUMMYFUNCTION("""COMPUTED_VALUE"""),"02582")</f>
        <v>02582</v>
      </c>
      <c r="D36" s="2" t="str">
        <f>IFERROR(__xludf.DUMMYFUNCTION("""COMPUTED_VALUE"""),"ROCKY MOUNTAIN ELEMENTARY SCHOOL")</f>
        <v>ROCKY MOUNTAIN ELEMENTARY SCHOOL</v>
      </c>
      <c r="E36" s="3" t="str">
        <f>IFERROR(__xludf.DUMMYFUNCTION("""COMPUTED_VALUE"""),"Y")</f>
        <v>Y</v>
      </c>
      <c r="F36" s="3" t="str">
        <f>IFERROR(__xludf.DUMMYFUNCTION("""COMPUTED_VALUE"""),"Y")</f>
        <v>Y</v>
      </c>
      <c r="G36" s="3" t="str">
        <f>IFERROR(__xludf.DUMMYFUNCTION("""COMPUTED_VALUE"""),"Y")</f>
        <v>Y</v>
      </c>
      <c r="H36" s="3"/>
      <c r="I36" s="3" t="str">
        <f>IFERROR(__xludf.DUMMYFUNCTION("""COMPUTED_VALUE""")," ")</f>
        <v> </v>
      </c>
      <c r="J36" s="3" t="str">
        <f>IFERROR(__xludf.DUMMYFUNCTION("""COMPUTED_VALUE"""),"Y")</f>
        <v>Y</v>
      </c>
      <c r="K36" s="3" t="str">
        <f>IFERROR(__xludf.DUMMYFUNCTION("""COMPUTED_VALUE"""),"Y")</f>
        <v>Y</v>
      </c>
      <c r="L36" s="3" t="str">
        <f>IFERROR(__xludf.DUMMYFUNCTION("""COMPUTED_VALUE"""),"Group 9")</f>
        <v>Group 9</v>
      </c>
      <c r="M36" s="3"/>
      <c r="N36" s="5" t="str">
        <f>IFERROR(__xludf.DUMMYFUNCTION("""COMPUTED_VALUE""")," ")</f>
        <v> </v>
      </c>
      <c r="O36" s="5"/>
    </row>
    <row r="37">
      <c r="A37" s="2" t="str">
        <f>IFERROR(__xludf.DUMMYFUNCTION("""COMPUTED_VALUE"""),"0020")</f>
        <v>0020</v>
      </c>
      <c r="B37" s="2" t="str">
        <f>IFERROR(__xludf.DUMMYFUNCTION("""COMPUTED_VALUE"""),"Adams 12 Five Star Schools")</f>
        <v>Adams 12 Five Star Schools</v>
      </c>
      <c r="C37" s="2" t="str">
        <f>IFERROR(__xludf.DUMMYFUNCTION("""COMPUTED_VALUE"""),"02584")</f>
        <v>02584</v>
      </c>
      <c r="D37" s="2" t="str">
        <f>IFERROR(__xludf.DUMMYFUNCTION("""COMPUTED_VALUE"""),"RIVERDALE ELEMENTARY SCHOOL")</f>
        <v>RIVERDALE ELEMENTARY SCHOOL</v>
      </c>
      <c r="E37" s="3" t="str">
        <f>IFERROR(__xludf.DUMMYFUNCTION("""COMPUTED_VALUE"""),"Y")</f>
        <v>Y</v>
      </c>
      <c r="F37" s="3" t="str">
        <f>IFERROR(__xludf.DUMMYFUNCTION("""COMPUTED_VALUE"""),"Y")</f>
        <v>Y</v>
      </c>
      <c r="G37" s="3"/>
      <c r="H37" s="3"/>
      <c r="I37" s="3" t="str">
        <f>IFERROR(__xludf.DUMMYFUNCTION("""COMPUTED_VALUE""")," ")</f>
        <v> </v>
      </c>
      <c r="J37" s="3" t="str">
        <f>IFERROR(__xludf.DUMMYFUNCTION("""COMPUTED_VALUE""")," ")</f>
        <v> </v>
      </c>
      <c r="K37" s="3" t="str">
        <f>IFERROR(__xludf.DUMMYFUNCTION("""COMPUTED_VALUE"""),"Y")</f>
        <v>Y</v>
      </c>
      <c r="L37" s="3" t="str">
        <f>IFERROR(__xludf.DUMMYFUNCTION("""COMPUTED_VALUE"""),"Group 11")</f>
        <v>Group 11</v>
      </c>
      <c r="M37" s="3"/>
      <c r="N37" s="5" t="str">
        <f>IFERROR(__xludf.DUMMYFUNCTION("""COMPUTED_VALUE""")," ")</f>
        <v> </v>
      </c>
      <c r="O37" s="5"/>
    </row>
    <row r="38">
      <c r="A38" s="2" t="str">
        <f>IFERROR(__xludf.DUMMYFUNCTION("""COMPUTED_VALUE"""),"0020")</f>
        <v>0020</v>
      </c>
      <c r="B38" s="2" t="str">
        <f>IFERROR(__xludf.DUMMYFUNCTION("""COMPUTED_VALUE"""),"Adams 12 Five Star Schools")</f>
        <v>Adams 12 Five Star Schools</v>
      </c>
      <c r="C38" s="2" t="str">
        <f>IFERROR(__xludf.DUMMYFUNCTION("""COMPUTED_VALUE"""),"02918")</f>
        <v>02918</v>
      </c>
      <c r="D38" s="2" t="str">
        <f>IFERROR(__xludf.DUMMYFUNCTION("""COMPUTED_VALUE"""),"FEDERAL HEIGHTS ELEMENTARY SCHOOL")</f>
        <v>FEDERAL HEIGHTS ELEMENTARY SCHOOL</v>
      </c>
      <c r="E38" s="3" t="str">
        <f>IFERROR(__xludf.DUMMYFUNCTION("""COMPUTED_VALUE"""),"Y")</f>
        <v>Y</v>
      </c>
      <c r="F38" s="3" t="str">
        <f>IFERROR(__xludf.DUMMYFUNCTION("""COMPUTED_VALUE"""),"Y")</f>
        <v>Y</v>
      </c>
      <c r="G38" s="3" t="str">
        <f>IFERROR(__xludf.DUMMYFUNCTION("""COMPUTED_VALUE"""),"Y")</f>
        <v>Y</v>
      </c>
      <c r="H38" s="3"/>
      <c r="I38" s="3" t="str">
        <f>IFERROR(__xludf.DUMMYFUNCTION("""COMPUTED_VALUE""")," ")</f>
        <v> </v>
      </c>
      <c r="J38" s="3" t="str">
        <f>IFERROR(__xludf.DUMMYFUNCTION("""COMPUTED_VALUE"""),"Y")</f>
        <v>Y</v>
      </c>
      <c r="K38" s="3" t="str">
        <f>IFERROR(__xludf.DUMMYFUNCTION("""COMPUTED_VALUE"""),"Y")</f>
        <v>Y</v>
      </c>
      <c r="L38" s="3" t="str">
        <f>IFERROR(__xludf.DUMMYFUNCTION("""COMPUTED_VALUE"""),"Group 12")</f>
        <v>Group 12</v>
      </c>
      <c r="M38" s="3"/>
      <c r="N38" s="5" t="str">
        <f>IFERROR(__xludf.DUMMYFUNCTION("""COMPUTED_VALUE"""),"Y")</f>
        <v>Y</v>
      </c>
      <c r="O38" s="5"/>
    </row>
    <row r="39">
      <c r="A39" s="2" t="str">
        <f>IFERROR(__xludf.DUMMYFUNCTION("""COMPUTED_VALUE"""),"0020")</f>
        <v>0020</v>
      </c>
      <c r="B39" s="2" t="str">
        <f>IFERROR(__xludf.DUMMYFUNCTION("""COMPUTED_VALUE"""),"Adams 12 Five Star Schools")</f>
        <v>Adams 12 Five Star Schools</v>
      </c>
      <c r="C39" s="2" t="str">
        <f>IFERROR(__xludf.DUMMYFUNCTION("""COMPUTED_VALUE"""),"04000")</f>
        <v>04000</v>
      </c>
      <c r="D39" s="2" t="str">
        <f>IFERROR(__xludf.DUMMYFUNCTION("""COMPUTED_VALUE"""),"HILLCREST ELEMENTARY SCHOOL")</f>
        <v>HILLCREST ELEMENTARY SCHOOL</v>
      </c>
      <c r="E39" s="3" t="str">
        <f>IFERROR(__xludf.DUMMYFUNCTION("""COMPUTED_VALUE"""),"Y")</f>
        <v>Y</v>
      </c>
      <c r="F39" s="3" t="str">
        <f>IFERROR(__xludf.DUMMYFUNCTION("""COMPUTED_VALUE"""),"Y")</f>
        <v>Y</v>
      </c>
      <c r="G39" s="3" t="str">
        <f>IFERROR(__xludf.DUMMYFUNCTION("""COMPUTED_VALUE"""),"Y")</f>
        <v>Y</v>
      </c>
      <c r="H39" s="3"/>
      <c r="I39" s="3" t="str">
        <f>IFERROR(__xludf.DUMMYFUNCTION("""COMPUTED_VALUE""")," ")</f>
        <v> </v>
      </c>
      <c r="J39" s="3" t="str">
        <f>IFERROR(__xludf.DUMMYFUNCTION("""COMPUTED_VALUE"""),"Y")</f>
        <v>Y</v>
      </c>
      <c r="K39" s="3" t="str">
        <f>IFERROR(__xludf.DUMMYFUNCTION("""COMPUTED_VALUE"""),"Y")</f>
        <v>Y</v>
      </c>
      <c r="L39" s="3" t="str">
        <f>IFERROR(__xludf.DUMMYFUNCTION("""COMPUTED_VALUE"""),"Group 9")</f>
        <v>Group 9</v>
      </c>
      <c r="M39" s="3"/>
      <c r="N39" s="5" t="str">
        <f>IFERROR(__xludf.DUMMYFUNCTION("""COMPUTED_VALUE""")," ")</f>
        <v> </v>
      </c>
      <c r="O39" s="5"/>
    </row>
    <row r="40">
      <c r="A40" s="2" t="str">
        <f>IFERROR(__xludf.DUMMYFUNCTION("""COMPUTED_VALUE"""),"0020")</f>
        <v>0020</v>
      </c>
      <c r="B40" s="2" t="str">
        <f>IFERROR(__xludf.DUMMYFUNCTION("""COMPUTED_VALUE"""),"Adams 12 Five Star Schools")</f>
        <v>Adams 12 Five Star Schools</v>
      </c>
      <c r="C40" s="2" t="str">
        <f>IFERROR(__xludf.DUMMYFUNCTION("""COMPUTED_VALUE"""),"04108")</f>
        <v>04108</v>
      </c>
      <c r="D40" s="2" t="str">
        <f>IFERROR(__xludf.DUMMYFUNCTION("""COMPUTED_VALUE"""),"HORIZON HIGH SCHOOL")</f>
        <v>HORIZON HIGH SCHOOL</v>
      </c>
      <c r="E40" s="3" t="str">
        <f>IFERROR(__xludf.DUMMYFUNCTION("""COMPUTED_VALUE"""),"Y")</f>
        <v>Y</v>
      </c>
      <c r="F40" s="3" t="str">
        <f>IFERROR(__xludf.DUMMYFUNCTION("""COMPUTED_VALUE"""),"Y")</f>
        <v>Y</v>
      </c>
      <c r="G40" s="3"/>
      <c r="H40" s="3"/>
      <c r="I40" s="3" t="str">
        <f>IFERROR(__xludf.DUMMYFUNCTION("""COMPUTED_VALUE""")," ")</f>
        <v> </v>
      </c>
      <c r="J40" s="3" t="str">
        <f>IFERROR(__xludf.DUMMYFUNCTION("""COMPUTED_VALUE""")," ")</f>
        <v> </v>
      </c>
      <c r="K40" s="3" t="str">
        <f>IFERROR(__xludf.DUMMYFUNCTION("""COMPUTED_VALUE"""),"Y")</f>
        <v>Y</v>
      </c>
      <c r="L40" s="3" t="str">
        <f>IFERROR(__xludf.DUMMYFUNCTION("""COMPUTED_VALUE""")," ")</f>
        <v> </v>
      </c>
      <c r="M40" s="3"/>
      <c r="N40" s="5" t="str">
        <f>IFERROR(__xludf.DUMMYFUNCTION("""COMPUTED_VALUE""")," ")</f>
        <v> </v>
      </c>
      <c r="O40" s="5"/>
    </row>
    <row r="41">
      <c r="A41" s="2" t="str">
        <f>IFERROR(__xludf.DUMMYFUNCTION("""COMPUTED_VALUE"""),"0020")</f>
        <v>0020</v>
      </c>
      <c r="B41" s="2" t="str">
        <f>IFERROR(__xludf.DUMMYFUNCTION("""COMPUTED_VALUE"""),"Adams 12 Five Star Schools")</f>
        <v>Adams 12 Five Star Schools</v>
      </c>
      <c r="C41" s="2" t="str">
        <f>IFERROR(__xludf.DUMMYFUNCTION("""COMPUTED_VALUE"""),"04172")</f>
        <v>04172</v>
      </c>
      <c r="D41" s="2" t="str">
        <f>IFERROR(__xludf.DUMMYFUNCTION("""COMPUTED_VALUE"""),"HULSTROM OPTIONS K-8 SCHOOL")</f>
        <v>HULSTROM OPTIONS K-8 SCHOOL</v>
      </c>
      <c r="E41" s="3" t="str">
        <f>IFERROR(__xludf.DUMMYFUNCTION("""COMPUTED_VALUE"""),"Y")</f>
        <v>Y</v>
      </c>
      <c r="F41" s="3" t="str">
        <f>IFERROR(__xludf.DUMMYFUNCTION("""COMPUTED_VALUE"""),"Y")</f>
        <v>Y</v>
      </c>
      <c r="G41" s="3"/>
      <c r="H41" s="3"/>
      <c r="I41" s="3" t="str">
        <f>IFERROR(__xludf.DUMMYFUNCTION("""COMPUTED_VALUE""")," ")</f>
        <v> </v>
      </c>
      <c r="J41" s="3" t="str">
        <f>IFERROR(__xludf.DUMMYFUNCTION("""COMPUTED_VALUE""")," ")</f>
        <v> </v>
      </c>
      <c r="K41" s="3" t="str">
        <f>IFERROR(__xludf.DUMMYFUNCTION("""COMPUTED_VALUE"""),"Y")</f>
        <v>Y</v>
      </c>
      <c r="L41" s="3" t="str">
        <f>IFERROR(__xludf.DUMMYFUNCTION("""COMPUTED_VALUE"""),"Group 1")</f>
        <v>Group 1</v>
      </c>
      <c r="M41" s="3"/>
      <c r="N41" s="5" t="str">
        <f>IFERROR(__xludf.DUMMYFUNCTION("""COMPUTED_VALUE""")," ")</f>
        <v> </v>
      </c>
      <c r="O41" s="5"/>
    </row>
    <row r="42">
      <c r="A42" s="2" t="str">
        <f>IFERROR(__xludf.DUMMYFUNCTION("""COMPUTED_VALUE"""),"0020")</f>
        <v>0020</v>
      </c>
      <c r="B42" s="2" t="str">
        <f>IFERROR(__xludf.DUMMYFUNCTION("""COMPUTED_VALUE"""),"Adams 12 Five Star Schools")</f>
        <v>Adams 12 Five Star Schools</v>
      </c>
      <c r="C42" s="2" t="str">
        <f>IFERROR(__xludf.DUMMYFUNCTION("""COMPUTED_VALUE"""),"04187")</f>
        <v>04187</v>
      </c>
      <c r="D42" s="2" t="str">
        <f>IFERROR(__xludf.DUMMYFUNCTION("""COMPUTED_VALUE"""),"SILVER HILLS MIDDLE SCHOOL")</f>
        <v>SILVER HILLS MIDDLE SCHOOL</v>
      </c>
      <c r="E42" s="3" t="str">
        <f>IFERROR(__xludf.DUMMYFUNCTION("""COMPUTED_VALUE"""),"Y")</f>
        <v>Y</v>
      </c>
      <c r="F42" s="3" t="str">
        <f>IFERROR(__xludf.DUMMYFUNCTION("""COMPUTED_VALUE"""),"Y")</f>
        <v>Y</v>
      </c>
      <c r="G42" s="3"/>
      <c r="H42" s="3"/>
      <c r="I42" s="3" t="str">
        <f>IFERROR(__xludf.DUMMYFUNCTION("""COMPUTED_VALUE""")," ")</f>
        <v> </v>
      </c>
      <c r="J42" s="3" t="str">
        <f>IFERROR(__xludf.DUMMYFUNCTION("""COMPUTED_VALUE"""),"Y")</f>
        <v>Y</v>
      </c>
      <c r="K42" s="3" t="str">
        <f>IFERROR(__xludf.DUMMYFUNCTION("""COMPUTED_VALUE"""),"Y")</f>
        <v>Y</v>
      </c>
      <c r="L42" s="3" t="str">
        <f>IFERROR(__xludf.DUMMYFUNCTION("""COMPUTED_VALUE"""),"Group 17")</f>
        <v>Group 17</v>
      </c>
      <c r="M42" s="3"/>
      <c r="N42" s="5" t="str">
        <f>IFERROR(__xludf.DUMMYFUNCTION("""COMPUTED_VALUE"""),"Y")</f>
        <v>Y</v>
      </c>
      <c r="O42" s="5"/>
    </row>
    <row r="43">
      <c r="A43" s="2" t="str">
        <f>IFERROR(__xludf.DUMMYFUNCTION("""COMPUTED_VALUE"""),"0020")</f>
        <v>0020</v>
      </c>
      <c r="B43" s="2" t="str">
        <f>IFERROR(__xludf.DUMMYFUNCTION("""COMPUTED_VALUE"""),"Adams 12 Five Star Schools")</f>
        <v>Adams 12 Five Star Schools</v>
      </c>
      <c r="C43" s="2" t="str">
        <f>IFERROR(__xludf.DUMMYFUNCTION("""COMPUTED_VALUE"""),"05043")</f>
        <v>05043</v>
      </c>
      <c r="D43" s="2" t="str">
        <f>IFERROR(__xludf.DUMMYFUNCTION("""COMPUTED_VALUE"""),"LEGACY HIGH SCHOOL")</f>
        <v>LEGACY HIGH SCHOOL</v>
      </c>
      <c r="E43" s="3" t="str">
        <f>IFERROR(__xludf.DUMMYFUNCTION("""COMPUTED_VALUE"""),"Y")</f>
        <v>Y</v>
      </c>
      <c r="F43" s="3" t="str">
        <f>IFERROR(__xludf.DUMMYFUNCTION("""COMPUTED_VALUE"""),"Y")</f>
        <v>Y</v>
      </c>
      <c r="G43" s="3"/>
      <c r="H43" s="3"/>
      <c r="I43" s="3" t="str">
        <f>IFERROR(__xludf.DUMMYFUNCTION("""COMPUTED_VALUE""")," ")</f>
        <v> </v>
      </c>
      <c r="J43" s="3" t="str">
        <f>IFERROR(__xludf.DUMMYFUNCTION("""COMPUTED_VALUE""")," ")</f>
        <v> </v>
      </c>
      <c r="K43" s="3" t="str">
        <f>IFERROR(__xludf.DUMMYFUNCTION("""COMPUTED_VALUE"""),"Y")</f>
        <v>Y</v>
      </c>
      <c r="L43" s="3" t="str">
        <f>IFERROR(__xludf.DUMMYFUNCTION("""COMPUTED_VALUE""")," ")</f>
        <v> </v>
      </c>
      <c r="M43" s="3"/>
      <c r="N43" s="5" t="str">
        <f>IFERROR(__xludf.DUMMYFUNCTION("""COMPUTED_VALUE""")," ")</f>
        <v> </v>
      </c>
      <c r="O43" s="5"/>
    </row>
    <row r="44">
      <c r="A44" s="2" t="str">
        <f>IFERROR(__xludf.DUMMYFUNCTION("""COMPUTED_VALUE"""),"0020")</f>
        <v>0020</v>
      </c>
      <c r="B44" s="2" t="str">
        <f>IFERROR(__xludf.DUMMYFUNCTION("""COMPUTED_VALUE"""),"Adams 12 Five Star Schools")</f>
        <v>Adams 12 Five Star Schools</v>
      </c>
      <c r="C44" s="2" t="str">
        <f>IFERROR(__xludf.DUMMYFUNCTION("""COMPUTED_VALUE"""),"05058")</f>
        <v>05058</v>
      </c>
      <c r="D44" s="2" t="str">
        <f>IFERROR(__xludf.DUMMYFUNCTION("""COMPUTED_VALUE"""),"LEROY DRIVE ELEMENTARY SCHOOL")</f>
        <v>LEROY DRIVE ELEMENTARY SCHOOL</v>
      </c>
      <c r="E44" s="3" t="str">
        <f>IFERROR(__xludf.DUMMYFUNCTION("""COMPUTED_VALUE"""),"Y")</f>
        <v>Y</v>
      </c>
      <c r="F44" s="3" t="str">
        <f>IFERROR(__xludf.DUMMYFUNCTION("""COMPUTED_VALUE"""),"Y")</f>
        <v>Y</v>
      </c>
      <c r="G44" s="3"/>
      <c r="H44" s="3"/>
      <c r="I44" s="3" t="str">
        <f>IFERROR(__xludf.DUMMYFUNCTION("""COMPUTED_VALUE""")," ")</f>
        <v> </v>
      </c>
      <c r="J44" s="3" t="str">
        <f>IFERROR(__xludf.DUMMYFUNCTION("""COMPUTED_VALUE"""),"Y")</f>
        <v>Y</v>
      </c>
      <c r="K44" s="3" t="str">
        <f>IFERROR(__xludf.DUMMYFUNCTION("""COMPUTED_VALUE"""),"Y")</f>
        <v>Y</v>
      </c>
      <c r="L44" s="3" t="str">
        <f>IFERROR(__xludf.DUMMYFUNCTION("""COMPUTED_VALUE"""),"Group 4")</f>
        <v>Group 4</v>
      </c>
      <c r="M44" s="3"/>
      <c r="N44" s="5" t="str">
        <f>IFERROR(__xludf.DUMMYFUNCTION("""COMPUTED_VALUE""")," ")</f>
        <v> </v>
      </c>
      <c r="O44" s="5"/>
    </row>
    <row r="45">
      <c r="A45" s="2" t="str">
        <f>IFERROR(__xludf.DUMMYFUNCTION("""COMPUTED_VALUE"""),"0020")</f>
        <v>0020</v>
      </c>
      <c r="B45" s="2" t="str">
        <f>IFERROR(__xludf.DUMMYFUNCTION("""COMPUTED_VALUE"""),"Adams 12 Five Star Schools")</f>
        <v>Adams 12 Five Star Schools</v>
      </c>
      <c r="C45" s="2" t="str">
        <f>IFERROR(__xludf.DUMMYFUNCTION("""COMPUTED_VALUE"""),"05418")</f>
        <v>05418</v>
      </c>
      <c r="D45" s="2" t="str">
        <f>IFERROR(__xludf.DUMMYFUNCTION("""COMPUTED_VALUE"""),"MALLEY DRIVE ELEMENTARY SCHOOL")</f>
        <v>MALLEY DRIVE ELEMENTARY SCHOOL</v>
      </c>
      <c r="E45" s="3" t="str">
        <f>IFERROR(__xludf.DUMMYFUNCTION("""COMPUTED_VALUE"""),"Y")</f>
        <v>Y</v>
      </c>
      <c r="F45" s="3" t="str">
        <f>IFERROR(__xludf.DUMMYFUNCTION("""COMPUTED_VALUE"""),"Y")</f>
        <v>Y</v>
      </c>
      <c r="G45" s="3" t="str">
        <f>IFERROR(__xludf.DUMMYFUNCTION("""COMPUTED_VALUE"""),"Y")</f>
        <v>Y</v>
      </c>
      <c r="H45" s="3"/>
      <c r="I45" s="3" t="str">
        <f>IFERROR(__xludf.DUMMYFUNCTION("""COMPUTED_VALUE""")," ")</f>
        <v> </v>
      </c>
      <c r="J45" s="3" t="str">
        <f>IFERROR(__xludf.DUMMYFUNCTION("""COMPUTED_VALUE"""),"Y")</f>
        <v>Y</v>
      </c>
      <c r="K45" s="3" t="str">
        <f>IFERROR(__xludf.DUMMYFUNCTION("""COMPUTED_VALUE"""),"Y")</f>
        <v>Y</v>
      </c>
      <c r="L45" s="3" t="str">
        <f>IFERROR(__xludf.DUMMYFUNCTION("""COMPUTED_VALUE"""),"Group 10")</f>
        <v>Group 10</v>
      </c>
      <c r="M45" s="3"/>
      <c r="N45" s="5" t="str">
        <f>IFERROR(__xludf.DUMMYFUNCTION("""COMPUTED_VALUE""")," ")</f>
        <v> </v>
      </c>
      <c r="O45" s="5"/>
    </row>
    <row r="46">
      <c r="A46" s="2" t="str">
        <f>IFERROR(__xludf.DUMMYFUNCTION("""COMPUTED_VALUE"""),"0020")</f>
        <v>0020</v>
      </c>
      <c r="B46" s="2" t="str">
        <f>IFERROR(__xludf.DUMMYFUNCTION("""COMPUTED_VALUE"""),"Adams 12 Five Star Schools")</f>
        <v>Adams 12 Five Star Schools</v>
      </c>
      <c r="C46" s="2" t="str">
        <f>IFERROR(__xludf.DUMMYFUNCTION("""COMPUTED_VALUE"""),"05706")</f>
        <v>05706</v>
      </c>
      <c r="D46" s="2" t="str">
        <f>IFERROR(__xludf.DUMMYFUNCTION("""COMPUTED_VALUE"""),"MC ELWAIN ELEMENTARY SCHOOL")</f>
        <v>MC ELWAIN ELEMENTARY SCHOOL</v>
      </c>
      <c r="E46" s="3" t="str">
        <f>IFERROR(__xludf.DUMMYFUNCTION("""COMPUTED_VALUE"""),"Y")</f>
        <v>Y</v>
      </c>
      <c r="F46" s="3" t="str">
        <f>IFERROR(__xludf.DUMMYFUNCTION("""COMPUTED_VALUE"""),"Y")</f>
        <v>Y</v>
      </c>
      <c r="G46" s="3" t="str">
        <f>IFERROR(__xludf.DUMMYFUNCTION("""COMPUTED_VALUE"""),"Y")</f>
        <v>Y</v>
      </c>
      <c r="H46" s="3"/>
      <c r="I46" s="3" t="str">
        <f>IFERROR(__xludf.DUMMYFUNCTION("""COMPUTED_VALUE""")," ")</f>
        <v> </v>
      </c>
      <c r="J46" s="3" t="str">
        <f>IFERROR(__xludf.DUMMYFUNCTION("""COMPUTED_VALUE"""),"Y")</f>
        <v>Y</v>
      </c>
      <c r="K46" s="3" t="str">
        <f>IFERROR(__xludf.DUMMYFUNCTION("""COMPUTED_VALUE"""),"Y")</f>
        <v>Y</v>
      </c>
      <c r="L46" s="3" t="str">
        <f>IFERROR(__xludf.DUMMYFUNCTION("""COMPUTED_VALUE"""),"Group 13")</f>
        <v>Group 13</v>
      </c>
      <c r="M46" s="3"/>
      <c r="N46" s="5" t="str">
        <f>IFERROR(__xludf.DUMMYFUNCTION("""COMPUTED_VALUE""")," ")</f>
        <v> </v>
      </c>
      <c r="O46" s="5"/>
    </row>
    <row r="47">
      <c r="A47" s="2" t="str">
        <f>IFERROR(__xludf.DUMMYFUNCTION("""COMPUTED_VALUE"""),"0020")</f>
        <v>0020</v>
      </c>
      <c r="B47" s="2" t="str">
        <f>IFERROR(__xludf.DUMMYFUNCTION("""COMPUTED_VALUE"""),"Adams 12 Five Star Schools")</f>
        <v>Adams 12 Five Star Schools</v>
      </c>
      <c r="C47" s="2" t="str">
        <f>IFERROR(__xludf.DUMMYFUNCTION("""COMPUTED_VALUE"""),"05814")</f>
        <v>05814</v>
      </c>
      <c r="D47" s="2" t="str">
        <f>IFERROR(__xludf.DUMMYFUNCTION("""COMPUTED_VALUE"""),"THORNTON MIDDLE SCHOOL")</f>
        <v>THORNTON MIDDLE SCHOOL</v>
      </c>
      <c r="E47" s="3" t="str">
        <f>IFERROR(__xludf.DUMMYFUNCTION("""COMPUTED_VALUE"""),"Y")</f>
        <v>Y</v>
      </c>
      <c r="F47" s="3" t="str">
        <f>IFERROR(__xludf.DUMMYFUNCTION("""COMPUTED_VALUE"""),"Y")</f>
        <v>Y</v>
      </c>
      <c r="G47" s="3"/>
      <c r="H47" s="3"/>
      <c r="I47" s="3" t="str">
        <f>IFERROR(__xludf.DUMMYFUNCTION("""COMPUTED_VALUE""")," ")</f>
        <v> </v>
      </c>
      <c r="J47" s="3" t="str">
        <f>IFERROR(__xludf.DUMMYFUNCTION("""COMPUTED_VALUE"""),"Y")</f>
        <v>Y</v>
      </c>
      <c r="K47" s="3" t="str">
        <f>IFERROR(__xludf.DUMMYFUNCTION("""COMPUTED_VALUE"""),"Y")</f>
        <v>Y</v>
      </c>
      <c r="L47" s="3" t="str">
        <f>IFERROR(__xludf.DUMMYFUNCTION("""COMPUTED_VALUE"""),"Group 15")</f>
        <v>Group 15</v>
      </c>
      <c r="M47" s="3"/>
      <c r="N47" s="5" t="str">
        <f>IFERROR(__xludf.DUMMYFUNCTION("""COMPUTED_VALUE""")," ")</f>
        <v> </v>
      </c>
      <c r="O47" s="5"/>
    </row>
    <row r="48">
      <c r="A48" s="2" t="str">
        <f>IFERROR(__xludf.DUMMYFUNCTION("""COMPUTED_VALUE"""),"0020")</f>
        <v>0020</v>
      </c>
      <c r="B48" s="2" t="str">
        <f>IFERROR(__xludf.DUMMYFUNCTION("""COMPUTED_VALUE"""),"Adams 12 Five Star Schools")</f>
        <v>Adams 12 Five Star Schools</v>
      </c>
      <c r="C48" s="2" t="str">
        <f>IFERROR(__xludf.DUMMYFUNCTION("""COMPUTED_VALUE"""),"05816")</f>
        <v>05816</v>
      </c>
      <c r="D48" s="2" t="str">
        <f>IFERROR(__xludf.DUMMYFUNCTION("""COMPUTED_VALUE"""),"THORNTON HIGH SCHOOL")</f>
        <v>THORNTON HIGH SCHOOL</v>
      </c>
      <c r="E48" s="3" t="str">
        <f>IFERROR(__xludf.DUMMYFUNCTION("""COMPUTED_VALUE"""),"Y")</f>
        <v>Y</v>
      </c>
      <c r="F48" s="3" t="str">
        <f>IFERROR(__xludf.DUMMYFUNCTION("""COMPUTED_VALUE"""),"Y")</f>
        <v>Y</v>
      </c>
      <c r="G48" s="3"/>
      <c r="H48" s="3"/>
      <c r="I48" s="3" t="str">
        <f>IFERROR(__xludf.DUMMYFUNCTION("""COMPUTED_VALUE""")," ")</f>
        <v> </v>
      </c>
      <c r="J48" s="3" t="str">
        <f>IFERROR(__xludf.DUMMYFUNCTION("""COMPUTED_VALUE"""),"Y")</f>
        <v>Y</v>
      </c>
      <c r="K48" s="3" t="str">
        <f>IFERROR(__xludf.DUMMYFUNCTION("""COMPUTED_VALUE"""),"Y")</f>
        <v>Y</v>
      </c>
      <c r="L48" s="3" t="str">
        <f>IFERROR(__xludf.DUMMYFUNCTION("""COMPUTED_VALUE"""),"Group 1")</f>
        <v>Group 1</v>
      </c>
      <c r="M48" s="3"/>
      <c r="N48" s="5" t="str">
        <f>IFERROR(__xludf.DUMMYFUNCTION("""COMPUTED_VALUE""")," ")</f>
        <v> </v>
      </c>
      <c r="O48" s="5"/>
    </row>
    <row r="49">
      <c r="A49" s="2" t="str">
        <f>IFERROR(__xludf.DUMMYFUNCTION("""COMPUTED_VALUE"""),"0020")</f>
        <v>0020</v>
      </c>
      <c r="B49" s="2" t="str">
        <f>IFERROR(__xludf.DUMMYFUNCTION("""COMPUTED_VALUE"""),"Adams 12 Five Star Schools")</f>
        <v>Adams 12 Five Star Schools</v>
      </c>
      <c r="C49" s="2" t="str">
        <f>IFERROR(__xludf.DUMMYFUNCTION("""COMPUTED_VALUE"""),"06060")</f>
        <v>06060</v>
      </c>
      <c r="D49" s="2" t="str">
        <f>IFERROR(__xludf.DUMMYFUNCTION("""COMPUTED_VALUE"""),"MOUNTAIN RANGE HIGH SCHOOL")</f>
        <v>MOUNTAIN RANGE HIGH SCHOOL</v>
      </c>
      <c r="E49" s="3" t="str">
        <f>IFERROR(__xludf.DUMMYFUNCTION("""COMPUTED_VALUE"""),"Y")</f>
        <v>Y</v>
      </c>
      <c r="F49" s="3" t="str">
        <f>IFERROR(__xludf.DUMMYFUNCTION("""COMPUTED_VALUE"""),"Y")</f>
        <v>Y</v>
      </c>
      <c r="G49" s="3"/>
      <c r="H49" s="3"/>
      <c r="I49" s="3" t="str">
        <f>IFERROR(__xludf.DUMMYFUNCTION("""COMPUTED_VALUE""")," ")</f>
        <v> </v>
      </c>
      <c r="J49" s="3" t="str">
        <f>IFERROR(__xludf.DUMMYFUNCTION("""COMPUTED_VALUE""")," ")</f>
        <v> </v>
      </c>
      <c r="K49" s="3" t="str">
        <f>IFERROR(__xludf.DUMMYFUNCTION("""COMPUTED_VALUE"""),"Y")</f>
        <v>Y</v>
      </c>
      <c r="L49" s="3" t="str">
        <f>IFERROR(__xludf.DUMMYFUNCTION("""COMPUTED_VALUE"""),"Group 8")</f>
        <v>Group 8</v>
      </c>
      <c r="M49" s="3"/>
      <c r="N49" s="5" t="str">
        <f>IFERROR(__xludf.DUMMYFUNCTION("""COMPUTED_VALUE""")," ")</f>
        <v> </v>
      </c>
      <c r="O49" s="5"/>
    </row>
    <row r="50">
      <c r="A50" s="2" t="str">
        <f>IFERROR(__xludf.DUMMYFUNCTION("""COMPUTED_VALUE"""),"0020")</f>
        <v>0020</v>
      </c>
      <c r="B50" s="2" t="str">
        <f>IFERROR(__xludf.DUMMYFUNCTION("""COMPUTED_VALUE"""),"Adams 12 Five Star Schools")</f>
        <v>Adams 12 Five Star Schools</v>
      </c>
      <c r="C50" s="2" t="str">
        <f>IFERROR(__xludf.DUMMYFUNCTION("""COMPUTED_VALUE"""),"06150")</f>
        <v>06150</v>
      </c>
      <c r="D50" s="2" t="str">
        <f>IFERROR(__xludf.DUMMYFUNCTION("""COMPUTED_VALUE"""),"MOUNTAIN VIEW ELEMENTARY SCHOOL")</f>
        <v>MOUNTAIN VIEW ELEMENTARY SCHOOL</v>
      </c>
      <c r="E50" s="3" t="str">
        <f>IFERROR(__xludf.DUMMYFUNCTION("""COMPUTED_VALUE"""),"Y")</f>
        <v>Y</v>
      </c>
      <c r="F50" s="3" t="str">
        <f>IFERROR(__xludf.DUMMYFUNCTION("""COMPUTED_VALUE"""),"Y")</f>
        <v>Y</v>
      </c>
      <c r="G50" s="3"/>
      <c r="H50" s="3"/>
      <c r="I50" s="3" t="str">
        <f>IFERROR(__xludf.DUMMYFUNCTION("""COMPUTED_VALUE""")," ")</f>
        <v> </v>
      </c>
      <c r="J50" s="3" t="str">
        <f>IFERROR(__xludf.DUMMYFUNCTION("""COMPUTED_VALUE""")," ")</f>
        <v> </v>
      </c>
      <c r="K50" s="3" t="str">
        <f>IFERROR(__xludf.DUMMYFUNCTION("""COMPUTED_VALUE"""),"Y")</f>
        <v>Y</v>
      </c>
      <c r="L50" s="3" t="str">
        <f>IFERROR(__xludf.DUMMYFUNCTION("""COMPUTED_VALUE"""),"Group 1")</f>
        <v>Group 1</v>
      </c>
      <c r="M50" s="3"/>
      <c r="N50" s="5" t="str">
        <f>IFERROR(__xludf.DUMMYFUNCTION("""COMPUTED_VALUE""")," ")</f>
        <v> </v>
      </c>
      <c r="O50" s="5"/>
    </row>
    <row r="51">
      <c r="A51" s="2" t="str">
        <f>IFERROR(__xludf.DUMMYFUNCTION("""COMPUTED_VALUE"""),"0020")</f>
        <v>0020</v>
      </c>
      <c r="B51" s="2" t="str">
        <f>IFERROR(__xludf.DUMMYFUNCTION("""COMPUTED_VALUE"""),"Adams 12 Five Star Schools")</f>
        <v>Adams 12 Five Star Schools</v>
      </c>
      <c r="C51" s="2" t="str">
        <f>IFERROR(__xludf.DUMMYFUNCTION("""COMPUTED_VALUE"""),"06342")</f>
        <v>06342</v>
      </c>
      <c r="D51" s="2" t="str">
        <f>IFERROR(__xludf.DUMMYFUNCTION("""COMPUTED_VALUE"""),"SHADOW RIDGE MIDDLE SCHOOL")</f>
        <v>SHADOW RIDGE MIDDLE SCHOOL</v>
      </c>
      <c r="E51" s="3" t="str">
        <f>IFERROR(__xludf.DUMMYFUNCTION("""COMPUTED_VALUE"""),"Y")</f>
        <v>Y</v>
      </c>
      <c r="F51" s="3" t="str">
        <f>IFERROR(__xludf.DUMMYFUNCTION("""COMPUTED_VALUE"""),"Y")</f>
        <v>Y</v>
      </c>
      <c r="G51" s="3"/>
      <c r="H51" s="3"/>
      <c r="I51" s="3" t="str">
        <f>IFERROR(__xludf.DUMMYFUNCTION("""COMPUTED_VALUE""")," ")</f>
        <v> </v>
      </c>
      <c r="J51" s="3" t="str">
        <f>IFERROR(__xludf.DUMMYFUNCTION("""COMPUTED_VALUE""")," ")</f>
        <v> </v>
      </c>
      <c r="K51" s="3" t="str">
        <f>IFERROR(__xludf.DUMMYFUNCTION("""COMPUTED_VALUE"""),"Y")</f>
        <v>Y</v>
      </c>
      <c r="L51" s="3" t="str">
        <f>IFERROR(__xludf.DUMMYFUNCTION("""COMPUTED_VALUE"""),"Group 6")</f>
        <v>Group 6</v>
      </c>
      <c r="M51" s="3"/>
      <c r="N51" s="5" t="str">
        <f>IFERROR(__xludf.DUMMYFUNCTION("""COMPUTED_VALUE""")," ")</f>
        <v> </v>
      </c>
      <c r="O51" s="5"/>
    </row>
    <row r="52">
      <c r="A52" s="2" t="str">
        <f>IFERROR(__xludf.DUMMYFUNCTION("""COMPUTED_VALUE"""),"0020")</f>
        <v>0020</v>
      </c>
      <c r="B52" s="2" t="str">
        <f>IFERROR(__xludf.DUMMYFUNCTION("""COMPUTED_VALUE"""),"Adams 12 Five Star Schools")</f>
        <v>Adams 12 Five Star Schools</v>
      </c>
      <c r="C52" s="2" t="str">
        <f>IFERROR(__xludf.DUMMYFUNCTION("""COMPUTED_VALUE"""),"06355")</f>
        <v>06355</v>
      </c>
      <c r="D52" s="2" t="str">
        <f>IFERROR(__xludf.DUMMYFUNCTION("""COMPUTED_VALUE"""),"NORTH MOR ELEMENTARY SCHOOL")</f>
        <v>NORTH MOR ELEMENTARY SCHOOL</v>
      </c>
      <c r="E52" s="3" t="str">
        <f>IFERROR(__xludf.DUMMYFUNCTION("""COMPUTED_VALUE"""),"Y")</f>
        <v>Y</v>
      </c>
      <c r="F52" s="3" t="str">
        <f>IFERROR(__xludf.DUMMYFUNCTION("""COMPUTED_VALUE"""),"Y")</f>
        <v>Y</v>
      </c>
      <c r="G52" s="3"/>
      <c r="H52" s="3"/>
      <c r="I52" s="3" t="str">
        <f>IFERROR(__xludf.DUMMYFUNCTION("""COMPUTED_VALUE""")," ")</f>
        <v> </v>
      </c>
      <c r="J52" s="3" t="str">
        <f>IFERROR(__xludf.DUMMYFUNCTION("""COMPUTED_VALUE"""),"Y")</f>
        <v>Y</v>
      </c>
      <c r="K52" s="3" t="str">
        <f>IFERROR(__xludf.DUMMYFUNCTION("""COMPUTED_VALUE"""),"Y")</f>
        <v>Y</v>
      </c>
      <c r="L52" s="3" t="str">
        <f>IFERROR(__xludf.DUMMYFUNCTION("""COMPUTED_VALUE"""),"Group 4")</f>
        <v>Group 4</v>
      </c>
      <c r="M52" s="3"/>
      <c r="N52" s="5" t="str">
        <f>IFERROR(__xludf.DUMMYFUNCTION("""COMPUTED_VALUE""")," ")</f>
        <v> </v>
      </c>
      <c r="O52" s="5"/>
    </row>
    <row r="53">
      <c r="A53" s="2" t="str">
        <f>IFERROR(__xludf.DUMMYFUNCTION("""COMPUTED_VALUE"""),"0020")</f>
        <v>0020</v>
      </c>
      <c r="B53" s="2" t="str">
        <f>IFERROR(__xludf.DUMMYFUNCTION("""COMPUTED_VALUE"""),"Adams 12 Five Star Schools")</f>
        <v>Adams 12 Five Star Schools</v>
      </c>
      <c r="C53" s="2" t="str">
        <f>IFERROR(__xludf.DUMMYFUNCTION("""COMPUTED_VALUE"""),"06376")</f>
        <v>06376</v>
      </c>
      <c r="D53" s="2" t="str">
        <f>IFERROR(__xludf.DUMMYFUNCTION("""COMPUTED_VALUE"""),"NORTH STAR ELEMENTARY SCHOOL")</f>
        <v>NORTH STAR ELEMENTARY SCHOOL</v>
      </c>
      <c r="E53" s="3" t="str">
        <f>IFERROR(__xludf.DUMMYFUNCTION("""COMPUTED_VALUE"""),"Y")</f>
        <v>Y</v>
      </c>
      <c r="F53" s="3" t="str">
        <f>IFERROR(__xludf.DUMMYFUNCTION("""COMPUTED_VALUE"""),"Y")</f>
        <v>Y</v>
      </c>
      <c r="G53" s="3" t="str">
        <f>IFERROR(__xludf.DUMMYFUNCTION("""COMPUTED_VALUE"""),"Y")</f>
        <v>Y</v>
      </c>
      <c r="H53" s="3"/>
      <c r="I53" s="3" t="str">
        <f>IFERROR(__xludf.DUMMYFUNCTION("""COMPUTED_VALUE""")," ")</f>
        <v> </v>
      </c>
      <c r="J53" s="3" t="str">
        <f>IFERROR(__xludf.DUMMYFUNCTION("""COMPUTED_VALUE"""),"Y")</f>
        <v>Y</v>
      </c>
      <c r="K53" s="3" t="str">
        <f>IFERROR(__xludf.DUMMYFUNCTION("""COMPUTED_VALUE"""),"Y")</f>
        <v>Y</v>
      </c>
      <c r="L53" s="3" t="str">
        <f>IFERROR(__xludf.DUMMYFUNCTION("""COMPUTED_VALUE"""),"Group 12")</f>
        <v>Group 12</v>
      </c>
      <c r="M53" s="3"/>
      <c r="N53" s="5" t="str">
        <f>IFERROR(__xludf.DUMMYFUNCTION("""COMPUTED_VALUE"""),"Y")</f>
        <v>Y</v>
      </c>
      <c r="O53" s="5"/>
    </row>
    <row r="54">
      <c r="A54" s="2" t="str">
        <f>IFERROR(__xludf.DUMMYFUNCTION("""COMPUTED_VALUE"""),"0020")</f>
        <v>0020</v>
      </c>
      <c r="B54" s="2" t="str">
        <f>IFERROR(__xludf.DUMMYFUNCTION("""COMPUTED_VALUE"""),"Adams 12 Five Star Schools")</f>
        <v>Adams 12 Five Star Schools</v>
      </c>
      <c r="C54" s="2" t="str">
        <f>IFERROR(__xludf.DUMMYFUNCTION("""COMPUTED_VALUE"""),"06398")</f>
        <v>06398</v>
      </c>
      <c r="D54" s="2" t="str">
        <f>IFERROR(__xludf.DUMMYFUNCTION("""COMPUTED_VALUE"""),"NORTHGLENN MIDDLE SCHOOL")</f>
        <v>NORTHGLENN MIDDLE SCHOOL</v>
      </c>
      <c r="E54" s="3" t="str">
        <f>IFERROR(__xludf.DUMMYFUNCTION("""COMPUTED_VALUE"""),"Y")</f>
        <v>Y</v>
      </c>
      <c r="F54" s="3" t="str">
        <f>IFERROR(__xludf.DUMMYFUNCTION("""COMPUTED_VALUE"""),"Y")</f>
        <v>Y</v>
      </c>
      <c r="G54" s="3"/>
      <c r="H54" s="3"/>
      <c r="I54" s="3" t="str">
        <f>IFERROR(__xludf.DUMMYFUNCTION("""COMPUTED_VALUE""")," ")</f>
        <v> </v>
      </c>
      <c r="J54" s="3" t="str">
        <f>IFERROR(__xludf.DUMMYFUNCTION("""COMPUTED_VALUE"""),"Y")</f>
        <v>Y</v>
      </c>
      <c r="K54" s="3" t="str">
        <f>IFERROR(__xludf.DUMMYFUNCTION("""COMPUTED_VALUE"""),"Y")</f>
        <v>Y</v>
      </c>
      <c r="L54" s="3" t="str">
        <f>IFERROR(__xludf.DUMMYFUNCTION("""COMPUTED_VALUE"""),"Group 14")</f>
        <v>Group 14</v>
      </c>
      <c r="M54" s="3"/>
      <c r="N54" s="5" t="str">
        <f>IFERROR(__xludf.DUMMYFUNCTION("""COMPUTED_VALUE""")," ")</f>
        <v> </v>
      </c>
      <c r="O54" s="5"/>
    </row>
    <row r="55">
      <c r="A55" s="2" t="str">
        <f>IFERROR(__xludf.DUMMYFUNCTION("""COMPUTED_VALUE"""),"0020")</f>
        <v>0020</v>
      </c>
      <c r="B55" s="2" t="str">
        <f>IFERROR(__xludf.DUMMYFUNCTION("""COMPUTED_VALUE"""),"Adams 12 Five Star Schools")</f>
        <v>Adams 12 Five Star Schools</v>
      </c>
      <c r="C55" s="2" t="str">
        <f>IFERROR(__xludf.DUMMYFUNCTION("""COMPUTED_VALUE"""),"06402")</f>
        <v>06402</v>
      </c>
      <c r="D55" s="2" t="str">
        <f>IFERROR(__xludf.DUMMYFUNCTION("""COMPUTED_VALUE"""),"NORTHGLENN HIGH SCHOOL")</f>
        <v>NORTHGLENN HIGH SCHOOL</v>
      </c>
      <c r="E55" s="3" t="str">
        <f>IFERROR(__xludf.DUMMYFUNCTION("""COMPUTED_VALUE"""),"Y")</f>
        <v>Y</v>
      </c>
      <c r="F55" s="3" t="str">
        <f>IFERROR(__xludf.DUMMYFUNCTION("""COMPUTED_VALUE"""),"Y")</f>
        <v>Y</v>
      </c>
      <c r="G55" s="3"/>
      <c r="H55" s="3"/>
      <c r="I55" s="3" t="str">
        <f>IFERROR(__xludf.DUMMYFUNCTION("""COMPUTED_VALUE""")," ")</f>
        <v> </v>
      </c>
      <c r="J55" s="3" t="str">
        <f>IFERROR(__xludf.DUMMYFUNCTION("""COMPUTED_VALUE"""),"Y")</f>
        <v>Y</v>
      </c>
      <c r="K55" s="3" t="str">
        <f>IFERROR(__xludf.DUMMYFUNCTION("""COMPUTED_VALUE"""),"Y")</f>
        <v>Y</v>
      </c>
      <c r="L55" s="3" t="str">
        <f>IFERROR(__xludf.DUMMYFUNCTION("""COMPUTED_VALUE"""),"Group 5")</f>
        <v>Group 5</v>
      </c>
      <c r="M55" s="3"/>
      <c r="N55" s="5" t="str">
        <f>IFERROR(__xludf.DUMMYFUNCTION("""COMPUTED_VALUE"""),"Y")</f>
        <v>Y</v>
      </c>
      <c r="O55" s="5"/>
    </row>
    <row r="56">
      <c r="A56" s="2" t="str">
        <f>IFERROR(__xludf.DUMMYFUNCTION("""COMPUTED_VALUE"""),"0020")</f>
        <v>0020</v>
      </c>
      <c r="B56" s="2" t="str">
        <f>IFERROR(__xludf.DUMMYFUNCTION("""COMPUTED_VALUE"""),"Adams 12 Five Star Schools")</f>
        <v>Adams 12 Five Star Schools</v>
      </c>
      <c r="C56" s="2" t="str">
        <f>IFERROR(__xludf.DUMMYFUNCTION("""COMPUTED_VALUE"""),"06956")</f>
        <v>06956</v>
      </c>
      <c r="D56" s="2" t="str">
        <f>IFERROR(__xludf.DUMMYFUNCTION("""COMPUTED_VALUE"""),"PATHWAYS FUTURE CENTER")</f>
        <v>PATHWAYS FUTURE CENTER</v>
      </c>
      <c r="E56" s="3" t="str">
        <f>IFERROR(__xludf.DUMMYFUNCTION("""COMPUTED_VALUE"""),"Y")</f>
        <v>Y</v>
      </c>
      <c r="F56" s="3" t="str">
        <f>IFERROR(__xludf.DUMMYFUNCTION("""COMPUTED_VALUE"""),"Y")</f>
        <v>Y</v>
      </c>
      <c r="G56" s="3"/>
      <c r="H56" s="3"/>
      <c r="I56" s="3" t="str">
        <f>IFERROR(__xludf.DUMMYFUNCTION("""COMPUTED_VALUE""")," ")</f>
        <v> </v>
      </c>
      <c r="J56" s="3" t="str">
        <f>IFERROR(__xludf.DUMMYFUNCTION("""COMPUTED_VALUE"""),"Y")</f>
        <v>Y</v>
      </c>
      <c r="K56" s="3" t="str">
        <f>IFERROR(__xludf.DUMMYFUNCTION("""COMPUTED_VALUE"""),"Y")</f>
        <v>Y</v>
      </c>
      <c r="L56" s="3" t="str">
        <f>IFERROR(__xludf.DUMMYFUNCTION("""COMPUTED_VALUE"""),"Group 18")</f>
        <v>Group 18</v>
      </c>
      <c r="M56" s="3"/>
      <c r="N56" s="5" t="str">
        <f>IFERROR(__xludf.DUMMYFUNCTION("""COMPUTED_VALUE""")," ")</f>
        <v> </v>
      </c>
      <c r="O56" s="5"/>
    </row>
    <row r="57">
      <c r="A57" s="2" t="str">
        <f>IFERROR(__xludf.DUMMYFUNCTION("""COMPUTED_VALUE"""),"0020")</f>
        <v>0020</v>
      </c>
      <c r="B57" s="2" t="str">
        <f>IFERROR(__xludf.DUMMYFUNCTION("""COMPUTED_VALUE"""),"Adams 12 Five Star Schools")</f>
        <v>Adams 12 Five Star Schools</v>
      </c>
      <c r="C57" s="2" t="str">
        <f>IFERROR(__xludf.DUMMYFUNCTION("""COMPUTED_VALUE"""),"07155")</f>
        <v>07155</v>
      </c>
      <c r="D57" s="2" t="str">
        <f>IFERROR(__xludf.DUMMYFUNCTION("""COMPUTED_VALUE"""),"PRAIRIE HILLS ELEMENTARY")</f>
        <v>PRAIRIE HILLS ELEMENTARY</v>
      </c>
      <c r="E57" s="3" t="str">
        <f>IFERROR(__xludf.DUMMYFUNCTION("""COMPUTED_VALUE"""),"Y")</f>
        <v>Y</v>
      </c>
      <c r="F57" s="3" t="str">
        <f>IFERROR(__xludf.DUMMYFUNCTION("""COMPUTED_VALUE"""),"Y")</f>
        <v>Y</v>
      </c>
      <c r="G57" s="3"/>
      <c r="H57" s="3"/>
      <c r="I57" s="3" t="str">
        <f>IFERROR(__xludf.DUMMYFUNCTION("""COMPUTED_VALUE""")," ")</f>
        <v> </v>
      </c>
      <c r="J57" s="3" t="str">
        <f>IFERROR(__xludf.DUMMYFUNCTION("""COMPUTED_VALUE""")," ")</f>
        <v> </v>
      </c>
      <c r="K57" s="3" t="str">
        <f>IFERROR(__xludf.DUMMYFUNCTION("""COMPUTED_VALUE"""),"Y")</f>
        <v>Y</v>
      </c>
      <c r="L57" s="3" t="str">
        <f>IFERROR(__xludf.DUMMYFUNCTION("""COMPUTED_VALUE"""),"Group 5")</f>
        <v>Group 5</v>
      </c>
      <c r="M57" s="3"/>
      <c r="N57" s="5" t="str">
        <f>IFERROR(__xludf.DUMMYFUNCTION("""COMPUTED_VALUE""")," ")</f>
        <v> </v>
      </c>
      <c r="O57" s="5"/>
    </row>
    <row r="58">
      <c r="A58" s="2" t="str">
        <f>IFERROR(__xludf.DUMMYFUNCTION("""COMPUTED_VALUE"""),"0020")</f>
        <v>0020</v>
      </c>
      <c r="B58" s="2" t="str">
        <f>IFERROR(__xludf.DUMMYFUNCTION("""COMPUTED_VALUE"""),"Adams 12 Five Star Schools")</f>
        <v>Adams 12 Five Star Schools</v>
      </c>
      <c r="C58" s="2" t="str">
        <f>IFERROR(__xludf.DUMMYFUNCTION("""COMPUTED_VALUE"""),"07795")</f>
        <v>07795</v>
      </c>
      <c r="D58" s="2" t="str">
        <f>IFERROR(__xludf.DUMMYFUNCTION("""COMPUTED_VALUE"""),"SILVER CREEK ELEMENTARY")</f>
        <v>SILVER CREEK ELEMENTARY</v>
      </c>
      <c r="E58" s="3" t="str">
        <f>IFERROR(__xludf.DUMMYFUNCTION("""COMPUTED_VALUE"""),"Y")</f>
        <v>Y</v>
      </c>
      <c r="F58" s="3" t="str">
        <f>IFERROR(__xludf.DUMMYFUNCTION("""COMPUTED_VALUE"""),"Y")</f>
        <v>Y</v>
      </c>
      <c r="G58" s="3"/>
      <c r="H58" s="3"/>
      <c r="I58" s="3" t="str">
        <f>IFERROR(__xludf.DUMMYFUNCTION("""COMPUTED_VALUE""")," ")</f>
        <v> </v>
      </c>
      <c r="J58" s="3" t="str">
        <f>IFERROR(__xludf.DUMMYFUNCTION("""COMPUTED_VALUE""")," ")</f>
        <v> </v>
      </c>
      <c r="K58" s="3" t="str">
        <f>IFERROR(__xludf.DUMMYFUNCTION("""COMPUTED_VALUE"""),"Y")</f>
        <v>Y</v>
      </c>
      <c r="L58" s="3" t="str">
        <f>IFERROR(__xludf.DUMMYFUNCTION("""COMPUTED_VALUE"""),"Group 5")</f>
        <v>Group 5</v>
      </c>
      <c r="M58" s="3"/>
      <c r="N58" s="5" t="str">
        <f>IFERROR(__xludf.DUMMYFUNCTION("""COMPUTED_VALUE""")," ")</f>
        <v> </v>
      </c>
      <c r="O58" s="5"/>
    </row>
    <row r="59">
      <c r="A59" s="2" t="str">
        <f>IFERROR(__xludf.DUMMYFUNCTION("""COMPUTED_VALUE"""),"0020")</f>
        <v>0020</v>
      </c>
      <c r="B59" s="2" t="str">
        <f>IFERROR(__xludf.DUMMYFUNCTION("""COMPUTED_VALUE"""),"Adams 12 Five Star Schools")</f>
        <v>Adams 12 Five Star Schools</v>
      </c>
      <c r="C59" s="2" t="str">
        <f>IFERROR(__xludf.DUMMYFUNCTION("""COMPUTED_VALUE"""),"08211")</f>
        <v>08211</v>
      </c>
      <c r="D59" s="2" t="str">
        <f>IFERROR(__xludf.DUMMYFUNCTION("""COMPUTED_VALUE"""),"THE STUDIO SCHOOL")</f>
        <v>THE STUDIO SCHOOL</v>
      </c>
      <c r="E59" s="3" t="str">
        <f>IFERROR(__xludf.DUMMYFUNCTION("""COMPUTED_VALUE"""),"Y")</f>
        <v>Y</v>
      </c>
      <c r="F59" s="3" t="str">
        <f>IFERROR(__xludf.DUMMYFUNCTION("""COMPUTED_VALUE"""),"Y")</f>
        <v>Y</v>
      </c>
      <c r="G59" s="3"/>
      <c r="H59" s="3"/>
      <c r="I59" s="3" t="str">
        <f>IFERROR(__xludf.DUMMYFUNCTION("""COMPUTED_VALUE""")," ")</f>
        <v> </v>
      </c>
      <c r="J59" s="3" t="str">
        <f>IFERROR(__xludf.DUMMYFUNCTION("""COMPUTED_VALUE""")," ")</f>
        <v> </v>
      </c>
      <c r="K59" s="3" t="str">
        <f>IFERROR(__xludf.DUMMYFUNCTION("""COMPUTED_VALUE"""),"Y")</f>
        <v>Y</v>
      </c>
      <c r="L59" s="3" t="str">
        <f>IFERROR(__xludf.DUMMYFUNCTION("""COMPUTED_VALUE"""),"Group 8")</f>
        <v>Group 8</v>
      </c>
      <c r="M59" s="3"/>
      <c r="N59" s="5" t="str">
        <f>IFERROR(__xludf.DUMMYFUNCTION("""COMPUTED_VALUE"""),"Y")</f>
        <v>Y</v>
      </c>
      <c r="O59" s="5"/>
    </row>
    <row r="60">
      <c r="A60" s="2" t="str">
        <f>IFERROR(__xludf.DUMMYFUNCTION("""COMPUTED_VALUE"""),"0020")</f>
        <v>0020</v>
      </c>
      <c r="B60" s="2" t="str">
        <f>IFERROR(__xludf.DUMMYFUNCTION("""COMPUTED_VALUE"""),"Adams 12 Five Star Schools")</f>
        <v>Adams 12 Five Star Schools</v>
      </c>
      <c r="C60" s="2" t="str">
        <f>IFERROR(__xludf.DUMMYFUNCTION("""COMPUTED_VALUE"""),"08225")</f>
        <v>08225</v>
      </c>
      <c r="D60" s="2" t="str">
        <f>IFERROR(__xludf.DUMMYFUNCTION("""COMPUTED_VALUE"""),"STELLAR ELEMENTARY SCHOOL")</f>
        <v>STELLAR ELEMENTARY SCHOOL</v>
      </c>
      <c r="E60" s="3" t="str">
        <f>IFERROR(__xludf.DUMMYFUNCTION("""COMPUTED_VALUE"""),"Y")</f>
        <v>Y</v>
      </c>
      <c r="F60" s="3" t="str">
        <f>IFERROR(__xludf.DUMMYFUNCTION("""COMPUTED_VALUE"""),"Y")</f>
        <v>Y</v>
      </c>
      <c r="G60" s="3"/>
      <c r="H60" s="3"/>
      <c r="I60" s="3" t="str">
        <f>IFERROR(__xludf.DUMMYFUNCTION("""COMPUTED_VALUE""")," ")</f>
        <v> </v>
      </c>
      <c r="J60" s="3" t="str">
        <f>IFERROR(__xludf.DUMMYFUNCTION("""COMPUTED_VALUE""")," ")</f>
        <v> </v>
      </c>
      <c r="K60" s="3" t="str">
        <f>IFERROR(__xludf.DUMMYFUNCTION("""COMPUTED_VALUE"""),"Y")</f>
        <v>Y</v>
      </c>
      <c r="L60" s="3" t="str">
        <f>IFERROR(__xludf.DUMMYFUNCTION("""COMPUTED_VALUE"""),"Group 10")</f>
        <v>Group 10</v>
      </c>
      <c r="M60" s="3"/>
      <c r="N60" s="5" t="str">
        <f>IFERROR(__xludf.DUMMYFUNCTION("""COMPUTED_VALUE""")," ")</f>
        <v> </v>
      </c>
      <c r="O60" s="5"/>
    </row>
    <row r="61">
      <c r="A61" s="2" t="str">
        <f>IFERROR(__xludf.DUMMYFUNCTION("""COMPUTED_VALUE"""),"0020")</f>
        <v>0020</v>
      </c>
      <c r="B61" s="2" t="str">
        <f>IFERROR(__xludf.DUMMYFUNCTION("""COMPUTED_VALUE"""),"Adams 12 Five Star Schools")</f>
        <v>Adams 12 Five Star Schools</v>
      </c>
      <c r="C61" s="2" t="str">
        <f>IFERROR(__xludf.DUMMYFUNCTION("""COMPUTED_VALUE"""),"08275")</f>
        <v>08275</v>
      </c>
      <c r="D61" s="2" t="str">
        <f>IFERROR(__xludf.DUMMYFUNCTION("""COMPUTED_VALUE"""),"STEM LAB")</f>
        <v>STEM LAB</v>
      </c>
      <c r="E61" s="3" t="str">
        <f>IFERROR(__xludf.DUMMYFUNCTION("""COMPUTED_VALUE"""),"Y")</f>
        <v>Y</v>
      </c>
      <c r="F61" s="3" t="str">
        <f>IFERROR(__xludf.DUMMYFUNCTION("""COMPUTED_VALUE"""),"Y")</f>
        <v>Y</v>
      </c>
      <c r="G61" s="3"/>
      <c r="H61" s="3"/>
      <c r="I61" s="3" t="str">
        <f>IFERROR(__xludf.DUMMYFUNCTION("""COMPUTED_VALUE""")," ")</f>
        <v> </v>
      </c>
      <c r="J61" s="3" t="str">
        <f>IFERROR(__xludf.DUMMYFUNCTION("""COMPUTED_VALUE""")," ")</f>
        <v> </v>
      </c>
      <c r="K61" s="3" t="str">
        <f>IFERROR(__xludf.DUMMYFUNCTION("""COMPUTED_VALUE"""),"Y")</f>
        <v>Y</v>
      </c>
      <c r="L61" s="3" t="str">
        <f>IFERROR(__xludf.DUMMYFUNCTION("""COMPUTED_VALUE"""),"Group 1")</f>
        <v>Group 1</v>
      </c>
      <c r="M61" s="3"/>
      <c r="N61" s="5" t="str">
        <f>IFERROR(__xludf.DUMMYFUNCTION("""COMPUTED_VALUE""")," ")</f>
        <v> </v>
      </c>
      <c r="O61" s="5"/>
    </row>
    <row r="62">
      <c r="A62" s="2" t="str">
        <f>IFERROR(__xludf.DUMMYFUNCTION("""COMPUTED_VALUE"""),"0020")</f>
        <v>0020</v>
      </c>
      <c r="B62" s="2" t="str">
        <f>IFERROR(__xludf.DUMMYFUNCTION("""COMPUTED_VALUE"""),"Adams 12 Five Star Schools")</f>
        <v>Adams 12 Five Star Schools</v>
      </c>
      <c r="C62" s="2" t="str">
        <f>IFERROR(__xludf.DUMMYFUNCTION("""COMPUTED_VALUE"""),"08310")</f>
        <v>08310</v>
      </c>
      <c r="D62" s="2" t="str">
        <f>IFERROR(__xludf.DUMMYFUNCTION("""COMPUTED_VALUE"""),"STEM LAUNCH")</f>
        <v>STEM LAUNCH</v>
      </c>
      <c r="E62" s="3" t="str">
        <f>IFERROR(__xludf.DUMMYFUNCTION("""COMPUTED_VALUE"""),"Y")</f>
        <v>Y</v>
      </c>
      <c r="F62" s="3" t="str">
        <f>IFERROR(__xludf.DUMMYFUNCTION("""COMPUTED_VALUE"""),"Y")</f>
        <v>Y</v>
      </c>
      <c r="G62" s="3"/>
      <c r="H62" s="3"/>
      <c r="I62" s="3" t="str">
        <f>IFERROR(__xludf.DUMMYFUNCTION("""COMPUTED_VALUE""")," ")</f>
        <v> </v>
      </c>
      <c r="J62" s="3" t="str">
        <f>IFERROR(__xludf.DUMMYFUNCTION("""COMPUTED_VALUE"""),"Y")</f>
        <v>Y</v>
      </c>
      <c r="K62" s="3" t="str">
        <f>IFERROR(__xludf.DUMMYFUNCTION("""COMPUTED_VALUE"""),"Y")</f>
        <v>Y</v>
      </c>
      <c r="L62" s="3" t="str">
        <f>IFERROR(__xludf.DUMMYFUNCTION("""COMPUTED_VALUE"""),"Group 7")</f>
        <v>Group 7</v>
      </c>
      <c r="M62" s="3"/>
      <c r="N62" s="5" t="str">
        <f>IFERROR(__xludf.DUMMYFUNCTION("""COMPUTED_VALUE""")," ")</f>
        <v> </v>
      </c>
      <c r="O62" s="5"/>
    </row>
    <row r="63">
      <c r="A63" s="2" t="str">
        <f>IFERROR(__xludf.DUMMYFUNCTION("""COMPUTED_VALUE"""),"0020")</f>
        <v>0020</v>
      </c>
      <c r="B63" s="2" t="str">
        <f>IFERROR(__xludf.DUMMYFUNCTION("""COMPUTED_VALUE"""),"Adams 12 Five Star Schools")</f>
        <v>Adams 12 Five Star Schools</v>
      </c>
      <c r="C63" s="2" t="str">
        <f>IFERROR(__xludf.DUMMYFUNCTION("""COMPUTED_VALUE"""),"08361")</f>
        <v>08361</v>
      </c>
      <c r="D63" s="2" t="str">
        <f>IFERROR(__xludf.DUMMYFUNCTION("""COMPUTED_VALUE"""),"STUKEY ELEMENTARY SCHOOL")</f>
        <v>STUKEY ELEMENTARY SCHOOL</v>
      </c>
      <c r="E63" s="3" t="str">
        <f>IFERROR(__xludf.DUMMYFUNCTION("""COMPUTED_VALUE"""),"Y")</f>
        <v>Y</v>
      </c>
      <c r="F63" s="3" t="str">
        <f>IFERROR(__xludf.DUMMYFUNCTION("""COMPUTED_VALUE"""),"Y")</f>
        <v>Y</v>
      </c>
      <c r="G63" s="3" t="str">
        <f>IFERROR(__xludf.DUMMYFUNCTION("""COMPUTED_VALUE"""),"Y")</f>
        <v>Y</v>
      </c>
      <c r="H63" s="3"/>
      <c r="I63" s="3" t="str">
        <f>IFERROR(__xludf.DUMMYFUNCTION("""COMPUTED_VALUE""")," ")</f>
        <v> </v>
      </c>
      <c r="J63" s="3" t="str">
        <f>IFERROR(__xludf.DUMMYFUNCTION("""COMPUTED_VALUE"""),"Y")</f>
        <v>Y</v>
      </c>
      <c r="K63" s="3" t="str">
        <f>IFERROR(__xludf.DUMMYFUNCTION("""COMPUTED_VALUE"""),"Y")</f>
        <v>Y</v>
      </c>
      <c r="L63" s="3" t="str">
        <f>IFERROR(__xludf.DUMMYFUNCTION("""COMPUTED_VALUE"""),"Group 10")</f>
        <v>Group 10</v>
      </c>
      <c r="M63" s="3"/>
      <c r="N63" s="5" t="str">
        <f>IFERROR(__xludf.DUMMYFUNCTION("""COMPUTED_VALUE""")," ")</f>
        <v> </v>
      </c>
      <c r="O63" s="5"/>
    </row>
    <row r="64">
      <c r="A64" s="2" t="str">
        <f>IFERROR(__xludf.DUMMYFUNCTION("""COMPUTED_VALUE"""),"0020")</f>
        <v>0020</v>
      </c>
      <c r="B64" s="2" t="str">
        <f>IFERROR(__xludf.DUMMYFUNCTION("""COMPUTED_VALUE"""),"Adams 12 Five Star Schools")</f>
        <v>Adams 12 Five Star Schools</v>
      </c>
      <c r="C64" s="2" t="str">
        <f>IFERROR(__xludf.DUMMYFUNCTION("""COMPUTED_VALUE"""),"08814")</f>
        <v>08814</v>
      </c>
      <c r="D64" s="2" t="str">
        <f>IFERROR(__xludf.DUMMYFUNCTION("""COMPUTED_VALUE"""),"Thunder Vista P-8")</f>
        <v>Thunder Vista P-8</v>
      </c>
      <c r="E64" s="3" t="str">
        <f>IFERROR(__xludf.DUMMYFUNCTION("""COMPUTED_VALUE"""),"Y")</f>
        <v>Y</v>
      </c>
      <c r="F64" s="3" t="str">
        <f>IFERROR(__xludf.DUMMYFUNCTION("""COMPUTED_VALUE"""),"Y")</f>
        <v>Y</v>
      </c>
      <c r="G64" s="3"/>
      <c r="H64" s="3"/>
      <c r="I64" s="3" t="str">
        <f>IFERROR(__xludf.DUMMYFUNCTION("""COMPUTED_VALUE""")," ")</f>
        <v> </v>
      </c>
      <c r="J64" s="3" t="str">
        <f>IFERROR(__xludf.DUMMYFUNCTION("""COMPUTED_VALUE""")," ")</f>
        <v> </v>
      </c>
      <c r="K64" s="3" t="str">
        <f>IFERROR(__xludf.DUMMYFUNCTION("""COMPUTED_VALUE"""),"Y")</f>
        <v>Y</v>
      </c>
      <c r="L64" s="3" t="str">
        <f>IFERROR(__xludf.DUMMYFUNCTION("""COMPUTED_VALUE"""),"Group 5")</f>
        <v>Group 5</v>
      </c>
      <c r="M64" s="3"/>
      <c r="N64" s="5" t="str">
        <f>IFERROR(__xludf.DUMMYFUNCTION("""COMPUTED_VALUE""")," ")</f>
        <v> </v>
      </c>
      <c r="O64" s="5"/>
    </row>
    <row r="65">
      <c r="A65" s="2" t="str">
        <f>IFERROR(__xludf.DUMMYFUNCTION("""COMPUTED_VALUE"""),"0020")</f>
        <v>0020</v>
      </c>
      <c r="B65" s="2" t="str">
        <f>IFERROR(__xludf.DUMMYFUNCTION("""COMPUTED_VALUE"""),"Adams 12 Five Star Schools")</f>
        <v>Adams 12 Five Star Schools</v>
      </c>
      <c r="C65" s="2" t="str">
        <f>IFERROR(__xludf.DUMMYFUNCTION("""COMPUTED_VALUE"""),"08842")</f>
        <v>08842</v>
      </c>
      <c r="D65" s="2" t="str">
        <f>IFERROR(__xludf.DUMMYFUNCTION("""COMPUTED_VALUE"""),"THORNTON ELEMENTARY SCHOOL")</f>
        <v>THORNTON ELEMENTARY SCHOOL</v>
      </c>
      <c r="E65" s="3" t="str">
        <f>IFERROR(__xludf.DUMMYFUNCTION("""COMPUTED_VALUE"""),"Y")</f>
        <v>Y</v>
      </c>
      <c r="F65" s="3" t="str">
        <f>IFERROR(__xludf.DUMMYFUNCTION("""COMPUTED_VALUE"""),"Y")</f>
        <v>Y</v>
      </c>
      <c r="G65" s="3" t="str">
        <f>IFERROR(__xludf.DUMMYFUNCTION("""COMPUTED_VALUE"""),"Y")</f>
        <v>Y</v>
      </c>
      <c r="H65" s="3"/>
      <c r="I65" s="3" t="str">
        <f>IFERROR(__xludf.DUMMYFUNCTION("""COMPUTED_VALUE""")," ")</f>
        <v> </v>
      </c>
      <c r="J65" s="3" t="str">
        <f>IFERROR(__xludf.DUMMYFUNCTION("""COMPUTED_VALUE"""),"Y")</f>
        <v>Y</v>
      </c>
      <c r="K65" s="3" t="str">
        <f>IFERROR(__xludf.DUMMYFUNCTION("""COMPUTED_VALUE"""),"Y")</f>
        <v>Y</v>
      </c>
      <c r="L65" s="3" t="str">
        <f>IFERROR(__xludf.DUMMYFUNCTION("""COMPUTED_VALUE"""),"Group 2")</f>
        <v>Group 2</v>
      </c>
      <c r="M65" s="3"/>
      <c r="N65" s="5" t="str">
        <f>IFERROR(__xludf.DUMMYFUNCTION("""COMPUTED_VALUE"""),"Y")</f>
        <v>Y</v>
      </c>
      <c r="O65" s="5"/>
    </row>
    <row r="66">
      <c r="A66" s="2" t="str">
        <f>IFERROR(__xludf.DUMMYFUNCTION("""COMPUTED_VALUE"""),"0020")</f>
        <v>0020</v>
      </c>
      <c r="B66" s="2" t="str">
        <f>IFERROR(__xludf.DUMMYFUNCTION("""COMPUTED_VALUE"""),"Adams 12 Five Star Schools")</f>
        <v>Adams 12 Five Star Schools</v>
      </c>
      <c r="C66" s="2" t="str">
        <f>IFERROR(__xludf.DUMMYFUNCTION("""COMPUTED_VALUE"""),"09444")</f>
        <v>09444</v>
      </c>
      <c r="D66" s="2" t="str">
        <f>IFERROR(__xludf.DUMMYFUNCTION("""COMPUTED_VALUE"""),"WESTLAKE MIDDLE SCHOOL")</f>
        <v>WESTLAKE MIDDLE SCHOOL</v>
      </c>
      <c r="E66" s="3" t="str">
        <f>IFERROR(__xludf.DUMMYFUNCTION("""COMPUTED_VALUE"""),"Y")</f>
        <v>Y</v>
      </c>
      <c r="F66" s="3" t="str">
        <f>IFERROR(__xludf.DUMMYFUNCTION("""COMPUTED_VALUE"""),"Y")</f>
        <v>Y</v>
      </c>
      <c r="G66" s="3"/>
      <c r="H66" s="3"/>
      <c r="I66" s="3" t="str">
        <f>IFERROR(__xludf.DUMMYFUNCTION("""COMPUTED_VALUE""")," ")</f>
        <v> </v>
      </c>
      <c r="J66" s="3" t="str">
        <f>IFERROR(__xludf.DUMMYFUNCTION("""COMPUTED_VALUE""")," ")</f>
        <v> </v>
      </c>
      <c r="K66" s="3" t="str">
        <f>IFERROR(__xludf.DUMMYFUNCTION("""COMPUTED_VALUE"""),"Y")</f>
        <v>Y</v>
      </c>
      <c r="L66" s="3" t="str">
        <f>IFERROR(__xludf.DUMMYFUNCTION("""COMPUTED_VALUE""")," ")</f>
        <v> </v>
      </c>
      <c r="M66" s="3"/>
      <c r="N66" s="5" t="str">
        <f>IFERROR(__xludf.DUMMYFUNCTION("""COMPUTED_VALUE""")," ")</f>
        <v> </v>
      </c>
      <c r="O66" s="5"/>
    </row>
    <row r="67">
      <c r="A67" s="2" t="str">
        <f>IFERROR(__xludf.DUMMYFUNCTION("""COMPUTED_VALUE"""),"0020")</f>
        <v>0020</v>
      </c>
      <c r="B67" s="2" t="str">
        <f>IFERROR(__xludf.DUMMYFUNCTION("""COMPUTED_VALUE"""),"Adams 12 Five Star Schools")</f>
        <v>Adams 12 Five Star Schools</v>
      </c>
      <c r="C67" s="2" t="str">
        <f>IFERROR(__xludf.DUMMYFUNCTION("""COMPUTED_VALUE"""),"09494")</f>
        <v>09494</v>
      </c>
      <c r="D67" s="2" t="str">
        <f>IFERROR(__xludf.DUMMYFUNCTION("""COMPUTED_VALUE"""),"WESTVIEW ELEMENTARY SCHOOL")</f>
        <v>WESTVIEW ELEMENTARY SCHOOL</v>
      </c>
      <c r="E67" s="3" t="str">
        <f>IFERROR(__xludf.DUMMYFUNCTION("""COMPUTED_VALUE"""),"Y")</f>
        <v>Y</v>
      </c>
      <c r="F67" s="3" t="str">
        <f>IFERROR(__xludf.DUMMYFUNCTION("""COMPUTED_VALUE"""),"Y")</f>
        <v>Y</v>
      </c>
      <c r="G67" s="3"/>
      <c r="H67" s="3"/>
      <c r="I67" s="3" t="str">
        <f>IFERROR(__xludf.DUMMYFUNCTION("""COMPUTED_VALUE""")," ")</f>
        <v> </v>
      </c>
      <c r="J67" s="3" t="str">
        <f>IFERROR(__xludf.DUMMYFUNCTION("""COMPUTED_VALUE"""),"Y")</f>
        <v>Y</v>
      </c>
      <c r="K67" s="3" t="str">
        <f>IFERROR(__xludf.DUMMYFUNCTION("""COMPUTED_VALUE"""),"Y")</f>
        <v>Y</v>
      </c>
      <c r="L67" s="3" t="str">
        <f>IFERROR(__xludf.DUMMYFUNCTION("""COMPUTED_VALUE"""),"Group 13")</f>
        <v>Group 13</v>
      </c>
      <c r="M67" s="3"/>
      <c r="N67" s="5" t="str">
        <f>IFERROR(__xludf.DUMMYFUNCTION("""COMPUTED_VALUE""")," ")</f>
        <v> </v>
      </c>
      <c r="O67" s="5"/>
    </row>
    <row r="68">
      <c r="A68" s="2" t="str">
        <f>IFERROR(__xludf.DUMMYFUNCTION("""COMPUTED_VALUE"""),"0020")</f>
        <v>0020</v>
      </c>
      <c r="B68" s="2" t="str">
        <f>IFERROR(__xludf.DUMMYFUNCTION("""COMPUTED_VALUE"""),"Adams 12 Five Star Schools")</f>
        <v>Adams 12 Five Star Schools</v>
      </c>
      <c r="C68" s="2" t="str">
        <f>IFERROR(__xludf.DUMMYFUNCTION("""COMPUTED_VALUE"""),"09682")</f>
        <v>09682</v>
      </c>
      <c r="D68" s="2" t="str">
        <f>IFERROR(__xludf.DUMMYFUNCTION("""COMPUTED_VALUE"""),"WOODGLEN ELEMENTARY SCHOOL")</f>
        <v>WOODGLEN ELEMENTARY SCHOOL</v>
      </c>
      <c r="E68" s="3" t="str">
        <f>IFERROR(__xludf.DUMMYFUNCTION("""COMPUTED_VALUE"""),"Y")</f>
        <v>Y</v>
      </c>
      <c r="F68" s="3" t="str">
        <f>IFERROR(__xludf.DUMMYFUNCTION("""COMPUTED_VALUE"""),"Y")</f>
        <v>Y</v>
      </c>
      <c r="G68" s="3"/>
      <c r="H68" s="3"/>
      <c r="I68" s="3" t="str">
        <f>IFERROR(__xludf.DUMMYFUNCTION("""COMPUTED_VALUE""")," ")</f>
        <v> </v>
      </c>
      <c r="J68" s="3" t="str">
        <f>IFERROR(__xludf.DUMMYFUNCTION("""COMPUTED_VALUE""")," ")</f>
        <v> </v>
      </c>
      <c r="K68" s="3" t="str">
        <f>IFERROR(__xludf.DUMMYFUNCTION("""COMPUTED_VALUE"""),"Y")</f>
        <v>Y</v>
      </c>
      <c r="L68" s="3" t="str">
        <f>IFERROR(__xludf.DUMMYFUNCTION("""COMPUTED_VALUE"""),"Group 15")</f>
        <v>Group 15</v>
      </c>
      <c r="M68" s="3"/>
      <c r="N68" s="5" t="str">
        <f>IFERROR(__xludf.DUMMYFUNCTION("""COMPUTED_VALUE"""),"Y")</f>
        <v>Y</v>
      </c>
      <c r="O68" s="5"/>
    </row>
    <row r="69">
      <c r="A69" s="2" t="str">
        <f>IFERROR(__xludf.DUMMYFUNCTION("""COMPUTED_VALUE"""),"0030")</f>
        <v>0030</v>
      </c>
      <c r="B69" s="2" t="str">
        <f>IFERROR(__xludf.DUMMYFUNCTION("""COMPUTED_VALUE"""),"ADAMS COUNTY 14")</f>
        <v>ADAMS COUNTY 14</v>
      </c>
      <c r="C69" s="2" t="str">
        <f>IFERROR(__xludf.DUMMYFUNCTION("""COMPUTED_VALUE"""),"00020")</f>
        <v>00020</v>
      </c>
      <c r="D69" s="2" t="str">
        <f>IFERROR(__xludf.DUMMYFUNCTION("""COMPUTED_VALUE"""),"ADAMS CITY MIDDLE SCHOOL")</f>
        <v>ADAMS CITY MIDDLE SCHOOL</v>
      </c>
      <c r="E69" s="3" t="str">
        <f>IFERROR(__xludf.DUMMYFUNCTION("""COMPUTED_VALUE"""),"Y")</f>
        <v>Y</v>
      </c>
      <c r="F69" s="3" t="str">
        <f>IFERROR(__xludf.DUMMYFUNCTION("""COMPUTED_VALUE"""),"Y")</f>
        <v>Y</v>
      </c>
      <c r="G69" s="3" t="str">
        <f>IFERROR(__xludf.DUMMYFUNCTION("""COMPUTED_VALUE"""),"Y")</f>
        <v>Y</v>
      </c>
      <c r="H69" s="3"/>
      <c r="I69" s="3" t="str">
        <f>IFERROR(__xludf.DUMMYFUNCTION("""COMPUTED_VALUE""")," ")</f>
        <v> </v>
      </c>
      <c r="J69" s="3" t="str">
        <f>IFERROR(__xludf.DUMMYFUNCTION("""COMPUTED_VALUE"""),"Y")</f>
        <v>Y</v>
      </c>
      <c r="K69" s="3" t="str">
        <f>IFERROR(__xludf.DUMMYFUNCTION("""COMPUTED_VALUE"""),"Y")</f>
        <v>Y</v>
      </c>
      <c r="L69" s="3" t="str">
        <f>IFERROR(__xludf.DUMMYFUNCTION("""COMPUTED_VALUE"""),"Group 2")</f>
        <v>Group 2</v>
      </c>
      <c r="M69" s="3"/>
      <c r="N69" s="5" t="str">
        <f>IFERROR(__xludf.DUMMYFUNCTION("""COMPUTED_VALUE""")," ")</f>
        <v> </v>
      </c>
      <c r="O69" s="5"/>
    </row>
    <row r="70">
      <c r="A70" s="2" t="str">
        <f>IFERROR(__xludf.DUMMYFUNCTION("""COMPUTED_VALUE"""),"0030")</f>
        <v>0030</v>
      </c>
      <c r="B70" s="2" t="str">
        <f>IFERROR(__xludf.DUMMYFUNCTION("""COMPUTED_VALUE"""),"ADAMS COUNTY 14")</f>
        <v>ADAMS COUNTY 14</v>
      </c>
      <c r="C70" s="2" t="str">
        <f>IFERROR(__xludf.DUMMYFUNCTION("""COMPUTED_VALUE"""),"00022")</f>
        <v>00022</v>
      </c>
      <c r="D70" s="2" t="str">
        <f>IFERROR(__xludf.DUMMYFUNCTION("""COMPUTED_VALUE"""),"LESTER R ARNOLD HIGH SCHOOL")</f>
        <v>LESTER R ARNOLD HIGH SCHOOL</v>
      </c>
      <c r="E70" s="3" t="str">
        <f>IFERROR(__xludf.DUMMYFUNCTION("""COMPUTED_VALUE"""),"Y")</f>
        <v>Y</v>
      </c>
      <c r="F70" s="3" t="str">
        <f>IFERROR(__xludf.DUMMYFUNCTION("""COMPUTED_VALUE"""),"Y")</f>
        <v>Y</v>
      </c>
      <c r="G70" s="3" t="str">
        <f>IFERROR(__xludf.DUMMYFUNCTION("""COMPUTED_VALUE"""),"Y")</f>
        <v>Y</v>
      </c>
      <c r="H70" s="3"/>
      <c r="I70" s="3" t="str">
        <f>IFERROR(__xludf.DUMMYFUNCTION("""COMPUTED_VALUE""")," ")</f>
        <v> </v>
      </c>
      <c r="J70" s="3" t="str">
        <f>IFERROR(__xludf.DUMMYFUNCTION("""COMPUTED_VALUE"""),"Y")</f>
        <v>Y</v>
      </c>
      <c r="K70" s="3" t="str">
        <f>IFERROR(__xludf.DUMMYFUNCTION("""COMPUTED_VALUE"""),"Y")</f>
        <v>Y</v>
      </c>
      <c r="L70" s="3" t="str">
        <f>IFERROR(__xludf.DUMMYFUNCTION("""COMPUTED_VALUE"""),"Group 3")</f>
        <v>Group 3</v>
      </c>
      <c r="M70" s="3"/>
      <c r="N70" s="5" t="str">
        <f>IFERROR(__xludf.DUMMYFUNCTION("""COMPUTED_VALUE"""),"Y")</f>
        <v>Y</v>
      </c>
      <c r="O70" s="5"/>
    </row>
    <row r="71">
      <c r="A71" s="2" t="str">
        <f>IFERROR(__xludf.DUMMYFUNCTION("""COMPUTED_VALUE"""),"0030")</f>
        <v>0030</v>
      </c>
      <c r="B71" s="2" t="str">
        <f>IFERROR(__xludf.DUMMYFUNCTION("""COMPUTED_VALUE"""),"ADAMS COUNTY 14")</f>
        <v>ADAMS COUNTY 14</v>
      </c>
      <c r="C71" s="2" t="str">
        <f>IFERROR(__xludf.DUMMYFUNCTION("""COMPUTED_VALUE"""),"00024")</f>
        <v>00024</v>
      </c>
      <c r="D71" s="2" t="str">
        <f>IFERROR(__xludf.DUMMYFUNCTION("""COMPUTED_VALUE"""),"ADAMS CITY HIGH SCHOOL")</f>
        <v>ADAMS CITY HIGH SCHOOL</v>
      </c>
      <c r="E71" s="3" t="str">
        <f>IFERROR(__xludf.DUMMYFUNCTION("""COMPUTED_VALUE"""),"Y")</f>
        <v>Y</v>
      </c>
      <c r="F71" s="3" t="str">
        <f>IFERROR(__xludf.DUMMYFUNCTION("""COMPUTED_VALUE"""),"Y")</f>
        <v>Y</v>
      </c>
      <c r="G71" s="3" t="str">
        <f>IFERROR(__xludf.DUMMYFUNCTION("""COMPUTED_VALUE"""),"Y")</f>
        <v>Y</v>
      </c>
      <c r="H71" s="3"/>
      <c r="I71" s="3" t="str">
        <f>IFERROR(__xludf.DUMMYFUNCTION("""COMPUTED_VALUE""")," ")</f>
        <v> </v>
      </c>
      <c r="J71" s="3" t="str">
        <f>IFERROR(__xludf.DUMMYFUNCTION("""COMPUTED_VALUE"""),"Y")</f>
        <v>Y</v>
      </c>
      <c r="K71" s="3" t="str">
        <f>IFERROR(__xludf.DUMMYFUNCTION("""COMPUTED_VALUE"""),"Y")</f>
        <v>Y</v>
      </c>
      <c r="L71" s="3" t="str">
        <f>IFERROR(__xludf.DUMMYFUNCTION("""COMPUTED_VALUE"""),"Group 4")</f>
        <v>Group 4</v>
      </c>
      <c r="M71" s="3"/>
      <c r="N71" s="5" t="str">
        <f>IFERROR(__xludf.DUMMYFUNCTION("""COMPUTED_VALUE""")," ")</f>
        <v> </v>
      </c>
      <c r="O71" s="5"/>
    </row>
    <row r="72">
      <c r="A72" s="2" t="str">
        <f>IFERROR(__xludf.DUMMYFUNCTION("""COMPUTED_VALUE"""),"0030")</f>
        <v>0030</v>
      </c>
      <c r="B72" s="2" t="str">
        <f>IFERROR(__xludf.DUMMYFUNCTION("""COMPUTED_VALUE"""),"ADAMS COUNTY 14")</f>
        <v>ADAMS COUNTY 14</v>
      </c>
      <c r="C72" s="2" t="str">
        <f>IFERROR(__xludf.DUMMYFUNCTION("""COMPUTED_VALUE"""),"00186")</f>
        <v>00186</v>
      </c>
      <c r="D72" s="2" t="str">
        <f>IFERROR(__xludf.DUMMYFUNCTION("""COMPUTED_VALUE"""),"ALSUP ELEMENTARY SCHOOL")</f>
        <v>ALSUP ELEMENTARY SCHOOL</v>
      </c>
      <c r="E72" s="3" t="str">
        <f>IFERROR(__xludf.DUMMYFUNCTION("""COMPUTED_VALUE"""),"Y")</f>
        <v>Y</v>
      </c>
      <c r="F72" s="3" t="str">
        <f>IFERROR(__xludf.DUMMYFUNCTION("""COMPUTED_VALUE"""),"Y")</f>
        <v>Y</v>
      </c>
      <c r="G72" s="3" t="str">
        <f>IFERROR(__xludf.DUMMYFUNCTION("""COMPUTED_VALUE"""),"Y")</f>
        <v>Y</v>
      </c>
      <c r="H72" s="3"/>
      <c r="I72" s="3" t="str">
        <f>IFERROR(__xludf.DUMMYFUNCTION("""COMPUTED_VALUE"""),"Y")</f>
        <v>Y</v>
      </c>
      <c r="J72" s="3" t="str">
        <f>IFERROR(__xludf.DUMMYFUNCTION("""COMPUTED_VALUE"""),"Y")</f>
        <v>Y</v>
      </c>
      <c r="K72" s="3" t="str">
        <f>IFERROR(__xludf.DUMMYFUNCTION("""COMPUTED_VALUE"""),"Y")</f>
        <v>Y</v>
      </c>
      <c r="L72" s="3" t="str">
        <f>IFERROR(__xludf.DUMMYFUNCTION("""COMPUTED_VALUE"""),"Group 2")</f>
        <v>Group 2</v>
      </c>
      <c r="M72" s="3"/>
      <c r="N72" s="5" t="str">
        <f>IFERROR(__xludf.DUMMYFUNCTION("""COMPUTED_VALUE""")," ")</f>
        <v> </v>
      </c>
      <c r="O72" s="5"/>
    </row>
    <row r="73">
      <c r="A73" s="2" t="str">
        <f>IFERROR(__xludf.DUMMYFUNCTION("""COMPUTED_VALUE"""),"0030")</f>
        <v>0030</v>
      </c>
      <c r="B73" s="2" t="str">
        <f>IFERROR(__xludf.DUMMYFUNCTION("""COMPUTED_VALUE"""),"ADAMS COUNTY 14")</f>
        <v>ADAMS COUNTY 14</v>
      </c>
      <c r="C73" s="2" t="str">
        <f>IFERROR(__xludf.DUMMYFUNCTION("""COMPUTED_VALUE"""),"01426")</f>
        <v>01426</v>
      </c>
      <c r="D73" s="2" t="str">
        <f>IFERROR(__xludf.DUMMYFUNCTION("""COMPUTED_VALUE"""),"CENTRAL ELEMENTARY SCHOOL")</f>
        <v>CENTRAL ELEMENTARY SCHOOL</v>
      </c>
      <c r="E73" s="3" t="str">
        <f>IFERROR(__xludf.DUMMYFUNCTION("""COMPUTED_VALUE"""),"Y")</f>
        <v>Y</v>
      </c>
      <c r="F73" s="3" t="str">
        <f>IFERROR(__xludf.DUMMYFUNCTION("""COMPUTED_VALUE"""),"Y")</f>
        <v>Y</v>
      </c>
      <c r="G73" s="3" t="str">
        <f>IFERROR(__xludf.DUMMYFUNCTION("""COMPUTED_VALUE"""),"Y")</f>
        <v>Y</v>
      </c>
      <c r="H73" s="3"/>
      <c r="I73" s="3" t="str">
        <f>IFERROR(__xludf.DUMMYFUNCTION("""COMPUTED_VALUE"""),"Y")</f>
        <v>Y</v>
      </c>
      <c r="J73" s="3" t="str">
        <f>IFERROR(__xludf.DUMMYFUNCTION("""COMPUTED_VALUE"""),"Y")</f>
        <v>Y</v>
      </c>
      <c r="K73" s="3" t="str">
        <f>IFERROR(__xludf.DUMMYFUNCTION("""COMPUTED_VALUE"""),"Y")</f>
        <v>Y</v>
      </c>
      <c r="L73" s="3" t="str">
        <f>IFERROR(__xludf.DUMMYFUNCTION("""COMPUTED_VALUE"""),"Group 2")</f>
        <v>Group 2</v>
      </c>
      <c r="M73" s="3"/>
      <c r="N73" s="5" t="str">
        <f>IFERROR(__xludf.DUMMYFUNCTION("""COMPUTED_VALUE"""),"Y")</f>
        <v>Y</v>
      </c>
      <c r="O73" s="5"/>
    </row>
    <row r="74">
      <c r="A74" s="2" t="str">
        <f>IFERROR(__xludf.DUMMYFUNCTION("""COMPUTED_VALUE"""),"0030")</f>
        <v>0030</v>
      </c>
      <c r="B74" s="2" t="str">
        <f>IFERROR(__xludf.DUMMYFUNCTION("""COMPUTED_VALUE"""),"ADAMS COUNTY 14")</f>
        <v>ADAMS COUNTY 14</v>
      </c>
      <c r="C74" s="2" t="str">
        <f>IFERROR(__xludf.DUMMYFUNCTION("""COMPUTED_VALUE"""),"02308")</f>
        <v>02308</v>
      </c>
      <c r="D74" s="2" t="str">
        <f>IFERROR(__xludf.DUMMYFUNCTION("""COMPUTED_VALUE"""),"DUPONT ELEMENTARY SCHOOL")</f>
        <v>DUPONT ELEMENTARY SCHOOL</v>
      </c>
      <c r="E74" s="3" t="str">
        <f>IFERROR(__xludf.DUMMYFUNCTION("""COMPUTED_VALUE"""),"Y")</f>
        <v>Y</v>
      </c>
      <c r="F74" s="3" t="str">
        <f>IFERROR(__xludf.DUMMYFUNCTION("""COMPUTED_VALUE"""),"Y")</f>
        <v>Y</v>
      </c>
      <c r="G74" s="3" t="str">
        <f>IFERROR(__xludf.DUMMYFUNCTION("""COMPUTED_VALUE"""),"Y")</f>
        <v>Y</v>
      </c>
      <c r="H74" s="3"/>
      <c r="I74" s="3" t="str">
        <f>IFERROR(__xludf.DUMMYFUNCTION("""COMPUTED_VALUE"""),"Y")</f>
        <v>Y</v>
      </c>
      <c r="J74" s="3" t="str">
        <f>IFERROR(__xludf.DUMMYFUNCTION("""COMPUTED_VALUE"""),"Y")</f>
        <v>Y</v>
      </c>
      <c r="K74" s="3" t="str">
        <f>IFERROR(__xludf.DUMMYFUNCTION("""COMPUTED_VALUE"""),"Y")</f>
        <v>Y</v>
      </c>
      <c r="L74" s="3" t="str">
        <f>IFERROR(__xludf.DUMMYFUNCTION("""COMPUTED_VALUE"""),"Group 2")</f>
        <v>Group 2</v>
      </c>
      <c r="M74" s="3"/>
      <c r="N74" s="5" t="str">
        <f>IFERROR(__xludf.DUMMYFUNCTION("""COMPUTED_VALUE""")," ")</f>
        <v> </v>
      </c>
      <c r="O74" s="5"/>
    </row>
    <row r="75">
      <c r="A75" s="2" t="str">
        <f>IFERROR(__xludf.DUMMYFUNCTION("""COMPUTED_VALUE"""),"0030")</f>
        <v>0030</v>
      </c>
      <c r="B75" s="2" t="str">
        <f>IFERROR(__xludf.DUMMYFUNCTION("""COMPUTED_VALUE"""),"ADAMS COUNTY 14")</f>
        <v>ADAMS COUNTY 14</v>
      </c>
      <c r="C75" s="2" t="str">
        <f>IFERROR(__xludf.DUMMYFUNCTION("""COMPUTED_VALUE"""),"04516")</f>
        <v>04516</v>
      </c>
      <c r="D75" s="2" t="str">
        <f>IFERROR(__xludf.DUMMYFUNCTION("""COMPUTED_VALUE"""),"KEARNEY MIDDLE SCHOOL")</f>
        <v>KEARNEY MIDDLE SCHOOL</v>
      </c>
      <c r="E75" s="3" t="str">
        <f>IFERROR(__xludf.DUMMYFUNCTION("""COMPUTED_VALUE"""),"Y")</f>
        <v>Y</v>
      </c>
      <c r="F75" s="3" t="str">
        <f>IFERROR(__xludf.DUMMYFUNCTION("""COMPUTED_VALUE"""),"Y")</f>
        <v>Y</v>
      </c>
      <c r="G75" s="3" t="str">
        <f>IFERROR(__xludf.DUMMYFUNCTION("""COMPUTED_VALUE"""),"Y")</f>
        <v>Y</v>
      </c>
      <c r="H75" s="3"/>
      <c r="I75" s="3" t="str">
        <f>IFERROR(__xludf.DUMMYFUNCTION("""COMPUTED_VALUE""")," ")</f>
        <v> </v>
      </c>
      <c r="J75" s="3" t="str">
        <f>IFERROR(__xludf.DUMMYFUNCTION("""COMPUTED_VALUE"""),"Y")</f>
        <v>Y</v>
      </c>
      <c r="K75" s="3" t="str">
        <f>IFERROR(__xludf.DUMMYFUNCTION("""COMPUTED_VALUE"""),"Y")</f>
        <v>Y</v>
      </c>
      <c r="L75" s="3" t="str">
        <f>IFERROR(__xludf.DUMMYFUNCTION("""COMPUTED_VALUE"""),"Group 1")</f>
        <v>Group 1</v>
      </c>
      <c r="M75" s="3"/>
      <c r="N75" s="5" t="str">
        <f>IFERROR(__xludf.DUMMYFUNCTION("""COMPUTED_VALUE""")," ")</f>
        <v> </v>
      </c>
      <c r="O75" s="5"/>
    </row>
    <row r="76">
      <c r="A76" s="2" t="str">
        <f>IFERROR(__xludf.DUMMYFUNCTION("""COMPUTED_VALUE"""),"0030")</f>
        <v>0030</v>
      </c>
      <c r="B76" s="2" t="str">
        <f>IFERROR(__xludf.DUMMYFUNCTION("""COMPUTED_VALUE"""),"ADAMS COUNTY 14")</f>
        <v>ADAMS COUNTY 14</v>
      </c>
      <c r="C76" s="2" t="str">
        <f>IFERROR(__xludf.DUMMYFUNCTION("""COMPUTED_VALUE"""),"04536")</f>
        <v>04536</v>
      </c>
      <c r="D76" s="2" t="str">
        <f>IFERROR(__xludf.DUMMYFUNCTION("""COMPUTED_VALUE"""),"KEMP ELEMENTARY SCHOOL")</f>
        <v>KEMP ELEMENTARY SCHOOL</v>
      </c>
      <c r="E76" s="3" t="str">
        <f>IFERROR(__xludf.DUMMYFUNCTION("""COMPUTED_VALUE"""),"Y")</f>
        <v>Y</v>
      </c>
      <c r="F76" s="3" t="str">
        <f>IFERROR(__xludf.DUMMYFUNCTION("""COMPUTED_VALUE"""),"Y")</f>
        <v>Y</v>
      </c>
      <c r="G76" s="3" t="str">
        <f>IFERROR(__xludf.DUMMYFUNCTION("""COMPUTED_VALUE"""),"Y")</f>
        <v>Y</v>
      </c>
      <c r="H76" s="3"/>
      <c r="I76" s="3" t="str">
        <f>IFERROR(__xludf.DUMMYFUNCTION("""COMPUTED_VALUE"""),"Y")</f>
        <v>Y</v>
      </c>
      <c r="J76" s="3" t="str">
        <f>IFERROR(__xludf.DUMMYFUNCTION("""COMPUTED_VALUE"""),"Y")</f>
        <v>Y</v>
      </c>
      <c r="K76" s="3" t="str">
        <f>IFERROR(__xludf.DUMMYFUNCTION("""COMPUTED_VALUE"""),"Y")</f>
        <v>Y</v>
      </c>
      <c r="L76" s="3" t="str">
        <f>IFERROR(__xludf.DUMMYFUNCTION("""COMPUTED_VALUE"""),"Group 1")</f>
        <v>Group 1</v>
      </c>
      <c r="M76" s="3"/>
      <c r="N76" s="5" t="str">
        <f>IFERROR(__xludf.DUMMYFUNCTION("""COMPUTED_VALUE""")," ")</f>
        <v> </v>
      </c>
      <c r="O76" s="5"/>
    </row>
    <row r="77">
      <c r="A77" s="2" t="str">
        <f>IFERROR(__xludf.DUMMYFUNCTION("""COMPUTED_VALUE"""),"0030")</f>
        <v>0030</v>
      </c>
      <c r="B77" s="2" t="str">
        <f>IFERROR(__xludf.DUMMYFUNCTION("""COMPUTED_VALUE"""),"ADAMS COUNTY 14")</f>
        <v>ADAMS COUNTY 14</v>
      </c>
      <c r="C77" s="2" t="str">
        <f>IFERROR(__xludf.DUMMYFUNCTION("""COMPUTED_VALUE"""),"05982")</f>
        <v>05982</v>
      </c>
      <c r="D77" s="2" t="str">
        <f>IFERROR(__xludf.DUMMYFUNCTION("""COMPUTED_VALUE"""),"MONACO ELEMENTARY SCHOOL")</f>
        <v>MONACO ELEMENTARY SCHOOL</v>
      </c>
      <c r="E77" s="3" t="str">
        <f>IFERROR(__xludf.DUMMYFUNCTION("""COMPUTED_VALUE"""),"Y")</f>
        <v>Y</v>
      </c>
      <c r="F77" s="3" t="str">
        <f>IFERROR(__xludf.DUMMYFUNCTION("""COMPUTED_VALUE"""),"Y")</f>
        <v>Y</v>
      </c>
      <c r="G77" s="3" t="str">
        <f>IFERROR(__xludf.DUMMYFUNCTION("""COMPUTED_VALUE"""),"Y")</f>
        <v>Y</v>
      </c>
      <c r="H77" s="3"/>
      <c r="I77" s="3" t="str">
        <f>IFERROR(__xludf.DUMMYFUNCTION("""COMPUTED_VALUE"""),"Y")</f>
        <v>Y</v>
      </c>
      <c r="J77" s="3" t="str">
        <f>IFERROR(__xludf.DUMMYFUNCTION("""COMPUTED_VALUE"""),"Y")</f>
        <v>Y</v>
      </c>
      <c r="K77" s="3" t="str">
        <f>IFERROR(__xludf.DUMMYFUNCTION("""COMPUTED_VALUE"""),"Y")</f>
        <v>Y</v>
      </c>
      <c r="L77" s="3" t="str">
        <f>IFERROR(__xludf.DUMMYFUNCTION("""COMPUTED_VALUE"""),"Group 2")</f>
        <v>Group 2</v>
      </c>
      <c r="M77" s="3"/>
      <c r="N77" s="5" t="str">
        <f>IFERROR(__xludf.DUMMYFUNCTION("""COMPUTED_VALUE""")," ")</f>
        <v> </v>
      </c>
      <c r="O77" s="5"/>
    </row>
    <row r="78">
      <c r="A78" s="2" t="str">
        <f>IFERROR(__xludf.DUMMYFUNCTION("""COMPUTED_VALUE"""),"0030")</f>
        <v>0030</v>
      </c>
      <c r="B78" s="2" t="str">
        <f>IFERROR(__xludf.DUMMYFUNCTION("""COMPUTED_VALUE"""),"ADAMS COUNTY 14")</f>
        <v>ADAMS COUNTY 14</v>
      </c>
      <c r="C78" s="2" t="str">
        <f>IFERROR(__xludf.DUMMYFUNCTION("""COMPUTED_VALUE"""),"07500")</f>
        <v>07500</v>
      </c>
      <c r="D78" s="2" t="str">
        <f>IFERROR(__xludf.DUMMYFUNCTION("""COMPUTED_VALUE"""),"ROSE HILL ELEMENTARY SCHOOL")</f>
        <v>ROSE HILL ELEMENTARY SCHOOL</v>
      </c>
      <c r="E78" s="3" t="str">
        <f>IFERROR(__xludf.DUMMYFUNCTION("""COMPUTED_VALUE"""),"Y")</f>
        <v>Y</v>
      </c>
      <c r="F78" s="3" t="str">
        <f>IFERROR(__xludf.DUMMYFUNCTION("""COMPUTED_VALUE"""),"Y")</f>
        <v>Y</v>
      </c>
      <c r="G78" s="3" t="str">
        <f>IFERROR(__xludf.DUMMYFUNCTION("""COMPUTED_VALUE"""),"Y")</f>
        <v>Y</v>
      </c>
      <c r="H78" s="3"/>
      <c r="I78" s="3" t="str">
        <f>IFERROR(__xludf.DUMMYFUNCTION("""COMPUTED_VALUE"""),"Y")</f>
        <v>Y</v>
      </c>
      <c r="J78" s="3" t="str">
        <f>IFERROR(__xludf.DUMMYFUNCTION("""COMPUTED_VALUE"""),"Y")</f>
        <v>Y</v>
      </c>
      <c r="K78" s="3" t="str">
        <f>IFERROR(__xludf.DUMMYFUNCTION("""COMPUTED_VALUE"""),"Y")</f>
        <v>Y</v>
      </c>
      <c r="L78" s="3" t="str">
        <f>IFERROR(__xludf.DUMMYFUNCTION("""COMPUTED_VALUE"""),"Group 2")</f>
        <v>Group 2</v>
      </c>
      <c r="M78" s="3"/>
      <c r="N78" s="5" t="str">
        <f>IFERROR(__xludf.DUMMYFUNCTION("""COMPUTED_VALUE""")," ")</f>
        <v> </v>
      </c>
      <c r="O78" s="5"/>
    </row>
    <row r="79">
      <c r="A79" s="2" t="str">
        <f>IFERROR(__xludf.DUMMYFUNCTION("""COMPUTED_VALUE"""),"0040")</f>
        <v>0040</v>
      </c>
      <c r="B79" s="2" t="str">
        <f>IFERROR(__xludf.DUMMYFUNCTION("""COMPUTED_VALUE"""),"School District 27J")</f>
        <v>School District 27J</v>
      </c>
      <c r="C79" s="2" t="str">
        <f>IFERROR(__xludf.DUMMYFUNCTION("""COMPUTED_VALUE"""),"00251")</f>
        <v>00251</v>
      </c>
      <c r="D79" s="2" t="str">
        <f>IFERROR(__xludf.DUMMYFUNCTION("""COMPUTED_VALUE"""),"Elaine S. Padilla Elementary School")</f>
        <v>Elaine S. Padilla Elementary School</v>
      </c>
      <c r="E79" s="3" t="str">
        <f>IFERROR(__xludf.DUMMYFUNCTION("""COMPUTED_VALUE"""),"Y")</f>
        <v>Y</v>
      </c>
      <c r="F79" s="3" t="str">
        <f>IFERROR(__xludf.DUMMYFUNCTION("""COMPUTED_VALUE"""),"Y")</f>
        <v>Y</v>
      </c>
      <c r="G79" s="3"/>
      <c r="H79" s="3"/>
      <c r="I79" s="3" t="str">
        <f>IFERROR(__xludf.DUMMYFUNCTION("""COMPUTED_VALUE""")," ")</f>
        <v> </v>
      </c>
      <c r="J79" s="3" t="str">
        <f>IFERROR(__xludf.DUMMYFUNCTION("""COMPUTED_VALUE""")," ")</f>
        <v> </v>
      </c>
      <c r="K79" s="3" t="str">
        <f>IFERROR(__xludf.DUMMYFUNCTION("""COMPUTED_VALUE"""),"Y")</f>
        <v>Y</v>
      </c>
      <c r="L79" s="3" t="str">
        <f>IFERROR(__xludf.DUMMYFUNCTION("""COMPUTED_VALUE"""),"Group 7")</f>
        <v>Group 7</v>
      </c>
      <c r="M79" s="3"/>
      <c r="N79" s="5" t="str">
        <f>IFERROR(__xludf.DUMMYFUNCTION("""COMPUTED_VALUE""")," ")</f>
        <v> </v>
      </c>
      <c r="O79" s="5"/>
    </row>
    <row r="80">
      <c r="A80" s="2" t="str">
        <f>IFERROR(__xludf.DUMMYFUNCTION("""COMPUTED_VALUE"""),"0040")</f>
        <v>0040</v>
      </c>
      <c r="B80" s="2" t="str">
        <f>IFERROR(__xludf.DUMMYFUNCTION("""COMPUTED_VALUE"""),"School District 27J")</f>
        <v>School District 27J</v>
      </c>
      <c r="C80" s="2" t="str">
        <f>IFERROR(__xludf.DUMMYFUNCTION("""COMPUTED_VALUE"""),"00700")</f>
        <v>00700</v>
      </c>
      <c r="D80" s="2" t="str">
        <f>IFERROR(__xludf.DUMMYFUNCTION("""COMPUTED_VALUE"""),"BELLE CREEK CHARTER SCHOOL")</f>
        <v>BELLE CREEK CHARTER SCHOOL</v>
      </c>
      <c r="E80" s="3" t="str">
        <f>IFERROR(__xludf.DUMMYFUNCTION("""COMPUTED_VALUE"""),"Y")</f>
        <v>Y</v>
      </c>
      <c r="F80" s="3" t="str">
        <f>IFERROR(__xludf.DUMMYFUNCTION("""COMPUTED_VALUE"""),"Y")</f>
        <v>Y</v>
      </c>
      <c r="G80" s="3"/>
      <c r="H80" s="3"/>
      <c r="I80" s="3" t="str">
        <f>IFERROR(__xludf.DUMMYFUNCTION("""COMPUTED_VALUE""")," ")</f>
        <v> </v>
      </c>
      <c r="J80" s="3" t="str">
        <f>IFERROR(__xludf.DUMMYFUNCTION("""COMPUTED_VALUE""")," ")</f>
        <v> </v>
      </c>
      <c r="K80" s="3" t="str">
        <f>IFERROR(__xludf.DUMMYFUNCTION("""COMPUTED_VALUE"""),"Y")</f>
        <v>Y</v>
      </c>
      <c r="L80" s="3" t="str">
        <f>IFERROR(__xludf.DUMMYFUNCTION("""COMPUTED_VALUE"""),"Group 10")</f>
        <v>Group 10</v>
      </c>
      <c r="M80" s="3"/>
      <c r="N80" s="5" t="str">
        <f>IFERROR(__xludf.DUMMYFUNCTION("""COMPUTED_VALUE""")," ")</f>
        <v> </v>
      </c>
      <c r="O80" s="5"/>
    </row>
    <row r="81">
      <c r="A81" s="2" t="str">
        <f>IFERROR(__xludf.DUMMYFUNCTION("""COMPUTED_VALUE"""),"0040")</f>
        <v>0040</v>
      </c>
      <c r="B81" s="2" t="str">
        <f>IFERROR(__xludf.DUMMYFUNCTION("""COMPUTED_VALUE"""),"School District 27J")</f>
        <v>School District 27J</v>
      </c>
      <c r="C81" s="2" t="str">
        <f>IFERROR(__xludf.DUMMYFUNCTION("""COMPUTED_VALUE"""),"01013")</f>
        <v>01013</v>
      </c>
      <c r="D81" s="2" t="str">
        <f>IFERROR(__xludf.DUMMYFUNCTION("""COMPUTED_VALUE"""),"BRANTNER ELEMENTARY SCHOOL")</f>
        <v>BRANTNER ELEMENTARY SCHOOL</v>
      </c>
      <c r="E81" s="3" t="str">
        <f>IFERROR(__xludf.DUMMYFUNCTION("""COMPUTED_VALUE"""),"Y")</f>
        <v>Y</v>
      </c>
      <c r="F81" s="3" t="str">
        <f>IFERROR(__xludf.DUMMYFUNCTION("""COMPUTED_VALUE"""),"Y")</f>
        <v>Y</v>
      </c>
      <c r="G81" s="3"/>
      <c r="H81" s="3"/>
      <c r="I81" s="3" t="str">
        <f>IFERROR(__xludf.DUMMYFUNCTION("""COMPUTED_VALUE""")," ")</f>
        <v> </v>
      </c>
      <c r="J81" s="3" t="str">
        <f>IFERROR(__xludf.DUMMYFUNCTION("""COMPUTED_VALUE""")," ")</f>
        <v> </v>
      </c>
      <c r="K81" s="3" t="str">
        <f>IFERROR(__xludf.DUMMYFUNCTION("""COMPUTED_VALUE"""),"Y")</f>
        <v>Y</v>
      </c>
      <c r="L81" s="3" t="str">
        <f>IFERROR(__xludf.DUMMYFUNCTION("""COMPUTED_VALUE"""),"Group 4")</f>
        <v>Group 4</v>
      </c>
      <c r="M81" s="3"/>
      <c r="N81" s="5" t="str">
        <f>IFERROR(__xludf.DUMMYFUNCTION("""COMPUTED_VALUE""")," ")</f>
        <v> </v>
      </c>
      <c r="O81" s="5"/>
    </row>
    <row r="82">
      <c r="A82" s="2" t="str">
        <f>IFERROR(__xludf.DUMMYFUNCTION("""COMPUTED_VALUE"""),"0040")</f>
        <v>0040</v>
      </c>
      <c r="B82" s="2" t="str">
        <f>IFERROR(__xludf.DUMMYFUNCTION("""COMPUTED_VALUE"""),"School District 27J")</f>
        <v>School District 27J</v>
      </c>
      <c r="C82" s="2" t="str">
        <f>IFERROR(__xludf.DUMMYFUNCTION("""COMPUTED_VALUE"""),"01022")</f>
        <v>01022</v>
      </c>
      <c r="D82" s="2" t="str">
        <f>IFERROR(__xludf.DUMMYFUNCTION("""COMPUTED_VALUE"""),"BRIGHTON HIGH SCHOOL")</f>
        <v>BRIGHTON HIGH SCHOOL</v>
      </c>
      <c r="E82" s="3" t="str">
        <f>IFERROR(__xludf.DUMMYFUNCTION("""COMPUTED_VALUE"""),"Y")</f>
        <v>Y</v>
      </c>
      <c r="F82" s="3" t="str">
        <f>IFERROR(__xludf.DUMMYFUNCTION("""COMPUTED_VALUE"""),"Y")</f>
        <v>Y</v>
      </c>
      <c r="G82" s="3"/>
      <c r="H82" s="3"/>
      <c r="I82" s="3" t="str">
        <f>IFERROR(__xludf.DUMMYFUNCTION("""COMPUTED_VALUE""")," ")</f>
        <v> </v>
      </c>
      <c r="J82" s="3" t="str">
        <f>IFERROR(__xludf.DUMMYFUNCTION("""COMPUTED_VALUE""")," ")</f>
        <v> </v>
      </c>
      <c r="K82" s="3" t="str">
        <f>IFERROR(__xludf.DUMMYFUNCTION("""COMPUTED_VALUE"""),"Y")</f>
        <v>Y</v>
      </c>
      <c r="L82" s="3" t="str">
        <f>IFERROR(__xludf.DUMMYFUNCTION("""COMPUTED_VALUE"""),"Group 4")</f>
        <v>Group 4</v>
      </c>
      <c r="M82" s="3"/>
      <c r="N82" s="5" t="str">
        <f>IFERROR(__xludf.DUMMYFUNCTION("""COMPUTED_VALUE""")," ")</f>
        <v> </v>
      </c>
      <c r="O82" s="5"/>
    </row>
    <row r="83">
      <c r="A83" s="2" t="str">
        <f>IFERROR(__xludf.DUMMYFUNCTION("""COMPUTED_VALUE"""),"0040")</f>
        <v>0040</v>
      </c>
      <c r="B83" s="2" t="str">
        <f>IFERROR(__xludf.DUMMYFUNCTION("""COMPUTED_VALUE"""),"School District 27J")</f>
        <v>School District 27J</v>
      </c>
      <c r="C83" s="2" t="str">
        <f>IFERROR(__xludf.DUMMYFUNCTION("""COMPUTED_VALUE"""),"01052")</f>
        <v>01052</v>
      </c>
      <c r="D83" s="2" t="str">
        <f>IFERROR(__xludf.DUMMYFUNCTION("""COMPUTED_VALUE"""),"BROMLEY EAST CHARTER SCHOOL")</f>
        <v>BROMLEY EAST CHARTER SCHOOL</v>
      </c>
      <c r="E83" s="3" t="str">
        <f>IFERROR(__xludf.DUMMYFUNCTION("""COMPUTED_VALUE"""),"Y")</f>
        <v>Y</v>
      </c>
      <c r="F83" s="3" t="str">
        <f>IFERROR(__xludf.DUMMYFUNCTION("""COMPUTED_VALUE"""),"Y")</f>
        <v>Y</v>
      </c>
      <c r="G83" s="3"/>
      <c r="H83" s="3"/>
      <c r="I83" s="3" t="str">
        <f>IFERROR(__xludf.DUMMYFUNCTION("""COMPUTED_VALUE""")," ")</f>
        <v> </v>
      </c>
      <c r="J83" s="3" t="str">
        <f>IFERROR(__xludf.DUMMYFUNCTION("""COMPUTED_VALUE""")," ")</f>
        <v> </v>
      </c>
      <c r="K83" s="3" t="str">
        <f>IFERROR(__xludf.DUMMYFUNCTION("""COMPUTED_VALUE"""),"Y")</f>
        <v>Y</v>
      </c>
      <c r="L83" s="3" t="str">
        <f>IFERROR(__xludf.DUMMYFUNCTION("""COMPUTED_VALUE"""),"Group 1")</f>
        <v>Group 1</v>
      </c>
      <c r="M83" s="3"/>
      <c r="N83" s="5" t="str">
        <f>IFERROR(__xludf.DUMMYFUNCTION("""COMPUTED_VALUE""")," ")</f>
        <v> </v>
      </c>
      <c r="O83" s="5"/>
    </row>
    <row r="84">
      <c r="A84" s="2" t="str">
        <f>IFERROR(__xludf.DUMMYFUNCTION("""COMPUTED_VALUE"""),"0040")</f>
        <v>0040</v>
      </c>
      <c r="B84" s="2" t="str">
        <f>IFERROR(__xludf.DUMMYFUNCTION("""COMPUTED_VALUE"""),"School District 27J")</f>
        <v>School District 27J</v>
      </c>
      <c r="C84" s="2" t="str">
        <f>IFERROR(__xludf.DUMMYFUNCTION("""COMPUTED_VALUE"""),"02191")</f>
        <v>02191</v>
      </c>
      <c r="D84" s="2" t="str">
        <f>IFERROR(__xludf.DUMMYFUNCTION("""COMPUTED_VALUE"""),"Discovery Magnet School")</f>
        <v>Discovery Magnet School</v>
      </c>
      <c r="E84" s="3" t="str">
        <f>IFERROR(__xludf.DUMMYFUNCTION("""COMPUTED_VALUE"""),"Y")</f>
        <v>Y</v>
      </c>
      <c r="F84" s="3" t="str">
        <f>IFERROR(__xludf.DUMMYFUNCTION("""COMPUTED_VALUE"""),"Y")</f>
        <v>Y</v>
      </c>
      <c r="G84" s="3"/>
      <c r="H84" s="3"/>
      <c r="I84" s="3" t="str">
        <f>IFERROR(__xludf.DUMMYFUNCTION("""COMPUTED_VALUE""")," ")</f>
        <v> </v>
      </c>
      <c r="J84" s="3" t="str">
        <f>IFERROR(__xludf.DUMMYFUNCTION("""COMPUTED_VALUE""")," ")</f>
        <v> </v>
      </c>
      <c r="K84" s="3" t="str">
        <f>IFERROR(__xludf.DUMMYFUNCTION("""COMPUTED_VALUE"""),"Y")</f>
        <v>Y</v>
      </c>
      <c r="L84" s="3" t="str">
        <f>IFERROR(__xludf.DUMMYFUNCTION("""COMPUTED_VALUE"""),"Group 4")</f>
        <v>Group 4</v>
      </c>
      <c r="M84" s="3"/>
      <c r="N84" s="5" t="str">
        <f>IFERROR(__xludf.DUMMYFUNCTION("""COMPUTED_VALUE""")," ")</f>
        <v> </v>
      </c>
      <c r="O84" s="5"/>
    </row>
    <row r="85">
      <c r="A85" s="2" t="str">
        <f>IFERROR(__xludf.DUMMYFUNCTION("""COMPUTED_VALUE"""),"0040")</f>
        <v>0040</v>
      </c>
      <c r="B85" s="2" t="str">
        <f>IFERROR(__xludf.DUMMYFUNCTION("""COMPUTED_VALUE"""),"School District 27J")</f>
        <v>School District 27J</v>
      </c>
      <c r="C85" s="2" t="str">
        <f>IFERROR(__xludf.DUMMYFUNCTION("""COMPUTED_VALUE"""),"02399")</f>
        <v>02399</v>
      </c>
      <c r="D85" s="2" t="str">
        <f>IFERROR(__xludf.DUMMYFUNCTION("""COMPUTED_VALUE"""),"EAGLE RIDGE ACADEMY")</f>
        <v>EAGLE RIDGE ACADEMY</v>
      </c>
      <c r="E85" s="3" t="str">
        <f>IFERROR(__xludf.DUMMYFUNCTION("""COMPUTED_VALUE"""),"Y")</f>
        <v>Y</v>
      </c>
      <c r="F85" s="3" t="str">
        <f>IFERROR(__xludf.DUMMYFUNCTION("""COMPUTED_VALUE"""),"Y")</f>
        <v>Y</v>
      </c>
      <c r="G85" s="3"/>
      <c r="H85" s="3"/>
      <c r="I85" s="3" t="str">
        <f>IFERROR(__xludf.DUMMYFUNCTION("""COMPUTED_VALUE""")," ")</f>
        <v> </v>
      </c>
      <c r="J85" s="3" t="str">
        <f>IFERROR(__xludf.DUMMYFUNCTION("""COMPUTED_VALUE""")," ")</f>
        <v> </v>
      </c>
      <c r="K85" s="3" t="str">
        <f>IFERROR(__xludf.DUMMYFUNCTION("""COMPUTED_VALUE"""),"Y")</f>
        <v>Y</v>
      </c>
      <c r="L85" s="3" t="str">
        <f>IFERROR(__xludf.DUMMYFUNCTION("""COMPUTED_VALUE"""),"Group 2")</f>
        <v>Group 2</v>
      </c>
      <c r="M85" s="3"/>
      <c r="N85" s="5" t="str">
        <f>IFERROR(__xludf.DUMMYFUNCTION("""COMPUTED_VALUE""")," ")</f>
        <v> </v>
      </c>
      <c r="O85" s="5"/>
    </row>
    <row r="86">
      <c r="A86" s="2" t="str">
        <f>IFERROR(__xludf.DUMMYFUNCTION("""COMPUTED_VALUE"""),"0040")</f>
        <v>0040</v>
      </c>
      <c r="B86" s="2" t="str">
        <f>IFERROR(__xludf.DUMMYFUNCTION("""COMPUTED_VALUE"""),"School District 27J")</f>
        <v>School District 27J</v>
      </c>
      <c r="C86" s="2" t="str">
        <f>IFERROR(__xludf.DUMMYFUNCTION("""COMPUTED_VALUE"""),"02945")</f>
        <v>02945</v>
      </c>
      <c r="D86" s="2" t="str">
        <f>IFERROR(__xludf.DUMMYFUNCTION("""COMPUTED_VALUE"""),"FOUNDATIONS ACADEMY")</f>
        <v>FOUNDATIONS ACADEMY</v>
      </c>
      <c r="E86" s="3" t="str">
        <f>IFERROR(__xludf.DUMMYFUNCTION("""COMPUTED_VALUE"""),"Y")</f>
        <v>Y</v>
      </c>
      <c r="F86" s="3" t="str">
        <f>IFERROR(__xludf.DUMMYFUNCTION("""COMPUTED_VALUE"""),"Y")</f>
        <v>Y</v>
      </c>
      <c r="G86" s="3"/>
      <c r="H86" s="3"/>
      <c r="I86" s="3" t="str">
        <f>IFERROR(__xludf.DUMMYFUNCTION("""COMPUTED_VALUE""")," ")</f>
        <v> </v>
      </c>
      <c r="J86" s="3" t="str">
        <f>IFERROR(__xludf.DUMMYFUNCTION("""COMPUTED_VALUE""")," ")</f>
        <v> </v>
      </c>
      <c r="K86" s="3" t="str">
        <f>IFERROR(__xludf.DUMMYFUNCTION("""COMPUTED_VALUE"""),"Y")</f>
        <v>Y</v>
      </c>
      <c r="L86" s="3" t="str">
        <f>IFERROR(__xludf.DUMMYFUNCTION("""COMPUTED_VALUE"""),"Group 8")</f>
        <v>Group 8</v>
      </c>
      <c r="M86" s="3"/>
      <c r="N86" s="5" t="str">
        <f>IFERROR(__xludf.DUMMYFUNCTION("""COMPUTED_VALUE""")," ")</f>
        <v> </v>
      </c>
      <c r="O86" s="5"/>
    </row>
    <row r="87">
      <c r="A87" s="2" t="str">
        <f>IFERROR(__xludf.DUMMYFUNCTION("""COMPUTED_VALUE"""),"0040")</f>
        <v>0040</v>
      </c>
      <c r="B87" s="2" t="str">
        <f>IFERROR(__xludf.DUMMYFUNCTION("""COMPUTED_VALUE"""),"School District 27J")</f>
        <v>School District 27J</v>
      </c>
      <c r="C87" s="2" t="str">
        <f>IFERROR(__xludf.DUMMYFUNCTION("""COMPUTED_VALUE"""),"03900")</f>
        <v>03900</v>
      </c>
      <c r="D87" s="2" t="str">
        <f>IFERROR(__xludf.DUMMYFUNCTION("""COMPUTED_VALUE"""),"HENDERSON ELEMENTARY SCHOOL")</f>
        <v>HENDERSON ELEMENTARY SCHOOL</v>
      </c>
      <c r="E87" s="3" t="str">
        <f>IFERROR(__xludf.DUMMYFUNCTION("""COMPUTED_VALUE"""),"Y")</f>
        <v>Y</v>
      </c>
      <c r="F87" s="3" t="str">
        <f>IFERROR(__xludf.DUMMYFUNCTION("""COMPUTED_VALUE"""),"Y")</f>
        <v>Y</v>
      </c>
      <c r="G87" s="3"/>
      <c r="H87" s="3"/>
      <c r="I87" s="3" t="str">
        <f>IFERROR(__xludf.DUMMYFUNCTION("""COMPUTED_VALUE""")," ")</f>
        <v> </v>
      </c>
      <c r="J87" s="3" t="str">
        <f>IFERROR(__xludf.DUMMYFUNCTION("""COMPUTED_VALUE""")," ")</f>
        <v> </v>
      </c>
      <c r="K87" s="3" t="str">
        <f>IFERROR(__xludf.DUMMYFUNCTION("""COMPUTED_VALUE"""),"Y")</f>
        <v>Y</v>
      </c>
      <c r="L87" s="3" t="str">
        <f>IFERROR(__xludf.DUMMYFUNCTION("""COMPUTED_VALUE"""),"Group 3")</f>
        <v>Group 3</v>
      </c>
      <c r="M87" s="3"/>
      <c r="N87" s="5" t="str">
        <f>IFERROR(__xludf.DUMMYFUNCTION("""COMPUTED_VALUE"""),"Y")</f>
        <v>Y</v>
      </c>
      <c r="O87" s="5"/>
    </row>
    <row r="88">
      <c r="A88" s="2" t="str">
        <f>IFERROR(__xludf.DUMMYFUNCTION("""COMPUTED_VALUE"""),"0040")</f>
        <v>0040</v>
      </c>
      <c r="B88" s="2" t="str">
        <f>IFERROR(__xludf.DUMMYFUNCTION("""COMPUTED_VALUE"""),"School District 27J")</f>
        <v>School District 27J</v>
      </c>
      <c r="C88" s="2" t="str">
        <f>IFERROR(__xludf.DUMMYFUNCTION("""COMPUTED_VALUE"""),"04950")</f>
        <v>04950</v>
      </c>
      <c r="D88" s="2" t="str">
        <f>IFERROR(__xludf.DUMMYFUNCTION("""COMPUTED_VALUE"""),"LANDMARK ACADEMY AT REUNION")</f>
        <v>LANDMARK ACADEMY AT REUNION</v>
      </c>
      <c r="E88" s="3" t="str">
        <f>IFERROR(__xludf.DUMMYFUNCTION("""COMPUTED_VALUE"""),"Y")</f>
        <v>Y</v>
      </c>
      <c r="F88" s="3" t="str">
        <f>IFERROR(__xludf.DUMMYFUNCTION("""COMPUTED_VALUE"""),"Y")</f>
        <v>Y</v>
      </c>
      <c r="G88" s="3"/>
      <c r="H88" s="3"/>
      <c r="I88" s="3" t="str">
        <f>IFERROR(__xludf.DUMMYFUNCTION("""COMPUTED_VALUE""")," ")</f>
        <v> </v>
      </c>
      <c r="J88" s="3" t="str">
        <f>IFERROR(__xludf.DUMMYFUNCTION("""COMPUTED_VALUE""")," ")</f>
        <v> </v>
      </c>
      <c r="K88" s="3" t="str">
        <f>IFERROR(__xludf.DUMMYFUNCTION("""COMPUTED_VALUE"""),"Y")</f>
        <v>Y</v>
      </c>
      <c r="L88" s="3" t="str">
        <f>IFERROR(__xludf.DUMMYFUNCTION("""COMPUTED_VALUE"""),"Group 4")</f>
        <v>Group 4</v>
      </c>
      <c r="M88" s="3"/>
      <c r="N88" s="5" t="str">
        <f>IFERROR(__xludf.DUMMYFUNCTION("""COMPUTED_VALUE""")," ")</f>
        <v> </v>
      </c>
      <c r="O88" s="5"/>
    </row>
    <row r="89">
      <c r="A89" s="2" t="str">
        <f>IFERROR(__xludf.DUMMYFUNCTION("""COMPUTED_VALUE"""),"0040")</f>
        <v>0040</v>
      </c>
      <c r="B89" s="2" t="str">
        <f>IFERROR(__xludf.DUMMYFUNCTION("""COMPUTED_VALUE"""),"School District 27J")</f>
        <v>School District 27J</v>
      </c>
      <c r="C89" s="2" t="str">
        <f>IFERROR(__xludf.DUMMYFUNCTION("""COMPUTED_VALUE"""),"05615")</f>
        <v>05615</v>
      </c>
      <c r="D89" s="2" t="str">
        <f>IFERROR(__xludf.DUMMYFUNCTION("""COMPUTED_VALUE"""),"MARY E PENNOCK ELEMENTARY  SCHOOL")</f>
        <v>MARY E PENNOCK ELEMENTARY  SCHOOL</v>
      </c>
      <c r="E89" s="3" t="str">
        <f>IFERROR(__xludf.DUMMYFUNCTION("""COMPUTED_VALUE"""),"Y")</f>
        <v>Y</v>
      </c>
      <c r="F89" s="3" t="str">
        <f>IFERROR(__xludf.DUMMYFUNCTION("""COMPUTED_VALUE"""),"Y")</f>
        <v>Y</v>
      </c>
      <c r="G89" s="3"/>
      <c r="H89" s="3"/>
      <c r="I89" s="3" t="str">
        <f>IFERROR(__xludf.DUMMYFUNCTION("""COMPUTED_VALUE""")," ")</f>
        <v> </v>
      </c>
      <c r="J89" s="3" t="str">
        <f>IFERROR(__xludf.DUMMYFUNCTION("""COMPUTED_VALUE""")," ")</f>
        <v> </v>
      </c>
      <c r="K89" s="3" t="str">
        <f>IFERROR(__xludf.DUMMYFUNCTION("""COMPUTED_VALUE"""),"Y")</f>
        <v>Y</v>
      </c>
      <c r="L89" s="3" t="str">
        <f>IFERROR(__xludf.DUMMYFUNCTION("""COMPUTED_VALUE"""),"Group 7")</f>
        <v>Group 7</v>
      </c>
      <c r="M89" s="3"/>
      <c r="N89" s="5" t="str">
        <f>IFERROR(__xludf.DUMMYFUNCTION("""COMPUTED_VALUE""")," ")</f>
        <v> </v>
      </c>
      <c r="O89" s="5"/>
    </row>
    <row r="90">
      <c r="A90" s="2" t="str">
        <f>IFERROR(__xludf.DUMMYFUNCTION("""COMPUTED_VALUE"""),"0040")</f>
        <v>0040</v>
      </c>
      <c r="B90" s="2" t="str">
        <f>IFERROR(__xludf.DUMMYFUNCTION("""COMPUTED_VALUE"""),"School District 27J")</f>
        <v>School District 27J</v>
      </c>
      <c r="C90" s="2" t="str">
        <f>IFERROR(__xludf.DUMMYFUNCTION("""COMPUTED_VALUE"""),"05918")</f>
        <v>05918</v>
      </c>
      <c r="D90" s="2" t="str">
        <f>IFERROR(__xludf.DUMMYFUNCTION("""COMPUTED_VALUE"""),"Southlawn Elementary School")</f>
        <v>Southlawn Elementary School</v>
      </c>
      <c r="E90" s="3" t="str">
        <f>IFERROR(__xludf.DUMMYFUNCTION("""COMPUTED_VALUE"""),"Y")</f>
        <v>Y</v>
      </c>
      <c r="F90" s="3" t="str">
        <f>IFERROR(__xludf.DUMMYFUNCTION("""COMPUTED_VALUE"""),"Y")</f>
        <v>Y</v>
      </c>
      <c r="G90" s="3"/>
      <c r="H90" s="3"/>
      <c r="I90" s="3" t="str">
        <f>IFERROR(__xludf.DUMMYFUNCTION("""COMPUTED_VALUE""")," ")</f>
        <v> </v>
      </c>
      <c r="J90" s="3" t="str">
        <f>IFERROR(__xludf.DUMMYFUNCTION("""COMPUTED_VALUE""")," ")</f>
        <v> </v>
      </c>
      <c r="K90" s="3" t="str">
        <f>IFERROR(__xludf.DUMMYFUNCTION("""COMPUTED_VALUE"""),"Y")</f>
        <v>Y</v>
      </c>
      <c r="L90" s="3" t="str">
        <f>IFERROR(__xludf.DUMMYFUNCTION("""COMPUTED_VALUE"""),"Group 8")</f>
        <v>Group 8</v>
      </c>
      <c r="M90" s="3"/>
      <c r="N90" s="5" t="str">
        <f>IFERROR(__xludf.DUMMYFUNCTION("""COMPUTED_VALUE""")," ")</f>
        <v> </v>
      </c>
      <c r="O90" s="5"/>
    </row>
    <row r="91">
      <c r="A91" s="2" t="str">
        <f>IFERROR(__xludf.DUMMYFUNCTION("""COMPUTED_VALUE"""),"0040")</f>
        <v>0040</v>
      </c>
      <c r="B91" s="2" t="str">
        <f>IFERROR(__xludf.DUMMYFUNCTION("""COMPUTED_VALUE"""),"School District 27J")</f>
        <v>School District 27J</v>
      </c>
      <c r="C91" s="2" t="str">
        <f>IFERROR(__xludf.DUMMYFUNCTION("""COMPUTED_VALUE"""),"06395")</f>
        <v>06395</v>
      </c>
      <c r="D91" s="2" t="str">
        <f>IFERROR(__xludf.DUMMYFUNCTION("""COMPUTED_VALUE"""),"NORTHEAST ELEMENTARY SCHOOL")</f>
        <v>NORTHEAST ELEMENTARY SCHOOL</v>
      </c>
      <c r="E91" s="3" t="str">
        <f>IFERROR(__xludf.DUMMYFUNCTION("""COMPUTED_VALUE"""),"Y")</f>
        <v>Y</v>
      </c>
      <c r="F91" s="3" t="str">
        <f>IFERROR(__xludf.DUMMYFUNCTION("""COMPUTED_VALUE"""),"Y")</f>
        <v>Y</v>
      </c>
      <c r="G91" s="3"/>
      <c r="H91" s="3"/>
      <c r="I91" s="3" t="str">
        <f>IFERROR(__xludf.DUMMYFUNCTION("""COMPUTED_VALUE""")," ")</f>
        <v> </v>
      </c>
      <c r="J91" s="3" t="str">
        <f>IFERROR(__xludf.DUMMYFUNCTION("""COMPUTED_VALUE"""),"Y")</f>
        <v>Y</v>
      </c>
      <c r="K91" s="3" t="str">
        <f>IFERROR(__xludf.DUMMYFUNCTION("""COMPUTED_VALUE"""),"Y")</f>
        <v>Y</v>
      </c>
      <c r="L91" s="3" t="str">
        <f>IFERROR(__xludf.DUMMYFUNCTION("""COMPUTED_VALUE"""),"Group 10")</f>
        <v>Group 10</v>
      </c>
      <c r="M91" s="3"/>
      <c r="N91" s="5" t="str">
        <f>IFERROR(__xludf.DUMMYFUNCTION("""COMPUTED_VALUE"""),"Y")</f>
        <v>Y</v>
      </c>
      <c r="O91" s="5"/>
    </row>
    <row r="92">
      <c r="A92" s="2" t="str">
        <f>IFERROR(__xludf.DUMMYFUNCTION("""COMPUTED_VALUE"""),"0040")</f>
        <v>0040</v>
      </c>
      <c r="B92" s="2" t="str">
        <f>IFERROR(__xludf.DUMMYFUNCTION("""COMPUTED_VALUE"""),"School District 27J")</f>
        <v>School District 27J</v>
      </c>
      <c r="C92" s="2" t="str">
        <f>IFERROR(__xludf.DUMMYFUNCTION("""COMPUTED_VALUE"""),"06638")</f>
        <v>06638</v>
      </c>
      <c r="D92" s="2" t="str">
        <f>IFERROR(__xludf.DUMMYFUNCTION("""COMPUTED_VALUE"""),"OVERLAND TRAIL MIDDLE SCHOOL")</f>
        <v>OVERLAND TRAIL MIDDLE SCHOOL</v>
      </c>
      <c r="E92" s="3" t="str">
        <f>IFERROR(__xludf.DUMMYFUNCTION("""COMPUTED_VALUE"""),"Y")</f>
        <v>Y</v>
      </c>
      <c r="F92" s="3" t="str">
        <f>IFERROR(__xludf.DUMMYFUNCTION("""COMPUTED_VALUE"""),"Y")</f>
        <v>Y</v>
      </c>
      <c r="G92" s="3"/>
      <c r="H92" s="3"/>
      <c r="I92" s="3" t="str">
        <f>IFERROR(__xludf.DUMMYFUNCTION("""COMPUTED_VALUE""")," ")</f>
        <v> </v>
      </c>
      <c r="J92" s="3" t="str">
        <f>IFERROR(__xludf.DUMMYFUNCTION("""COMPUTED_VALUE""")," ")</f>
        <v> </v>
      </c>
      <c r="K92" s="3" t="str">
        <f>IFERROR(__xludf.DUMMYFUNCTION("""COMPUTED_VALUE"""),"Y")</f>
        <v>Y</v>
      </c>
      <c r="L92" s="3" t="str">
        <f>IFERROR(__xludf.DUMMYFUNCTION("""COMPUTED_VALUE"""),"Group 9")</f>
        <v>Group 9</v>
      </c>
      <c r="M92" s="3"/>
      <c r="N92" s="5" t="str">
        <f>IFERROR(__xludf.DUMMYFUNCTION("""COMPUTED_VALUE""")," ")</f>
        <v> </v>
      </c>
      <c r="O92" s="5"/>
    </row>
    <row r="93">
      <c r="A93" s="2" t="str">
        <f>IFERROR(__xludf.DUMMYFUNCTION("""COMPUTED_VALUE"""),"0040")</f>
        <v>0040</v>
      </c>
      <c r="B93" s="2" t="str">
        <f>IFERROR(__xludf.DUMMYFUNCTION("""COMPUTED_VALUE"""),"School District 27J")</f>
        <v>School District 27J</v>
      </c>
      <c r="C93" s="2" t="str">
        <f>IFERROR(__xludf.DUMMYFUNCTION("""COMPUTED_VALUE"""),"06702")</f>
        <v>06702</v>
      </c>
      <c r="D93" s="2" t="str">
        <f>IFERROR(__xludf.DUMMYFUNCTION("""COMPUTED_VALUE"""),"OTHO E STUART MIDDLE SCHOOL")</f>
        <v>OTHO E STUART MIDDLE SCHOOL</v>
      </c>
      <c r="E93" s="3" t="str">
        <f>IFERROR(__xludf.DUMMYFUNCTION("""COMPUTED_VALUE"""),"Y")</f>
        <v>Y</v>
      </c>
      <c r="F93" s="3" t="str">
        <f>IFERROR(__xludf.DUMMYFUNCTION("""COMPUTED_VALUE"""),"Y")</f>
        <v>Y</v>
      </c>
      <c r="G93" s="3"/>
      <c r="H93" s="3"/>
      <c r="I93" s="3" t="str">
        <f>IFERROR(__xludf.DUMMYFUNCTION("""COMPUTED_VALUE""")," ")</f>
        <v> </v>
      </c>
      <c r="J93" s="3" t="str">
        <f>IFERROR(__xludf.DUMMYFUNCTION("""COMPUTED_VALUE""")," ")</f>
        <v> </v>
      </c>
      <c r="K93" s="3" t="str">
        <f>IFERROR(__xludf.DUMMYFUNCTION("""COMPUTED_VALUE"""),"Y")</f>
        <v>Y</v>
      </c>
      <c r="L93" s="3" t="str">
        <f>IFERROR(__xludf.DUMMYFUNCTION("""COMPUTED_VALUE"""),"Group 7")</f>
        <v>Group 7</v>
      </c>
      <c r="M93" s="3"/>
      <c r="N93" s="5" t="str">
        <f>IFERROR(__xludf.DUMMYFUNCTION("""COMPUTED_VALUE"""),"Y")</f>
        <v>Y</v>
      </c>
      <c r="O93" s="5"/>
    </row>
    <row r="94">
      <c r="A94" s="2" t="str">
        <f>IFERROR(__xludf.DUMMYFUNCTION("""COMPUTED_VALUE"""),"0040")</f>
        <v>0040</v>
      </c>
      <c r="B94" s="2" t="str">
        <f>IFERROR(__xludf.DUMMYFUNCTION("""COMPUTED_VALUE"""),"School District 27J")</f>
        <v>School District 27J</v>
      </c>
      <c r="C94" s="2" t="str">
        <f>IFERROR(__xludf.DUMMYFUNCTION("""COMPUTED_VALUE"""),"07129")</f>
        <v>07129</v>
      </c>
      <c r="D94" s="2" t="str">
        <f>IFERROR(__xludf.DUMMYFUNCTION("""COMPUTED_VALUE"""),"PRAIRIE VIEW HIGH SCHOOL")</f>
        <v>PRAIRIE VIEW HIGH SCHOOL</v>
      </c>
      <c r="E94" s="3" t="str">
        <f>IFERROR(__xludf.DUMMYFUNCTION("""COMPUTED_VALUE"""),"Y")</f>
        <v>Y</v>
      </c>
      <c r="F94" s="3" t="str">
        <f>IFERROR(__xludf.DUMMYFUNCTION("""COMPUTED_VALUE"""),"Y")</f>
        <v>Y</v>
      </c>
      <c r="G94" s="3"/>
      <c r="H94" s="3"/>
      <c r="I94" s="3" t="str">
        <f>IFERROR(__xludf.DUMMYFUNCTION("""COMPUTED_VALUE""")," ")</f>
        <v> </v>
      </c>
      <c r="J94" s="3" t="str">
        <f>IFERROR(__xludf.DUMMYFUNCTION("""COMPUTED_VALUE""")," ")</f>
        <v> </v>
      </c>
      <c r="K94" s="3" t="str">
        <f>IFERROR(__xludf.DUMMYFUNCTION("""COMPUTED_VALUE"""),"Y")</f>
        <v>Y</v>
      </c>
      <c r="L94" s="3" t="str">
        <f>IFERROR(__xludf.DUMMYFUNCTION("""COMPUTED_VALUE"""),"Group 11")</f>
        <v>Group 11</v>
      </c>
      <c r="M94" s="3"/>
      <c r="N94" s="5" t="str">
        <f>IFERROR(__xludf.DUMMYFUNCTION("""COMPUTED_VALUE""")," ")</f>
        <v> </v>
      </c>
      <c r="O94" s="5"/>
    </row>
    <row r="95">
      <c r="A95" s="2" t="str">
        <f>IFERROR(__xludf.DUMMYFUNCTION("""COMPUTED_VALUE"""),"0040")</f>
        <v>0040</v>
      </c>
      <c r="B95" s="2" t="str">
        <f>IFERROR(__xludf.DUMMYFUNCTION("""COMPUTED_VALUE"""),"School District 27J")</f>
        <v>School District 27J</v>
      </c>
      <c r="C95" s="2" t="str">
        <f>IFERROR(__xludf.DUMMYFUNCTION("""COMPUTED_VALUE"""),"07131")</f>
        <v>07131</v>
      </c>
      <c r="D95" s="2" t="str">
        <f>IFERROR(__xludf.DUMMYFUNCTION("""COMPUTED_VALUE"""),"PRAIRIE VIEW MIDDLE SCHOOL")</f>
        <v>PRAIRIE VIEW MIDDLE SCHOOL</v>
      </c>
      <c r="E95" s="3" t="str">
        <f>IFERROR(__xludf.DUMMYFUNCTION("""COMPUTED_VALUE"""),"Y")</f>
        <v>Y</v>
      </c>
      <c r="F95" s="3" t="str">
        <f>IFERROR(__xludf.DUMMYFUNCTION("""COMPUTED_VALUE"""),"Y")</f>
        <v>Y</v>
      </c>
      <c r="G95" s="3"/>
      <c r="H95" s="3"/>
      <c r="I95" s="3" t="str">
        <f>IFERROR(__xludf.DUMMYFUNCTION("""COMPUTED_VALUE""")," ")</f>
        <v> </v>
      </c>
      <c r="J95" s="3" t="str">
        <f>IFERROR(__xludf.DUMMYFUNCTION("""COMPUTED_VALUE""")," ")</f>
        <v> </v>
      </c>
      <c r="K95" s="3" t="str">
        <f>IFERROR(__xludf.DUMMYFUNCTION("""COMPUTED_VALUE"""),"Y")</f>
        <v>Y</v>
      </c>
      <c r="L95" s="3" t="str">
        <f>IFERROR(__xludf.DUMMYFUNCTION("""COMPUTED_VALUE"""),"Group 8")</f>
        <v>Group 8</v>
      </c>
      <c r="M95" s="3"/>
      <c r="N95" s="5" t="str">
        <f>IFERROR(__xludf.DUMMYFUNCTION("""COMPUTED_VALUE""")," ")</f>
        <v> </v>
      </c>
      <c r="O95" s="5"/>
    </row>
    <row r="96">
      <c r="A96" s="2" t="str">
        <f>IFERROR(__xludf.DUMMYFUNCTION("""COMPUTED_VALUE"""),"0040")</f>
        <v>0040</v>
      </c>
      <c r="B96" s="2" t="str">
        <f>IFERROR(__xludf.DUMMYFUNCTION("""COMPUTED_VALUE"""),"School District 27J")</f>
        <v>School District 27J</v>
      </c>
      <c r="C96" s="2" t="str">
        <f>IFERROR(__xludf.DUMMYFUNCTION("""COMPUTED_VALUE"""),"07318")</f>
        <v>07318</v>
      </c>
      <c r="D96" s="2" t="str">
        <f>IFERROR(__xludf.DUMMYFUNCTION("""COMPUTED_VALUE"""),"REUNION ELEMENTARY SCHOOL")</f>
        <v>REUNION ELEMENTARY SCHOOL</v>
      </c>
      <c r="E96" s="3" t="str">
        <f>IFERROR(__xludf.DUMMYFUNCTION("""COMPUTED_VALUE"""),"Y")</f>
        <v>Y</v>
      </c>
      <c r="F96" s="3" t="str">
        <f>IFERROR(__xludf.DUMMYFUNCTION("""COMPUTED_VALUE"""),"Y")</f>
        <v>Y</v>
      </c>
      <c r="G96" s="3"/>
      <c r="H96" s="3"/>
      <c r="I96" s="3" t="str">
        <f>IFERROR(__xludf.DUMMYFUNCTION("""COMPUTED_VALUE""")," ")</f>
        <v> </v>
      </c>
      <c r="J96" s="3" t="str">
        <f>IFERROR(__xludf.DUMMYFUNCTION("""COMPUTED_VALUE""")," ")</f>
        <v> </v>
      </c>
      <c r="K96" s="3" t="str">
        <f>IFERROR(__xludf.DUMMYFUNCTION("""COMPUTED_VALUE"""),"Y")</f>
        <v>Y</v>
      </c>
      <c r="L96" s="3" t="str">
        <f>IFERROR(__xludf.DUMMYFUNCTION("""COMPUTED_VALUE"""),"Group 11")</f>
        <v>Group 11</v>
      </c>
      <c r="M96" s="3"/>
      <c r="N96" s="5" t="str">
        <f>IFERROR(__xludf.DUMMYFUNCTION("""COMPUTED_VALUE""")," ")</f>
        <v> </v>
      </c>
      <c r="O96" s="5"/>
    </row>
    <row r="97">
      <c r="A97" s="2" t="str">
        <f>IFERROR(__xludf.DUMMYFUNCTION("""COMPUTED_VALUE"""),"0040")</f>
        <v>0040</v>
      </c>
      <c r="B97" s="2" t="str">
        <f>IFERROR(__xludf.DUMMYFUNCTION("""COMPUTED_VALUE"""),"School District 27J")</f>
        <v>School District 27J</v>
      </c>
      <c r="C97" s="2" t="str">
        <f>IFERROR(__xludf.DUMMYFUNCTION("""COMPUTED_VALUE"""),"07340")</f>
        <v>07340</v>
      </c>
      <c r="D97" s="2" t="str">
        <f>IFERROR(__xludf.DUMMYFUNCTION("""COMPUTED_VALUE"""),"RIVERDALE RIDGE HIGH SCHOOL")</f>
        <v>RIVERDALE RIDGE HIGH SCHOOL</v>
      </c>
      <c r="E97" s="3" t="str">
        <f>IFERROR(__xludf.DUMMYFUNCTION("""COMPUTED_VALUE"""),"Y")</f>
        <v>Y</v>
      </c>
      <c r="F97" s="3" t="str">
        <f>IFERROR(__xludf.DUMMYFUNCTION("""COMPUTED_VALUE"""),"Y")</f>
        <v>Y</v>
      </c>
      <c r="G97" s="3"/>
      <c r="H97" s="3"/>
      <c r="I97" s="3" t="str">
        <f>IFERROR(__xludf.DUMMYFUNCTION("""COMPUTED_VALUE""")," ")</f>
        <v> </v>
      </c>
      <c r="J97" s="3" t="str">
        <f>IFERROR(__xludf.DUMMYFUNCTION("""COMPUTED_VALUE""")," ")</f>
        <v> </v>
      </c>
      <c r="K97" s="3" t="str">
        <f>IFERROR(__xludf.DUMMYFUNCTION("""COMPUTED_VALUE"""),"Y")</f>
        <v>Y</v>
      </c>
      <c r="L97" s="3" t="str">
        <f>IFERROR(__xludf.DUMMYFUNCTION("""COMPUTED_VALUE"""),"Group 5")</f>
        <v>Group 5</v>
      </c>
      <c r="M97" s="3"/>
      <c r="N97" s="5" t="str">
        <f>IFERROR(__xludf.DUMMYFUNCTION("""COMPUTED_VALUE""")," ")</f>
        <v> </v>
      </c>
      <c r="O97" s="5"/>
    </row>
    <row r="98">
      <c r="A98" s="2" t="str">
        <f>IFERROR(__xludf.DUMMYFUNCTION("""COMPUTED_VALUE"""),"0040")</f>
        <v>0040</v>
      </c>
      <c r="B98" s="2" t="str">
        <f>IFERROR(__xludf.DUMMYFUNCTION("""COMPUTED_VALUE"""),"School District 27J")</f>
        <v>School District 27J</v>
      </c>
      <c r="C98" s="2" t="str">
        <f>IFERROR(__xludf.DUMMYFUNCTION("""COMPUTED_VALUE"""),"07351")</f>
        <v>07351</v>
      </c>
      <c r="D98" s="2" t="str">
        <f>IFERROR(__xludf.DUMMYFUNCTION("""COMPUTED_VALUE"""),"RODGER QUIST MIDDLE SCHOOL")</f>
        <v>RODGER QUIST MIDDLE SCHOOL</v>
      </c>
      <c r="E98" s="3" t="str">
        <f>IFERROR(__xludf.DUMMYFUNCTION("""COMPUTED_VALUE"""),"Y")</f>
        <v>Y</v>
      </c>
      <c r="F98" s="3" t="str">
        <f>IFERROR(__xludf.DUMMYFUNCTION("""COMPUTED_VALUE"""),"Y")</f>
        <v>Y</v>
      </c>
      <c r="G98" s="3"/>
      <c r="H98" s="3"/>
      <c r="I98" s="3" t="str">
        <f>IFERROR(__xludf.DUMMYFUNCTION("""COMPUTED_VALUE""")," ")</f>
        <v> </v>
      </c>
      <c r="J98" s="3" t="str">
        <f>IFERROR(__xludf.DUMMYFUNCTION("""COMPUTED_VALUE""")," ")</f>
        <v> </v>
      </c>
      <c r="K98" s="3" t="str">
        <f>IFERROR(__xludf.DUMMYFUNCTION("""COMPUTED_VALUE"""),"Y")</f>
        <v>Y</v>
      </c>
      <c r="L98" s="3" t="str">
        <f>IFERROR(__xludf.DUMMYFUNCTION("""COMPUTED_VALUE"""),"Group 11")</f>
        <v>Group 11</v>
      </c>
      <c r="M98" s="3"/>
      <c r="N98" s="5" t="str">
        <f>IFERROR(__xludf.DUMMYFUNCTION("""COMPUTED_VALUE""")," ")</f>
        <v> </v>
      </c>
      <c r="O98" s="5"/>
    </row>
    <row r="99">
      <c r="A99" s="2" t="str">
        <f>IFERROR(__xludf.DUMMYFUNCTION("""COMPUTED_VALUE"""),"0040")</f>
        <v>0040</v>
      </c>
      <c r="B99" s="2" t="str">
        <f>IFERROR(__xludf.DUMMYFUNCTION("""COMPUTED_VALUE"""),"School District 27J")</f>
        <v>School District 27J</v>
      </c>
      <c r="C99" s="2" t="str">
        <f>IFERROR(__xludf.DUMMYFUNCTION("""COMPUTED_VALUE"""),"07714")</f>
        <v>07714</v>
      </c>
      <c r="D99" s="2" t="str">
        <f>IFERROR(__xludf.DUMMYFUNCTION("""COMPUTED_VALUE"""),"SECOND CREEK ELEMENTARY SCHOOL")</f>
        <v>SECOND CREEK ELEMENTARY SCHOOL</v>
      </c>
      <c r="E99" s="3" t="str">
        <f>IFERROR(__xludf.DUMMYFUNCTION("""COMPUTED_VALUE"""),"Y")</f>
        <v>Y</v>
      </c>
      <c r="F99" s="3" t="str">
        <f>IFERROR(__xludf.DUMMYFUNCTION("""COMPUTED_VALUE"""),"Y")</f>
        <v>Y</v>
      </c>
      <c r="G99" s="3"/>
      <c r="H99" s="3"/>
      <c r="I99" s="3" t="str">
        <f>IFERROR(__xludf.DUMMYFUNCTION("""COMPUTED_VALUE""")," ")</f>
        <v> </v>
      </c>
      <c r="J99" s="3" t="str">
        <f>IFERROR(__xludf.DUMMYFUNCTION("""COMPUTED_VALUE""")," ")</f>
        <v> </v>
      </c>
      <c r="K99" s="3" t="str">
        <f>IFERROR(__xludf.DUMMYFUNCTION("""COMPUTED_VALUE"""),"Y")</f>
        <v>Y</v>
      </c>
      <c r="L99" s="3" t="str">
        <f>IFERROR(__xludf.DUMMYFUNCTION("""COMPUTED_VALUE"""),"Group 7")</f>
        <v>Group 7</v>
      </c>
      <c r="M99" s="3"/>
      <c r="N99" s="5" t="str">
        <f>IFERROR(__xludf.DUMMYFUNCTION("""COMPUTED_VALUE""")," ")</f>
        <v> </v>
      </c>
      <c r="O99" s="5"/>
    </row>
    <row r="100">
      <c r="A100" s="2" t="str">
        <f>IFERROR(__xludf.DUMMYFUNCTION("""COMPUTED_VALUE"""),"0040")</f>
        <v>0040</v>
      </c>
      <c r="B100" s="2" t="str">
        <f>IFERROR(__xludf.DUMMYFUNCTION("""COMPUTED_VALUE"""),"School District 27J")</f>
        <v>School District 27J</v>
      </c>
      <c r="C100" s="2" t="str">
        <f>IFERROR(__xludf.DUMMYFUNCTION("""COMPUTED_VALUE"""),"08032")</f>
        <v>08032</v>
      </c>
      <c r="D100" s="2" t="str">
        <f>IFERROR(__xludf.DUMMYFUNCTION("""COMPUTED_VALUE"""),"JOHN W THIMMIG ELEMENTARY SCHOOL")</f>
        <v>JOHN W THIMMIG ELEMENTARY SCHOOL</v>
      </c>
      <c r="E100" s="3" t="str">
        <f>IFERROR(__xludf.DUMMYFUNCTION("""COMPUTED_VALUE"""),"Y")</f>
        <v>Y</v>
      </c>
      <c r="F100" s="3" t="str">
        <f>IFERROR(__xludf.DUMMYFUNCTION("""COMPUTED_VALUE"""),"Y")</f>
        <v>Y</v>
      </c>
      <c r="G100" s="3"/>
      <c r="H100" s="3"/>
      <c r="I100" s="3" t="str">
        <f>IFERROR(__xludf.DUMMYFUNCTION("""COMPUTED_VALUE""")," ")</f>
        <v> </v>
      </c>
      <c r="J100" s="3" t="str">
        <f>IFERROR(__xludf.DUMMYFUNCTION("""COMPUTED_VALUE""")," ")</f>
        <v> </v>
      </c>
      <c r="K100" s="3" t="str">
        <f>IFERROR(__xludf.DUMMYFUNCTION("""COMPUTED_VALUE"""),"Y")</f>
        <v>Y</v>
      </c>
      <c r="L100" s="3" t="str">
        <f>IFERROR(__xludf.DUMMYFUNCTION("""COMPUTED_VALUE"""),"Group 1")</f>
        <v>Group 1</v>
      </c>
      <c r="M100" s="3"/>
      <c r="N100" s="5" t="str">
        <f>IFERROR(__xludf.DUMMYFUNCTION("""COMPUTED_VALUE""")," ")</f>
        <v> </v>
      </c>
      <c r="O100" s="5"/>
    </row>
    <row r="101">
      <c r="A101" s="2" t="str">
        <f>IFERROR(__xludf.DUMMYFUNCTION("""COMPUTED_VALUE"""),"0040")</f>
        <v>0040</v>
      </c>
      <c r="B101" s="2" t="str">
        <f>IFERROR(__xludf.DUMMYFUNCTION("""COMPUTED_VALUE"""),"School District 27J")</f>
        <v>School District 27J</v>
      </c>
      <c r="C101" s="2" t="str">
        <f>IFERROR(__xludf.DUMMYFUNCTION("""COMPUTED_VALUE"""),"08060")</f>
        <v>08060</v>
      </c>
      <c r="D101" s="2" t="str">
        <f>IFERROR(__xludf.DUMMYFUNCTION("""COMPUTED_VALUE"""),"SOUTH ELEMENTARY SCHOOL")</f>
        <v>SOUTH ELEMENTARY SCHOOL</v>
      </c>
      <c r="E101" s="3" t="str">
        <f>IFERROR(__xludf.DUMMYFUNCTION("""COMPUTED_VALUE"""),"Y")</f>
        <v>Y</v>
      </c>
      <c r="F101" s="3" t="str">
        <f>IFERROR(__xludf.DUMMYFUNCTION("""COMPUTED_VALUE"""),"Y")</f>
        <v>Y</v>
      </c>
      <c r="G101" s="3"/>
      <c r="H101" s="3"/>
      <c r="I101" s="3" t="str">
        <f>IFERROR(__xludf.DUMMYFUNCTION("""COMPUTED_VALUE""")," ")</f>
        <v> </v>
      </c>
      <c r="J101" s="3" t="str">
        <f>IFERROR(__xludf.DUMMYFUNCTION("""COMPUTED_VALUE"""),"Y")</f>
        <v>Y</v>
      </c>
      <c r="K101" s="3" t="str">
        <f>IFERROR(__xludf.DUMMYFUNCTION("""COMPUTED_VALUE"""),"Y")</f>
        <v>Y</v>
      </c>
      <c r="L101" s="3" t="str">
        <f>IFERROR(__xludf.DUMMYFUNCTION("""COMPUTED_VALUE"""),"Group 10")</f>
        <v>Group 10</v>
      </c>
      <c r="M101" s="3"/>
      <c r="N101" s="5" t="str">
        <f>IFERROR(__xludf.DUMMYFUNCTION("""COMPUTED_VALUE"""),"Y")</f>
        <v>Y</v>
      </c>
      <c r="O101" s="5"/>
    </row>
    <row r="102">
      <c r="A102" s="2" t="str">
        <f>IFERROR(__xludf.DUMMYFUNCTION("""COMPUTED_VALUE"""),"0040")</f>
        <v>0040</v>
      </c>
      <c r="B102" s="2" t="str">
        <f>IFERROR(__xludf.DUMMYFUNCTION("""COMPUTED_VALUE"""),"School District 27J")</f>
        <v>School District 27J</v>
      </c>
      <c r="C102" s="2" t="str">
        <f>IFERROR(__xludf.DUMMYFUNCTION("""COMPUTED_VALUE"""),"08130")</f>
        <v>08130</v>
      </c>
      <c r="D102" s="2" t="str">
        <f>IFERROR(__xludf.DUMMYFUNCTION("""COMPUTED_VALUE"""),"SOUTHEAST ELEMENTARY SCHOOL")</f>
        <v>SOUTHEAST ELEMENTARY SCHOOL</v>
      </c>
      <c r="E102" s="3" t="str">
        <f>IFERROR(__xludf.DUMMYFUNCTION("""COMPUTED_VALUE"""),"Y")</f>
        <v>Y</v>
      </c>
      <c r="F102" s="3" t="str">
        <f>IFERROR(__xludf.DUMMYFUNCTION("""COMPUTED_VALUE"""),"Y")</f>
        <v>Y</v>
      </c>
      <c r="G102" s="3"/>
      <c r="H102" s="3"/>
      <c r="I102" s="3" t="str">
        <f>IFERROR(__xludf.DUMMYFUNCTION("""COMPUTED_VALUE""")," ")</f>
        <v> </v>
      </c>
      <c r="J102" s="3" t="str">
        <f>IFERROR(__xludf.DUMMYFUNCTION("""COMPUTED_VALUE"""),"Y")</f>
        <v>Y</v>
      </c>
      <c r="K102" s="3" t="str">
        <f>IFERROR(__xludf.DUMMYFUNCTION("""COMPUTED_VALUE"""),"Y")</f>
        <v>Y</v>
      </c>
      <c r="L102" s="3" t="str">
        <f>IFERROR(__xludf.DUMMYFUNCTION("""COMPUTED_VALUE"""),"Group 1")</f>
        <v>Group 1</v>
      </c>
      <c r="M102" s="3"/>
      <c r="N102" s="5" t="str">
        <f>IFERROR(__xludf.DUMMYFUNCTION("""COMPUTED_VALUE""")," ")</f>
        <v> </v>
      </c>
      <c r="O102" s="5"/>
    </row>
    <row r="103">
      <c r="A103" s="2" t="str">
        <f>IFERROR(__xludf.DUMMYFUNCTION("""COMPUTED_VALUE"""),"0040")</f>
        <v>0040</v>
      </c>
      <c r="B103" s="2" t="str">
        <f>IFERROR(__xludf.DUMMYFUNCTION("""COMPUTED_VALUE"""),"School District 27J")</f>
        <v>School District 27J</v>
      </c>
      <c r="C103" s="2" t="str">
        <f>IFERROR(__xludf.DUMMYFUNCTION("""COMPUTED_VALUE"""),"08820")</f>
        <v>08820</v>
      </c>
      <c r="D103" s="2" t="str">
        <f>IFERROR(__xludf.DUMMYFUNCTION("""COMPUTED_VALUE"""),"TURNBERRY ELEMENTARY")</f>
        <v>TURNBERRY ELEMENTARY</v>
      </c>
      <c r="E103" s="3" t="str">
        <f>IFERROR(__xludf.DUMMYFUNCTION("""COMPUTED_VALUE"""),"Y")</f>
        <v>Y</v>
      </c>
      <c r="F103" s="3" t="str">
        <f>IFERROR(__xludf.DUMMYFUNCTION("""COMPUTED_VALUE"""),"Y")</f>
        <v>Y</v>
      </c>
      <c r="G103" s="3"/>
      <c r="H103" s="3"/>
      <c r="I103" s="3" t="str">
        <f>IFERROR(__xludf.DUMMYFUNCTION("""COMPUTED_VALUE""")," ")</f>
        <v> </v>
      </c>
      <c r="J103" s="3" t="str">
        <f>IFERROR(__xludf.DUMMYFUNCTION("""COMPUTED_VALUE""")," ")</f>
        <v> </v>
      </c>
      <c r="K103" s="3" t="str">
        <f>IFERROR(__xludf.DUMMYFUNCTION("""COMPUTED_VALUE"""),"Y")</f>
        <v>Y</v>
      </c>
      <c r="L103" s="3" t="str">
        <f>IFERROR(__xludf.DUMMYFUNCTION("""COMPUTED_VALUE"""),"Group 6")</f>
        <v>Group 6</v>
      </c>
      <c r="M103" s="3"/>
      <c r="N103" s="5" t="str">
        <f>IFERROR(__xludf.DUMMYFUNCTION("""COMPUTED_VALUE""")," ")</f>
        <v> </v>
      </c>
      <c r="O103" s="5"/>
    </row>
    <row r="104">
      <c r="A104" s="2" t="str">
        <f>IFERROR(__xludf.DUMMYFUNCTION("""COMPUTED_VALUE"""),"0040")</f>
        <v>0040</v>
      </c>
      <c r="B104" s="2" t="str">
        <f>IFERROR(__xludf.DUMMYFUNCTION("""COMPUTED_VALUE"""),"School District 27J")</f>
        <v>School District 27J</v>
      </c>
      <c r="C104" s="2" t="str">
        <f>IFERROR(__xludf.DUMMYFUNCTION("""COMPUTED_VALUE"""),"09230")</f>
        <v>09230</v>
      </c>
      <c r="D104" s="2" t="str">
        <f>IFERROR(__xludf.DUMMYFUNCTION("""COMPUTED_VALUE"""),"VIKAN MIDDLE SCHOOL")</f>
        <v>VIKAN MIDDLE SCHOOL</v>
      </c>
      <c r="E104" s="3" t="str">
        <f>IFERROR(__xludf.DUMMYFUNCTION("""COMPUTED_VALUE"""),"Y")</f>
        <v>Y</v>
      </c>
      <c r="F104" s="3" t="str">
        <f>IFERROR(__xludf.DUMMYFUNCTION("""COMPUTED_VALUE"""),"Y")</f>
        <v>Y</v>
      </c>
      <c r="G104" s="3"/>
      <c r="H104" s="3"/>
      <c r="I104" s="3" t="str">
        <f>IFERROR(__xludf.DUMMYFUNCTION("""COMPUTED_VALUE""")," ")</f>
        <v> </v>
      </c>
      <c r="J104" s="3" t="str">
        <f>IFERROR(__xludf.DUMMYFUNCTION("""COMPUTED_VALUE"""),"Y")</f>
        <v>Y</v>
      </c>
      <c r="K104" s="3" t="str">
        <f>IFERROR(__xludf.DUMMYFUNCTION("""COMPUTED_VALUE"""),"Y")</f>
        <v>Y</v>
      </c>
      <c r="L104" s="3" t="str">
        <f>IFERROR(__xludf.DUMMYFUNCTION("""COMPUTED_VALUE"""),"Group 9")</f>
        <v>Group 9</v>
      </c>
      <c r="M104" s="3"/>
      <c r="N104" s="5" t="str">
        <f>IFERROR(__xludf.DUMMYFUNCTION("""COMPUTED_VALUE""")," ")</f>
        <v> </v>
      </c>
      <c r="O104" s="5"/>
    </row>
    <row r="105">
      <c r="A105" s="2" t="str">
        <f>IFERROR(__xludf.DUMMYFUNCTION("""COMPUTED_VALUE"""),"0040")</f>
        <v>0040</v>
      </c>
      <c r="B105" s="2" t="str">
        <f>IFERROR(__xludf.DUMMYFUNCTION("""COMPUTED_VALUE"""),"School District 27J")</f>
        <v>School District 27J</v>
      </c>
      <c r="C105" s="2" t="str">
        <f>IFERROR(__xludf.DUMMYFUNCTION("""COMPUTED_VALUE"""),"09426")</f>
        <v>09426</v>
      </c>
      <c r="D105" s="2" t="str">
        <f>IFERROR(__xludf.DUMMYFUNCTION("""COMPUTED_VALUE"""),"WEST RIDGE ELEMENTARY")</f>
        <v>WEST RIDGE ELEMENTARY</v>
      </c>
      <c r="E105" s="3" t="str">
        <f>IFERROR(__xludf.DUMMYFUNCTION("""COMPUTED_VALUE"""),"Y")</f>
        <v>Y</v>
      </c>
      <c r="F105" s="3" t="str">
        <f>IFERROR(__xludf.DUMMYFUNCTION("""COMPUTED_VALUE"""),"Y")</f>
        <v>Y</v>
      </c>
      <c r="G105" s="3"/>
      <c r="H105" s="3"/>
      <c r="I105" s="3" t="str">
        <f>IFERROR(__xludf.DUMMYFUNCTION("""COMPUTED_VALUE""")," ")</f>
        <v> </v>
      </c>
      <c r="J105" s="3" t="str">
        <f>IFERROR(__xludf.DUMMYFUNCTION("""COMPUTED_VALUE""")," ")</f>
        <v> </v>
      </c>
      <c r="K105" s="3" t="str">
        <f>IFERROR(__xludf.DUMMYFUNCTION("""COMPUTED_VALUE"""),"Y")</f>
        <v>Y</v>
      </c>
      <c r="L105" s="3" t="str">
        <f>IFERROR(__xludf.DUMMYFUNCTION("""COMPUTED_VALUE"""),"Group 11")</f>
        <v>Group 11</v>
      </c>
      <c r="M105" s="3"/>
      <c r="N105" s="5" t="str">
        <f>IFERROR(__xludf.DUMMYFUNCTION("""COMPUTED_VALUE""")," ")</f>
        <v> </v>
      </c>
      <c r="O105" s="5"/>
    </row>
    <row r="106">
      <c r="A106" s="2" t="str">
        <f>IFERROR(__xludf.DUMMYFUNCTION("""COMPUTED_VALUE"""),"0050")</f>
        <v>0050</v>
      </c>
      <c r="B106" s="2" t="str">
        <f>IFERROR(__xludf.DUMMYFUNCTION("""COMPUTED_VALUE"""),"BENNETT             29J")</f>
        <v>BENNETT             29J</v>
      </c>
      <c r="C106" s="2" t="str">
        <f>IFERROR(__xludf.DUMMYFUNCTION("""COMPUTED_VALUE"""),"00562")</f>
        <v>00562</v>
      </c>
      <c r="D106" s="2" t="str">
        <f>IFERROR(__xludf.DUMMYFUNCTION("""COMPUTED_VALUE"""),"BENNETT INTERMEDIATE SCHOOL")</f>
        <v>BENNETT INTERMEDIATE SCHOOL</v>
      </c>
      <c r="E106" s="3" t="str">
        <f>IFERROR(__xludf.DUMMYFUNCTION("""COMPUTED_VALUE"""),"Y")</f>
        <v>Y</v>
      </c>
      <c r="F106" s="3" t="str">
        <f>IFERROR(__xludf.DUMMYFUNCTION("""COMPUTED_VALUE"""),"Y")</f>
        <v>Y</v>
      </c>
      <c r="G106" s="3"/>
      <c r="H106" s="3"/>
      <c r="I106" s="3" t="str">
        <f>IFERROR(__xludf.DUMMYFUNCTION("""COMPUTED_VALUE""")," ")</f>
        <v> </v>
      </c>
      <c r="J106" s="3" t="str">
        <f>IFERROR(__xludf.DUMMYFUNCTION("""COMPUTED_VALUE""")," ")</f>
        <v> </v>
      </c>
      <c r="K106" s="3" t="str">
        <f>IFERROR(__xludf.DUMMYFUNCTION("""COMPUTED_VALUE"""),"Y")</f>
        <v>Y</v>
      </c>
      <c r="L106" s="3" t="str">
        <f>IFERROR(__xludf.DUMMYFUNCTION("""COMPUTED_VALUE""")," ")</f>
        <v> </v>
      </c>
      <c r="M106" s="3"/>
      <c r="N106" s="5" t="str">
        <f>IFERROR(__xludf.DUMMYFUNCTION("""COMPUTED_VALUE""")," ")</f>
        <v> </v>
      </c>
      <c r="O106" s="5"/>
    </row>
    <row r="107">
      <c r="A107" s="2" t="str">
        <f>IFERROR(__xludf.DUMMYFUNCTION("""COMPUTED_VALUE"""),"0050")</f>
        <v>0050</v>
      </c>
      <c r="B107" s="2" t="str">
        <f>IFERROR(__xludf.DUMMYFUNCTION("""COMPUTED_VALUE"""),"BENNETT             29J")</f>
        <v>BENNETT             29J</v>
      </c>
      <c r="C107" s="2" t="str">
        <f>IFERROR(__xludf.DUMMYFUNCTION("""COMPUTED_VALUE"""),"00770")</f>
        <v>00770</v>
      </c>
      <c r="D107" s="2" t="str">
        <f>IFERROR(__xludf.DUMMYFUNCTION("""COMPUTED_VALUE"""),"BENNETT ELEMENTARY SCHOOL")</f>
        <v>BENNETT ELEMENTARY SCHOOL</v>
      </c>
      <c r="E107" s="3" t="str">
        <f>IFERROR(__xludf.DUMMYFUNCTION("""COMPUTED_VALUE"""),"Y")</f>
        <v>Y</v>
      </c>
      <c r="F107" s="3" t="str">
        <f>IFERROR(__xludf.DUMMYFUNCTION("""COMPUTED_VALUE"""),"Y")</f>
        <v>Y</v>
      </c>
      <c r="G107" s="3"/>
      <c r="H107" s="3"/>
      <c r="I107" s="3" t="str">
        <f>IFERROR(__xludf.DUMMYFUNCTION("""COMPUTED_VALUE""")," ")</f>
        <v> </v>
      </c>
      <c r="J107" s="3" t="str">
        <f>IFERROR(__xludf.DUMMYFUNCTION("""COMPUTED_VALUE""")," ")</f>
        <v> </v>
      </c>
      <c r="K107" s="3" t="str">
        <f>IFERROR(__xludf.DUMMYFUNCTION("""COMPUTED_VALUE"""),"Y")</f>
        <v>Y</v>
      </c>
      <c r="L107" s="3" t="str">
        <f>IFERROR(__xludf.DUMMYFUNCTION("""COMPUTED_VALUE"""),"Group 1")</f>
        <v>Group 1</v>
      </c>
      <c r="M107" s="3"/>
      <c r="N107" s="5" t="str">
        <f>IFERROR(__xludf.DUMMYFUNCTION("""COMPUTED_VALUE""")," ")</f>
        <v> </v>
      </c>
      <c r="O107" s="5"/>
    </row>
    <row r="108">
      <c r="A108" s="2" t="str">
        <f>IFERROR(__xludf.DUMMYFUNCTION("""COMPUTED_VALUE"""),"0050")</f>
        <v>0050</v>
      </c>
      <c r="B108" s="2" t="str">
        <f>IFERROR(__xludf.DUMMYFUNCTION("""COMPUTED_VALUE"""),"BENNETT             29J")</f>
        <v>BENNETT             29J</v>
      </c>
      <c r="C108" s="2" t="str">
        <f>IFERROR(__xludf.DUMMYFUNCTION("""COMPUTED_VALUE"""),"00774")</f>
        <v>00774</v>
      </c>
      <c r="D108" s="2" t="str">
        <f>IFERROR(__xludf.DUMMYFUNCTION("""COMPUTED_VALUE"""),"BENNETT MIDDLE SCHOOL")</f>
        <v>BENNETT MIDDLE SCHOOL</v>
      </c>
      <c r="E108" s="3" t="str">
        <f>IFERROR(__xludf.DUMMYFUNCTION("""COMPUTED_VALUE"""),"Y")</f>
        <v>Y</v>
      </c>
      <c r="F108" s="3" t="str">
        <f>IFERROR(__xludf.DUMMYFUNCTION("""COMPUTED_VALUE"""),"Y")</f>
        <v>Y</v>
      </c>
      <c r="G108" s="3"/>
      <c r="H108" s="3"/>
      <c r="I108" s="3" t="str">
        <f>IFERROR(__xludf.DUMMYFUNCTION("""COMPUTED_VALUE""")," ")</f>
        <v> </v>
      </c>
      <c r="J108" s="3" t="str">
        <f>IFERROR(__xludf.DUMMYFUNCTION("""COMPUTED_VALUE""")," ")</f>
        <v> </v>
      </c>
      <c r="K108" s="3" t="str">
        <f>IFERROR(__xludf.DUMMYFUNCTION("""COMPUTED_VALUE"""),"Y")</f>
        <v>Y</v>
      </c>
      <c r="L108" s="3" t="str">
        <f>IFERROR(__xludf.DUMMYFUNCTION("""COMPUTED_VALUE"""),"Group 1")</f>
        <v>Group 1</v>
      </c>
      <c r="M108" s="3"/>
      <c r="N108" s="5" t="str">
        <f>IFERROR(__xludf.DUMMYFUNCTION("""COMPUTED_VALUE""")," ")</f>
        <v> </v>
      </c>
      <c r="O108" s="5"/>
    </row>
    <row r="109">
      <c r="A109" s="2" t="str">
        <f>IFERROR(__xludf.DUMMYFUNCTION("""COMPUTED_VALUE"""),"0050")</f>
        <v>0050</v>
      </c>
      <c r="B109" s="2" t="str">
        <f>IFERROR(__xludf.DUMMYFUNCTION("""COMPUTED_VALUE"""),"BENNETT             29J")</f>
        <v>BENNETT             29J</v>
      </c>
      <c r="C109" s="2" t="str">
        <f>IFERROR(__xludf.DUMMYFUNCTION("""COMPUTED_VALUE"""),"00775")</f>
        <v>00775</v>
      </c>
      <c r="D109" s="2" t="str">
        <f>IFERROR(__xludf.DUMMYFUNCTION("""COMPUTED_VALUE"""),"BENNETT HIGH SCHOOL")</f>
        <v>BENNETT HIGH SCHOOL</v>
      </c>
      <c r="E109" s="3" t="str">
        <f>IFERROR(__xludf.DUMMYFUNCTION("""COMPUTED_VALUE"""),"Y")</f>
        <v>Y</v>
      </c>
      <c r="F109" s="3" t="str">
        <f>IFERROR(__xludf.DUMMYFUNCTION("""COMPUTED_VALUE"""),"Y")</f>
        <v>Y</v>
      </c>
      <c r="G109" s="3"/>
      <c r="H109" s="3"/>
      <c r="I109" s="3" t="str">
        <f>IFERROR(__xludf.DUMMYFUNCTION("""COMPUTED_VALUE""")," ")</f>
        <v> </v>
      </c>
      <c r="J109" s="3" t="str">
        <f>IFERROR(__xludf.DUMMYFUNCTION("""COMPUTED_VALUE""")," ")</f>
        <v> </v>
      </c>
      <c r="K109" s="3" t="str">
        <f>IFERROR(__xludf.DUMMYFUNCTION("""COMPUTED_VALUE"""),"Y")</f>
        <v>Y</v>
      </c>
      <c r="L109" s="3" t="str">
        <f>IFERROR(__xludf.DUMMYFUNCTION("""COMPUTED_VALUE"""),"Group 1")</f>
        <v>Group 1</v>
      </c>
      <c r="M109" s="3"/>
      <c r="N109" s="5" t="str">
        <f>IFERROR(__xludf.DUMMYFUNCTION("""COMPUTED_VALUE""")," ")</f>
        <v> </v>
      </c>
      <c r="O109" s="5"/>
    </row>
    <row r="110">
      <c r="A110" s="2" t="str">
        <f>IFERROR(__xludf.DUMMYFUNCTION("""COMPUTED_VALUE"""),"0060")</f>
        <v>0060</v>
      </c>
      <c r="B110" s="2" t="str">
        <f>IFERROR(__xludf.DUMMYFUNCTION("""COMPUTED_VALUE"""),"STRASBURG           31J")</f>
        <v>STRASBURG           31J</v>
      </c>
      <c r="C110" s="2" t="str">
        <f>IFERROR(__xludf.DUMMYFUNCTION("""COMPUTED_VALUE"""),"07133")</f>
        <v>07133</v>
      </c>
      <c r="D110" s="2" t="str">
        <f>IFERROR(__xludf.DUMMYFUNCTION("""COMPUTED_VALUE"""),"PRAIRIE CREEKS CHARTER SCHOOL")</f>
        <v>PRAIRIE CREEKS CHARTER SCHOOL</v>
      </c>
      <c r="E110" s="3" t="str">
        <f>IFERROR(__xludf.DUMMYFUNCTION("""COMPUTED_VALUE"""),"Y")</f>
        <v>Y</v>
      </c>
      <c r="F110" s="3" t="str">
        <f>IFERROR(__xludf.DUMMYFUNCTION("""COMPUTED_VALUE"""),"Y")</f>
        <v>Y</v>
      </c>
      <c r="G110" s="3"/>
      <c r="H110" s="3"/>
      <c r="I110" s="3" t="str">
        <f>IFERROR(__xludf.DUMMYFUNCTION("""COMPUTED_VALUE""")," ")</f>
        <v> </v>
      </c>
      <c r="J110" s="3" t="str">
        <f>IFERROR(__xludf.DUMMYFUNCTION("""COMPUTED_VALUE""")," ")</f>
        <v> </v>
      </c>
      <c r="K110" s="3" t="str">
        <f>IFERROR(__xludf.DUMMYFUNCTION("""COMPUTED_VALUE"""),"Y")</f>
        <v>Y</v>
      </c>
      <c r="L110" s="3" t="str">
        <f>IFERROR(__xludf.DUMMYFUNCTION("""COMPUTED_VALUE""")," ")</f>
        <v> </v>
      </c>
      <c r="M110" s="3"/>
      <c r="N110" s="5" t="str">
        <f>IFERROR(__xludf.DUMMYFUNCTION("""COMPUTED_VALUE""")," ")</f>
        <v> </v>
      </c>
      <c r="O110" s="5"/>
    </row>
    <row r="111">
      <c r="A111" s="2" t="str">
        <f>IFERROR(__xludf.DUMMYFUNCTION("""COMPUTED_VALUE"""),"0060")</f>
        <v>0060</v>
      </c>
      <c r="B111" s="2" t="str">
        <f>IFERROR(__xludf.DUMMYFUNCTION("""COMPUTED_VALUE"""),"STRASBURG           31J")</f>
        <v>STRASBURG           31J</v>
      </c>
      <c r="C111" s="2" t="str">
        <f>IFERROR(__xludf.DUMMYFUNCTION("""COMPUTED_VALUE"""),"08328")</f>
        <v>08328</v>
      </c>
      <c r="D111" s="2" t="str">
        <f>IFERROR(__xludf.DUMMYFUNCTION("""COMPUTED_VALUE"""),"STRASBURG ELEMENTARY SCHOOL")</f>
        <v>STRASBURG ELEMENTARY SCHOOL</v>
      </c>
      <c r="E111" s="3" t="str">
        <f>IFERROR(__xludf.DUMMYFUNCTION("""COMPUTED_VALUE"""),"Y")</f>
        <v>Y</v>
      </c>
      <c r="F111" s="3" t="str">
        <f>IFERROR(__xludf.DUMMYFUNCTION("""COMPUTED_VALUE"""),"Y")</f>
        <v>Y</v>
      </c>
      <c r="G111" s="3"/>
      <c r="H111" s="3"/>
      <c r="I111" s="3" t="str">
        <f>IFERROR(__xludf.DUMMYFUNCTION("""COMPUTED_VALUE""")," ")</f>
        <v> </v>
      </c>
      <c r="J111" s="3" t="str">
        <f>IFERROR(__xludf.DUMMYFUNCTION("""COMPUTED_VALUE""")," ")</f>
        <v> </v>
      </c>
      <c r="K111" s="3" t="str">
        <f>IFERROR(__xludf.DUMMYFUNCTION("""COMPUTED_VALUE"""),"Y")</f>
        <v>Y</v>
      </c>
      <c r="L111" s="3" t="str">
        <f>IFERROR(__xludf.DUMMYFUNCTION("""COMPUTED_VALUE"""),"Group 2")</f>
        <v>Group 2</v>
      </c>
      <c r="M111" s="3"/>
      <c r="N111" s="5" t="str">
        <f>IFERROR(__xludf.DUMMYFUNCTION("""COMPUTED_VALUE""")," ")</f>
        <v> </v>
      </c>
      <c r="O111" s="5"/>
    </row>
    <row r="112">
      <c r="A112" s="2" t="str">
        <f>IFERROR(__xludf.DUMMYFUNCTION("""COMPUTED_VALUE"""),"0060")</f>
        <v>0060</v>
      </c>
      <c r="B112" s="2" t="str">
        <f>IFERROR(__xludf.DUMMYFUNCTION("""COMPUTED_VALUE"""),"STRASBURG           31J")</f>
        <v>STRASBURG           31J</v>
      </c>
      <c r="C112" s="2" t="str">
        <f>IFERROR(__xludf.DUMMYFUNCTION("""COMPUTED_VALUE"""),"08332")</f>
        <v>08332</v>
      </c>
      <c r="D112" s="2" t="str">
        <f>IFERROR(__xludf.DUMMYFUNCTION("""COMPUTED_VALUE"""),"Hemphill Middle School")</f>
        <v>Hemphill Middle School</v>
      </c>
      <c r="E112" s="3" t="str">
        <f>IFERROR(__xludf.DUMMYFUNCTION("""COMPUTED_VALUE"""),"Y")</f>
        <v>Y</v>
      </c>
      <c r="F112" s="3" t="str">
        <f>IFERROR(__xludf.DUMMYFUNCTION("""COMPUTED_VALUE"""),"Y")</f>
        <v>Y</v>
      </c>
      <c r="G112" s="3"/>
      <c r="H112" s="3"/>
      <c r="I112" s="3" t="str">
        <f>IFERROR(__xludf.DUMMYFUNCTION("""COMPUTED_VALUE""")," ")</f>
        <v> </v>
      </c>
      <c r="J112" s="3" t="str">
        <f>IFERROR(__xludf.DUMMYFUNCTION("""COMPUTED_VALUE""")," ")</f>
        <v> </v>
      </c>
      <c r="K112" s="3" t="str">
        <f>IFERROR(__xludf.DUMMYFUNCTION("""COMPUTED_VALUE"""),"Y")</f>
        <v>Y</v>
      </c>
      <c r="L112" s="3" t="str">
        <f>IFERROR(__xludf.DUMMYFUNCTION("""COMPUTED_VALUE"""),"Group 2")</f>
        <v>Group 2</v>
      </c>
      <c r="M112" s="3"/>
      <c r="N112" s="5" t="str">
        <f>IFERROR(__xludf.DUMMYFUNCTION("""COMPUTED_VALUE""")," ")</f>
        <v> </v>
      </c>
      <c r="O112" s="5"/>
    </row>
    <row r="113">
      <c r="A113" s="2" t="str">
        <f>IFERROR(__xludf.DUMMYFUNCTION("""COMPUTED_VALUE"""),"0060")</f>
        <v>0060</v>
      </c>
      <c r="B113" s="2" t="str">
        <f>IFERROR(__xludf.DUMMYFUNCTION("""COMPUTED_VALUE"""),"STRASBURG           31J")</f>
        <v>STRASBURG           31J</v>
      </c>
      <c r="C113" s="2" t="str">
        <f>IFERROR(__xludf.DUMMYFUNCTION("""COMPUTED_VALUE"""),"08334")</f>
        <v>08334</v>
      </c>
      <c r="D113" s="2" t="str">
        <f>IFERROR(__xludf.DUMMYFUNCTION("""COMPUTED_VALUE"""),"STRASBURG HIGH SCHOOL")</f>
        <v>STRASBURG HIGH SCHOOL</v>
      </c>
      <c r="E113" s="3" t="str">
        <f>IFERROR(__xludf.DUMMYFUNCTION("""COMPUTED_VALUE"""),"Y")</f>
        <v>Y</v>
      </c>
      <c r="F113" s="3" t="str">
        <f>IFERROR(__xludf.DUMMYFUNCTION("""COMPUTED_VALUE"""),"Y")</f>
        <v>Y</v>
      </c>
      <c r="G113" s="3"/>
      <c r="H113" s="3"/>
      <c r="I113" s="3" t="str">
        <f>IFERROR(__xludf.DUMMYFUNCTION("""COMPUTED_VALUE""")," ")</f>
        <v> </v>
      </c>
      <c r="J113" s="3" t="str">
        <f>IFERROR(__xludf.DUMMYFUNCTION("""COMPUTED_VALUE""")," ")</f>
        <v> </v>
      </c>
      <c r="K113" s="3" t="str">
        <f>IFERROR(__xludf.DUMMYFUNCTION("""COMPUTED_VALUE"""),"Y")</f>
        <v>Y</v>
      </c>
      <c r="L113" s="3" t="str">
        <f>IFERROR(__xludf.DUMMYFUNCTION("""COMPUTED_VALUE"""),"Group 1")</f>
        <v>Group 1</v>
      </c>
      <c r="M113" s="3"/>
      <c r="N113" s="5" t="str">
        <f>IFERROR(__xludf.DUMMYFUNCTION("""COMPUTED_VALUE""")," ")</f>
        <v> </v>
      </c>
      <c r="O113" s="5"/>
    </row>
    <row r="114">
      <c r="A114" s="2" t="str">
        <f>IFERROR(__xludf.DUMMYFUNCTION("""COMPUTED_VALUE"""),"0070")</f>
        <v>0070</v>
      </c>
      <c r="B114" s="2" t="str">
        <f>IFERROR(__xludf.DUMMYFUNCTION("""COMPUTED_VALUE"""),"Westminster Public Schools")</f>
        <v>Westminster Public Schools</v>
      </c>
      <c r="C114" s="2" t="str">
        <f>IFERROR(__xludf.DUMMYFUNCTION("""COMPUTED_VALUE"""),"01137")</f>
        <v>01137</v>
      </c>
      <c r="D114" s="2" t="str">
        <f>IFERROR(__xludf.DUMMYFUNCTION("""COMPUTED_VALUE"""),"Early Learning Center at Francis M. Day")</f>
        <v>Early Learning Center at Francis M. Day</v>
      </c>
      <c r="E114" s="3" t="str">
        <f>IFERROR(__xludf.DUMMYFUNCTION("""COMPUTED_VALUE"""),"Y")</f>
        <v>Y</v>
      </c>
      <c r="F114" s="3" t="str">
        <f>IFERROR(__xludf.DUMMYFUNCTION("""COMPUTED_VALUE"""),"Y")</f>
        <v>Y</v>
      </c>
      <c r="G114" s="3" t="str">
        <f>IFERROR(__xludf.DUMMYFUNCTION("""COMPUTED_VALUE"""),"Y")</f>
        <v>Y</v>
      </c>
      <c r="H114" s="3"/>
      <c r="I114" s="3" t="str">
        <f>IFERROR(__xludf.DUMMYFUNCTION("""COMPUTED_VALUE""")," ")</f>
        <v> </v>
      </c>
      <c r="J114" s="3" t="str">
        <f>IFERROR(__xludf.DUMMYFUNCTION("""COMPUTED_VALUE""")," ")</f>
        <v> </v>
      </c>
      <c r="K114" s="3" t="str">
        <f>IFERROR(__xludf.DUMMYFUNCTION("""COMPUTED_VALUE"""),"Y")</f>
        <v>Y</v>
      </c>
      <c r="L114" s="3" t="str">
        <f>IFERROR(__xludf.DUMMYFUNCTION("""COMPUTED_VALUE"""),"Group 4")</f>
        <v>Group 4</v>
      </c>
      <c r="M114" s="3"/>
      <c r="N114" s="5" t="str">
        <f>IFERROR(__xludf.DUMMYFUNCTION("""COMPUTED_VALUE"""),"Y")</f>
        <v>Y</v>
      </c>
      <c r="O114" s="5"/>
    </row>
    <row r="115">
      <c r="A115" s="2" t="str">
        <f>IFERROR(__xludf.DUMMYFUNCTION("""COMPUTED_VALUE"""),"0070")</f>
        <v>0070</v>
      </c>
      <c r="B115" s="2" t="str">
        <f>IFERROR(__xludf.DUMMYFUNCTION("""COMPUTED_VALUE"""),"Westminster Public Schools")</f>
        <v>Westminster Public Schools</v>
      </c>
      <c r="C115" s="2" t="str">
        <f>IFERROR(__xludf.DUMMYFUNCTION("""COMPUTED_VALUE"""),"01622")</f>
        <v>01622</v>
      </c>
      <c r="D115" s="2" t="str">
        <f>IFERROR(__xludf.DUMMYFUNCTION("""COMPUTED_VALUE"""),"Metropolitan Arts Academy")</f>
        <v>Metropolitan Arts Academy</v>
      </c>
      <c r="E115" s="3" t="str">
        <f>IFERROR(__xludf.DUMMYFUNCTION("""COMPUTED_VALUE"""),"Y")</f>
        <v>Y</v>
      </c>
      <c r="F115" s="3" t="str">
        <f>IFERROR(__xludf.DUMMYFUNCTION("""COMPUTED_VALUE"""),"Y")</f>
        <v>Y</v>
      </c>
      <c r="G115" s="3" t="str">
        <f>IFERROR(__xludf.DUMMYFUNCTION("""COMPUTED_VALUE"""),"Y")</f>
        <v>Y</v>
      </c>
      <c r="H115" s="3"/>
      <c r="I115" s="3" t="str">
        <f>IFERROR(__xludf.DUMMYFUNCTION("""COMPUTED_VALUE"""),"Y")</f>
        <v>Y</v>
      </c>
      <c r="J115" s="3" t="str">
        <f>IFERROR(__xludf.DUMMYFUNCTION("""COMPUTED_VALUE"""),"Y")</f>
        <v>Y</v>
      </c>
      <c r="K115" s="3" t="str">
        <f>IFERROR(__xludf.DUMMYFUNCTION("""COMPUTED_VALUE"""),"Y")</f>
        <v>Y</v>
      </c>
      <c r="L115" s="3" t="str">
        <f>IFERROR(__xludf.DUMMYFUNCTION("""COMPUTED_VALUE"""),"Group 2")</f>
        <v>Group 2</v>
      </c>
      <c r="M115" s="3"/>
      <c r="N115" s="5" t="str">
        <f>IFERROR(__xludf.DUMMYFUNCTION("""COMPUTED_VALUE""")," ")</f>
        <v> </v>
      </c>
      <c r="O115" s="5"/>
    </row>
    <row r="116">
      <c r="A116" s="2" t="str">
        <f>IFERROR(__xludf.DUMMYFUNCTION("""COMPUTED_VALUE"""),"0070")</f>
        <v>0070</v>
      </c>
      <c r="B116" s="2" t="str">
        <f>IFERROR(__xludf.DUMMYFUNCTION("""COMPUTED_VALUE"""),"Westminster Public Schools")</f>
        <v>Westminster Public Schools</v>
      </c>
      <c r="C116" s="2" t="str">
        <f>IFERROR(__xludf.DUMMYFUNCTION("""COMPUTED_VALUE"""),"02876")</f>
        <v>02876</v>
      </c>
      <c r="D116" s="2" t="str">
        <f>IFERROR(__xludf.DUMMYFUNCTION("""COMPUTED_VALUE"""),"FAIRVIEW ELEMENTARY SCHOOL")</f>
        <v>FAIRVIEW ELEMENTARY SCHOOL</v>
      </c>
      <c r="E116" s="3" t="str">
        <f>IFERROR(__xludf.DUMMYFUNCTION("""COMPUTED_VALUE"""),"Y")</f>
        <v>Y</v>
      </c>
      <c r="F116" s="3" t="str">
        <f>IFERROR(__xludf.DUMMYFUNCTION("""COMPUTED_VALUE"""),"Y")</f>
        <v>Y</v>
      </c>
      <c r="G116" s="3" t="str">
        <f>IFERROR(__xludf.DUMMYFUNCTION("""COMPUTED_VALUE"""),"Y")</f>
        <v>Y</v>
      </c>
      <c r="H116" s="3"/>
      <c r="I116" s="3" t="str">
        <f>IFERROR(__xludf.DUMMYFUNCTION("""COMPUTED_VALUE"""),"Y")</f>
        <v>Y</v>
      </c>
      <c r="J116" s="3" t="str">
        <f>IFERROR(__xludf.DUMMYFUNCTION("""COMPUTED_VALUE"""),"Y")</f>
        <v>Y</v>
      </c>
      <c r="K116" s="3" t="str">
        <f>IFERROR(__xludf.DUMMYFUNCTION("""COMPUTED_VALUE"""),"Y")</f>
        <v>Y</v>
      </c>
      <c r="L116" s="3" t="str">
        <f>IFERROR(__xludf.DUMMYFUNCTION("""COMPUTED_VALUE"""),"Group 5")</f>
        <v>Group 5</v>
      </c>
      <c r="M116" s="3"/>
      <c r="N116" s="5" t="str">
        <f>IFERROR(__xludf.DUMMYFUNCTION("""COMPUTED_VALUE""")," ")</f>
        <v> </v>
      </c>
      <c r="O116" s="5"/>
    </row>
    <row r="117">
      <c r="A117" s="2" t="str">
        <f>IFERROR(__xludf.DUMMYFUNCTION("""COMPUTED_VALUE"""),"0070")</f>
        <v>0070</v>
      </c>
      <c r="B117" s="2" t="str">
        <f>IFERROR(__xludf.DUMMYFUNCTION("""COMPUTED_VALUE"""),"Westminster Public Schools")</f>
        <v>Westminster Public Schools</v>
      </c>
      <c r="C117" s="2" t="str">
        <f>IFERROR(__xludf.DUMMYFUNCTION("""COMPUTED_VALUE"""),"03649")</f>
        <v>03649</v>
      </c>
      <c r="D117" s="2" t="str">
        <f>IFERROR(__xludf.DUMMYFUNCTION("""COMPUTED_VALUE"""),"EARLY LEARNING CENTER AT GREGORY HILL")</f>
        <v>EARLY LEARNING CENTER AT GREGORY HILL</v>
      </c>
      <c r="E117" s="3" t="str">
        <f>IFERROR(__xludf.DUMMYFUNCTION("""COMPUTED_VALUE"""),"Y")</f>
        <v>Y</v>
      </c>
      <c r="F117" s="3" t="str">
        <f>IFERROR(__xludf.DUMMYFUNCTION("""COMPUTED_VALUE"""),"Y")</f>
        <v>Y</v>
      </c>
      <c r="G117" s="3"/>
      <c r="H117" s="3"/>
      <c r="I117" s="3" t="str">
        <f>IFERROR(__xludf.DUMMYFUNCTION("""COMPUTED_VALUE""")," ")</f>
        <v> </v>
      </c>
      <c r="J117" s="3" t="str">
        <f>IFERROR(__xludf.DUMMYFUNCTION("""COMPUTED_VALUE"""),"Y")</f>
        <v>Y</v>
      </c>
      <c r="K117" s="3" t="str">
        <f>IFERROR(__xludf.DUMMYFUNCTION("""COMPUTED_VALUE"""),"Y")</f>
        <v>Y</v>
      </c>
      <c r="L117" s="3" t="str">
        <f>IFERROR(__xludf.DUMMYFUNCTION("""COMPUTED_VALUE"""),"Group 2")</f>
        <v>Group 2</v>
      </c>
      <c r="M117" s="3"/>
      <c r="N117" s="5" t="str">
        <f>IFERROR(__xludf.DUMMYFUNCTION("""COMPUTED_VALUE""")," ")</f>
        <v> </v>
      </c>
      <c r="O117" s="5"/>
    </row>
    <row r="118">
      <c r="A118" s="2" t="str">
        <f>IFERROR(__xludf.DUMMYFUNCTION("""COMPUTED_VALUE"""),"0070")</f>
        <v>0070</v>
      </c>
      <c r="B118" s="2" t="str">
        <f>IFERROR(__xludf.DUMMYFUNCTION("""COMPUTED_VALUE"""),"Westminster Public Schools")</f>
        <v>Westminster Public Schools</v>
      </c>
      <c r="C118" s="2" t="str">
        <f>IFERROR(__xludf.DUMMYFUNCTION("""COMPUTED_VALUE"""),"03792")</f>
        <v>03792</v>
      </c>
      <c r="D118" s="2" t="str">
        <f>IFERROR(__xludf.DUMMYFUNCTION("""COMPUTED_VALUE"""),"HARRIS PARK ELEMENTARY SCHOOL")</f>
        <v>HARRIS PARK ELEMENTARY SCHOOL</v>
      </c>
      <c r="E118" s="3" t="str">
        <f>IFERROR(__xludf.DUMMYFUNCTION("""COMPUTED_VALUE"""),"Y")</f>
        <v>Y</v>
      </c>
      <c r="F118" s="3" t="str">
        <f>IFERROR(__xludf.DUMMYFUNCTION("""COMPUTED_VALUE"""),"Y")</f>
        <v>Y</v>
      </c>
      <c r="G118" s="3" t="str">
        <f>IFERROR(__xludf.DUMMYFUNCTION("""COMPUTED_VALUE"""),"Y")</f>
        <v>Y</v>
      </c>
      <c r="H118" s="3"/>
      <c r="I118" s="3" t="str">
        <f>IFERROR(__xludf.DUMMYFUNCTION("""COMPUTED_VALUE"""),"Y")</f>
        <v>Y</v>
      </c>
      <c r="J118" s="3" t="str">
        <f>IFERROR(__xludf.DUMMYFUNCTION("""COMPUTED_VALUE"""),"Y")</f>
        <v>Y</v>
      </c>
      <c r="K118" s="3" t="str">
        <f>IFERROR(__xludf.DUMMYFUNCTION("""COMPUTED_VALUE"""),"Y")</f>
        <v>Y</v>
      </c>
      <c r="L118" s="3" t="str">
        <f>IFERROR(__xludf.DUMMYFUNCTION("""COMPUTED_VALUE"""),"Group 5")</f>
        <v>Group 5</v>
      </c>
      <c r="M118" s="3"/>
      <c r="N118" s="5" t="str">
        <f>IFERROR(__xludf.DUMMYFUNCTION("""COMPUTED_VALUE""")," ")</f>
        <v> </v>
      </c>
      <c r="O118" s="5"/>
    </row>
    <row r="119">
      <c r="A119" s="2" t="str">
        <f>IFERROR(__xludf.DUMMYFUNCTION("""COMPUTED_VALUE"""),"0070")</f>
        <v>0070</v>
      </c>
      <c r="B119" s="2" t="str">
        <f>IFERROR(__xludf.DUMMYFUNCTION("""COMPUTED_VALUE"""),"Westminster Public Schools")</f>
        <v>Westminster Public Schools</v>
      </c>
      <c r="C119" s="2" t="str">
        <f>IFERROR(__xludf.DUMMYFUNCTION("""COMPUTED_VALUE"""),"03931")</f>
        <v>03931</v>
      </c>
      <c r="D119" s="2" t="str">
        <f>IFERROR(__xludf.DUMMYFUNCTION("""COMPUTED_VALUE"""),"HIDDEN LAKE HIGH SCHOOL")</f>
        <v>HIDDEN LAKE HIGH SCHOOL</v>
      </c>
      <c r="E119" s="3" t="str">
        <f>IFERROR(__xludf.DUMMYFUNCTION("""COMPUTED_VALUE"""),"Y")</f>
        <v>Y</v>
      </c>
      <c r="F119" s="3" t="str">
        <f>IFERROR(__xludf.DUMMYFUNCTION("""COMPUTED_VALUE"""),"Y")</f>
        <v>Y</v>
      </c>
      <c r="G119" s="3"/>
      <c r="H119" s="3"/>
      <c r="I119" s="3" t="str">
        <f>IFERROR(__xludf.DUMMYFUNCTION("""COMPUTED_VALUE""")," ")</f>
        <v> </v>
      </c>
      <c r="J119" s="3" t="str">
        <f>IFERROR(__xludf.DUMMYFUNCTION("""COMPUTED_VALUE"""),"Y")</f>
        <v>Y</v>
      </c>
      <c r="K119" s="3" t="str">
        <f>IFERROR(__xludf.DUMMYFUNCTION("""COMPUTED_VALUE"""),"Y")</f>
        <v>Y</v>
      </c>
      <c r="L119" s="3" t="str">
        <f>IFERROR(__xludf.DUMMYFUNCTION("""COMPUTED_VALUE"""),"Group 4")</f>
        <v>Group 4</v>
      </c>
      <c r="M119" s="3"/>
      <c r="N119" s="5" t="str">
        <f>IFERROR(__xludf.DUMMYFUNCTION("""COMPUTED_VALUE"""),"Y")</f>
        <v>Y</v>
      </c>
      <c r="O119" s="5"/>
    </row>
    <row r="120">
      <c r="A120" s="2" t="str">
        <f>IFERROR(__xludf.DUMMYFUNCTION("""COMPUTED_VALUE"""),"0070")</f>
        <v>0070</v>
      </c>
      <c r="B120" s="2" t="str">
        <f>IFERROR(__xludf.DUMMYFUNCTION("""COMPUTED_VALUE"""),"Westminster Public Schools")</f>
        <v>Westminster Public Schools</v>
      </c>
      <c r="C120" s="2" t="str">
        <f>IFERROR(__xludf.DUMMYFUNCTION("""COMPUTED_VALUE"""),"04334")</f>
        <v>04334</v>
      </c>
      <c r="D120" s="2" t="str">
        <f>IFERROR(__xludf.DUMMYFUNCTION("""COMPUTED_VALUE"""),"Colorado STEM Academy")</f>
        <v>Colorado STEM Academy</v>
      </c>
      <c r="E120" s="3" t="str">
        <f>IFERROR(__xludf.DUMMYFUNCTION("""COMPUTED_VALUE"""),"Y")</f>
        <v>Y</v>
      </c>
      <c r="F120" s="3" t="str">
        <f>IFERROR(__xludf.DUMMYFUNCTION("""COMPUTED_VALUE"""),"Y")</f>
        <v>Y</v>
      </c>
      <c r="G120" s="3"/>
      <c r="H120" s="3"/>
      <c r="I120" s="3" t="str">
        <f>IFERROR(__xludf.DUMMYFUNCTION("""COMPUTED_VALUE""")," ")</f>
        <v> </v>
      </c>
      <c r="J120" s="3" t="str">
        <f>IFERROR(__xludf.DUMMYFUNCTION("""COMPUTED_VALUE""")," ")</f>
        <v> </v>
      </c>
      <c r="K120" s="3" t="str">
        <f>IFERROR(__xludf.DUMMYFUNCTION("""COMPUTED_VALUE"""),"Y")</f>
        <v>Y</v>
      </c>
      <c r="L120" s="3" t="str">
        <f>IFERROR(__xludf.DUMMYFUNCTION("""COMPUTED_VALUE"""),"Group 5")</f>
        <v>Group 5</v>
      </c>
      <c r="M120" s="3"/>
      <c r="N120" s="5" t="str">
        <f>IFERROR(__xludf.DUMMYFUNCTION("""COMPUTED_VALUE""")," ")</f>
        <v> </v>
      </c>
      <c r="O120" s="5"/>
    </row>
    <row r="121">
      <c r="A121" s="2" t="str">
        <f>IFERROR(__xludf.DUMMYFUNCTION("""COMPUTED_VALUE"""),"0070")</f>
        <v>0070</v>
      </c>
      <c r="B121" s="2" t="str">
        <f>IFERROR(__xludf.DUMMYFUNCTION("""COMPUTED_VALUE"""),"Westminster Public Schools")</f>
        <v>Westminster Public Schools</v>
      </c>
      <c r="C121" s="2" t="str">
        <f>IFERROR(__xludf.DUMMYFUNCTION("""COMPUTED_VALUE"""),"04465")</f>
        <v>04465</v>
      </c>
      <c r="D121" s="2" t="str">
        <f>IFERROR(__xludf.DUMMYFUNCTION("""COMPUTED_VALUE"""),"Josephine Hodgkins Leadership Academy")</f>
        <v>Josephine Hodgkins Leadership Academy</v>
      </c>
      <c r="E121" s="3" t="str">
        <f>IFERROR(__xludf.DUMMYFUNCTION("""COMPUTED_VALUE"""),"Y")</f>
        <v>Y</v>
      </c>
      <c r="F121" s="3" t="str">
        <f>IFERROR(__xludf.DUMMYFUNCTION("""COMPUTED_VALUE"""),"Y")</f>
        <v>Y</v>
      </c>
      <c r="G121" s="3" t="str">
        <f>IFERROR(__xludf.DUMMYFUNCTION("""COMPUTED_VALUE"""),"Y")</f>
        <v>Y</v>
      </c>
      <c r="H121" s="3"/>
      <c r="I121" s="3" t="str">
        <f>IFERROR(__xludf.DUMMYFUNCTION("""COMPUTED_VALUE"""),"Y")</f>
        <v>Y</v>
      </c>
      <c r="J121" s="3" t="str">
        <f>IFERROR(__xludf.DUMMYFUNCTION("""COMPUTED_VALUE"""),"Y")</f>
        <v>Y</v>
      </c>
      <c r="K121" s="3" t="str">
        <f>IFERROR(__xludf.DUMMYFUNCTION("""COMPUTED_VALUE"""),"Y")</f>
        <v>Y</v>
      </c>
      <c r="L121" s="3" t="str">
        <f>IFERROR(__xludf.DUMMYFUNCTION("""COMPUTED_VALUE"""),"Group 5")</f>
        <v>Group 5</v>
      </c>
      <c r="M121" s="3"/>
      <c r="N121" s="5" t="str">
        <f>IFERROR(__xludf.DUMMYFUNCTION("""COMPUTED_VALUE"""),"Y")</f>
        <v>Y</v>
      </c>
      <c r="O121" s="5"/>
    </row>
    <row r="122">
      <c r="A122" s="2" t="str">
        <f>IFERROR(__xludf.DUMMYFUNCTION("""COMPUTED_VALUE"""),"0070")</f>
        <v>0070</v>
      </c>
      <c r="B122" s="2" t="str">
        <f>IFERROR(__xludf.DUMMYFUNCTION("""COMPUTED_VALUE"""),"Westminster Public Schools")</f>
        <v>Westminster Public Schools</v>
      </c>
      <c r="C122" s="2" t="str">
        <f>IFERROR(__xludf.DUMMYFUNCTION("""COMPUTED_VALUE"""),"05388")</f>
        <v>05388</v>
      </c>
      <c r="D122" s="2" t="str">
        <f>IFERROR(__xludf.DUMMYFUNCTION("""COMPUTED_VALUE"""),"COLORADO SPORTS LEADERSHIP ACADEMY")</f>
        <v>COLORADO SPORTS LEADERSHIP ACADEMY</v>
      </c>
      <c r="E122" s="3" t="str">
        <f>IFERROR(__xludf.DUMMYFUNCTION("""COMPUTED_VALUE"""),"Y")</f>
        <v>Y</v>
      </c>
      <c r="F122" s="3" t="str">
        <f>IFERROR(__xludf.DUMMYFUNCTION("""COMPUTED_VALUE"""),"Y")</f>
        <v>Y</v>
      </c>
      <c r="G122" s="3" t="str">
        <f>IFERROR(__xludf.DUMMYFUNCTION("""COMPUTED_VALUE"""),"Y")</f>
        <v>Y</v>
      </c>
      <c r="H122" s="3"/>
      <c r="I122" s="3" t="str">
        <f>IFERROR(__xludf.DUMMYFUNCTION("""COMPUTED_VALUE"""),"Y")</f>
        <v>Y</v>
      </c>
      <c r="J122" s="3" t="str">
        <f>IFERROR(__xludf.DUMMYFUNCTION("""COMPUTED_VALUE"""),"Y")</f>
        <v>Y</v>
      </c>
      <c r="K122" s="3" t="str">
        <f>IFERROR(__xludf.DUMMYFUNCTION("""COMPUTED_VALUE"""),"Y")</f>
        <v>Y</v>
      </c>
      <c r="L122" s="3" t="str">
        <f>IFERROR(__xludf.DUMMYFUNCTION("""COMPUTED_VALUE"""),"Group 3")</f>
        <v>Group 3</v>
      </c>
      <c r="M122" s="3"/>
      <c r="N122" s="5" t="str">
        <f>IFERROR(__xludf.DUMMYFUNCTION("""COMPUTED_VALUE"""),"Y")</f>
        <v>Y</v>
      </c>
      <c r="O122" s="5"/>
    </row>
    <row r="123">
      <c r="A123" s="2" t="str">
        <f>IFERROR(__xludf.DUMMYFUNCTION("""COMPUTED_VALUE"""),"0070")</f>
        <v>0070</v>
      </c>
      <c r="B123" s="2" t="str">
        <f>IFERROR(__xludf.DUMMYFUNCTION("""COMPUTED_VALUE"""),"Westminster Public Schools")</f>
        <v>Westminster Public Schools</v>
      </c>
      <c r="C123" s="2" t="str">
        <f>IFERROR(__xludf.DUMMYFUNCTION("""COMPUTED_VALUE"""),"05834")</f>
        <v>05834</v>
      </c>
      <c r="D123" s="2" t="str">
        <f>IFERROR(__xludf.DUMMYFUNCTION("""COMPUTED_VALUE"""),"MESA ELEMENTARY SCHOOL")</f>
        <v>MESA ELEMENTARY SCHOOL</v>
      </c>
      <c r="E123" s="3" t="str">
        <f>IFERROR(__xludf.DUMMYFUNCTION("""COMPUTED_VALUE"""),"Y")</f>
        <v>Y</v>
      </c>
      <c r="F123" s="3" t="str">
        <f>IFERROR(__xludf.DUMMYFUNCTION("""COMPUTED_VALUE"""),"Y")</f>
        <v>Y</v>
      </c>
      <c r="G123" s="3" t="str">
        <f>IFERROR(__xludf.DUMMYFUNCTION("""COMPUTED_VALUE"""),"Y")</f>
        <v>Y</v>
      </c>
      <c r="H123" s="3"/>
      <c r="I123" s="3" t="str">
        <f>IFERROR(__xludf.DUMMYFUNCTION("""COMPUTED_VALUE"""),"Y")</f>
        <v>Y</v>
      </c>
      <c r="J123" s="3" t="str">
        <f>IFERROR(__xludf.DUMMYFUNCTION("""COMPUTED_VALUE"""),"Y")</f>
        <v>Y</v>
      </c>
      <c r="K123" s="3" t="str">
        <f>IFERROR(__xludf.DUMMYFUNCTION("""COMPUTED_VALUE"""),"Y")</f>
        <v>Y</v>
      </c>
      <c r="L123" s="3" t="str">
        <f>IFERROR(__xludf.DUMMYFUNCTION("""COMPUTED_VALUE"""),"Group 2")</f>
        <v>Group 2</v>
      </c>
      <c r="M123" s="3"/>
      <c r="N123" s="5" t="str">
        <f>IFERROR(__xludf.DUMMYFUNCTION("""COMPUTED_VALUE""")," ")</f>
        <v> </v>
      </c>
      <c r="O123" s="5"/>
    </row>
    <row r="124">
      <c r="A124" s="2" t="str">
        <f>IFERROR(__xludf.DUMMYFUNCTION("""COMPUTED_VALUE"""),"0070")</f>
        <v>0070</v>
      </c>
      <c r="B124" s="2" t="str">
        <f>IFERROR(__xludf.DUMMYFUNCTION("""COMPUTED_VALUE"""),"Westminster Public Schools")</f>
        <v>Westminster Public Schools</v>
      </c>
      <c r="C124" s="2" t="str">
        <f>IFERROR(__xludf.DUMMYFUNCTION("""COMPUTED_VALUE"""),"07810")</f>
        <v>07810</v>
      </c>
      <c r="D124" s="2" t="str">
        <f>IFERROR(__xludf.DUMMYFUNCTION("""COMPUTED_VALUE"""),"John E. Flynn A Marzano Academy")</f>
        <v>John E. Flynn A Marzano Academy</v>
      </c>
      <c r="E124" s="3" t="str">
        <f>IFERROR(__xludf.DUMMYFUNCTION("""COMPUTED_VALUE"""),"Y")</f>
        <v>Y</v>
      </c>
      <c r="F124" s="3" t="str">
        <f>IFERROR(__xludf.DUMMYFUNCTION("""COMPUTED_VALUE"""),"Y")</f>
        <v>Y</v>
      </c>
      <c r="G124" s="3" t="str">
        <f>IFERROR(__xludf.DUMMYFUNCTION("""COMPUTED_VALUE"""),"Y")</f>
        <v>Y</v>
      </c>
      <c r="H124" s="3"/>
      <c r="I124" s="3" t="str">
        <f>IFERROR(__xludf.DUMMYFUNCTION("""COMPUTED_VALUE"""),"Y")</f>
        <v>Y</v>
      </c>
      <c r="J124" s="3" t="str">
        <f>IFERROR(__xludf.DUMMYFUNCTION("""COMPUTED_VALUE"""),"Y")</f>
        <v>Y</v>
      </c>
      <c r="K124" s="3" t="str">
        <f>IFERROR(__xludf.DUMMYFUNCTION("""COMPUTED_VALUE"""),"Y")</f>
        <v>Y</v>
      </c>
      <c r="L124" s="3" t="str">
        <f>IFERROR(__xludf.DUMMYFUNCTION("""COMPUTED_VALUE"""),"Group 5")</f>
        <v>Group 5</v>
      </c>
      <c r="M124" s="3"/>
      <c r="N124" s="5" t="str">
        <f>IFERROR(__xludf.DUMMYFUNCTION("""COMPUTED_VALUE""")," ")</f>
        <v> </v>
      </c>
      <c r="O124" s="5"/>
    </row>
    <row r="125">
      <c r="A125" s="2" t="str">
        <f>IFERROR(__xludf.DUMMYFUNCTION("""COMPUTED_VALUE"""),"0070")</f>
        <v>0070</v>
      </c>
      <c r="B125" s="2" t="str">
        <f>IFERROR(__xludf.DUMMYFUNCTION("""COMPUTED_VALUE"""),"Westminster Public Schools")</f>
        <v>Westminster Public Schools</v>
      </c>
      <c r="C125" s="2" t="str">
        <f>IFERROR(__xludf.DUMMYFUNCTION("""COMPUTED_VALUE"""),"07812")</f>
        <v>07812</v>
      </c>
      <c r="D125" s="2" t="str">
        <f>IFERROR(__xludf.DUMMYFUNCTION("""COMPUTED_VALUE"""),"SHAW HEIGHTS MIDDLE SCHOOL")</f>
        <v>SHAW HEIGHTS MIDDLE SCHOOL</v>
      </c>
      <c r="E125" s="3" t="str">
        <f>IFERROR(__xludf.DUMMYFUNCTION("""COMPUTED_VALUE"""),"Y")</f>
        <v>Y</v>
      </c>
      <c r="F125" s="3" t="str">
        <f>IFERROR(__xludf.DUMMYFUNCTION("""COMPUTED_VALUE"""),"Y")</f>
        <v>Y</v>
      </c>
      <c r="G125" s="3"/>
      <c r="H125" s="3"/>
      <c r="I125" s="3" t="str">
        <f>IFERROR(__xludf.DUMMYFUNCTION("""COMPUTED_VALUE""")," ")</f>
        <v> </v>
      </c>
      <c r="J125" s="3" t="str">
        <f>IFERROR(__xludf.DUMMYFUNCTION("""COMPUTED_VALUE"""),"Y")</f>
        <v>Y</v>
      </c>
      <c r="K125" s="3" t="str">
        <f>IFERROR(__xludf.DUMMYFUNCTION("""COMPUTED_VALUE"""),"Y")</f>
        <v>Y</v>
      </c>
      <c r="L125" s="3" t="str">
        <f>IFERROR(__xludf.DUMMYFUNCTION("""COMPUTED_VALUE"""),"Group 3")</f>
        <v>Group 3</v>
      </c>
      <c r="M125" s="3"/>
      <c r="N125" s="5" t="str">
        <f>IFERROR(__xludf.DUMMYFUNCTION("""COMPUTED_VALUE""")," ")</f>
        <v> </v>
      </c>
      <c r="O125" s="5"/>
    </row>
    <row r="126">
      <c r="A126" s="2" t="str">
        <f>IFERROR(__xludf.DUMMYFUNCTION("""COMPUTED_VALUE"""),"0070")</f>
        <v>0070</v>
      </c>
      <c r="B126" s="2" t="str">
        <f>IFERROR(__xludf.DUMMYFUNCTION("""COMPUTED_VALUE"""),"Westminster Public Schools")</f>
        <v>Westminster Public Schools</v>
      </c>
      <c r="C126" s="2" t="str">
        <f>IFERROR(__xludf.DUMMYFUNCTION("""COMPUTED_VALUE"""),"07860")</f>
        <v>07860</v>
      </c>
      <c r="D126" s="2" t="str">
        <f>IFERROR(__xludf.DUMMYFUNCTION("""COMPUTED_VALUE"""),"SHERRELWOOD ELEMENTARY SCHOOL")</f>
        <v>SHERRELWOOD ELEMENTARY SCHOOL</v>
      </c>
      <c r="E126" s="3" t="str">
        <f>IFERROR(__xludf.DUMMYFUNCTION("""COMPUTED_VALUE"""),"Y")</f>
        <v>Y</v>
      </c>
      <c r="F126" s="3" t="str">
        <f>IFERROR(__xludf.DUMMYFUNCTION("""COMPUTED_VALUE"""),"Y")</f>
        <v>Y</v>
      </c>
      <c r="G126" s="3" t="str">
        <f>IFERROR(__xludf.DUMMYFUNCTION("""COMPUTED_VALUE"""),"Y")</f>
        <v>Y</v>
      </c>
      <c r="H126" s="3"/>
      <c r="I126" s="3" t="str">
        <f>IFERROR(__xludf.DUMMYFUNCTION("""COMPUTED_VALUE"""),"Y")</f>
        <v>Y</v>
      </c>
      <c r="J126" s="3" t="str">
        <f>IFERROR(__xludf.DUMMYFUNCTION("""COMPUTED_VALUE"""),"Y")</f>
        <v>Y</v>
      </c>
      <c r="K126" s="3" t="str">
        <f>IFERROR(__xludf.DUMMYFUNCTION("""COMPUTED_VALUE"""),"Y")</f>
        <v>Y</v>
      </c>
      <c r="L126" s="3" t="str">
        <f>IFERROR(__xludf.DUMMYFUNCTION("""COMPUTED_VALUE"""),"Group 2")</f>
        <v>Group 2</v>
      </c>
      <c r="M126" s="3"/>
      <c r="N126" s="5" t="str">
        <f>IFERROR(__xludf.DUMMYFUNCTION("""COMPUTED_VALUE""")," ")</f>
        <v> </v>
      </c>
      <c r="O126" s="5"/>
    </row>
    <row r="127">
      <c r="A127" s="2" t="str">
        <f>IFERROR(__xludf.DUMMYFUNCTION("""COMPUTED_VALUE"""),"0070")</f>
        <v>0070</v>
      </c>
      <c r="B127" s="2" t="str">
        <f>IFERROR(__xludf.DUMMYFUNCTION("""COMPUTED_VALUE"""),"Westminster Public Schools")</f>
        <v>Westminster Public Schools</v>
      </c>
      <c r="C127" s="2" t="str">
        <f>IFERROR(__xludf.DUMMYFUNCTION("""COMPUTED_VALUE"""),"07952")</f>
        <v>07952</v>
      </c>
      <c r="D127" s="2" t="str">
        <f>IFERROR(__xludf.DUMMYFUNCTION("""COMPUTED_VALUE"""),"Orchard Park Academy")</f>
        <v>Orchard Park Academy</v>
      </c>
      <c r="E127" s="3" t="str">
        <f>IFERROR(__xludf.DUMMYFUNCTION("""COMPUTED_VALUE"""),"Y")</f>
        <v>Y</v>
      </c>
      <c r="F127" s="3" t="str">
        <f>IFERROR(__xludf.DUMMYFUNCTION("""COMPUTED_VALUE"""),"Y")</f>
        <v>Y</v>
      </c>
      <c r="G127" s="3" t="str">
        <f>IFERROR(__xludf.DUMMYFUNCTION("""COMPUTED_VALUE"""),"Y")</f>
        <v>Y</v>
      </c>
      <c r="H127" s="3"/>
      <c r="I127" s="3" t="str">
        <f>IFERROR(__xludf.DUMMYFUNCTION("""COMPUTED_VALUE"""),"Y")</f>
        <v>Y</v>
      </c>
      <c r="J127" s="3" t="str">
        <f>IFERROR(__xludf.DUMMYFUNCTION("""COMPUTED_VALUE"""),"Y")</f>
        <v>Y</v>
      </c>
      <c r="K127" s="3" t="str">
        <f>IFERROR(__xludf.DUMMYFUNCTION("""COMPUTED_VALUE"""),"Y")</f>
        <v>Y</v>
      </c>
      <c r="L127" s="3" t="str">
        <f>IFERROR(__xludf.DUMMYFUNCTION("""COMPUTED_VALUE"""),"Group 5")</f>
        <v>Group 5</v>
      </c>
      <c r="M127" s="3"/>
      <c r="N127" s="5" t="str">
        <f>IFERROR(__xludf.DUMMYFUNCTION("""COMPUTED_VALUE""")," ")</f>
        <v> </v>
      </c>
      <c r="O127" s="5"/>
    </row>
    <row r="128">
      <c r="A128" s="2" t="str">
        <f>IFERROR(__xludf.DUMMYFUNCTION("""COMPUTED_VALUE"""),"0070")</f>
        <v>0070</v>
      </c>
      <c r="B128" s="2" t="str">
        <f>IFERROR(__xludf.DUMMYFUNCTION("""COMPUTED_VALUE"""),"Westminster Public Schools")</f>
        <v>Westminster Public Schools</v>
      </c>
      <c r="C128" s="2" t="str">
        <f>IFERROR(__xludf.DUMMYFUNCTION("""COMPUTED_VALUE"""),"08406")</f>
        <v>08406</v>
      </c>
      <c r="D128" s="2" t="str">
        <f>IFERROR(__xludf.DUMMYFUNCTION("""COMPUTED_VALUE"""),"SUNSET RIDGE ELEMENTARY SCHOOL")</f>
        <v>SUNSET RIDGE ELEMENTARY SCHOOL</v>
      </c>
      <c r="E128" s="3" t="str">
        <f>IFERROR(__xludf.DUMMYFUNCTION("""COMPUTED_VALUE"""),"Y")</f>
        <v>Y</v>
      </c>
      <c r="F128" s="3" t="str">
        <f>IFERROR(__xludf.DUMMYFUNCTION("""COMPUTED_VALUE"""),"Y")</f>
        <v>Y</v>
      </c>
      <c r="G128" s="3" t="str">
        <f>IFERROR(__xludf.DUMMYFUNCTION("""COMPUTED_VALUE"""),"Y")</f>
        <v>Y</v>
      </c>
      <c r="H128" s="3"/>
      <c r="I128" s="3" t="str">
        <f>IFERROR(__xludf.DUMMYFUNCTION("""COMPUTED_VALUE"""),"Y")</f>
        <v>Y</v>
      </c>
      <c r="J128" s="3" t="str">
        <f>IFERROR(__xludf.DUMMYFUNCTION("""COMPUTED_VALUE"""),"Y")</f>
        <v>Y</v>
      </c>
      <c r="K128" s="3" t="str">
        <f>IFERROR(__xludf.DUMMYFUNCTION("""COMPUTED_VALUE"""),"Y")</f>
        <v>Y</v>
      </c>
      <c r="L128" s="3" t="str">
        <f>IFERROR(__xludf.DUMMYFUNCTION("""COMPUTED_VALUE"""),"Group 2")</f>
        <v>Group 2</v>
      </c>
      <c r="M128" s="3"/>
      <c r="N128" s="5" t="str">
        <f>IFERROR(__xludf.DUMMYFUNCTION("""COMPUTED_VALUE""")," ")</f>
        <v> </v>
      </c>
      <c r="O128" s="5"/>
    </row>
    <row r="129">
      <c r="A129" s="2" t="str">
        <f>IFERROR(__xludf.DUMMYFUNCTION("""COMPUTED_VALUE"""),"0070")</f>
        <v>0070</v>
      </c>
      <c r="B129" s="2" t="str">
        <f>IFERROR(__xludf.DUMMYFUNCTION("""COMPUTED_VALUE"""),"Westminster Public Schools")</f>
        <v>Westminster Public Schools</v>
      </c>
      <c r="C129" s="2" t="str">
        <f>IFERROR(__xludf.DUMMYFUNCTION("""COMPUTED_VALUE"""),"08798")</f>
        <v>08798</v>
      </c>
      <c r="D129" s="2" t="str">
        <f>IFERROR(__xludf.DUMMYFUNCTION("""COMPUTED_VALUE"""),"TENNYSON KNOLLS PREPARATORY SCHOOL")</f>
        <v>TENNYSON KNOLLS PREPARATORY SCHOOL</v>
      </c>
      <c r="E129" s="3" t="str">
        <f>IFERROR(__xludf.DUMMYFUNCTION("""COMPUTED_VALUE"""),"Y")</f>
        <v>Y</v>
      </c>
      <c r="F129" s="3" t="str">
        <f>IFERROR(__xludf.DUMMYFUNCTION("""COMPUTED_VALUE"""),"Y")</f>
        <v>Y</v>
      </c>
      <c r="G129" s="3" t="str">
        <f>IFERROR(__xludf.DUMMYFUNCTION("""COMPUTED_VALUE"""),"Y")</f>
        <v>Y</v>
      </c>
      <c r="H129" s="3"/>
      <c r="I129" s="3" t="str">
        <f>IFERROR(__xludf.DUMMYFUNCTION("""COMPUTED_VALUE"""),"Y")</f>
        <v>Y</v>
      </c>
      <c r="J129" s="3" t="str">
        <f>IFERROR(__xludf.DUMMYFUNCTION("""COMPUTED_VALUE"""),"Y")</f>
        <v>Y</v>
      </c>
      <c r="K129" s="3" t="str">
        <f>IFERROR(__xludf.DUMMYFUNCTION("""COMPUTED_VALUE"""),"Y")</f>
        <v>Y</v>
      </c>
      <c r="L129" s="3" t="str">
        <f>IFERROR(__xludf.DUMMYFUNCTION("""COMPUTED_VALUE"""),"Group 5")</f>
        <v>Group 5</v>
      </c>
      <c r="M129" s="3"/>
      <c r="N129" s="5" t="str">
        <f>IFERROR(__xludf.DUMMYFUNCTION("""COMPUTED_VALUE""")," ")</f>
        <v> </v>
      </c>
      <c r="O129" s="5"/>
    </row>
    <row r="130">
      <c r="A130" s="2" t="str">
        <f>IFERROR(__xludf.DUMMYFUNCTION("""COMPUTED_VALUE"""),"0070")</f>
        <v>0070</v>
      </c>
      <c r="B130" s="2" t="str">
        <f>IFERROR(__xludf.DUMMYFUNCTION("""COMPUTED_VALUE"""),"Westminster Public Schools")</f>
        <v>Westminster Public Schools</v>
      </c>
      <c r="C130" s="2" t="str">
        <f>IFERROR(__xludf.DUMMYFUNCTION("""COMPUTED_VALUE"""),"09236")</f>
        <v>09236</v>
      </c>
      <c r="D130" s="2" t="str">
        <f>IFERROR(__xludf.DUMMYFUNCTION("""COMPUTED_VALUE"""),"Westminster Academy for International Studies")</f>
        <v>Westminster Academy for International Studies</v>
      </c>
      <c r="E130" s="3" t="str">
        <f>IFERROR(__xludf.DUMMYFUNCTION("""COMPUTED_VALUE"""),"Y")</f>
        <v>Y</v>
      </c>
      <c r="F130" s="3" t="str">
        <f>IFERROR(__xludf.DUMMYFUNCTION("""COMPUTED_VALUE"""),"Y")</f>
        <v>Y</v>
      </c>
      <c r="G130" s="3" t="str">
        <f>IFERROR(__xludf.DUMMYFUNCTION("""COMPUTED_VALUE"""),"Y")</f>
        <v>Y</v>
      </c>
      <c r="H130" s="3"/>
      <c r="I130" s="3" t="str">
        <f>IFERROR(__xludf.DUMMYFUNCTION("""COMPUTED_VALUE"""),"Y")</f>
        <v>Y</v>
      </c>
      <c r="J130" s="3" t="str">
        <f>IFERROR(__xludf.DUMMYFUNCTION("""COMPUTED_VALUE"""),"Y")</f>
        <v>Y</v>
      </c>
      <c r="K130" s="3" t="str">
        <f>IFERROR(__xludf.DUMMYFUNCTION("""COMPUTED_VALUE"""),"Y")</f>
        <v>Y</v>
      </c>
      <c r="L130" s="3" t="str">
        <f>IFERROR(__xludf.DUMMYFUNCTION("""COMPUTED_VALUE"""),"Group 3")</f>
        <v>Group 3</v>
      </c>
      <c r="M130" s="3"/>
      <c r="N130" s="5" t="str">
        <f>IFERROR(__xludf.DUMMYFUNCTION("""COMPUTED_VALUE""")," ")</f>
        <v> </v>
      </c>
      <c r="O130" s="5"/>
    </row>
    <row r="131">
      <c r="A131" s="2" t="str">
        <f>IFERROR(__xludf.DUMMYFUNCTION("""COMPUTED_VALUE"""),"0070")</f>
        <v>0070</v>
      </c>
      <c r="B131" s="2" t="str">
        <f>IFERROR(__xludf.DUMMYFUNCTION("""COMPUTED_VALUE"""),"Westminster Public Schools")</f>
        <v>Westminster Public Schools</v>
      </c>
      <c r="C131" s="2" t="str">
        <f>IFERROR(__xludf.DUMMYFUNCTION("""COMPUTED_VALUE"""),"09466")</f>
        <v>09466</v>
      </c>
      <c r="D131" s="2" t="str">
        <f>IFERROR(__xludf.DUMMYFUNCTION("""COMPUTED_VALUE"""),"WESTMINSTER HIGH SCHOOL")</f>
        <v>WESTMINSTER HIGH SCHOOL</v>
      </c>
      <c r="E131" s="3" t="str">
        <f>IFERROR(__xludf.DUMMYFUNCTION("""COMPUTED_VALUE"""),"Y")</f>
        <v>Y</v>
      </c>
      <c r="F131" s="3" t="str">
        <f>IFERROR(__xludf.DUMMYFUNCTION("""COMPUTED_VALUE"""),"Y")</f>
        <v>Y</v>
      </c>
      <c r="G131" s="3" t="str">
        <f>IFERROR(__xludf.DUMMYFUNCTION("""COMPUTED_VALUE"""),"Y")</f>
        <v>Y</v>
      </c>
      <c r="H131" s="3"/>
      <c r="I131" s="3" t="str">
        <f>IFERROR(__xludf.DUMMYFUNCTION("""COMPUTED_VALUE""")," ")</f>
        <v> </v>
      </c>
      <c r="J131" s="3" t="str">
        <f>IFERROR(__xludf.DUMMYFUNCTION("""COMPUTED_VALUE"""),"Y")</f>
        <v>Y</v>
      </c>
      <c r="K131" s="3" t="str">
        <f>IFERROR(__xludf.DUMMYFUNCTION("""COMPUTED_VALUE"""),"Y")</f>
        <v>Y</v>
      </c>
      <c r="L131" s="3" t="str">
        <f>IFERROR(__xludf.DUMMYFUNCTION("""COMPUTED_VALUE"""),"Group 1")</f>
        <v>Group 1</v>
      </c>
      <c r="M131" s="3"/>
      <c r="N131" s="5" t="str">
        <f>IFERROR(__xludf.DUMMYFUNCTION("""COMPUTED_VALUE"""),"Y")</f>
        <v>Y</v>
      </c>
      <c r="O131" s="5"/>
    </row>
    <row r="132">
      <c r="A132" s="2" t="str">
        <f>IFERROR(__xludf.DUMMYFUNCTION("""COMPUTED_VALUE"""),"0100")</f>
        <v>0100</v>
      </c>
      <c r="B132" s="2" t="str">
        <f>IFERROR(__xludf.DUMMYFUNCTION("""COMPUTED_VALUE"""),"ALAMOSA COUNTY SCHOOL DIST # 11J")</f>
        <v>ALAMOSA COUNTY SCHOOL DIST # 11J</v>
      </c>
      <c r="C132" s="2" t="str">
        <f>IFERROR(__xludf.DUMMYFUNCTION("""COMPUTED_VALUE"""),"00114")</f>
        <v>00114</v>
      </c>
      <c r="D132" s="2" t="str">
        <f>IFERROR(__xludf.DUMMYFUNCTION("""COMPUTED_VALUE"""),"ORTEGA MIDDLE SCHOOL")</f>
        <v>ORTEGA MIDDLE SCHOOL</v>
      </c>
      <c r="E132" s="3" t="str">
        <f>IFERROR(__xludf.DUMMYFUNCTION("""COMPUTED_VALUE"""),"Y")</f>
        <v>Y</v>
      </c>
      <c r="F132" s="3" t="str">
        <f>IFERROR(__xludf.DUMMYFUNCTION("""COMPUTED_VALUE"""),"Y")</f>
        <v>Y</v>
      </c>
      <c r="G132" s="3" t="str">
        <f>IFERROR(__xludf.DUMMYFUNCTION("""COMPUTED_VALUE"""),"Y")</f>
        <v>Y</v>
      </c>
      <c r="H132" s="3"/>
      <c r="I132" s="3" t="str">
        <f>IFERROR(__xludf.DUMMYFUNCTION("""COMPUTED_VALUE""")," ")</f>
        <v> </v>
      </c>
      <c r="J132" s="3" t="str">
        <f>IFERROR(__xludf.DUMMYFUNCTION("""COMPUTED_VALUE"""),"Y")</f>
        <v>Y</v>
      </c>
      <c r="K132" s="3" t="str">
        <f>IFERROR(__xludf.DUMMYFUNCTION("""COMPUTED_VALUE"""),"Y")</f>
        <v>Y</v>
      </c>
      <c r="L132" s="3" t="str">
        <f>IFERROR(__xludf.DUMMYFUNCTION("""COMPUTED_VALUE"""),"Group 1")</f>
        <v>Group 1</v>
      </c>
      <c r="M132" s="3"/>
      <c r="N132" s="5" t="str">
        <f>IFERROR(__xludf.DUMMYFUNCTION("""COMPUTED_VALUE""")," ")</f>
        <v> </v>
      </c>
      <c r="O132" s="5"/>
    </row>
    <row r="133">
      <c r="A133" s="2" t="str">
        <f>IFERROR(__xludf.DUMMYFUNCTION("""COMPUTED_VALUE"""),"0100")</f>
        <v>0100</v>
      </c>
      <c r="B133" s="2" t="str">
        <f>IFERROR(__xludf.DUMMYFUNCTION("""COMPUTED_VALUE"""),"ALAMOSA COUNTY SCHOOL DIST # 11J")</f>
        <v>ALAMOSA COUNTY SCHOOL DIST # 11J</v>
      </c>
      <c r="C133" s="2" t="str">
        <f>IFERROR(__xludf.DUMMYFUNCTION("""COMPUTED_VALUE"""),"00115")</f>
        <v>00115</v>
      </c>
      <c r="D133" s="2" t="str">
        <f>IFERROR(__xludf.DUMMYFUNCTION("""COMPUTED_VALUE"""),"ALAMOSA ELEMENTARY SCHOOL 3-5")</f>
        <v>ALAMOSA ELEMENTARY SCHOOL 3-5</v>
      </c>
      <c r="E133" s="3" t="str">
        <f>IFERROR(__xludf.DUMMYFUNCTION("""COMPUTED_VALUE"""),"Y")</f>
        <v>Y</v>
      </c>
      <c r="F133" s="3" t="str">
        <f>IFERROR(__xludf.DUMMYFUNCTION("""COMPUTED_VALUE"""),"Y")</f>
        <v>Y</v>
      </c>
      <c r="G133" s="3"/>
      <c r="H133" s="3"/>
      <c r="I133" s="3" t="str">
        <f>IFERROR(__xludf.DUMMYFUNCTION("""COMPUTED_VALUE"""),"Y")</f>
        <v>Y</v>
      </c>
      <c r="J133" s="3" t="str">
        <f>IFERROR(__xludf.DUMMYFUNCTION("""COMPUTED_VALUE"""),"Y")</f>
        <v>Y</v>
      </c>
      <c r="K133" s="3" t="str">
        <f>IFERROR(__xludf.DUMMYFUNCTION("""COMPUTED_VALUE"""),"Y")</f>
        <v>Y</v>
      </c>
      <c r="L133" s="3" t="str">
        <f>IFERROR(__xludf.DUMMYFUNCTION("""COMPUTED_VALUE"""),"Group 1")</f>
        <v>Group 1</v>
      </c>
      <c r="M133" s="3"/>
      <c r="N133" s="5" t="str">
        <f>IFERROR(__xludf.DUMMYFUNCTION("""COMPUTED_VALUE""")," ")</f>
        <v> </v>
      </c>
      <c r="O133" s="5"/>
    </row>
    <row r="134">
      <c r="A134" s="2" t="str">
        <f>IFERROR(__xludf.DUMMYFUNCTION("""COMPUTED_VALUE"""),"0100")</f>
        <v>0100</v>
      </c>
      <c r="B134" s="2" t="str">
        <f>IFERROR(__xludf.DUMMYFUNCTION("""COMPUTED_VALUE"""),"ALAMOSA COUNTY SCHOOL DIST # 11J")</f>
        <v>ALAMOSA COUNTY SCHOOL DIST # 11J</v>
      </c>
      <c r="C134" s="2" t="str">
        <f>IFERROR(__xludf.DUMMYFUNCTION("""COMPUTED_VALUE"""),"00118")</f>
        <v>00118</v>
      </c>
      <c r="D134" s="2" t="str">
        <f>IFERROR(__xludf.DUMMYFUNCTION("""COMPUTED_VALUE"""),"ALAMOSA HIGH SCHOOL")</f>
        <v>ALAMOSA HIGH SCHOOL</v>
      </c>
      <c r="E134" s="3" t="str">
        <f>IFERROR(__xludf.DUMMYFUNCTION("""COMPUTED_VALUE"""),"Y")</f>
        <v>Y</v>
      </c>
      <c r="F134" s="3" t="str">
        <f>IFERROR(__xludf.DUMMYFUNCTION("""COMPUTED_VALUE"""),"Y")</f>
        <v>Y</v>
      </c>
      <c r="G134" s="3" t="str">
        <f>IFERROR(__xludf.DUMMYFUNCTION("""COMPUTED_VALUE"""),"Y")</f>
        <v>Y</v>
      </c>
      <c r="H134" s="3"/>
      <c r="I134" s="3" t="str">
        <f>IFERROR(__xludf.DUMMYFUNCTION("""COMPUTED_VALUE""")," ")</f>
        <v> </v>
      </c>
      <c r="J134" s="3" t="str">
        <f>IFERROR(__xludf.DUMMYFUNCTION("""COMPUTED_VALUE""")," ")</f>
        <v> </v>
      </c>
      <c r="K134" s="3" t="str">
        <f>IFERROR(__xludf.DUMMYFUNCTION("""COMPUTED_VALUE"""),"Y")</f>
        <v>Y</v>
      </c>
      <c r="L134" s="3" t="str">
        <f>IFERROR(__xludf.DUMMYFUNCTION("""COMPUTED_VALUE"""),"Group 1")</f>
        <v>Group 1</v>
      </c>
      <c r="M134" s="3"/>
      <c r="N134" s="5" t="str">
        <f>IFERROR(__xludf.DUMMYFUNCTION("""COMPUTED_VALUE"""),"Y")</f>
        <v>Y</v>
      </c>
      <c r="O134" s="5"/>
    </row>
    <row r="135">
      <c r="A135" s="2" t="str">
        <f>IFERROR(__xludf.DUMMYFUNCTION("""COMPUTED_VALUE"""),"0100")</f>
        <v>0100</v>
      </c>
      <c r="B135" s="2" t="str">
        <f>IFERROR(__xludf.DUMMYFUNCTION("""COMPUTED_VALUE"""),"ALAMOSA COUNTY SCHOOL DIST # 11J")</f>
        <v>ALAMOSA COUNTY SCHOOL DIST # 11J</v>
      </c>
      <c r="C135" s="2" t="str">
        <f>IFERROR(__xludf.DUMMYFUNCTION("""COMPUTED_VALUE"""),"01107")</f>
        <v>01107</v>
      </c>
      <c r="D135" s="2" t="str">
        <f>IFERROR(__xludf.DUMMYFUNCTION("""COMPUTED_VALUE"""),"Alamosa Elementary School K-2")</f>
        <v>Alamosa Elementary School K-2</v>
      </c>
      <c r="E135" s="3" t="str">
        <f>IFERROR(__xludf.DUMMYFUNCTION("""COMPUTED_VALUE"""),"Y")</f>
        <v>Y</v>
      </c>
      <c r="F135" s="3" t="str">
        <f>IFERROR(__xludf.DUMMYFUNCTION("""COMPUTED_VALUE"""),"Y")</f>
        <v>Y</v>
      </c>
      <c r="G135" s="3"/>
      <c r="H135" s="3"/>
      <c r="I135" s="3" t="str">
        <f>IFERROR(__xludf.DUMMYFUNCTION("""COMPUTED_VALUE"""),"Y")</f>
        <v>Y</v>
      </c>
      <c r="J135" s="3" t="str">
        <f>IFERROR(__xludf.DUMMYFUNCTION("""COMPUTED_VALUE"""),"Y")</f>
        <v>Y</v>
      </c>
      <c r="K135" s="3" t="str">
        <f>IFERROR(__xludf.DUMMYFUNCTION("""COMPUTED_VALUE"""),"Y")</f>
        <v>Y</v>
      </c>
      <c r="L135" s="3" t="str">
        <f>IFERROR(__xludf.DUMMYFUNCTION("""COMPUTED_VALUE"""),"Group 1")</f>
        <v>Group 1</v>
      </c>
      <c r="M135" s="3"/>
      <c r="N135" s="5" t="str">
        <f>IFERROR(__xludf.DUMMYFUNCTION("""COMPUTED_VALUE"""),"Y")</f>
        <v>Y</v>
      </c>
      <c r="O135" s="5"/>
    </row>
    <row r="136">
      <c r="A136" s="2" t="str">
        <f>IFERROR(__xludf.DUMMYFUNCTION("""COMPUTED_VALUE"""),"0100")</f>
        <v>0100</v>
      </c>
      <c r="B136" s="2" t="str">
        <f>IFERROR(__xludf.DUMMYFUNCTION("""COMPUTED_VALUE"""),"ALAMOSA COUNTY SCHOOL DIST # 11J")</f>
        <v>ALAMOSA COUNTY SCHOOL DIST # 11J</v>
      </c>
      <c r="C136" s="2" t="str">
        <f>IFERROR(__xludf.DUMMYFUNCTION("""COMPUTED_VALUE"""),"03407")</f>
        <v>03407</v>
      </c>
      <c r="D136" s="2" t="str">
        <f>IFERROR(__xludf.DUMMYFUNCTION("""COMPUTED_VALUE"""),"Alamosa Alternative Education School")</f>
        <v>Alamosa Alternative Education School</v>
      </c>
      <c r="E136" s="3" t="str">
        <f>IFERROR(__xludf.DUMMYFUNCTION("""COMPUTED_VALUE"""),"Y")</f>
        <v>Y</v>
      </c>
      <c r="F136" s="3" t="str">
        <f>IFERROR(__xludf.DUMMYFUNCTION("""COMPUTED_VALUE"""),"Y")</f>
        <v>Y</v>
      </c>
      <c r="G136" s="3" t="str">
        <f>IFERROR(__xludf.DUMMYFUNCTION("""COMPUTED_VALUE"""),"Y")</f>
        <v>Y</v>
      </c>
      <c r="H136" s="3"/>
      <c r="I136" s="3" t="str">
        <f>IFERROR(__xludf.DUMMYFUNCTION("""COMPUTED_VALUE""")," ")</f>
        <v> </v>
      </c>
      <c r="J136" s="3" t="str">
        <f>IFERROR(__xludf.DUMMYFUNCTION("""COMPUTED_VALUE"""),"Y")</f>
        <v>Y</v>
      </c>
      <c r="K136" s="3" t="str">
        <f>IFERROR(__xludf.DUMMYFUNCTION("""COMPUTED_VALUE"""),"Y")</f>
        <v>Y</v>
      </c>
      <c r="L136" s="3" t="str">
        <f>IFERROR(__xludf.DUMMYFUNCTION("""COMPUTED_VALUE"""),"Group 1")</f>
        <v>Group 1</v>
      </c>
      <c r="M136" s="3"/>
      <c r="N136" s="5" t="str">
        <f>IFERROR(__xludf.DUMMYFUNCTION("""COMPUTED_VALUE""")," ")</f>
        <v> </v>
      </c>
      <c r="O136" s="5"/>
    </row>
    <row r="137">
      <c r="A137" s="2" t="str">
        <f>IFERROR(__xludf.DUMMYFUNCTION("""COMPUTED_VALUE"""),"0100")</f>
        <v>0100</v>
      </c>
      <c r="B137" s="2" t="str">
        <f>IFERROR(__xludf.DUMMYFUNCTION("""COMPUTED_VALUE"""),"ALAMOSA COUNTY SCHOOL DIST # 11J")</f>
        <v>ALAMOSA COUNTY SCHOOL DIST # 11J</v>
      </c>
      <c r="C137" s="2" t="str">
        <f>IFERROR(__xludf.DUMMYFUNCTION("""COMPUTED_VALUE"""),"91732")</f>
        <v>91732</v>
      </c>
      <c r="D137" s="2" t="str">
        <f>IFERROR(__xludf.DUMMYFUNCTION("""COMPUTED_VALUE"""),"San Luis Valley Foundations Academy")</f>
        <v>San Luis Valley Foundations Academy</v>
      </c>
      <c r="E137" s="3" t="str">
        <f>IFERROR(__xludf.DUMMYFUNCTION("""COMPUTED_VALUE"""),"Y")</f>
        <v>Y</v>
      </c>
      <c r="F137" s="3" t="str">
        <f>IFERROR(__xludf.DUMMYFUNCTION("""COMPUTED_VALUE"""),"Y")</f>
        <v>Y</v>
      </c>
      <c r="G137" s="3"/>
      <c r="H137" s="3"/>
      <c r="I137" s="3" t="str">
        <f>IFERROR(__xludf.DUMMYFUNCTION("""COMPUTED_VALUE""")," ")</f>
        <v> </v>
      </c>
      <c r="J137" s="3" t="str">
        <f>IFERROR(__xludf.DUMMYFUNCTION("""COMPUTED_VALUE"""),"Y")</f>
        <v>Y</v>
      </c>
      <c r="K137" s="3" t="str">
        <f>IFERROR(__xludf.DUMMYFUNCTION("""COMPUTED_VALUE"""),"Y")</f>
        <v>Y</v>
      </c>
      <c r="L137" s="3" t="str">
        <f>IFERROR(__xludf.DUMMYFUNCTION("""COMPUTED_VALUE"""),"Group 1")</f>
        <v>Group 1</v>
      </c>
      <c r="M137" s="3"/>
      <c r="N137" s="5" t="str">
        <f>IFERROR(__xludf.DUMMYFUNCTION("""COMPUTED_VALUE""")," ")</f>
        <v> </v>
      </c>
      <c r="O137" s="5"/>
    </row>
    <row r="138">
      <c r="A138" s="2" t="str">
        <f>IFERROR(__xludf.DUMMYFUNCTION("""COMPUTED_VALUE"""),"0110")</f>
        <v>0110</v>
      </c>
      <c r="B138" s="2" t="str">
        <f>IFERROR(__xludf.DUMMYFUNCTION("""COMPUTED_VALUE"""),"SANGRE DE CRISTO    RE-22J")</f>
        <v>SANGRE DE CRISTO    RE-22J</v>
      </c>
      <c r="C138" s="2" t="str">
        <f>IFERROR(__xludf.DUMMYFUNCTION("""COMPUTED_VALUE"""),"07626")</f>
        <v>07626</v>
      </c>
      <c r="D138" s="2" t="str">
        <f>IFERROR(__xludf.DUMMYFUNCTION("""COMPUTED_VALUE"""),"SANGRE DE CRISTO ELEMENTARY SCHOOL")</f>
        <v>SANGRE DE CRISTO ELEMENTARY SCHOOL</v>
      </c>
      <c r="E138" s="3" t="str">
        <f>IFERROR(__xludf.DUMMYFUNCTION("""COMPUTED_VALUE"""),"Y")</f>
        <v>Y</v>
      </c>
      <c r="F138" s="3" t="str">
        <f>IFERROR(__xludf.DUMMYFUNCTION("""COMPUTED_VALUE"""),"Y")</f>
        <v>Y</v>
      </c>
      <c r="G138" s="3"/>
      <c r="H138" s="3"/>
      <c r="I138" s="3" t="str">
        <f>IFERROR(__xludf.DUMMYFUNCTION("""COMPUTED_VALUE""")," ")</f>
        <v> </v>
      </c>
      <c r="J138" s="3" t="str">
        <f>IFERROR(__xludf.DUMMYFUNCTION("""COMPUTED_VALUE""")," ")</f>
        <v> </v>
      </c>
      <c r="K138" s="3" t="str">
        <f>IFERROR(__xludf.DUMMYFUNCTION("""COMPUTED_VALUE"""),"Y")</f>
        <v>Y</v>
      </c>
      <c r="L138" s="3" t="str">
        <f>IFERROR(__xludf.DUMMYFUNCTION("""COMPUTED_VALUE"""),"Group 1")</f>
        <v>Group 1</v>
      </c>
      <c r="M138" s="3"/>
      <c r="N138" s="5" t="str">
        <f>IFERROR(__xludf.DUMMYFUNCTION("""COMPUTED_VALUE""")," ")</f>
        <v> </v>
      </c>
      <c r="O138" s="5"/>
    </row>
    <row r="139">
      <c r="A139" s="2" t="str">
        <f>IFERROR(__xludf.DUMMYFUNCTION("""COMPUTED_VALUE"""),"0110")</f>
        <v>0110</v>
      </c>
      <c r="B139" s="2" t="str">
        <f>IFERROR(__xludf.DUMMYFUNCTION("""COMPUTED_VALUE"""),"SANGRE DE CRISTO    RE-22J")</f>
        <v>SANGRE DE CRISTO    RE-22J</v>
      </c>
      <c r="C139" s="2" t="str">
        <f>IFERROR(__xludf.DUMMYFUNCTION("""COMPUTED_VALUE"""),"07630")</f>
        <v>07630</v>
      </c>
      <c r="D139" s="2" t="str">
        <f>IFERROR(__xludf.DUMMYFUNCTION("""COMPUTED_VALUE"""),"SANGRE DE CRISTO UNDIVIDED HIGH SCHOOL")</f>
        <v>SANGRE DE CRISTO UNDIVIDED HIGH SCHOOL</v>
      </c>
      <c r="E139" s="3" t="str">
        <f>IFERROR(__xludf.DUMMYFUNCTION("""COMPUTED_VALUE"""),"Y")</f>
        <v>Y</v>
      </c>
      <c r="F139" s="3" t="str">
        <f>IFERROR(__xludf.DUMMYFUNCTION("""COMPUTED_VALUE"""),"Y")</f>
        <v>Y</v>
      </c>
      <c r="G139" s="3"/>
      <c r="H139" s="3"/>
      <c r="I139" s="3" t="str">
        <f>IFERROR(__xludf.DUMMYFUNCTION("""COMPUTED_VALUE""")," ")</f>
        <v> </v>
      </c>
      <c r="J139" s="3" t="str">
        <f>IFERROR(__xludf.DUMMYFUNCTION("""COMPUTED_VALUE""")," ")</f>
        <v> </v>
      </c>
      <c r="K139" s="3" t="str">
        <f>IFERROR(__xludf.DUMMYFUNCTION("""COMPUTED_VALUE"""),"Y")</f>
        <v>Y</v>
      </c>
      <c r="L139" s="3" t="str">
        <f>IFERROR(__xludf.DUMMYFUNCTION("""COMPUTED_VALUE"""),"Group 1")</f>
        <v>Group 1</v>
      </c>
      <c r="M139" s="3"/>
      <c r="N139" s="5" t="str">
        <f>IFERROR(__xludf.DUMMYFUNCTION("""COMPUTED_VALUE""")," ")</f>
        <v> </v>
      </c>
      <c r="O139" s="5"/>
    </row>
    <row r="140">
      <c r="A140" s="2" t="str">
        <f>IFERROR(__xludf.DUMMYFUNCTION("""COMPUTED_VALUE"""),"0120")</f>
        <v>0120</v>
      </c>
      <c r="B140" s="2" t="str">
        <f>IFERROR(__xludf.DUMMYFUNCTION("""COMPUTED_VALUE"""),"ENGLEWOOD           1")</f>
        <v>ENGLEWOOD           1</v>
      </c>
      <c r="C140" s="2" t="str">
        <f>IFERROR(__xludf.DUMMYFUNCTION("""COMPUTED_VALUE"""),"00206")</f>
        <v>00206</v>
      </c>
      <c r="D140" s="2" t="str">
        <f>IFERROR(__xludf.DUMMYFUNCTION("""COMPUTED_VALUE"""),"COLORADO'S FINEST HIGH SCHOOL OF CHOICE")</f>
        <v>COLORADO'S FINEST HIGH SCHOOL OF CHOICE</v>
      </c>
      <c r="E140" s="3" t="str">
        <f>IFERROR(__xludf.DUMMYFUNCTION("""COMPUTED_VALUE"""),"Y")</f>
        <v>Y</v>
      </c>
      <c r="F140" s="3" t="str">
        <f>IFERROR(__xludf.DUMMYFUNCTION("""COMPUTED_VALUE"""),"Y")</f>
        <v>Y</v>
      </c>
      <c r="G140" s="3"/>
      <c r="H140" s="3"/>
      <c r="I140" s="3" t="str">
        <f>IFERROR(__xludf.DUMMYFUNCTION("""COMPUTED_VALUE""")," ")</f>
        <v> </v>
      </c>
      <c r="J140" s="3" t="str">
        <f>IFERROR(__xludf.DUMMYFUNCTION("""COMPUTED_VALUE""")," ")</f>
        <v> </v>
      </c>
      <c r="K140" s="3" t="str">
        <f>IFERROR(__xludf.DUMMYFUNCTION("""COMPUTED_VALUE"""),"Y")</f>
        <v>Y</v>
      </c>
      <c r="L140" s="3" t="str">
        <f>IFERROR(__xludf.DUMMYFUNCTION("""COMPUTED_VALUE"""),"Group 4")</f>
        <v>Group 4</v>
      </c>
      <c r="M140" s="3"/>
      <c r="N140" s="5" t="str">
        <f>IFERROR(__xludf.DUMMYFUNCTION("""COMPUTED_VALUE"""),"Y")</f>
        <v>Y</v>
      </c>
      <c r="O140" s="5"/>
    </row>
    <row r="141">
      <c r="A141" s="2" t="str">
        <f>IFERROR(__xludf.DUMMYFUNCTION("""COMPUTED_VALUE"""),"0120")</f>
        <v>0120</v>
      </c>
      <c r="B141" s="2" t="str">
        <f>IFERROR(__xludf.DUMMYFUNCTION("""COMPUTED_VALUE"""),"ENGLEWOOD           1")</f>
        <v>ENGLEWOOD           1</v>
      </c>
      <c r="C141" s="2" t="str">
        <f>IFERROR(__xludf.DUMMYFUNCTION("""COMPUTED_VALUE"""),"01514")</f>
        <v>01514</v>
      </c>
      <c r="D141" s="2" t="str">
        <f>IFERROR(__xludf.DUMMYFUNCTION("""COMPUTED_VALUE"""),"CHARLES HAY WORLD SCHOOL")</f>
        <v>CHARLES HAY WORLD SCHOOL</v>
      </c>
      <c r="E141" s="3" t="str">
        <f>IFERROR(__xludf.DUMMYFUNCTION("""COMPUTED_VALUE"""),"Y")</f>
        <v>Y</v>
      </c>
      <c r="F141" s="3" t="str">
        <f>IFERROR(__xludf.DUMMYFUNCTION("""COMPUTED_VALUE"""),"Y")</f>
        <v>Y</v>
      </c>
      <c r="G141" s="3"/>
      <c r="H141" s="3"/>
      <c r="I141" s="3" t="str">
        <f>IFERROR(__xludf.DUMMYFUNCTION("""COMPUTED_VALUE"""),"Y")</f>
        <v>Y</v>
      </c>
      <c r="J141" s="3" t="str">
        <f>IFERROR(__xludf.DUMMYFUNCTION("""COMPUTED_VALUE""")," ")</f>
        <v> </v>
      </c>
      <c r="K141" s="3" t="str">
        <f>IFERROR(__xludf.DUMMYFUNCTION("""COMPUTED_VALUE"""),"Y")</f>
        <v>Y</v>
      </c>
      <c r="L141" s="3" t="str">
        <f>IFERROR(__xludf.DUMMYFUNCTION("""COMPUTED_VALUE"""),"Group 3")</f>
        <v>Group 3</v>
      </c>
      <c r="M141" s="3"/>
      <c r="N141" s="5" t="str">
        <f>IFERROR(__xludf.DUMMYFUNCTION("""COMPUTED_VALUE"""),"Y")</f>
        <v>Y</v>
      </c>
      <c r="O141" s="5"/>
    </row>
    <row r="142">
      <c r="A142" s="2" t="str">
        <f>IFERROR(__xludf.DUMMYFUNCTION("""COMPUTED_VALUE"""),"0120")</f>
        <v>0120</v>
      </c>
      <c r="B142" s="2" t="str">
        <f>IFERROR(__xludf.DUMMYFUNCTION("""COMPUTED_VALUE"""),"ENGLEWOOD           1")</f>
        <v>ENGLEWOOD           1</v>
      </c>
      <c r="C142" s="2" t="str">
        <f>IFERROR(__xludf.DUMMYFUNCTION("""COMPUTED_VALUE"""),"01556")</f>
        <v>01556</v>
      </c>
      <c r="D142" s="2" t="str">
        <f>IFERROR(__xludf.DUMMYFUNCTION("""COMPUTED_VALUE"""),"CHERRELYN ELEMENTARY SCHOOL")</f>
        <v>CHERRELYN ELEMENTARY SCHOOL</v>
      </c>
      <c r="E142" s="3" t="str">
        <f>IFERROR(__xludf.DUMMYFUNCTION("""COMPUTED_VALUE"""),"Y")</f>
        <v>Y</v>
      </c>
      <c r="F142" s="3" t="str">
        <f>IFERROR(__xludf.DUMMYFUNCTION("""COMPUTED_VALUE"""),"Y")</f>
        <v>Y</v>
      </c>
      <c r="G142" s="3"/>
      <c r="H142" s="3"/>
      <c r="I142" s="3" t="str">
        <f>IFERROR(__xludf.DUMMYFUNCTION("""COMPUTED_VALUE"""),"Y")</f>
        <v>Y</v>
      </c>
      <c r="J142" s="3" t="str">
        <f>IFERROR(__xludf.DUMMYFUNCTION("""COMPUTED_VALUE""")," ")</f>
        <v> </v>
      </c>
      <c r="K142" s="3" t="str">
        <f>IFERROR(__xludf.DUMMYFUNCTION("""COMPUTED_VALUE"""),"Y")</f>
        <v>Y</v>
      </c>
      <c r="L142" s="3" t="str">
        <f>IFERROR(__xludf.DUMMYFUNCTION("""COMPUTED_VALUE"""),"Group 2")</f>
        <v>Group 2</v>
      </c>
      <c r="M142" s="3"/>
      <c r="N142" s="5" t="str">
        <f>IFERROR(__xludf.DUMMYFUNCTION("""COMPUTED_VALUE"""),"Y")</f>
        <v>Y</v>
      </c>
      <c r="O142" s="5"/>
    </row>
    <row r="143">
      <c r="A143" s="2" t="str">
        <f>IFERROR(__xludf.DUMMYFUNCTION("""COMPUTED_VALUE"""),"0120")</f>
        <v>0120</v>
      </c>
      <c r="B143" s="2" t="str">
        <f>IFERROR(__xludf.DUMMYFUNCTION("""COMPUTED_VALUE"""),"ENGLEWOOD           1")</f>
        <v>ENGLEWOOD           1</v>
      </c>
      <c r="C143" s="2" t="str">
        <f>IFERROR(__xludf.DUMMYFUNCTION("""COMPUTED_VALUE"""),"01652")</f>
        <v>01652</v>
      </c>
      <c r="D143" s="2" t="str">
        <f>IFERROR(__xludf.DUMMYFUNCTION("""COMPUTED_VALUE"""),"CLAYTON ELEMENTARY SCHOOL")</f>
        <v>CLAYTON ELEMENTARY SCHOOL</v>
      </c>
      <c r="E143" s="3" t="str">
        <f>IFERROR(__xludf.DUMMYFUNCTION("""COMPUTED_VALUE"""),"Y")</f>
        <v>Y</v>
      </c>
      <c r="F143" s="3" t="str">
        <f>IFERROR(__xludf.DUMMYFUNCTION("""COMPUTED_VALUE"""),"Y")</f>
        <v>Y</v>
      </c>
      <c r="G143" s="3"/>
      <c r="H143" s="3"/>
      <c r="I143" s="3" t="str">
        <f>IFERROR(__xludf.DUMMYFUNCTION("""COMPUTED_VALUE"""),"Y")</f>
        <v>Y</v>
      </c>
      <c r="J143" s="3" t="str">
        <f>IFERROR(__xludf.DUMMYFUNCTION("""COMPUTED_VALUE""")," ")</f>
        <v> </v>
      </c>
      <c r="K143" s="3" t="str">
        <f>IFERROR(__xludf.DUMMYFUNCTION("""COMPUTED_VALUE"""),"Y")</f>
        <v>Y</v>
      </c>
      <c r="L143" s="3" t="str">
        <f>IFERROR(__xludf.DUMMYFUNCTION("""COMPUTED_VALUE"""),"Group 1")</f>
        <v>Group 1</v>
      </c>
      <c r="M143" s="3"/>
      <c r="N143" s="5" t="str">
        <f>IFERROR(__xludf.DUMMYFUNCTION("""COMPUTED_VALUE"""),"Y")</f>
        <v>Y</v>
      </c>
      <c r="O143" s="5"/>
    </row>
    <row r="144">
      <c r="A144" s="2" t="str">
        <f>IFERROR(__xludf.DUMMYFUNCTION("""COMPUTED_VALUE"""),"0120")</f>
        <v>0120</v>
      </c>
      <c r="B144" s="2" t="str">
        <f>IFERROR(__xludf.DUMMYFUNCTION("""COMPUTED_VALUE"""),"ENGLEWOOD           1")</f>
        <v>ENGLEWOOD           1</v>
      </c>
      <c r="C144" s="2" t="str">
        <f>IFERROR(__xludf.DUMMYFUNCTION("""COMPUTED_VALUE"""),"02746")</f>
        <v>02746</v>
      </c>
      <c r="D144" s="2" t="str">
        <f>IFERROR(__xludf.DUMMYFUNCTION("""COMPUTED_VALUE"""),"ENGLEWOOD HIGH SCHOOL")</f>
        <v>ENGLEWOOD HIGH SCHOOL</v>
      </c>
      <c r="E144" s="3" t="str">
        <f>IFERROR(__xludf.DUMMYFUNCTION("""COMPUTED_VALUE"""),"Y")</f>
        <v>Y</v>
      </c>
      <c r="F144" s="3" t="str">
        <f>IFERROR(__xludf.DUMMYFUNCTION("""COMPUTED_VALUE"""),"Y")</f>
        <v>Y</v>
      </c>
      <c r="G144" s="3"/>
      <c r="H144" s="3"/>
      <c r="I144" s="3" t="str">
        <f>IFERROR(__xludf.DUMMYFUNCTION("""COMPUTED_VALUE""")," ")</f>
        <v> </v>
      </c>
      <c r="J144" s="3" t="str">
        <f>IFERROR(__xludf.DUMMYFUNCTION("""COMPUTED_VALUE"""),"Y")</f>
        <v>Y</v>
      </c>
      <c r="K144" s="3" t="str">
        <f>IFERROR(__xludf.DUMMYFUNCTION("""COMPUTED_VALUE"""),"Y")</f>
        <v>Y</v>
      </c>
      <c r="L144" s="3" t="str">
        <f>IFERROR(__xludf.DUMMYFUNCTION("""COMPUTED_VALUE"""),"Group 3")</f>
        <v>Group 3</v>
      </c>
      <c r="M144" s="3"/>
      <c r="N144" s="5" t="str">
        <f>IFERROR(__xludf.DUMMYFUNCTION("""COMPUTED_VALUE"""),"Y")</f>
        <v>Y</v>
      </c>
      <c r="O144" s="5"/>
    </row>
    <row r="145">
      <c r="A145" s="2" t="str">
        <f>IFERROR(__xludf.DUMMYFUNCTION("""COMPUTED_VALUE"""),"0120")</f>
        <v>0120</v>
      </c>
      <c r="B145" s="2" t="str">
        <f>IFERROR(__xludf.DUMMYFUNCTION("""COMPUTED_VALUE"""),"ENGLEWOOD           1")</f>
        <v>ENGLEWOOD           1</v>
      </c>
      <c r="C145" s="2" t="str">
        <f>IFERROR(__xludf.DUMMYFUNCTION("""COMPUTED_VALUE"""),"02750")</f>
        <v>02750</v>
      </c>
      <c r="D145" s="2" t="str">
        <f>IFERROR(__xludf.DUMMYFUNCTION("""COMPUTED_VALUE"""),"ENGLEWOOD LEADERSHIP ACADEMY")</f>
        <v>ENGLEWOOD LEADERSHIP ACADEMY</v>
      </c>
      <c r="E145" s="3" t="str">
        <f>IFERROR(__xludf.DUMMYFUNCTION("""COMPUTED_VALUE"""),"Y")</f>
        <v>Y</v>
      </c>
      <c r="F145" s="3" t="str">
        <f>IFERROR(__xludf.DUMMYFUNCTION("""COMPUTED_VALUE"""),"Y")</f>
        <v>Y</v>
      </c>
      <c r="G145" s="3"/>
      <c r="H145" s="3"/>
      <c r="I145" s="3" t="str">
        <f>IFERROR(__xludf.DUMMYFUNCTION("""COMPUTED_VALUE""")," ")</f>
        <v> </v>
      </c>
      <c r="J145" s="3" t="str">
        <f>IFERROR(__xludf.DUMMYFUNCTION("""COMPUTED_VALUE""")," ")</f>
        <v> </v>
      </c>
      <c r="K145" s="3" t="str">
        <f>IFERROR(__xludf.DUMMYFUNCTION("""COMPUTED_VALUE"""),"Y")</f>
        <v>Y</v>
      </c>
      <c r="L145" s="3" t="str">
        <f>IFERROR(__xludf.DUMMYFUNCTION("""COMPUTED_VALUE"""),"Group 3")</f>
        <v>Group 3</v>
      </c>
      <c r="M145" s="3"/>
      <c r="N145" s="5" t="str">
        <f>IFERROR(__xludf.DUMMYFUNCTION("""COMPUTED_VALUE""")," ")</f>
        <v> </v>
      </c>
      <c r="O145" s="5"/>
    </row>
    <row r="146">
      <c r="A146" s="2" t="str">
        <f>IFERROR(__xludf.DUMMYFUNCTION("""COMPUTED_VALUE"""),"0120")</f>
        <v>0120</v>
      </c>
      <c r="B146" s="2" t="str">
        <f>IFERROR(__xludf.DUMMYFUNCTION("""COMPUTED_VALUE"""),"ENGLEWOOD           1")</f>
        <v>ENGLEWOOD           1</v>
      </c>
      <c r="C146" s="2" t="str">
        <f>IFERROR(__xludf.DUMMYFUNCTION("""COMPUTED_VALUE"""),"02752")</f>
        <v>02752</v>
      </c>
      <c r="D146" s="2" t="str">
        <f>IFERROR(__xludf.DUMMYFUNCTION("""COMPUTED_VALUE"""),"ENGLEWOOD MIDDLE SCHOOL")</f>
        <v>ENGLEWOOD MIDDLE SCHOOL</v>
      </c>
      <c r="E146" s="3" t="str">
        <f>IFERROR(__xludf.DUMMYFUNCTION("""COMPUTED_VALUE"""),"Y")</f>
        <v>Y</v>
      </c>
      <c r="F146" s="3" t="str">
        <f>IFERROR(__xludf.DUMMYFUNCTION("""COMPUTED_VALUE"""),"Y")</f>
        <v>Y</v>
      </c>
      <c r="G146" s="3"/>
      <c r="H146" s="3"/>
      <c r="I146" s="3" t="str">
        <f>IFERROR(__xludf.DUMMYFUNCTION("""COMPUTED_VALUE""")," ")</f>
        <v> </v>
      </c>
      <c r="J146" s="3" t="str">
        <f>IFERROR(__xludf.DUMMYFUNCTION("""COMPUTED_VALUE"""),"Y")</f>
        <v>Y</v>
      </c>
      <c r="K146" s="3" t="str">
        <f>IFERROR(__xludf.DUMMYFUNCTION("""COMPUTED_VALUE"""),"Y")</f>
        <v>Y</v>
      </c>
      <c r="L146" s="3" t="str">
        <f>IFERROR(__xludf.DUMMYFUNCTION("""COMPUTED_VALUE"""),"Group 2")</f>
        <v>Group 2</v>
      </c>
      <c r="M146" s="3"/>
      <c r="N146" s="5" t="str">
        <f>IFERROR(__xludf.DUMMYFUNCTION("""COMPUTED_VALUE""")," ")</f>
        <v> </v>
      </c>
      <c r="O146" s="5"/>
    </row>
    <row r="147">
      <c r="A147" s="2" t="str">
        <f>IFERROR(__xludf.DUMMYFUNCTION("""COMPUTED_VALUE"""),"0120")</f>
        <v>0120</v>
      </c>
      <c r="B147" s="2" t="str">
        <f>IFERROR(__xludf.DUMMYFUNCTION("""COMPUTED_VALUE"""),"ENGLEWOOD           1")</f>
        <v>ENGLEWOOD           1</v>
      </c>
      <c r="C147" s="2" t="str">
        <f>IFERROR(__xludf.DUMMYFUNCTION("""COMPUTED_VALUE"""),"05318")</f>
        <v>05318</v>
      </c>
      <c r="D147" s="2" t="str">
        <f>IFERROR(__xludf.DUMMYFUNCTION("""COMPUTED_VALUE"""),"ENGLEWOOD EARLY CHILDHOOD EDUCATION CENTER AT MADDOX")</f>
        <v>ENGLEWOOD EARLY CHILDHOOD EDUCATION CENTER AT MADDOX</v>
      </c>
      <c r="E147" s="3" t="str">
        <f>IFERROR(__xludf.DUMMYFUNCTION("""COMPUTED_VALUE"""),"Y")</f>
        <v>Y</v>
      </c>
      <c r="F147" s="3" t="str">
        <f>IFERROR(__xludf.DUMMYFUNCTION("""COMPUTED_VALUE"""),"Y")</f>
        <v>Y</v>
      </c>
      <c r="G147" s="3"/>
      <c r="H147" s="3"/>
      <c r="I147" s="3" t="str">
        <f>IFERROR(__xludf.DUMMYFUNCTION("""COMPUTED_VALUE""")," ")</f>
        <v> </v>
      </c>
      <c r="J147" s="3" t="str">
        <f>IFERROR(__xludf.DUMMYFUNCTION("""COMPUTED_VALUE""")," ")</f>
        <v> </v>
      </c>
      <c r="K147" s="3" t="str">
        <f>IFERROR(__xludf.DUMMYFUNCTION("""COMPUTED_VALUE"""),"Y")</f>
        <v>Y</v>
      </c>
      <c r="L147" s="3" t="str">
        <f>IFERROR(__xludf.DUMMYFUNCTION("""COMPUTED_VALUE"""),"Group 3")</f>
        <v>Group 3</v>
      </c>
      <c r="M147" s="3"/>
      <c r="N147" s="5" t="str">
        <f>IFERROR(__xludf.DUMMYFUNCTION("""COMPUTED_VALUE"""),"Y")</f>
        <v>Y</v>
      </c>
      <c r="O147" s="5"/>
    </row>
    <row r="148">
      <c r="A148" s="2" t="str">
        <f>IFERROR(__xludf.DUMMYFUNCTION("""COMPUTED_VALUE"""),"0120")</f>
        <v>0120</v>
      </c>
      <c r="B148" s="2" t="str">
        <f>IFERROR(__xludf.DUMMYFUNCTION("""COMPUTED_VALUE"""),"ENGLEWOOD           1")</f>
        <v>ENGLEWOOD           1</v>
      </c>
      <c r="C148" s="2" t="str">
        <f>IFERROR(__xludf.DUMMYFUNCTION("""COMPUTED_VALUE"""),"09620")</f>
        <v>09620</v>
      </c>
      <c r="D148" s="2" t="str">
        <f>IFERROR(__xludf.DUMMYFUNCTION("""COMPUTED_VALUE"""),"WM E BISHOP ELEMENTARY SCHOOL")</f>
        <v>WM E BISHOP ELEMENTARY SCHOOL</v>
      </c>
      <c r="E148" s="3" t="str">
        <f>IFERROR(__xludf.DUMMYFUNCTION("""COMPUTED_VALUE"""),"Y")</f>
        <v>Y</v>
      </c>
      <c r="F148" s="3" t="str">
        <f>IFERROR(__xludf.DUMMYFUNCTION("""COMPUTED_VALUE"""),"Y")</f>
        <v>Y</v>
      </c>
      <c r="G148" s="3"/>
      <c r="H148" s="3"/>
      <c r="I148" s="3" t="str">
        <f>IFERROR(__xludf.DUMMYFUNCTION("""COMPUTED_VALUE"""),"Y")</f>
        <v>Y</v>
      </c>
      <c r="J148" s="3" t="str">
        <f>IFERROR(__xludf.DUMMYFUNCTION("""COMPUTED_VALUE"""),"Y")</f>
        <v>Y</v>
      </c>
      <c r="K148" s="3" t="str">
        <f>IFERROR(__xludf.DUMMYFUNCTION("""COMPUTED_VALUE"""),"Y")</f>
        <v>Y</v>
      </c>
      <c r="L148" s="3" t="str">
        <f>IFERROR(__xludf.DUMMYFUNCTION("""COMPUTED_VALUE"""),"Group 2")</f>
        <v>Group 2</v>
      </c>
      <c r="M148" s="3"/>
      <c r="N148" s="5" t="str">
        <f>IFERROR(__xludf.DUMMYFUNCTION("""COMPUTED_VALUE"""),"Y")</f>
        <v>Y</v>
      </c>
      <c r="O148" s="5"/>
    </row>
    <row r="149">
      <c r="A149" s="2" t="str">
        <f>IFERROR(__xludf.DUMMYFUNCTION("""COMPUTED_VALUE"""),"0123")</f>
        <v>0123</v>
      </c>
      <c r="B149" s="2" t="str">
        <f>IFERROR(__xludf.DUMMYFUNCTION("""COMPUTED_VALUE"""),"SHERIDAN 2")</f>
        <v>SHERIDAN 2</v>
      </c>
      <c r="C149" s="2" t="str">
        <f>IFERROR(__xludf.DUMMYFUNCTION("""COMPUTED_VALUE"""),"03054")</f>
        <v>03054</v>
      </c>
      <c r="D149" s="2" t="str">
        <f>IFERROR(__xludf.DUMMYFUNCTION("""COMPUTED_VALUE"""),"Alice Terry Elementary School")</f>
        <v>Alice Terry Elementary School</v>
      </c>
      <c r="E149" s="3" t="str">
        <f>IFERROR(__xludf.DUMMYFUNCTION("""COMPUTED_VALUE"""),"Y")</f>
        <v>Y</v>
      </c>
      <c r="F149" s="3" t="str">
        <f>IFERROR(__xludf.DUMMYFUNCTION("""COMPUTED_VALUE"""),"Y")</f>
        <v>Y</v>
      </c>
      <c r="G149" s="3" t="str">
        <f>IFERROR(__xludf.DUMMYFUNCTION("""COMPUTED_VALUE"""),"Y")</f>
        <v>Y</v>
      </c>
      <c r="H149" s="3"/>
      <c r="I149" s="3" t="str">
        <f>IFERROR(__xludf.DUMMYFUNCTION("""COMPUTED_VALUE"""),"Y")</f>
        <v>Y</v>
      </c>
      <c r="J149" s="3" t="str">
        <f>IFERROR(__xludf.DUMMYFUNCTION("""COMPUTED_VALUE"""),"Y")</f>
        <v>Y</v>
      </c>
      <c r="K149" s="3" t="str">
        <f>IFERROR(__xludf.DUMMYFUNCTION("""COMPUTED_VALUE"""),"Y")</f>
        <v>Y</v>
      </c>
      <c r="L149" s="3" t="str">
        <f>IFERROR(__xludf.DUMMYFUNCTION("""COMPUTED_VALUE"""),"Group 1")</f>
        <v>Group 1</v>
      </c>
      <c r="M149" s="3"/>
      <c r="N149" s="5" t="str">
        <f>IFERROR(__xludf.DUMMYFUNCTION("""COMPUTED_VALUE"""),"Y")</f>
        <v>Y</v>
      </c>
      <c r="O149" s="5"/>
    </row>
    <row r="150">
      <c r="A150" s="2" t="str">
        <f>IFERROR(__xludf.DUMMYFUNCTION("""COMPUTED_VALUE"""),"0123")</f>
        <v>0123</v>
      </c>
      <c r="B150" s="2" t="str">
        <f>IFERROR(__xludf.DUMMYFUNCTION("""COMPUTED_VALUE"""),"SHERIDAN 2")</f>
        <v>SHERIDAN 2</v>
      </c>
      <c r="C150" s="2" t="str">
        <f>IFERROR(__xludf.DUMMYFUNCTION("""COMPUTED_VALUE"""),"07837")</f>
        <v>07837</v>
      </c>
      <c r="D150" s="2" t="str">
        <f>IFERROR(__xludf.DUMMYFUNCTION("""COMPUTED_VALUE"""),"FORT LOGAN NORTHGATE")</f>
        <v>FORT LOGAN NORTHGATE</v>
      </c>
      <c r="E150" s="3" t="str">
        <f>IFERROR(__xludf.DUMMYFUNCTION("""COMPUTED_VALUE"""),"Y")</f>
        <v>Y</v>
      </c>
      <c r="F150" s="3" t="str">
        <f>IFERROR(__xludf.DUMMYFUNCTION("""COMPUTED_VALUE"""),"Y")</f>
        <v>Y</v>
      </c>
      <c r="G150" s="3" t="str">
        <f>IFERROR(__xludf.DUMMYFUNCTION("""COMPUTED_VALUE"""),"Y")</f>
        <v>Y</v>
      </c>
      <c r="H150" s="3"/>
      <c r="I150" s="3" t="str">
        <f>IFERROR(__xludf.DUMMYFUNCTION("""COMPUTED_VALUE""")," ")</f>
        <v> </v>
      </c>
      <c r="J150" s="3" t="str">
        <f>IFERROR(__xludf.DUMMYFUNCTION("""COMPUTED_VALUE"""),"Y")</f>
        <v>Y</v>
      </c>
      <c r="K150" s="3" t="str">
        <f>IFERROR(__xludf.DUMMYFUNCTION("""COMPUTED_VALUE"""),"Y")</f>
        <v>Y</v>
      </c>
      <c r="L150" s="3" t="str">
        <f>IFERROR(__xludf.DUMMYFUNCTION("""COMPUTED_VALUE"""),"Group 1")</f>
        <v>Group 1</v>
      </c>
      <c r="M150" s="3"/>
      <c r="N150" s="5" t="str">
        <f>IFERROR(__xludf.DUMMYFUNCTION("""COMPUTED_VALUE"""),"Y")</f>
        <v>Y</v>
      </c>
      <c r="O150" s="5"/>
    </row>
    <row r="151">
      <c r="A151" s="2" t="str">
        <f>IFERROR(__xludf.DUMMYFUNCTION("""COMPUTED_VALUE"""),"0123")</f>
        <v>0123</v>
      </c>
      <c r="B151" s="2" t="str">
        <f>IFERROR(__xludf.DUMMYFUNCTION("""COMPUTED_VALUE"""),"SHERIDAN 2")</f>
        <v>SHERIDAN 2</v>
      </c>
      <c r="C151" s="2" t="str">
        <f>IFERROR(__xludf.DUMMYFUNCTION("""COMPUTED_VALUE"""),"07842")</f>
        <v>07842</v>
      </c>
      <c r="D151" s="2" t="str">
        <f>IFERROR(__xludf.DUMMYFUNCTION("""COMPUTED_VALUE"""),"SHERIDAN HIGH SCHOOL")</f>
        <v>SHERIDAN HIGH SCHOOL</v>
      </c>
      <c r="E151" s="3" t="str">
        <f>IFERROR(__xludf.DUMMYFUNCTION("""COMPUTED_VALUE"""),"Y")</f>
        <v>Y</v>
      </c>
      <c r="F151" s="3" t="str">
        <f>IFERROR(__xludf.DUMMYFUNCTION("""COMPUTED_VALUE"""),"Y")</f>
        <v>Y</v>
      </c>
      <c r="G151" s="3" t="str">
        <f>IFERROR(__xludf.DUMMYFUNCTION("""COMPUTED_VALUE"""),"Y")</f>
        <v>Y</v>
      </c>
      <c r="H151" s="3"/>
      <c r="I151" s="3" t="str">
        <f>IFERROR(__xludf.DUMMYFUNCTION("""COMPUTED_VALUE""")," ")</f>
        <v> </v>
      </c>
      <c r="J151" s="3" t="str">
        <f>IFERROR(__xludf.DUMMYFUNCTION("""COMPUTED_VALUE"""),"Y")</f>
        <v>Y</v>
      </c>
      <c r="K151" s="3" t="str">
        <f>IFERROR(__xludf.DUMMYFUNCTION("""COMPUTED_VALUE"""),"Y")</f>
        <v>Y</v>
      </c>
      <c r="L151" s="3" t="str">
        <f>IFERROR(__xludf.DUMMYFUNCTION("""COMPUTED_VALUE"""),"Group 1")</f>
        <v>Group 1</v>
      </c>
      <c r="M151" s="3"/>
      <c r="N151" s="5" t="str">
        <f>IFERROR(__xludf.DUMMYFUNCTION("""COMPUTED_VALUE"""),"Y")</f>
        <v>Y</v>
      </c>
      <c r="O151" s="5"/>
    </row>
    <row r="152">
      <c r="A152" s="2" t="str">
        <f>IFERROR(__xludf.DUMMYFUNCTION("""COMPUTED_VALUE"""),"0123")</f>
        <v>0123</v>
      </c>
      <c r="B152" s="2" t="str">
        <f>IFERROR(__xludf.DUMMYFUNCTION("""COMPUTED_VALUE"""),"SHERIDAN 2")</f>
        <v>SHERIDAN 2</v>
      </c>
      <c r="C152" s="2" t="str">
        <f>IFERROR(__xludf.DUMMYFUNCTION("""COMPUTED_VALUE"""),"07843")</f>
        <v>07843</v>
      </c>
      <c r="D152" s="2" t="str">
        <f>IFERROR(__xludf.DUMMYFUNCTION("""COMPUTED_VALUE"""),"EARLY CHILDHOOD EDUCATION CENTER")</f>
        <v>EARLY CHILDHOOD EDUCATION CENTER</v>
      </c>
      <c r="E152" s="3" t="str">
        <f>IFERROR(__xludf.DUMMYFUNCTION("""COMPUTED_VALUE"""),"Y")</f>
        <v>Y</v>
      </c>
      <c r="F152" s="3" t="str">
        <f>IFERROR(__xludf.DUMMYFUNCTION("""COMPUTED_VALUE"""),"Y")</f>
        <v>Y</v>
      </c>
      <c r="G152" s="3"/>
      <c r="H152" s="3"/>
      <c r="I152" s="3" t="str">
        <f>IFERROR(__xludf.DUMMYFUNCTION("""COMPUTED_VALUE""")," ")</f>
        <v> </v>
      </c>
      <c r="J152" s="3" t="str">
        <f>IFERROR(__xludf.DUMMYFUNCTION("""COMPUTED_VALUE"""),"Y")</f>
        <v>Y</v>
      </c>
      <c r="K152" s="3" t="str">
        <f>IFERROR(__xludf.DUMMYFUNCTION("""COMPUTED_VALUE"""),"Y")</f>
        <v>Y</v>
      </c>
      <c r="L152" s="3" t="str">
        <f>IFERROR(__xludf.DUMMYFUNCTION("""COMPUTED_VALUE"""),"Group 1")</f>
        <v>Group 1</v>
      </c>
      <c r="M152" s="3"/>
      <c r="N152" s="5" t="str">
        <f>IFERROR(__xludf.DUMMYFUNCTION("""COMPUTED_VALUE"""),"Y")</f>
        <v>Y</v>
      </c>
      <c r="O152" s="5"/>
    </row>
    <row r="153">
      <c r="A153" s="2" t="str">
        <f>IFERROR(__xludf.DUMMYFUNCTION("""COMPUTED_VALUE"""),"0123")</f>
        <v>0123</v>
      </c>
      <c r="B153" s="2" t="str">
        <f>IFERROR(__xludf.DUMMYFUNCTION("""COMPUTED_VALUE"""),"SHERIDAN 2")</f>
        <v>SHERIDAN 2</v>
      </c>
      <c r="C153" s="2" t="str">
        <f>IFERROR(__xludf.DUMMYFUNCTION("""COMPUTED_VALUE"""),"08123")</f>
        <v>08123</v>
      </c>
      <c r="D153" s="2" t="str">
        <f>IFERROR(__xludf.DUMMYFUNCTION("""COMPUTED_VALUE"""),"SOAR Academy")</f>
        <v>SOAR Academy</v>
      </c>
      <c r="E153" s="3" t="str">
        <f>IFERROR(__xludf.DUMMYFUNCTION("""COMPUTED_VALUE"""),"Y")</f>
        <v>Y</v>
      </c>
      <c r="F153" s="3" t="str">
        <f>IFERROR(__xludf.DUMMYFUNCTION("""COMPUTED_VALUE"""),"Y")</f>
        <v>Y</v>
      </c>
      <c r="G153" s="3"/>
      <c r="H153" s="3"/>
      <c r="I153" s="3" t="str">
        <f>IFERROR(__xludf.DUMMYFUNCTION("""COMPUTED_VALUE""")," ")</f>
        <v> </v>
      </c>
      <c r="J153" s="3" t="str">
        <f>IFERROR(__xludf.DUMMYFUNCTION("""COMPUTED_VALUE"""),"Y")</f>
        <v>Y</v>
      </c>
      <c r="K153" s="3" t="str">
        <f>IFERROR(__xludf.DUMMYFUNCTION("""COMPUTED_VALUE"""),"Y")</f>
        <v>Y</v>
      </c>
      <c r="L153" s="3" t="str">
        <f>IFERROR(__xludf.DUMMYFUNCTION("""COMPUTED_VALUE"""),"Group 1")</f>
        <v>Group 1</v>
      </c>
      <c r="M153" s="3"/>
      <c r="N153" s="5" t="str">
        <f>IFERROR(__xludf.DUMMYFUNCTION("""COMPUTED_VALUE""")," ")</f>
        <v> </v>
      </c>
      <c r="O153" s="5"/>
    </row>
    <row r="154">
      <c r="A154" s="2" t="str">
        <f>IFERROR(__xludf.DUMMYFUNCTION("""COMPUTED_VALUE"""),"0130")</f>
        <v>0130</v>
      </c>
      <c r="B154" s="2" t="str">
        <f>IFERROR(__xludf.DUMMYFUNCTION("""COMPUTED_VALUE"""),"CHERRY CREEK        5")</f>
        <v>CHERRY CREEK        5</v>
      </c>
      <c r="C154" s="2" t="str">
        <f>IFERROR(__xludf.DUMMYFUNCTION("""COMPUTED_VALUE"""),"00016")</f>
        <v>00016</v>
      </c>
      <c r="D154" s="2" t="str">
        <f>IFERROR(__xludf.DUMMYFUNCTION("""COMPUTED_VALUE"""),"FOX HOLLOW ELEMENTARY SCHOOL")</f>
        <v>FOX HOLLOW ELEMENTARY SCHOOL</v>
      </c>
      <c r="E154" s="3" t="str">
        <f>IFERROR(__xludf.DUMMYFUNCTION("""COMPUTED_VALUE"""),"Y")</f>
        <v>Y</v>
      </c>
      <c r="F154" s="3" t="str">
        <f>IFERROR(__xludf.DUMMYFUNCTION("""COMPUTED_VALUE"""),"Y")</f>
        <v>Y</v>
      </c>
      <c r="G154" s="3"/>
      <c r="H154" s="3"/>
      <c r="I154" s="3" t="str">
        <f>IFERROR(__xludf.DUMMYFUNCTION("""COMPUTED_VALUE""")," ")</f>
        <v> </v>
      </c>
      <c r="J154" s="3" t="str">
        <f>IFERROR(__xludf.DUMMYFUNCTION("""COMPUTED_VALUE""")," ")</f>
        <v> </v>
      </c>
      <c r="K154" s="3" t="str">
        <f>IFERROR(__xludf.DUMMYFUNCTION("""COMPUTED_VALUE"""),"Y")</f>
        <v>Y</v>
      </c>
      <c r="L154" s="3" t="str">
        <f>IFERROR(__xludf.DUMMYFUNCTION("""COMPUTED_VALUE"""),"Group 1")</f>
        <v>Group 1</v>
      </c>
      <c r="M154" s="3"/>
      <c r="N154" s="5" t="str">
        <f>IFERROR(__xludf.DUMMYFUNCTION("""COMPUTED_VALUE""")," ")</f>
        <v> </v>
      </c>
      <c r="O154" s="5"/>
    </row>
    <row r="155">
      <c r="A155" s="2" t="str">
        <f>IFERROR(__xludf.DUMMYFUNCTION("""COMPUTED_VALUE"""),"0130")</f>
        <v>0130</v>
      </c>
      <c r="B155" s="2" t="str">
        <f>IFERROR(__xludf.DUMMYFUNCTION("""COMPUTED_VALUE"""),"CHERRY CREEK        5")</f>
        <v>CHERRY CREEK        5</v>
      </c>
      <c r="C155" s="2" t="str">
        <f>IFERROR(__xludf.DUMMYFUNCTION("""COMPUTED_VALUE"""),"00018")</f>
        <v>00018</v>
      </c>
      <c r="D155" s="2" t="str">
        <f>IFERROR(__xludf.DUMMYFUNCTION("""COMPUTED_VALUE"""),"LIBERTY MIDDLE SCHOOL")</f>
        <v>LIBERTY MIDDLE SCHOOL</v>
      </c>
      <c r="E155" s="3" t="str">
        <f>IFERROR(__xludf.DUMMYFUNCTION("""COMPUTED_VALUE"""),"Y")</f>
        <v>Y</v>
      </c>
      <c r="F155" s="3" t="str">
        <f>IFERROR(__xludf.DUMMYFUNCTION("""COMPUTED_VALUE"""),"Y")</f>
        <v>Y</v>
      </c>
      <c r="G155" s="3"/>
      <c r="H155" s="3"/>
      <c r="I155" s="3" t="str">
        <f>IFERROR(__xludf.DUMMYFUNCTION("""COMPUTED_VALUE""")," ")</f>
        <v> </v>
      </c>
      <c r="J155" s="3" t="str">
        <f>IFERROR(__xludf.DUMMYFUNCTION("""COMPUTED_VALUE""")," ")</f>
        <v> </v>
      </c>
      <c r="K155" s="3" t="str">
        <f>IFERROR(__xludf.DUMMYFUNCTION("""COMPUTED_VALUE"""),"Y")</f>
        <v>Y</v>
      </c>
      <c r="L155" s="3" t="str">
        <f>IFERROR(__xludf.DUMMYFUNCTION("""COMPUTED_VALUE"""),"Group 21")</f>
        <v>Group 21</v>
      </c>
      <c r="M155" s="3"/>
      <c r="N155" s="5" t="str">
        <f>IFERROR(__xludf.DUMMYFUNCTION("""COMPUTED_VALUE""")," ")</f>
        <v> </v>
      </c>
      <c r="O155" s="5"/>
    </row>
    <row r="156">
      <c r="A156" s="2" t="str">
        <f>IFERROR(__xludf.DUMMYFUNCTION("""COMPUTED_VALUE"""),"0130")</f>
        <v>0130</v>
      </c>
      <c r="B156" s="2" t="str">
        <f>IFERROR(__xludf.DUMMYFUNCTION("""COMPUTED_VALUE"""),"CHERRY CREEK        5")</f>
        <v>CHERRY CREEK        5</v>
      </c>
      <c r="C156" s="2" t="str">
        <f>IFERROR(__xludf.DUMMYFUNCTION("""COMPUTED_VALUE"""),"00036")</f>
        <v>00036</v>
      </c>
      <c r="D156" s="2" t="str">
        <f>IFERROR(__xludf.DUMMYFUNCTION("""COMPUTED_VALUE"""),"Cherry Creek Expulsion Program")</f>
        <v>Cherry Creek Expulsion Program</v>
      </c>
      <c r="E156" s="3" t="str">
        <f>IFERROR(__xludf.DUMMYFUNCTION("""COMPUTED_VALUE"""),"Y")</f>
        <v>Y</v>
      </c>
      <c r="F156" s="3" t="str">
        <f>IFERROR(__xludf.DUMMYFUNCTION("""COMPUTED_VALUE"""),"Y")</f>
        <v>Y</v>
      </c>
      <c r="G156" s="3"/>
      <c r="H156" s="3"/>
      <c r="I156" s="3" t="str">
        <f>IFERROR(__xludf.DUMMYFUNCTION("""COMPUTED_VALUE""")," ")</f>
        <v> </v>
      </c>
      <c r="J156" s="3" t="str">
        <f>IFERROR(__xludf.DUMMYFUNCTION("""COMPUTED_VALUE""")," ")</f>
        <v> </v>
      </c>
      <c r="K156" s="3" t="str">
        <f>IFERROR(__xludf.DUMMYFUNCTION("""COMPUTED_VALUE"""),"Y")</f>
        <v>Y</v>
      </c>
      <c r="L156" s="3" t="str">
        <f>IFERROR(__xludf.DUMMYFUNCTION("""COMPUTED_VALUE"""),"Group 16")</f>
        <v>Group 16</v>
      </c>
      <c r="M156" s="3"/>
      <c r="N156" s="5" t="str">
        <f>IFERROR(__xludf.DUMMYFUNCTION("""COMPUTED_VALUE""")," ")</f>
        <v> </v>
      </c>
      <c r="O156" s="5"/>
    </row>
    <row r="157">
      <c r="A157" s="2" t="str">
        <f>IFERROR(__xludf.DUMMYFUNCTION("""COMPUTED_VALUE"""),"0130")</f>
        <v>0130</v>
      </c>
      <c r="B157" s="2" t="str">
        <f>IFERROR(__xludf.DUMMYFUNCTION("""COMPUTED_VALUE"""),"CHERRY CREEK        5")</f>
        <v>CHERRY CREEK        5</v>
      </c>
      <c r="C157" s="2" t="str">
        <f>IFERROR(__xludf.DUMMYFUNCTION("""COMPUTED_VALUE"""),"00102")</f>
        <v>00102</v>
      </c>
      <c r="D157" s="2" t="str">
        <f>IFERROR(__xludf.DUMMYFUNCTION("""COMPUTED_VALUE"""),"Altitude Elementary School")</f>
        <v>Altitude Elementary School</v>
      </c>
      <c r="E157" s="3" t="str">
        <f>IFERROR(__xludf.DUMMYFUNCTION("""COMPUTED_VALUE"""),"Y")</f>
        <v>Y</v>
      </c>
      <c r="F157" s="3" t="str">
        <f>IFERROR(__xludf.DUMMYFUNCTION("""COMPUTED_VALUE"""),"Y")</f>
        <v>Y</v>
      </c>
      <c r="G157" s="3"/>
      <c r="H157" s="3"/>
      <c r="I157" s="3" t="str">
        <f>IFERROR(__xludf.DUMMYFUNCTION("""COMPUTED_VALUE""")," ")</f>
        <v> </v>
      </c>
      <c r="J157" s="3" t="str">
        <f>IFERROR(__xludf.DUMMYFUNCTION("""COMPUTED_VALUE""")," ")</f>
        <v> </v>
      </c>
      <c r="K157" s="3" t="str">
        <f>IFERROR(__xludf.DUMMYFUNCTION("""COMPUTED_VALUE"""),"Y")</f>
        <v>Y</v>
      </c>
      <c r="L157" s="3" t="str">
        <f>IFERROR(__xludf.DUMMYFUNCTION("""COMPUTED_VALUE"""),"Group 10")</f>
        <v>Group 10</v>
      </c>
      <c r="M157" s="3"/>
      <c r="N157" s="5" t="str">
        <f>IFERROR(__xludf.DUMMYFUNCTION("""COMPUTED_VALUE""")," ")</f>
        <v> </v>
      </c>
      <c r="O157" s="5"/>
    </row>
    <row r="158">
      <c r="A158" s="2" t="str">
        <f>IFERROR(__xludf.DUMMYFUNCTION("""COMPUTED_VALUE"""),"0130")</f>
        <v>0130</v>
      </c>
      <c r="B158" s="2" t="str">
        <f>IFERROR(__xludf.DUMMYFUNCTION("""COMPUTED_VALUE"""),"CHERRY CREEK        5")</f>
        <v>CHERRY CREEK        5</v>
      </c>
      <c r="C158" s="2" t="str">
        <f>IFERROR(__xludf.DUMMYFUNCTION("""COMPUTED_VALUE"""),"00141")</f>
        <v>00141</v>
      </c>
      <c r="D158" s="2" t="str">
        <f>IFERROR(__xludf.DUMMYFUNCTION("""COMPUTED_VALUE"""),"SKY VISTA MIDDLE SCHOOL")</f>
        <v>SKY VISTA MIDDLE SCHOOL</v>
      </c>
      <c r="E158" s="3" t="str">
        <f>IFERROR(__xludf.DUMMYFUNCTION("""COMPUTED_VALUE"""),"Y")</f>
        <v>Y</v>
      </c>
      <c r="F158" s="3" t="str">
        <f>IFERROR(__xludf.DUMMYFUNCTION("""COMPUTED_VALUE"""),"Y")</f>
        <v>Y</v>
      </c>
      <c r="G158" s="3"/>
      <c r="H158" s="3"/>
      <c r="I158" s="3" t="str">
        <f>IFERROR(__xludf.DUMMYFUNCTION("""COMPUTED_VALUE""")," ")</f>
        <v> </v>
      </c>
      <c r="J158" s="3" t="str">
        <f>IFERROR(__xludf.DUMMYFUNCTION("""COMPUTED_VALUE""")," ")</f>
        <v> </v>
      </c>
      <c r="K158" s="3" t="str">
        <f>IFERROR(__xludf.DUMMYFUNCTION("""COMPUTED_VALUE"""),"Y")</f>
        <v>Y</v>
      </c>
      <c r="L158" s="3" t="str">
        <f>IFERROR(__xludf.DUMMYFUNCTION("""COMPUTED_VALUE"""),"Group 1")</f>
        <v>Group 1</v>
      </c>
      <c r="M158" s="3"/>
      <c r="N158" s="5" t="str">
        <f>IFERROR(__xludf.DUMMYFUNCTION("""COMPUTED_VALUE""")," ")</f>
        <v> </v>
      </c>
      <c r="O158" s="5"/>
    </row>
    <row r="159">
      <c r="A159" s="2" t="str">
        <f>IFERROR(__xludf.DUMMYFUNCTION("""COMPUTED_VALUE"""),"0130")</f>
        <v>0130</v>
      </c>
      <c r="B159" s="2" t="str">
        <f>IFERROR(__xludf.DUMMYFUNCTION("""COMPUTED_VALUE"""),"CHERRY CREEK        5")</f>
        <v>CHERRY CREEK        5</v>
      </c>
      <c r="C159" s="2" t="str">
        <f>IFERROR(__xludf.DUMMYFUNCTION("""COMPUTED_VALUE"""),"00242")</f>
        <v>00242</v>
      </c>
      <c r="D159" s="2" t="str">
        <f>IFERROR(__xludf.DUMMYFUNCTION("""COMPUTED_VALUE"""),"ANTELOPE RIDGE ELEMENTARY SCHOOL")</f>
        <v>ANTELOPE RIDGE ELEMENTARY SCHOOL</v>
      </c>
      <c r="E159" s="3" t="str">
        <f>IFERROR(__xludf.DUMMYFUNCTION("""COMPUTED_VALUE"""),"Y")</f>
        <v>Y</v>
      </c>
      <c r="F159" s="3" t="str">
        <f>IFERROR(__xludf.DUMMYFUNCTION("""COMPUTED_VALUE"""),"Y")</f>
        <v>Y</v>
      </c>
      <c r="G159" s="3"/>
      <c r="H159" s="3"/>
      <c r="I159" s="3" t="str">
        <f>IFERROR(__xludf.DUMMYFUNCTION("""COMPUTED_VALUE""")," ")</f>
        <v> </v>
      </c>
      <c r="J159" s="3" t="str">
        <f>IFERROR(__xludf.DUMMYFUNCTION("""COMPUTED_VALUE""")," ")</f>
        <v> </v>
      </c>
      <c r="K159" s="3" t="str">
        <f>IFERROR(__xludf.DUMMYFUNCTION("""COMPUTED_VALUE"""),"Y")</f>
        <v>Y</v>
      </c>
      <c r="L159" s="3" t="str">
        <f>IFERROR(__xludf.DUMMYFUNCTION("""COMPUTED_VALUE"""),"Group 17")</f>
        <v>Group 17</v>
      </c>
      <c r="M159" s="3"/>
      <c r="N159" s="5" t="str">
        <f>IFERROR(__xludf.DUMMYFUNCTION("""COMPUTED_VALUE""")," ")</f>
        <v> </v>
      </c>
      <c r="O159" s="5"/>
    </row>
    <row r="160">
      <c r="A160" s="2" t="str">
        <f>IFERROR(__xludf.DUMMYFUNCTION("""COMPUTED_VALUE"""),"0130")</f>
        <v>0130</v>
      </c>
      <c r="B160" s="2" t="str">
        <f>IFERROR(__xludf.DUMMYFUNCTION("""COMPUTED_VALUE"""),"CHERRY CREEK        5")</f>
        <v>CHERRY CREEK        5</v>
      </c>
      <c r="C160" s="2" t="str">
        <f>IFERROR(__xludf.DUMMYFUNCTION("""COMPUTED_VALUE"""),"00243")</f>
        <v>00243</v>
      </c>
      <c r="D160" s="2" t="str">
        <f>IFERROR(__xludf.DUMMYFUNCTION("""COMPUTED_VALUE"""),"COYOTE HILLS ELEMENTARY SCHOOL")</f>
        <v>COYOTE HILLS ELEMENTARY SCHOOL</v>
      </c>
      <c r="E160" s="3" t="str">
        <f>IFERROR(__xludf.DUMMYFUNCTION("""COMPUTED_VALUE"""),"Y")</f>
        <v>Y</v>
      </c>
      <c r="F160" s="3" t="str">
        <f>IFERROR(__xludf.DUMMYFUNCTION("""COMPUTED_VALUE"""),"Y")</f>
        <v>Y</v>
      </c>
      <c r="G160" s="3"/>
      <c r="H160" s="3"/>
      <c r="I160" s="3" t="str">
        <f>IFERROR(__xludf.DUMMYFUNCTION("""COMPUTED_VALUE""")," ")</f>
        <v> </v>
      </c>
      <c r="J160" s="3" t="str">
        <f>IFERROR(__xludf.DUMMYFUNCTION("""COMPUTED_VALUE""")," ")</f>
        <v> </v>
      </c>
      <c r="K160" s="3" t="str">
        <f>IFERROR(__xludf.DUMMYFUNCTION("""COMPUTED_VALUE"""),"Y")</f>
        <v>Y</v>
      </c>
      <c r="L160" s="3" t="str">
        <f>IFERROR(__xludf.DUMMYFUNCTION("""COMPUTED_VALUE"""),"Group 1")</f>
        <v>Group 1</v>
      </c>
      <c r="M160" s="3"/>
      <c r="N160" s="5" t="str">
        <f>IFERROR(__xludf.DUMMYFUNCTION("""COMPUTED_VALUE""")," ")</f>
        <v> </v>
      </c>
      <c r="O160" s="5"/>
    </row>
    <row r="161">
      <c r="A161" s="2" t="str">
        <f>IFERROR(__xludf.DUMMYFUNCTION("""COMPUTED_VALUE"""),"0130")</f>
        <v>0130</v>
      </c>
      <c r="B161" s="2" t="str">
        <f>IFERROR(__xludf.DUMMYFUNCTION("""COMPUTED_VALUE"""),"CHERRY CREEK        5")</f>
        <v>CHERRY CREEK        5</v>
      </c>
      <c r="C161" s="2" t="str">
        <f>IFERROR(__xludf.DUMMYFUNCTION("""COMPUTED_VALUE"""),"00348")</f>
        <v>00348</v>
      </c>
      <c r="D161" s="2" t="str">
        <f>IFERROR(__xludf.DUMMYFUNCTION("""COMPUTED_VALUE"""),"ARROWHEAD ELEMENTARY SCHOOL")</f>
        <v>ARROWHEAD ELEMENTARY SCHOOL</v>
      </c>
      <c r="E161" s="3" t="str">
        <f>IFERROR(__xludf.DUMMYFUNCTION("""COMPUTED_VALUE"""),"Y")</f>
        <v>Y</v>
      </c>
      <c r="F161" s="3" t="str">
        <f>IFERROR(__xludf.DUMMYFUNCTION("""COMPUTED_VALUE"""),"Y")</f>
        <v>Y</v>
      </c>
      <c r="G161" s="3"/>
      <c r="H161" s="3"/>
      <c r="I161" s="3" t="str">
        <f>IFERROR(__xludf.DUMMYFUNCTION("""COMPUTED_VALUE""")," ")</f>
        <v> </v>
      </c>
      <c r="J161" s="3" t="str">
        <f>IFERROR(__xludf.DUMMYFUNCTION("""COMPUTED_VALUE""")," ")</f>
        <v> </v>
      </c>
      <c r="K161" s="3" t="str">
        <f>IFERROR(__xludf.DUMMYFUNCTION("""COMPUTED_VALUE"""),"Y")</f>
        <v>Y</v>
      </c>
      <c r="L161" s="3" t="str">
        <f>IFERROR(__xludf.DUMMYFUNCTION("""COMPUTED_VALUE"""),"Group 2")</f>
        <v>Group 2</v>
      </c>
      <c r="M161" s="3"/>
      <c r="N161" s="5" t="str">
        <f>IFERROR(__xludf.DUMMYFUNCTION("""COMPUTED_VALUE""")," ")</f>
        <v> </v>
      </c>
      <c r="O161" s="5"/>
    </row>
    <row r="162">
      <c r="A162" s="2" t="str">
        <f>IFERROR(__xludf.DUMMYFUNCTION("""COMPUTED_VALUE"""),"0130")</f>
        <v>0130</v>
      </c>
      <c r="B162" s="2" t="str">
        <f>IFERROR(__xludf.DUMMYFUNCTION("""COMPUTED_VALUE"""),"CHERRY CREEK        5")</f>
        <v>CHERRY CREEK        5</v>
      </c>
      <c r="C162" s="2" t="str">
        <f>IFERROR(__xludf.DUMMYFUNCTION("""COMPUTED_VALUE"""),"00442")</f>
        <v>00442</v>
      </c>
      <c r="D162" s="2" t="str">
        <f>IFERROR(__xludf.DUMMYFUNCTION("""COMPUTED_VALUE"""),"ASPEN CROSSING ELEMENTARY SCHOOL")</f>
        <v>ASPEN CROSSING ELEMENTARY SCHOOL</v>
      </c>
      <c r="E162" s="3" t="str">
        <f>IFERROR(__xludf.DUMMYFUNCTION("""COMPUTED_VALUE"""),"Y")</f>
        <v>Y</v>
      </c>
      <c r="F162" s="3" t="str">
        <f>IFERROR(__xludf.DUMMYFUNCTION("""COMPUTED_VALUE"""),"Y")</f>
        <v>Y</v>
      </c>
      <c r="G162" s="3"/>
      <c r="H162" s="3"/>
      <c r="I162" s="3" t="str">
        <f>IFERROR(__xludf.DUMMYFUNCTION("""COMPUTED_VALUE""")," ")</f>
        <v> </v>
      </c>
      <c r="J162" s="3" t="str">
        <f>IFERROR(__xludf.DUMMYFUNCTION("""COMPUTED_VALUE""")," ")</f>
        <v> </v>
      </c>
      <c r="K162" s="3" t="str">
        <f>IFERROR(__xludf.DUMMYFUNCTION("""COMPUTED_VALUE"""),"Y")</f>
        <v>Y</v>
      </c>
      <c r="L162" s="3" t="str">
        <f>IFERROR(__xludf.DUMMYFUNCTION("""COMPUTED_VALUE"""),"Group 1")</f>
        <v>Group 1</v>
      </c>
      <c r="M162" s="3"/>
      <c r="N162" s="5" t="str">
        <f>IFERROR(__xludf.DUMMYFUNCTION("""COMPUTED_VALUE""")," ")</f>
        <v> </v>
      </c>
      <c r="O162" s="5"/>
    </row>
    <row r="163">
      <c r="A163" s="2" t="str">
        <f>IFERROR(__xludf.DUMMYFUNCTION("""COMPUTED_VALUE"""),"0130")</f>
        <v>0130</v>
      </c>
      <c r="B163" s="2" t="str">
        <f>IFERROR(__xludf.DUMMYFUNCTION("""COMPUTED_VALUE"""),"CHERRY CREEK        5")</f>
        <v>CHERRY CREEK        5</v>
      </c>
      <c r="C163" s="2" t="str">
        <f>IFERROR(__xludf.DUMMYFUNCTION("""COMPUTED_VALUE"""),"00714")</f>
        <v>00714</v>
      </c>
      <c r="D163" s="2" t="str">
        <f>IFERROR(__xludf.DUMMYFUNCTION("""COMPUTED_VALUE"""),"BELLEVIEW ELEMENTARY SCHOOL")</f>
        <v>BELLEVIEW ELEMENTARY SCHOOL</v>
      </c>
      <c r="E163" s="3" t="str">
        <f>IFERROR(__xludf.DUMMYFUNCTION("""COMPUTED_VALUE"""),"Y")</f>
        <v>Y</v>
      </c>
      <c r="F163" s="3" t="str">
        <f>IFERROR(__xludf.DUMMYFUNCTION("""COMPUTED_VALUE"""),"Y")</f>
        <v>Y</v>
      </c>
      <c r="G163" s="3"/>
      <c r="H163" s="3"/>
      <c r="I163" s="3" t="str">
        <f>IFERROR(__xludf.DUMMYFUNCTION("""COMPUTED_VALUE""")," ")</f>
        <v> </v>
      </c>
      <c r="J163" s="3" t="str">
        <f>IFERROR(__xludf.DUMMYFUNCTION("""COMPUTED_VALUE""")," ")</f>
        <v> </v>
      </c>
      <c r="K163" s="3" t="str">
        <f>IFERROR(__xludf.DUMMYFUNCTION("""COMPUTED_VALUE"""),"Y")</f>
        <v>Y</v>
      </c>
      <c r="L163" s="3" t="str">
        <f>IFERROR(__xludf.DUMMYFUNCTION("""COMPUTED_VALUE"""),"Group 1")</f>
        <v>Group 1</v>
      </c>
      <c r="M163" s="3"/>
      <c r="N163" s="5" t="str">
        <f>IFERROR(__xludf.DUMMYFUNCTION("""COMPUTED_VALUE""")," ")</f>
        <v> </v>
      </c>
      <c r="O163" s="5"/>
    </row>
    <row r="164">
      <c r="A164" s="2" t="str">
        <f>IFERROR(__xludf.DUMMYFUNCTION("""COMPUTED_VALUE"""),"0130")</f>
        <v>0130</v>
      </c>
      <c r="B164" s="2" t="str">
        <f>IFERROR(__xludf.DUMMYFUNCTION("""COMPUTED_VALUE"""),"CHERRY CREEK        5")</f>
        <v>CHERRY CREEK        5</v>
      </c>
      <c r="C164" s="2" t="str">
        <f>IFERROR(__xludf.DUMMYFUNCTION("""COMPUTED_VALUE"""),"01155")</f>
        <v>01155</v>
      </c>
      <c r="D164" s="2" t="str">
        <f>IFERROR(__xludf.DUMMYFUNCTION("""COMPUTED_VALUE"""),"BUFFALO TRAIL ELEMENTARY SCHOOL")</f>
        <v>BUFFALO TRAIL ELEMENTARY SCHOOL</v>
      </c>
      <c r="E164" s="3" t="str">
        <f>IFERROR(__xludf.DUMMYFUNCTION("""COMPUTED_VALUE"""),"Y")</f>
        <v>Y</v>
      </c>
      <c r="F164" s="3" t="str">
        <f>IFERROR(__xludf.DUMMYFUNCTION("""COMPUTED_VALUE"""),"Y")</f>
        <v>Y</v>
      </c>
      <c r="G164" s="3"/>
      <c r="H164" s="3"/>
      <c r="I164" s="3" t="str">
        <f>IFERROR(__xludf.DUMMYFUNCTION("""COMPUTED_VALUE""")," ")</f>
        <v> </v>
      </c>
      <c r="J164" s="3" t="str">
        <f>IFERROR(__xludf.DUMMYFUNCTION("""COMPUTED_VALUE""")," ")</f>
        <v> </v>
      </c>
      <c r="K164" s="3" t="str">
        <f>IFERROR(__xludf.DUMMYFUNCTION("""COMPUTED_VALUE"""),"Y")</f>
        <v>Y</v>
      </c>
      <c r="L164" s="3" t="str">
        <f>IFERROR(__xludf.DUMMYFUNCTION("""COMPUTED_VALUE""")," ")</f>
        <v> </v>
      </c>
      <c r="M164" s="3"/>
      <c r="N164" s="5" t="str">
        <f>IFERROR(__xludf.DUMMYFUNCTION("""COMPUTED_VALUE""")," ")</f>
        <v> </v>
      </c>
      <c r="O164" s="5"/>
    </row>
    <row r="165">
      <c r="A165" s="2" t="str">
        <f>IFERROR(__xludf.DUMMYFUNCTION("""COMPUTED_VALUE"""),"0130")</f>
        <v>0130</v>
      </c>
      <c r="B165" s="2" t="str">
        <f>IFERROR(__xludf.DUMMYFUNCTION("""COMPUTED_VALUE"""),"CHERRY CREEK        5")</f>
        <v>CHERRY CREEK        5</v>
      </c>
      <c r="C165" s="2" t="str">
        <f>IFERROR(__xludf.DUMMYFUNCTION("""COMPUTED_VALUE"""),"01273")</f>
        <v>01273</v>
      </c>
      <c r="D165" s="2" t="str">
        <f>IFERROR(__xludf.DUMMYFUNCTION("""COMPUTED_VALUE"""),"CANYON CREEK ELEMENTARY SCHOOL")</f>
        <v>CANYON CREEK ELEMENTARY SCHOOL</v>
      </c>
      <c r="E165" s="3" t="str">
        <f>IFERROR(__xludf.DUMMYFUNCTION("""COMPUTED_VALUE"""),"Y")</f>
        <v>Y</v>
      </c>
      <c r="F165" s="3" t="str">
        <f>IFERROR(__xludf.DUMMYFUNCTION("""COMPUTED_VALUE"""),"Y")</f>
        <v>Y</v>
      </c>
      <c r="G165" s="3"/>
      <c r="H165" s="3"/>
      <c r="I165" s="3" t="str">
        <f>IFERROR(__xludf.DUMMYFUNCTION("""COMPUTED_VALUE""")," ")</f>
        <v> </v>
      </c>
      <c r="J165" s="3" t="str">
        <f>IFERROR(__xludf.DUMMYFUNCTION("""COMPUTED_VALUE""")," ")</f>
        <v> </v>
      </c>
      <c r="K165" s="3" t="str">
        <f>IFERROR(__xludf.DUMMYFUNCTION("""COMPUTED_VALUE"""),"Y")</f>
        <v>Y</v>
      </c>
      <c r="L165" s="3" t="str">
        <f>IFERROR(__xludf.DUMMYFUNCTION("""COMPUTED_VALUE"""),"Group 21")</f>
        <v>Group 21</v>
      </c>
      <c r="M165" s="3"/>
      <c r="N165" s="5" t="str">
        <f>IFERROR(__xludf.DUMMYFUNCTION("""COMPUTED_VALUE"""),"Y")</f>
        <v>Y</v>
      </c>
      <c r="O165" s="5"/>
    </row>
    <row r="166">
      <c r="A166" s="6" t="str">
        <f>IFERROR(__xludf.DUMMYFUNCTION("""COMPUTED_VALUE"""),"0130")</f>
        <v>0130</v>
      </c>
      <c r="B166" s="6" t="str">
        <f>IFERROR(__xludf.DUMMYFUNCTION("""COMPUTED_VALUE"""),"CHERRY CREEK        5")</f>
        <v>CHERRY CREEK        5</v>
      </c>
      <c r="C166" s="6" t="str">
        <f>IFERROR(__xludf.DUMMYFUNCTION("""COMPUTED_VALUE"""),"01429")</f>
        <v>01429</v>
      </c>
      <c r="D166" s="6" t="str">
        <f>IFERROR(__xludf.DUMMYFUNCTION("""COMPUTED_VALUE"""),"Cherry Creek Elevation")</f>
        <v>Cherry Creek Elevation</v>
      </c>
      <c r="E166" s="7"/>
      <c r="F166" s="7" t="str">
        <f>IFERROR(__xludf.DUMMYFUNCTION("""COMPUTED_VALUE"""),"Y")</f>
        <v>Y</v>
      </c>
      <c r="G166" s="7"/>
      <c r="H166" s="7"/>
      <c r="I166" s="7" t="str">
        <f>IFERROR(__xludf.DUMMYFUNCTION("""COMPUTED_VALUE""")," ")</f>
        <v> </v>
      </c>
      <c r="J166" s="7" t="str">
        <f>IFERROR(__xludf.DUMMYFUNCTION("""COMPUTED_VALUE""")," ")</f>
        <v> </v>
      </c>
      <c r="K166" s="7" t="str">
        <f>IFERROR(__xludf.DUMMYFUNCTION("""COMPUTED_VALUE"""),"Y")</f>
        <v>Y</v>
      </c>
      <c r="L166" s="7" t="str">
        <f>IFERROR(__xludf.DUMMYFUNCTION("""COMPUTED_VALUE""")," ")</f>
        <v> </v>
      </c>
      <c r="M166" s="7"/>
      <c r="N166" s="7" t="str">
        <f>IFERROR(__xludf.DUMMYFUNCTION("""COMPUTED_VALUE""")," ")</f>
        <v> </v>
      </c>
      <c r="O166" s="7" t="str">
        <f>IFERROR(__xludf.DUMMYFUNCTION("""COMPUTED_VALUE"""),"No NSLP claims as of 3/2025")</f>
        <v>No NSLP claims as of 3/2025</v>
      </c>
    </row>
    <row r="167">
      <c r="A167" s="2" t="str">
        <f>IFERROR(__xludf.DUMMYFUNCTION("""COMPUTED_VALUE"""),"0130")</f>
        <v>0130</v>
      </c>
      <c r="B167" s="2" t="str">
        <f>IFERROR(__xludf.DUMMYFUNCTION("""COMPUTED_VALUE"""),"CHERRY CREEK        5")</f>
        <v>CHERRY CREEK        5</v>
      </c>
      <c r="C167" s="2" t="str">
        <f>IFERROR(__xludf.DUMMYFUNCTION("""COMPUTED_VALUE"""),"01510")</f>
        <v>01510</v>
      </c>
      <c r="D167" s="2" t="str">
        <f>IFERROR(__xludf.DUMMYFUNCTION("""COMPUTED_VALUE"""),"CHALLENGE SCHOOL")</f>
        <v>CHALLENGE SCHOOL</v>
      </c>
      <c r="E167" s="3" t="str">
        <f>IFERROR(__xludf.DUMMYFUNCTION("""COMPUTED_VALUE"""),"Y")</f>
        <v>Y</v>
      </c>
      <c r="F167" s="3" t="str">
        <f>IFERROR(__xludf.DUMMYFUNCTION("""COMPUTED_VALUE"""),"Y")</f>
        <v>Y</v>
      </c>
      <c r="G167" s="3"/>
      <c r="H167" s="3"/>
      <c r="I167" s="3" t="str">
        <f>IFERROR(__xludf.DUMMYFUNCTION("""COMPUTED_VALUE""")," ")</f>
        <v> </v>
      </c>
      <c r="J167" s="3" t="str">
        <f>IFERROR(__xludf.DUMMYFUNCTION("""COMPUTED_VALUE""")," ")</f>
        <v> </v>
      </c>
      <c r="K167" s="3" t="str">
        <f>IFERROR(__xludf.DUMMYFUNCTION("""COMPUTED_VALUE"""),"Y")</f>
        <v>Y</v>
      </c>
      <c r="L167" s="3" t="str">
        <f>IFERROR(__xludf.DUMMYFUNCTION("""COMPUTED_VALUE""")," ")</f>
        <v> </v>
      </c>
      <c r="M167" s="3"/>
      <c r="N167" s="5" t="str">
        <f>IFERROR(__xludf.DUMMYFUNCTION("""COMPUTED_VALUE""")," ")</f>
        <v> </v>
      </c>
      <c r="O167" s="5"/>
    </row>
    <row r="168">
      <c r="A168" s="2" t="str">
        <f>IFERROR(__xludf.DUMMYFUNCTION("""COMPUTED_VALUE"""),"0130")</f>
        <v>0130</v>
      </c>
      <c r="B168" s="2" t="str">
        <f>IFERROR(__xludf.DUMMYFUNCTION("""COMPUTED_VALUE"""),"CHERRY CREEK        5")</f>
        <v>CHERRY CREEK        5</v>
      </c>
      <c r="C168" s="2" t="str">
        <f>IFERROR(__xludf.DUMMYFUNCTION("""COMPUTED_VALUE"""),"01551")</f>
        <v>01551</v>
      </c>
      <c r="D168" s="2" t="str">
        <f>IFERROR(__xludf.DUMMYFUNCTION("""COMPUTED_VALUE"""),"CHEROKEE TRAIL HIGH SCHOOL")</f>
        <v>CHEROKEE TRAIL HIGH SCHOOL</v>
      </c>
      <c r="E168" s="3" t="str">
        <f>IFERROR(__xludf.DUMMYFUNCTION("""COMPUTED_VALUE"""),"Y")</f>
        <v>Y</v>
      </c>
      <c r="F168" s="3" t="str">
        <f>IFERROR(__xludf.DUMMYFUNCTION("""COMPUTED_VALUE"""),"Y")</f>
        <v>Y</v>
      </c>
      <c r="G168" s="3"/>
      <c r="H168" s="3"/>
      <c r="I168" s="3" t="str">
        <f>IFERROR(__xludf.DUMMYFUNCTION("""COMPUTED_VALUE""")," ")</f>
        <v> </v>
      </c>
      <c r="J168" s="3" t="str">
        <f>IFERROR(__xludf.DUMMYFUNCTION("""COMPUTED_VALUE""")," ")</f>
        <v> </v>
      </c>
      <c r="K168" s="3" t="str">
        <f>IFERROR(__xludf.DUMMYFUNCTION("""COMPUTED_VALUE"""),"Y")</f>
        <v>Y</v>
      </c>
      <c r="L168" s="3" t="str">
        <f>IFERROR(__xludf.DUMMYFUNCTION("""COMPUTED_VALUE""")," ")</f>
        <v> </v>
      </c>
      <c r="M168" s="3"/>
      <c r="N168" s="5" t="str">
        <f>IFERROR(__xludf.DUMMYFUNCTION("""COMPUTED_VALUE""")," ")</f>
        <v> </v>
      </c>
      <c r="O168" s="5"/>
    </row>
    <row r="169">
      <c r="A169" s="2" t="str">
        <f>IFERROR(__xludf.DUMMYFUNCTION("""COMPUTED_VALUE"""),"0130")</f>
        <v>0130</v>
      </c>
      <c r="B169" s="2" t="str">
        <f>IFERROR(__xludf.DUMMYFUNCTION("""COMPUTED_VALUE"""),"CHERRY CREEK        5")</f>
        <v>CHERRY CREEK        5</v>
      </c>
      <c r="C169" s="2" t="str">
        <f>IFERROR(__xludf.DUMMYFUNCTION("""COMPUTED_VALUE"""),"01566")</f>
        <v>01566</v>
      </c>
      <c r="D169" s="2" t="str">
        <f>IFERROR(__xludf.DUMMYFUNCTION("""COMPUTED_VALUE"""),"CAMPUS MIDDLE SCHOOL")</f>
        <v>CAMPUS MIDDLE SCHOOL</v>
      </c>
      <c r="E169" s="3" t="str">
        <f>IFERROR(__xludf.DUMMYFUNCTION("""COMPUTED_VALUE"""),"Y")</f>
        <v>Y</v>
      </c>
      <c r="F169" s="3" t="str">
        <f>IFERROR(__xludf.DUMMYFUNCTION("""COMPUTED_VALUE"""),"Y")</f>
        <v>Y</v>
      </c>
      <c r="G169" s="3"/>
      <c r="H169" s="3"/>
      <c r="I169" s="3" t="str">
        <f>IFERROR(__xludf.DUMMYFUNCTION("""COMPUTED_VALUE""")," ")</f>
        <v> </v>
      </c>
      <c r="J169" s="3" t="str">
        <f>IFERROR(__xludf.DUMMYFUNCTION("""COMPUTED_VALUE""")," ")</f>
        <v> </v>
      </c>
      <c r="K169" s="3" t="str">
        <f>IFERROR(__xludf.DUMMYFUNCTION("""COMPUTED_VALUE"""),"Y")</f>
        <v>Y</v>
      </c>
      <c r="L169" s="3" t="str">
        <f>IFERROR(__xludf.DUMMYFUNCTION("""COMPUTED_VALUE""")," ")</f>
        <v> </v>
      </c>
      <c r="M169" s="3"/>
      <c r="N169" s="5" t="str">
        <f>IFERROR(__xludf.DUMMYFUNCTION("""COMPUTED_VALUE""")," ")</f>
        <v> </v>
      </c>
      <c r="O169" s="5"/>
    </row>
    <row r="170">
      <c r="A170" s="2" t="str">
        <f>IFERROR(__xludf.DUMMYFUNCTION("""COMPUTED_VALUE"""),"0130")</f>
        <v>0130</v>
      </c>
      <c r="B170" s="2" t="str">
        <f>IFERROR(__xludf.DUMMYFUNCTION("""COMPUTED_VALUE"""),"CHERRY CREEK        5")</f>
        <v>CHERRY CREEK        5</v>
      </c>
      <c r="C170" s="2" t="str">
        <f>IFERROR(__xludf.DUMMYFUNCTION("""COMPUTED_VALUE"""),"01568")</f>
        <v>01568</v>
      </c>
      <c r="D170" s="2" t="str">
        <f>IFERROR(__xludf.DUMMYFUNCTION("""COMPUTED_VALUE"""),"WEST MIDDLE SCHOOL")</f>
        <v>WEST MIDDLE SCHOOL</v>
      </c>
      <c r="E170" s="3" t="str">
        <f>IFERROR(__xludf.DUMMYFUNCTION("""COMPUTED_VALUE"""),"Y")</f>
        <v>Y</v>
      </c>
      <c r="F170" s="3" t="str">
        <f>IFERROR(__xludf.DUMMYFUNCTION("""COMPUTED_VALUE"""),"Y")</f>
        <v>Y</v>
      </c>
      <c r="G170" s="3"/>
      <c r="H170" s="3"/>
      <c r="I170" s="3" t="str">
        <f>IFERROR(__xludf.DUMMYFUNCTION("""COMPUTED_VALUE""")," ")</f>
        <v> </v>
      </c>
      <c r="J170" s="3" t="str">
        <f>IFERROR(__xludf.DUMMYFUNCTION("""COMPUTED_VALUE""")," ")</f>
        <v> </v>
      </c>
      <c r="K170" s="3" t="str">
        <f>IFERROR(__xludf.DUMMYFUNCTION("""COMPUTED_VALUE"""),"Y")</f>
        <v>Y</v>
      </c>
      <c r="L170" s="3" t="str">
        <f>IFERROR(__xludf.DUMMYFUNCTION("""COMPUTED_VALUE""")," ")</f>
        <v> </v>
      </c>
      <c r="M170" s="3"/>
      <c r="N170" s="5" t="str">
        <f>IFERROR(__xludf.DUMMYFUNCTION("""COMPUTED_VALUE""")," ")</f>
        <v> </v>
      </c>
      <c r="O170" s="5"/>
    </row>
    <row r="171">
      <c r="A171" s="2" t="str">
        <f>IFERROR(__xludf.DUMMYFUNCTION("""COMPUTED_VALUE"""),"0130")</f>
        <v>0130</v>
      </c>
      <c r="B171" s="2" t="str">
        <f>IFERROR(__xludf.DUMMYFUNCTION("""COMPUTED_VALUE"""),"CHERRY CREEK        5")</f>
        <v>CHERRY CREEK        5</v>
      </c>
      <c r="C171" s="2" t="str">
        <f>IFERROR(__xludf.DUMMYFUNCTION("""COMPUTED_VALUE"""),"01570")</f>
        <v>01570</v>
      </c>
      <c r="D171" s="2" t="str">
        <f>IFERROR(__xludf.DUMMYFUNCTION("""COMPUTED_VALUE"""),"CHERRY CREEK HIGH SCHOOL")</f>
        <v>CHERRY CREEK HIGH SCHOOL</v>
      </c>
      <c r="E171" s="3" t="str">
        <f>IFERROR(__xludf.DUMMYFUNCTION("""COMPUTED_VALUE"""),"Y")</f>
        <v>Y</v>
      </c>
      <c r="F171" s="3" t="str">
        <f>IFERROR(__xludf.DUMMYFUNCTION("""COMPUTED_VALUE"""),"Y")</f>
        <v>Y</v>
      </c>
      <c r="G171" s="3"/>
      <c r="H171" s="3"/>
      <c r="I171" s="3" t="str">
        <f>IFERROR(__xludf.DUMMYFUNCTION("""COMPUTED_VALUE""")," ")</f>
        <v> </v>
      </c>
      <c r="J171" s="3" t="str">
        <f>IFERROR(__xludf.DUMMYFUNCTION("""COMPUTED_VALUE""")," ")</f>
        <v> </v>
      </c>
      <c r="K171" s="3" t="str">
        <f>IFERROR(__xludf.DUMMYFUNCTION("""COMPUTED_VALUE"""),"Y")</f>
        <v>Y</v>
      </c>
      <c r="L171" s="3" t="str">
        <f>IFERROR(__xludf.DUMMYFUNCTION("""COMPUTED_VALUE""")," ")</f>
        <v> </v>
      </c>
      <c r="M171" s="3"/>
      <c r="N171" s="5" t="str">
        <f>IFERROR(__xludf.DUMMYFUNCTION("""COMPUTED_VALUE""")," ")</f>
        <v> </v>
      </c>
      <c r="O171" s="5"/>
    </row>
    <row r="172">
      <c r="A172" s="2" t="str">
        <f>IFERROR(__xludf.DUMMYFUNCTION("""COMPUTED_VALUE"""),"0130")</f>
        <v>0130</v>
      </c>
      <c r="B172" s="2" t="str">
        <f>IFERROR(__xludf.DUMMYFUNCTION("""COMPUTED_VALUE"""),"CHERRY CREEK        5")</f>
        <v>CHERRY CREEK        5</v>
      </c>
      <c r="C172" s="2" t="str">
        <f>IFERROR(__xludf.DUMMYFUNCTION("""COMPUTED_VALUE"""),"01571")</f>
        <v>01571</v>
      </c>
      <c r="D172" s="2" t="str">
        <f>IFERROR(__xludf.DUMMYFUNCTION("""COMPUTED_VALUE"""),"Cherry Creek Charter Academy")</f>
        <v>Cherry Creek Charter Academy</v>
      </c>
      <c r="E172" s="3" t="str">
        <f>IFERROR(__xludf.DUMMYFUNCTION("""COMPUTED_VALUE"""),"Y")</f>
        <v>Y</v>
      </c>
      <c r="F172" s="3" t="str">
        <f>IFERROR(__xludf.DUMMYFUNCTION("""COMPUTED_VALUE"""),"Y")</f>
        <v>Y</v>
      </c>
      <c r="G172" s="3"/>
      <c r="H172" s="3"/>
      <c r="I172" s="3" t="str">
        <f>IFERROR(__xludf.DUMMYFUNCTION("""COMPUTED_VALUE""")," ")</f>
        <v> </v>
      </c>
      <c r="J172" s="3" t="str">
        <f>IFERROR(__xludf.DUMMYFUNCTION("""COMPUTED_VALUE""")," ")</f>
        <v> </v>
      </c>
      <c r="K172" s="3" t="str">
        <f>IFERROR(__xludf.DUMMYFUNCTION("""COMPUTED_VALUE"""),"Y")</f>
        <v>Y</v>
      </c>
      <c r="L172" s="3" t="str">
        <f>IFERROR(__xludf.DUMMYFUNCTION("""COMPUTED_VALUE"""),"Group 1")</f>
        <v>Group 1</v>
      </c>
      <c r="M172" s="3"/>
      <c r="N172" s="5" t="str">
        <f>IFERROR(__xludf.DUMMYFUNCTION("""COMPUTED_VALUE""")," ")</f>
        <v> </v>
      </c>
      <c r="O172" s="5"/>
    </row>
    <row r="173">
      <c r="A173" s="2" t="str">
        <f>IFERROR(__xludf.DUMMYFUNCTION("""COMPUTED_VALUE"""),"0130")</f>
        <v>0130</v>
      </c>
      <c r="B173" s="2" t="str">
        <f>IFERROR(__xludf.DUMMYFUNCTION("""COMPUTED_VALUE"""),"CHERRY CREEK        5")</f>
        <v>CHERRY CREEK        5</v>
      </c>
      <c r="C173" s="2" t="str">
        <f>IFERROR(__xludf.DUMMYFUNCTION("""COMPUTED_VALUE"""),"01572")</f>
        <v>01572</v>
      </c>
      <c r="D173" s="2" t="str">
        <f>IFERROR(__xludf.DUMMYFUNCTION("""COMPUTED_VALUE"""),"HIGH PLAINS ELEMENTARY SCHOOL")</f>
        <v>HIGH PLAINS ELEMENTARY SCHOOL</v>
      </c>
      <c r="E173" s="3" t="str">
        <f>IFERROR(__xludf.DUMMYFUNCTION("""COMPUTED_VALUE"""),"Y")</f>
        <v>Y</v>
      </c>
      <c r="F173" s="3" t="str">
        <f>IFERROR(__xludf.DUMMYFUNCTION("""COMPUTED_VALUE"""),"Y")</f>
        <v>Y</v>
      </c>
      <c r="G173" s="3"/>
      <c r="H173" s="3"/>
      <c r="I173" s="3" t="str">
        <f>IFERROR(__xludf.DUMMYFUNCTION("""COMPUTED_VALUE""")," ")</f>
        <v> </v>
      </c>
      <c r="J173" s="3" t="str">
        <f>IFERROR(__xludf.DUMMYFUNCTION("""COMPUTED_VALUE""")," ")</f>
        <v> </v>
      </c>
      <c r="K173" s="3" t="str">
        <f>IFERROR(__xludf.DUMMYFUNCTION("""COMPUTED_VALUE"""),"Y")</f>
        <v>Y</v>
      </c>
      <c r="L173" s="3" t="str">
        <f>IFERROR(__xludf.DUMMYFUNCTION("""COMPUTED_VALUE"""),"Group 1")</f>
        <v>Group 1</v>
      </c>
      <c r="M173" s="3"/>
      <c r="N173" s="5" t="str">
        <f>IFERROR(__xludf.DUMMYFUNCTION("""COMPUTED_VALUE""")," ")</f>
        <v> </v>
      </c>
      <c r="O173" s="5"/>
    </row>
    <row r="174">
      <c r="A174" s="2" t="str">
        <f>IFERROR(__xludf.DUMMYFUNCTION("""COMPUTED_VALUE"""),"0130")</f>
        <v>0130</v>
      </c>
      <c r="B174" s="2" t="str">
        <f>IFERROR(__xludf.DUMMYFUNCTION("""COMPUTED_VALUE"""),"CHERRY CREEK        5")</f>
        <v>CHERRY CREEK        5</v>
      </c>
      <c r="C174" s="2" t="str">
        <f>IFERROR(__xludf.DUMMYFUNCTION("""COMPUTED_VALUE"""),"01574")</f>
        <v>01574</v>
      </c>
      <c r="D174" s="2" t="str">
        <f>IFERROR(__xludf.DUMMYFUNCTION("""COMPUTED_VALUE"""),"CHERRY HILLS VILLAGE ELEMENTARY SCHOOL")</f>
        <v>CHERRY HILLS VILLAGE ELEMENTARY SCHOOL</v>
      </c>
      <c r="E174" s="3" t="str">
        <f>IFERROR(__xludf.DUMMYFUNCTION("""COMPUTED_VALUE"""),"Y")</f>
        <v>Y</v>
      </c>
      <c r="F174" s="3" t="str">
        <f>IFERROR(__xludf.DUMMYFUNCTION("""COMPUTED_VALUE"""),"Y")</f>
        <v>Y</v>
      </c>
      <c r="G174" s="3"/>
      <c r="H174" s="3"/>
      <c r="I174" s="3" t="str">
        <f>IFERROR(__xludf.DUMMYFUNCTION("""COMPUTED_VALUE""")," ")</f>
        <v> </v>
      </c>
      <c r="J174" s="3" t="str">
        <f>IFERROR(__xludf.DUMMYFUNCTION("""COMPUTED_VALUE""")," ")</f>
        <v> </v>
      </c>
      <c r="K174" s="3" t="str">
        <f>IFERROR(__xludf.DUMMYFUNCTION("""COMPUTED_VALUE"""),"Y")</f>
        <v>Y</v>
      </c>
      <c r="L174" s="3" t="str">
        <f>IFERROR(__xludf.DUMMYFUNCTION("""COMPUTED_VALUE""")," ")</f>
        <v> </v>
      </c>
      <c r="M174" s="3"/>
      <c r="N174" s="5" t="str">
        <f>IFERROR(__xludf.DUMMYFUNCTION("""COMPUTED_VALUE""")," ")</f>
        <v> </v>
      </c>
      <c r="O174" s="5"/>
    </row>
    <row r="175">
      <c r="A175" s="2" t="str">
        <f>IFERROR(__xludf.DUMMYFUNCTION("""COMPUTED_VALUE"""),"0130")</f>
        <v>0130</v>
      </c>
      <c r="B175" s="2" t="str">
        <f>IFERROR(__xludf.DUMMYFUNCTION("""COMPUTED_VALUE"""),"CHERRY CREEK        5")</f>
        <v>CHERRY CREEK        5</v>
      </c>
      <c r="C175" s="2" t="str">
        <f>IFERROR(__xludf.DUMMYFUNCTION("""COMPUTED_VALUE"""),"01614")</f>
        <v>01614</v>
      </c>
      <c r="D175" s="2" t="str">
        <f>IFERROR(__xludf.DUMMYFUNCTION("""COMPUTED_VALUE"""),"CIMARRON ELEMENTARY SCHOOL")</f>
        <v>CIMARRON ELEMENTARY SCHOOL</v>
      </c>
      <c r="E175" s="3" t="str">
        <f>IFERROR(__xludf.DUMMYFUNCTION("""COMPUTED_VALUE"""),"Y")</f>
        <v>Y</v>
      </c>
      <c r="F175" s="3" t="str">
        <f>IFERROR(__xludf.DUMMYFUNCTION("""COMPUTED_VALUE"""),"Y")</f>
        <v>Y</v>
      </c>
      <c r="G175" s="3"/>
      <c r="H175" s="3"/>
      <c r="I175" s="3" t="str">
        <f>IFERROR(__xludf.DUMMYFUNCTION("""COMPUTED_VALUE""")," ")</f>
        <v> </v>
      </c>
      <c r="J175" s="3" t="str">
        <f>IFERROR(__xludf.DUMMYFUNCTION("""COMPUTED_VALUE""")," ")</f>
        <v> </v>
      </c>
      <c r="K175" s="3" t="str">
        <f>IFERROR(__xludf.DUMMYFUNCTION("""COMPUTED_VALUE"""),"Y")</f>
        <v>Y</v>
      </c>
      <c r="L175" s="3" t="str">
        <f>IFERROR(__xludf.DUMMYFUNCTION("""COMPUTED_VALUE"""),"Group 19")</f>
        <v>Group 19</v>
      </c>
      <c r="M175" s="3"/>
      <c r="N175" s="5" t="str">
        <f>IFERROR(__xludf.DUMMYFUNCTION("""COMPUTED_VALUE"""),"Y")</f>
        <v>Y</v>
      </c>
      <c r="O175" s="5"/>
    </row>
    <row r="176">
      <c r="A176" s="2" t="str">
        <f>IFERROR(__xludf.DUMMYFUNCTION("""COMPUTED_VALUE"""),"0130")</f>
        <v>0130</v>
      </c>
      <c r="B176" s="2" t="str">
        <f>IFERROR(__xludf.DUMMYFUNCTION("""COMPUTED_VALUE"""),"CHERRY CREEK        5")</f>
        <v>CHERRY CREEK        5</v>
      </c>
      <c r="C176" s="2" t="str">
        <f>IFERROR(__xludf.DUMMYFUNCTION("""COMPUTED_VALUE"""),"01916")</f>
        <v>01916</v>
      </c>
      <c r="D176" s="2" t="str">
        <f>IFERROR(__xludf.DUMMYFUNCTION("""COMPUTED_VALUE"""),"COTTONWOOD CREEK ELEMENTARY SCHOOL")</f>
        <v>COTTONWOOD CREEK ELEMENTARY SCHOOL</v>
      </c>
      <c r="E176" s="3" t="str">
        <f>IFERROR(__xludf.DUMMYFUNCTION("""COMPUTED_VALUE"""),"Y")</f>
        <v>Y</v>
      </c>
      <c r="F176" s="3" t="str">
        <f>IFERROR(__xludf.DUMMYFUNCTION("""COMPUTED_VALUE"""),"Y")</f>
        <v>Y</v>
      </c>
      <c r="G176" s="3"/>
      <c r="H176" s="3"/>
      <c r="I176" s="3" t="str">
        <f>IFERROR(__xludf.DUMMYFUNCTION("""COMPUTED_VALUE""")," ")</f>
        <v> </v>
      </c>
      <c r="J176" s="3" t="str">
        <f>IFERROR(__xludf.DUMMYFUNCTION("""COMPUTED_VALUE""")," ")</f>
        <v> </v>
      </c>
      <c r="K176" s="3" t="str">
        <f>IFERROR(__xludf.DUMMYFUNCTION("""COMPUTED_VALUE"""),"Y")</f>
        <v>Y</v>
      </c>
      <c r="L176" s="3" t="str">
        <f>IFERROR(__xludf.DUMMYFUNCTION("""COMPUTED_VALUE""")," ")</f>
        <v> </v>
      </c>
      <c r="M176" s="3"/>
      <c r="N176" s="5" t="str">
        <f>IFERROR(__xludf.DUMMYFUNCTION("""COMPUTED_VALUE""")," ")</f>
        <v> </v>
      </c>
      <c r="O176" s="5"/>
    </row>
    <row r="177">
      <c r="A177" s="2" t="str">
        <f>IFERROR(__xludf.DUMMYFUNCTION("""COMPUTED_VALUE"""),"0130")</f>
        <v>0130</v>
      </c>
      <c r="B177" s="2" t="str">
        <f>IFERROR(__xludf.DUMMYFUNCTION("""COMPUTED_VALUE"""),"CHERRY CREEK        5")</f>
        <v>CHERRY CREEK        5</v>
      </c>
      <c r="C177" s="2" t="str">
        <f>IFERROR(__xludf.DUMMYFUNCTION("""COMPUTED_VALUE"""),"01970")</f>
        <v>01970</v>
      </c>
      <c r="D177" s="2" t="str">
        <f>IFERROR(__xludf.DUMMYFUNCTION("""COMPUTED_VALUE"""),"CREEKSIDE ELEMENTARY SCHOOL")</f>
        <v>CREEKSIDE ELEMENTARY SCHOOL</v>
      </c>
      <c r="E177" s="3" t="str">
        <f>IFERROR(__xludf.DUMMYFUNCTION("""COMPUTED_VALUE"""),"Y")</f>
        <v>Y</v>
      </c>
      <c r="F177" s="3" t="str">
        <f>IFERROR(__xludf.DUMMYFUNCTION("""COMPUTED_VALUE"""),"Y")</f>
        <v>Y</v>
      </c>
      <c r="G177" s="3"/>
      <c r="H177" s="3"/>
      <c r="I177" s="3" t="str">
        <f>IFERROR(__xludf.DUMMYFUNCTION("""COMPUTED_VALUE""")," ")</f>
        <v> </v>
      </c>
      <c r="J177" s="3" t="str">
        <f>IFERROR(__xludf.DUMMYFUNCTION("""COMPUTED_VALUE""")," ")</f>
        <v> </v>
      </c>
      <c r="K177" s="3" t="str">
        <f>IFERROR(__xludf.DUMMYFUNCTION("""COMPUTED_VALUE"""),"Y")</f>
        <v>Y</v>
      </c>
      <c r="L177" s="3" t="str">
        <f>IFERROR(__xludf.DUMMYFUNCTION("""COMPUTED_VALUE"""),"Group 20")</f>
        <v>Group 20</v>
      </c>
      <c r="M177" s="3"/>
      <c r="N177" s="5" t="str">
        <f>IFERROR(__xludf.DUMMYFUNCTION("""COMPUTED_VALUE""")," ")</f>
        <v> </v>
      </c>
      <c r="O177" s="5"/>
    </row>
    <row r="178">
      <c r="A178" s="2" t="str">
        <f>IFERROR(__xludf.DUMMYFUNCTION("""COMPUTED_VALUE"""),"0130")</f>
        <v>0130</v>
      </c>
      <c r="B178" s="2" t="str">
        <f>IFERROR(__xludf.DUMMYFUNCTION("""COMPUTED_VALUE"""),"CHERRY CREEK        5")</f>
        <v>CHERRY CREEK        5</v>
      </c>
      <c r="C178" s="2" t="str">
        <f>IFERROR(__xludf.DUMMYFUNCTION("""COMPUTED_VALUE"""),"02094")</f>
        <v>02094</v>
      </c>
      <c r="D178" s="2" t="str">
        <f>IFERROR(__xludf.DUMMYFUNCTION("""COMPUTED_VALUE"""),"DAKOTA VALLEY ELEMENTARY SCHOOL")</f>
        <v>DAKOTA VALLEY ELEMENTARY SCHOOL</v>
      </c>
      <c r="E178" s="3" t="str">
        <f>IFERROR(__xludf.DUMMYFUNCTION("""COMPUTED_VALUE"""),"Y")</f>
        <v>Y</v>
      </c>
      <c r="F178" s="3" t="str">
        <f>IFERROR(__xludf.DUMMYFUNCTION("""COMPUTED_VALUE"""),"Y")</f>
        <v>Y</v>
      </c>
      <c r="G178" s="3"/>
      <c r="H178" s="3"/>
      <c r="I178" s="3" t="str">
        <f>IFERROR(__xludf.DUMMYFUNCTION("""COMPUTED_VALUE""")," ")</f>
        <v> </v>
      </c>
      <c r="J178" s="3" t="str">
        <f>IFERROR(__xludf.DUMMYFUNCTION("""COMPUTED_VALUE""")," ")</f>
        <v> </v>
      </c>
      <c r="K178" s="3" t="str">
        <f>IFERROR(__xludf.DUMMYFUNCTION("""COMPUTED_VALUE"""),"Y")</f>
        <v>Y</v>
      </c>
      <c r="L178" s="3" t="str">
        <f>IFERROR(__xludf.DUMMYFUNCTION("""COMPUTED_VALUE"""),"Group 6")</f>
        <v>Group 6</v>
      </c>
      <c r="M178" s="3"/>
      <c r="N178" s="5" t="str">
        <f>IFERROR(__xludf.DUMMYFUNCTION("""COMPUTED_VALUE""")," ")</f>
        <v> </v>
      </c>
      <c r="O178" s="5"/>
    </row>
    <row r="179">
      <c r="A179" s="2" t="str">
        <f>IFERROR(__xludf.DUMMYFUNCTION("""COMPUTED_VALUE"""),"0130")</f>
        <v>0130</v>
      </c>
      <c r="B179" s="2" t="str">
        <f>IFERROR(__xludf.DUMMYFUNCTION("""COMPUTED_VALUE"""),"CHERRY CREEK        5")</f>
        <v>CHERRY CREEK        5</v>
      </c>
      <c r="C179" s="2" t="str">
        <f>IFERROR(__xludf.DUMMYFUNCTION("""COMPUTED_VALUE"""),"02292")</f>
        <v>02292</v>
      </c>
      <c r="D179" s="2" t="str">
        <f>IFERROR(__xludf.DUMMYFUNCTION("""COMPUTED_VALUE"""),"DRY CREEK ELEMENTARY SCHOOL")</f>
        <v>DRY CREEK ELEMENTARY SCHOOL</v>
      </c>
      <c r="E179" s="3" t="str">
        <f>IFERROR(__xludf.DUMMYFUNCTION("""COMPUTED_VALUE"""),"Y")</f>
        <v>Y</v>
      </c>
      <c r="F179" s="3" t="str">
        <f>IFERROR(__xludf.DUMMYFUNCTION("""COMPUTED_VALUE"""),"Y")</f>
        <v>Y</v>
      </c>
      <c r="G179" s="3"/>
      <c r="H179" s="3"/>
      <c r="I179" s="3" t="str">
        <f>IFERROR(__xludf.DUMMYFUNCTION("""COMPUTED_VALUE""")," ")</f>
        <v> </v>
      </c>
      <c r="J179" s="3" t="str">
        <f>IFERROR(__xludf.DUMMYFUNCTION("""COMPUTED_VALUE""")," ")</f>
        <v> </v>
      </c>
      <c r="K179" s="3" t="str">
        <f>IFERROR(__xludf.DUMMYFUNCTION("""COMPUTED_VALUE"""),"Y")</f>
        <v>Y</v>
      </c>
      <c r="L179" s="3" t="str">
        <f>IFERROR(__xludf.DUMMYFUNCTION("""COMPUTED_VALUE"""),"Group 1")</f>
        <v>Group 1</v>
      </c>
      <c r="M179" s="3"/>
      <c r="N179" s="5" t="str">
        <f>IFERROR(__xludf.DUMMYFUNCTION("""COMPUTED_VALUE""")," ")</f>
        <v> </v>
      </c>
      <c r="O179" s="5"/>
    </row>
    <row r="180">
      <c r="A180" s="2" t="str">
        <f>IFERROR(__xludf.DUMMYFUNCTION("""COMPUTED_VALUE"""),"0130")</f>
        <v>0130</v>
      </c>
      <c r="B180" s="2" t="str">
        <f>IFERROR(__xludf.DUMMYFUNCTION("""COMPUTED_VALUE"""),"CHERRY CREEK        5")</f>
        <v>CHERRY CREEK        5</v>
      </c>
      <c r="C180" s="2" t="str">
        <f>IFERROR(__xludf.DUMMYFUNCTION("""COMPUTED_VALUE"""),"02357")</f>
        <v>02357</v>
      </c>
      <c r="D180" s="2" t="str">
        <f>IFERROR(__xludf.DUMMYFUNCTION("""COMPUTED_VALUE"""),"EAGLECREST HIGH SCHOOL")</f>
        <v>EAGLECREST HIGH SCHOOL</v>
      </c>
      <c r="E180" s="3" t="str">
        <f>IFERROR(__xludf.DUMMYFUNCTION("""COMPUTED_VALUE"""),"Y")</f>
        <v>Y</v>
      </c>
      <c r="F180" s="3" t="str">
        <f>IFERROR(__xludf.DUMMYFUNCTION("""COMPUTED_VALUE"""),"Y")</f>
        <v>Y</v>
      </c>
      <c r="G180" s="3"/>
      <c r="H180" s="3"/>
      <c r="I180" s="3" t="str">
        <f>IFERROR(__xludf.DUMMYFUNCTION("""COMPUTED_VALUE""")," ")</f>
        <v> </v>
      </c>
      <c r="J180" s="3" t="str">
        <f>IFERROR(__xludf.DUMMYFUNCTION("""COMPUTED_VALUE""")," ")</f>
        <v> </v>
      </c>
      <c r="K180" s="3" t="str">
        <f>IFERROR(__xludf.DUMMYFUNCTION("""COMPUTED_VALUE"""),"Y")</f>
        <v>Y</v>
      </c>
      <c r="L180" s="3" t="str">
        <f>IFERROR(__xludf.DUMMYFUNCTION("""COMPUTED_VALUE"""),"Group 1")</f>
        <v>Group 1</v>
      </c>
      <c r="M180" s="3"/>
      <c r="N180" s="5" t="str">
        <f>IFERROR(__xludf.DUMMYFUNCTION("""COMPUTED_VALUE""")," ")</f>
        <v> </v>
      </c>
      <c r="O180" s="5"/>
    </row>
    <row r="181">
      <c r="A181" s="2" t="str">
        <f>IFERROR(__xludf.DUMMYFUNCTION("""COMPUTED_VALUE"""),"0130")</f>
        <v>0130</v>
      </c>
      <c r="B181" s="2" t="str">
        <f>IFERROR(__xludf.DUMMYFUNCTION("""COMPUTED_VALUE"""),"CHERRY CREEK        5")</f>
        <v>CHERRY CREEK        5</v>
      </c>
      <c r="C181" s="2" t="str">
        <f>IFERROR(__xludf.DUMMYFUNCTION("""COMPUTED_VALUE"""),"02428")</f>
        <v>02428</v>
      </c>
      <c r="D181" s="2" t="str">
        <f>IFERROR(__xludf.DUMMYFUNCTION("""COMPUTED_VALUE"""),"EASTRIDGE COMMUNITY ELEMENTARY SCHOOL")</f>
        <v>EASTRIDGE COMMUNITY ELEMENTARY SCHOOL</v>
      </c>
      <c r="E181" s="3" t="str">
        <f>IFERROR(__xludf.DUMMYFUNCTION("""COMPUTED_VALUE"""),"Y")</f>
        <v>Y</v>
      </c>
      <c r="F181" s="3" t="str">
        <f>IFERROR(__xludf.DUMMYFUNCTION("""COMPUTED_VALUE"""),"Y")</f>
        <v>Y</v>
      </c>
      <c r="G181" s="3"/>
      <c r="H181" s="3"/>
      <c r="I181" s="3" t="str">
        <f>IFERROR(__xludf.DUMMYFUNCTION("""COMPUTED_VALUE""")," ")</f>
        <v> </v>
      </c>
      <c r="J181" s="3" t="str">
        <f>IFERROR(__xludf.DUMMYFUNCTION("""COMPUTED_VALUE"""),"Y")</f>
        <v>Y</v>
      </c>
      <c r="K181" s="3" t="str">
        <f>IFERROR(__xludf.DUMMYFUNCTION("""COMPUTED_VALUE"""),"Y")</f>
        <v>Y</v>
      </c>
      <c r="L181" s="3" t="str">
        <f>IFERROR(__xludf.DUMMYFUNCTION("""COMPUTED_VALUE"""),"Group 4")</f>
        <v>Group 4</v>
      </c>
      <c r="M181" s="3"/>
      <c r="N181" s="5" t="str">
        <f>IFERROR(__xludf.DUMMYFUNCTION("""COMPUTED_VALUE"""),"Y")</f>
        <v>Y</v>
      </c>
      <c r="O181" s="5"/>
    </row>
    <row r="182">
      <c r="A182" s="2" t="str">
        <f>IFERROR(__xludf.DUMMYFUNCTION("""COMPUTED_VALUE"""),"0130")</f>
        <v>0130</v>
      </c>
      <c r="B182" s="2" t="str">
        <f>IFERROR(__xludf.DUMMYFUNCTION("""COMPUTED_VALUE"""),"CHERRY CREEK        5")</f>
        <v>CHERRY CREEK        5</v>
      </c>
      <c r="C182" s="2" t="str">
        <f>IFERROR(__xludf.DUMMYFUNCTION("""COMPUTED_VALUE"""),"02653")</f>
        <v>02653</v>
      </c>
      <c r="D182" s="2" t="str">
        <f>IFERROR(__xludf.DUMMYFUNCTION("""COMPUTED_VALUE"""),"ENDEAVOR ACADEMY")</f>
        <v>ENDEAVOR ACADEMY</v>
      </c>
      <c r="E182" s="3" t="str">
        <f>IFERROR(__xludf.DUMMYFUNCTION("""COMPUTED_VALUE"""),"Y")</f>
        <v>Y</v>
      </c>
      <c r="F182" s="3" t="str">
        <f>IFERROR(__xludf.DUMMYFUNCTION("""COMPUTED_VALUE"""),"Y")</f>
        <v>Y</v>
      </c>
      <c r="G182" s="3"/>
      <c r="H182" s="3"/>
      <c r="I182" s="3" t="str">
        <f>IFERROR(__xludf.DUMMYFUNCTION("""COMPUTED_VALUE""")," ")</f>
        <v> </v>
      </c>
      <c r="J182" s="3" t="str">
        <f>IFERROR(__xludf.DUMMYFUNCTION("""COMPUTED_VALUE""")," ")</f>
        <v> </v>
      </c>
      <c r="K182" s="3" t="str">
        <f>IFERROR(__xludf.DUMMYFUNCTION("""COMPUTED_VALUE"""),"Y")</f>
        <v>Y</v>
      </c>
      <c r="L182" s="3" t="str">
        <f>IFERROR(__xludf.DUMMYFUNCTION("""COMPUTED_VALUE"""),"Group 21")</f>
        <v>Group 21</v>
      </c>
      <c r="M182" s="3"/>
      <c r="N182" s="5" t="str">
        <f>IFERROR(__xludf.DUMMYFUNCTION("""COMPUTED_VALUE""")," ")</f>
        <v> </v>
      </c>
      <c r="O182" s="5"/>
    </row>
    <row r="183">
      <c r="A183" s="2" t="str">
        <f>IFERROR(__xludf.DUMMYFUNCTION("""COMPUTED_VALUE"""),"0130")</f>
        <v>0130</v>
      </c>
      <c r="B183" s="2" t="str">
        <f>IFERROR(__xludf.DUMMYFUNCTION("""COMPUTED_VALUE"""),"CHERRY CREEK        5")</f>
        <v>CHERRY CREEK        5</v>
      </c>
      <c r="C183" s="2" t="str">
        <f>IFERROR(__xludf.DUMMYFUNCTION("""COMPUTED_VALUE"""),"02897")</f>
        <v>02897</v>
      </c>
      <c r="D183" s="2" t="str">
        <f>IFERROR(__xludf.DUMMYFUNCTION("""COMPUTED_VALUE"""),"FALCON CREEK MIDDLE SCHOOL")</f>
        <v>FALCON CREEK MIDDLE SCHOOL</v>
      </c>
      <c r="E183" s="3" t="str">
        <f>IFERROR(__xludf.DUMMYFUNCTION("""COMPUTED_VALUE"""),"Y")</f>
        <v>Y</v>
      </c>
      <c r="F183" s="3" t="str">
        <f>IFERROR(__xludf.DUMMYFUNCTION("""COMPUTED_VALUE"""),"Y")</f>
        <v>Y</v>
      </c>
      <c r="G183" s="3"/>
      <c r="H183" s="3"/>
      <c r="I183" s="3" t="str">
        <f>IFERROR(__xludf.DUMMYFUNCTION("""COMPUTED_VALUE""")," ")</f>
        <v> </v>
      </c>
      <c r="J183" s="3" t="str">
        <f>IFERROR(__xludf.DUMMYFUNCTION("""COMPUTED_VALUE""")," ")</f>
        <v> </v>
      </c>
      <c r="K183" s="3" t="str">
        <f>IFERROR(__xludf.DUMMYFUNCTION("""COMPUTED_VALUE"""),"Y")</f>
        <v>Y</v>
      </c>
      <c r="L183" s="3" t="str">
        <f>IFERROR(__xludf.DUMMYFUNCTION("""COMPUTED_VALUE"""),"Group 21")</f>
        <v>Group 21</v>
      </c>
      <c r="M183" s="3"/>
      <c r="N183" s="5" t="str">
        <f>IFERROR(__xludf.DUMMYFUNCTION("""COMPUTED_VALUE""")," ")</f>
        <v> </v>
      </c>
      <c r="O183" s="5"/>
    </row>
    <row r="184">
      <c r="A184" s="2" t="str">
        <f>IFERROR(__xludf.DUMMYFUNCTION("""COMPUTED_VALUE"""),"0130")</f>
        <v>0130</v>
      </c>
      <c r="B184" s="2" t="str">
        <f>IFERROR(__xludf.DUMMYFUNCTION("""COMPUTED_VALUE"""),"CHERRY CREEK        5")</f>
        <v>CHERRY CREEK        5</v>
      </c>
      <c r="C184" s="2" t="str">
        <f>IFERROR(__xludf.DUMMYFUNCTION("""COMPUTED_VALUE"""),"03030")</f>
        <v>03030</v>
      </c>
      <c r="D184" s="2" t="str">
        <f>IFERROR(__xludf.DUMMYFUNCTION("""COMPUTED_VALUE"""),"FOX RIDGE MIDDLE SCHOOL")</f>
        <v>FOX RIDGE MIDDLE SCHOOL</v>
      </c>
      <c r="E184" s="3" t="str">
        <f>IFERROR(__xludf.DUMMYFUNCTION("""COMPUTED_VALUE"""),"Y")</f>
        <v>Y</v>
      </c>
      <c r="F184" s="3" t="str">
        <f>IFERROR(__xludf.DUMMYFUNCTION("""COMPUTED_VALUE"""),"Y")</f>
        <v>Y</v>
      </c>
      <c r="G184" s="3"/>
      <c r="H184" s="3"/>
      <c r="I184" s="3" t="str">
        <f>IFERROR(__xludf.DUMMYFUNCTION("""COMPUTED_VALUE""")," ")</f>
        <v> </v>
      </c>
      <c r="J184" s="3" t="str">
        <f>IFERROR(__xludf.DUMMYFUNCTION("""COMPUTED_VALUE""")," ")</f>
        <v> </v>
      </c>
      <c r="K184" s="3" t="str">
        <f>IFERROR(__xludf.DUMMYFUNCTION("""COMPUTED_VALUE"""),"Y")</f>
        <v>Y</v>
      </c>
      <c r="L184" s="3" t="str">
        <f>IFERROR(__xludf.DUMMYFUNCTION("""COMPUTED_VALUE""")," ")</f>
        <v> </v>
      </c>
      <c r="M184" s="3"/>
      <c r="N184" s="5" t="str">
        <f>IFERROR(__xludf.DUMMYFUNCTION("""COMPUTED_VALUE""")," ")</f>
        <v> </v>
      </c>
      <c r="O184" s="5"/>
    </row>
    <row r="185">
      <c r="A185" s="2" t="str">
        <f>IFERROR(__xludf.DUMMYFUNCTION("""COMPUTED_VALUE"""),"0130")</f>
        <v>0130</v>
      </c>
      <c r="B185" s="2" t="str">
        <f>IFERROR(__xludf.DUMMYFUNCTION("""COMPUTED_VALUE"""),"CHERRY CREEK        5")</f>
        <v>CHERRY CREEK        5</v>
      </c>
      <c r="C185" s="2" t="str">
        <f>IFERROR(__xludf.DUMMYFUNCTION("""COMPUTED_VALUE"""),"03589")</f>
        <v>03589</v>
      </c>
      <c r="D185" s="2" t="str">
        <f>IFERROR(__xludf.DUMMYFUNCTION("""COMPUTED_VALUE"""),"GRANDVIEW HIGH SCHOOL")</f>
        <v>GRANDVIEW HIGH SCHOOL</v>
      </c>
      <c r="E185" s="3" t="str">
        <f>IFERROR(__xludf.DUMMYFUNCTION("""COMPUTED_VALUE"""),"Y")</f>
        <v>Y</v>
      </c>
      <c r="F185" s="3" t="str">
        <f>IFERROR(__xludf.DUMMYFUNCTION("""COMPUTED_VALUE"""),"Y")</f>
        <v>Y</v>
      </c>
      <c r="G185" s="3"/>
      <c r="H185" s="3"/>
      <c r="I185" s="3" t="str">
        <f>IFERROR(__xludf.DUMMYFUNCTION("""COMPUTED_VALUE""")," ")</f>
        <v> </v>
      </c>
      <c r="J185" s="3" t="str">
        <f>IFERROR(__xludf.DUMMYFUNCTION("""COMPUTED_VALUE""")," ")</f>
        <v> </v>
      </c>
      <c r="K185" s="3" t="str">
        <f>IFERROR(__xludf.DUMMYFUNCTION("""COMPUTED_VALUE"""),"Y")</f>
        <v>Y</v>
      </c>
      <c r="L185" s="3" t="str">
        <f>IFERROR(__xludf.DUMMYFUNCTION("""COMPUTED_VALUE""")," ")</f>
        <v> </v>
      </c>
      <c r="M185" s="3"/>
      <c r="N185" s="5" t="str">
        <f>IFERROR(__xludf.DUMMYFUNCTION("""COMPUTED_VALUE""")," ")</f>
        <v> </v>
      </c>
      <c r="O185" s="5"/>
    </row>
    <row r="186">
      <c r="A186" s="2" t="str">
        <f>IFERROR(__xludf.DUMMYFUNCTION("""COMPUTED_VALUE"""),"0130")</f>
        <v>0130</v>
      </c>
      <c r="B186" s="2" t="str">
        <f>IFERROR(__xludf.DUMMYFUNCTION("""COMPUTED_VALUE"""),"CHERRY CREEK        5")</f>
        <v>CHERRY CREEK        5</v>
      </c>
      <c r="C186" s="2" t="str">
        <f>IFERROR(__xludf.DUMMYFUNCTION("""COMPUTED_VALUE"""),"03648")</f>
        <v>03648</v>
      </c>
      <c r="D186" s="2" t="str">
        <f>IFERROR(__xludf.DUMMYFUNCTION("""COMPUTED_VALUE"""),"GREENWOOD ELEMENTARY SCHOOL")</f>
        <v>GREENWOOD ELEMENTARY SCHOOL</v>
      </c>
      <c r="E186" s="3" t="str">
        <f>IFERROR(__xludf.DUMMYFUNCTION("""COMPUTED_VALUE"""),"Y")</f>
        <v>Y</v>
      </c>
      <c r="F186" s="3" t="str">
        <f>IFERROR(__xludf.DUMMYFUNCTION("""COMPUTED_VALUE"""),"Y")</f>
        <v>Y</v>
      </c>
      <c r="G186" s="3"/>
      <c r="H186" s="3"/>
      <c r="I186" s="3" t="str">
        <f>IFERROR(__xludf.DUMMYFUNCTION("""COMPUTED_VALUE""")," ")</f>
        <v> </v>
      </c>
      <c r="J186" s="3" t="str">
        <f>IFERROR(__xludf.DUMMYFUNCTION("""COMPUTED_VALUE""")," ")</f>
        <v> </v>
      </c>
      <c r="K186" s="3" t="str">
        <f>IFERROR(__xludf.DUMMYFUNCTION("""COMPUTED_VALUE"""),"Y")</f>
        <v>Y</v>
      </c>
      <c r="L186" s="3" t="str">
        <f>IFERROR(__xludf.DUMMYFUNCTION("""COMPUTED_VALUE""")," ")</f>
        <v> </v>
      </c>
      <c r="M186" s="3"/>
      <c r="N186" s="5" t="str">
        <f>IFERROR(__xludf.DUMMYFUNCTION("""COMPUTED_VALUE""")," ")</f>
        <v> </v>
      </c>
      <c r="O186" s="5"/>
    </row>
    <row r="187">
      <c r="A187" s="2" t="str">
        <f>IFERROR(__xludf.DUMMYFUNCTION("""COMPUTED_VALUE"""),"0130")</f>
        <v>0130</v>
      </c>
      <c r="B187" s="2" t="str">
        <f>IFERROR(__xludf.DUMMYFUNCTION("""COMPUTED_VALUE"""),"CHERRY CREEK        5")</f>
        <v>CHERRY CREEK        5</v>
      </c>
      <c r="C187" s="2" t="str">
        <f>IFERROR(__xludf.DUMMYFUNCTION("""COMPUTED_VALUE"""),"03926")</f>
        <v>03926</v>
      </c>
      <c r="D187" s="2" t="str">
        <f>IFERROR(__xludf.DUMMYFUNCTION("""COMPUTED_VALUE"""),"HERITAGE ELEMENTARY SCHOOL")</f>
        <v>HERITAGE ELEMENTARY SCHOOL</v>
      </c>
      <c r="E187" s="3" t="str">
        <f>IFERROR(__xludf.DUMMYFUNCTION("""COMPUTED_VALUE"""),"Y")</f>
        <v>Y</v>
      </c>
      <c r="F187" s="3" t="str">
        <f>IFERROR(__xludf.DUMMYFUNCTION("""COMPUTED_VALUE"""),"Y")</f>
        <v>Y</v>
      </c>
      <c r="G187" s="3"/>
      <c r="H187" s="3"/>
      <c r="I187" s="3" t="str">
        <f>IFERROR(__xludf.DUMMYFUNCTION("""COMPUTED_VALUE""")," ")</f>
        <v> </v>
      </c>
      <c r="J187" s="3" t="str">
        <f>IFERROR(__xludf.DUMMYFUNCTION("""COMPUTED_VALUE""")," ")</f>
        <v> </v>
      </c>
      <c r="K187" s="3" t="str">
        <f>IFERROR(__xludf.DUMMYFUNCTION("""COMPUTED_VALUE"""),"Y")</f>
        <v>Y</v>
      </c>
      <c r="L187" s="3" t="str">
        <f>IFERROR(__xludf.DUMMYFUNCTION("""COMPUTED_VALUE""")," ")</f>
        <v> </v>
      </c>
      <c r="M187" s="3"/>
      <c r="N187" s="5" t="str">
        <f>IFERROR(__xludf.DUMMYFUNCTION("""COMPUTED_VALUE""")," ")</f>
        <v> </v>
      </c>
      <c r="O187" s="5"/>
    </row>
    <row r="188">
      <c r="A188" s="2" t="str">
        <f>IFERROR(__xludf.DUMMYFUNCTION("""COMPUTED_VALUE"""),"0130")</f>
        <v>0130</v>
      </c>
      <c r="B188" s="2" t="str">
        <f>IFERROR(__xludf.DUMMYFUNCTION("""COMPUTED_VALUE"""),"CHERRY CREEK        5")</f>
        <v>CHERRY CREEK        5</v>
      </c>
      <c r="C188" s="2" t="str">
        <f>IFERROR(__xludf.DUMMYFUNCTION("""COMPUTED_VALUE"""),"03988")</f>
        <v>03988</v>
      </c>
      <c r="D188" s="2" t="str">
        <f>IFERROR(__xludf.DUMMYFUNCTION("""COMPUTED_VALUE"""),"HIGHLINE COMMUNITY ELEMENTARY SCHOOL")</f>
        <v>HIGHLINE COMMUNITY ELEMENTARY SCHOOL</v>
      </c>
      <c r="E188" s="3" t="str">
        <f>IFERROR(__xludf.DUMMYFUNCTION("""COMPUTED_VALUE"""),"Y")</f>
        <v>Y</v>
      </c>
      <c r="F188" s="3" t="str">
        <f>IFERROR(__xludf.DUMMYFUNCTION("""COMPUTED_VALUE"""),"Y")</f>
        <v>Y</v>
      </c>
      <c r="G188" s="3"/>
      <c r="H188" s="3"/>
      <c r="I188" s="3" t="str">
        <f>IFERROR(__xludf.DUMMYFUNCTION("""COMPUTED_VALUE""")," ")</f>
        <v> </v>
      </c>
      <c r="J188" s="3" t="str">
        <f>IFERROR(__xludf.DUMMYFUNCTION("""COMPUTED_VALUE"""),"Y")</f>
        <v>Y</v>
      </c>
      <c r="K188" s="3" t="str">
        <f>IFERROR(__xludf.DUMMYFUNCTION("""COMPUTED_VALUE"""),"Y")</f>
        <v>Y</v>
      </c>
      <c r="L188" s="3" t="str">
        <f>IFERROR(__xludf.DUMMYFUNCTION("""COMPUTED_VALUE"""),"Group 8")</f>
        <v>Group 8</v>
      </c>
      <c r="M188" s="3"/>
      <c r="N188" s="5" t="str">
        <f>IFERROR(__xludf.DUMMYFUNCTION("""COMPUTED_VALUE""")," ")</f>
        <v> </v>
      </c>
      <c r="O188" s="5"/>
    </row>
    <row r="189">
      <c r="A189" s="2" t="str">
        <f>IFERROR(__xludf.DUMMYFUNCTION("""COMPUTED_VALUE"""),"0130")</f>
        <v>0130</v>
      </c>
      <c r="B189" s="2" t="str">
        <f>IFERROR(__xludf.DUMMYFUNCTION("""COMPUTED_VALUE"""),"CHERRY CREEK        5")</f>
        <v>CHERRY CREEK        5</v>
      </c>
      <c r="C189" s="2" t="str">
        <f>IFERROR(__xludf.DUMMYFUNCTION("""COMPUTED_VALUE"""),"04062")</f>
        <v>04062</v>
      </c>
      <c r="D189" s="2" t="str">
        <f>IFERROR(__xludf.DUMMYFUNCTION("""COMPUTED_VALUE"""),"HOLLY HILLS ELEMENTARY SCHOOL")</f>
        <v>HOLLY HILLS ELEMENTARY SCHOOL</v>
      </c>
      <c r="E189" s="3" t="str">
        <f>IFERROR(__xludf.DUMMYFUNCTION("""COMPUTED_VALUE"""),"Y")</f>
        <v>Y</v>
      </c>
      <c r="F189" s="3" t="str">
        <f>IFERROR(__xludf.DUMMYFUNCTION("""COMPUTED_VALUE"""),"Y")</f>
        <v>Y</v>
      </c>
      <c r="G189" s="3"/>
      <c r="H189" s="3"/>
      <c r="I189" s="3" t="str">
        <f>IFERROR(__xludf.DUMMYFUNCTION("""COMPUTED_VALUE""")," ")</f>
        <v> </v>
      </c>
      <c r="J189" s="3" t="str">
        <f>IFERROR(__xludf.DUMMYFUNCTION("""COMPUTED_VALUE""")," ")</f>
        <v> </v>
      </c>
      <c r="K189" s="3" t="str">
        <f>IFERROR(__xludf.DUMMYFUNCTION("""COMPUTED_VALUE"""),"Y")</f>
        <v>Y</v>
      </c>
      <c r="L189" s="3" t="str">
        <f>IFERROR(__xludf.DUMMYFUNCTION("""COMPUTED_VALUE"""),"Group 7")</f>
        <v>Group 7</v>
      </c>
      <c r="M189" s="3"/>
      <c r="N189" s="5" t="str">
        <f>IFERROR(__xludf.DUMMYFUNCTION("""COMPUTED_VALUE""")," ")</f>
        <v> </v>
      </c>
      <c r="O189" s="5"/>
    </row>
    <row r="190">
      <c r="A190" s="2" t="str">
        <f>IFERROR(__xludf.DUMMYFUNCTION("""COMPUTED_VALUE"""),"0130")</f>
        <v>0130</v>
      </c>
      <c r="B190" s="2" t="str">
        <f>IFERROR(__xludf.DUMMYFUNCTION("""COMPUTED_VALUE"""),"CHERRY CREEK        5")</f>
        <v>CHERRY CREEK        5</v>
      </c>
      <c r="C190" s="2" t="str">
        <f>IFERROR(__xludf.DUMMYFUNCTION("""COMPUTED_VALUE"""),"04078")</f>
        <v>04078</v>
      </c>
      <c r="D190" s="2" t="str">
        <f>IFERROR(__xludf.DUMMYFUNCTION("""COMPUTED_VALUE"""),"HOMESTEAD ELEMENTARY SCHOOL")</f>
        <v>HOMESTEAD ELEMENTARY SCHOOL</v>
      </c>
      <c r="E190" s="3" t="str">
        <f>IFERROR(__xludf.DUMMYFUNCTION("""COMPUTED_VALUE"""),"Y")</f>
        <v>Y</v>
      </c>
      <c r="F190" s="3" t="str">
        <f>IFERROR(__xludf.DUMMYFUNCTION("""COMPUTED_VALUE"""),"Y")</f>
        <v>Y</v>
      </c>
      <c r="G190" s="3"/>
      <c r="H190" s="3"/>
      <c r="I190" s="3" t="str">
        <f>IFERROR(__xludf.DUMMYFUNCTION("""COMPUTED_VALUE""")," ")</f>
        <v> </v>
      </c>
      <c r="J190" s="3" t="str">
        <f>IFERROR(__xludf.DUMMYFUNCTION("""COMPUTED_VALUE""")," ")</f>
        <v> </v>
      </c>
      <c r="K190" s="3" t="str">
        <f>IFERROR(__xludf.DUMMYFUNCTION("""COMPUTED_VALUE"""),"Y")</f>
        <v>Y</v>
      </c>
      <c r="L190" s="3" t="str">
        <f>IFERROR(__xludf.DUMMYFUNCTION("""COMPUTED_VALUE""")," ")</f>
        <v> </v>
      </c>
      <c r="M190" s="3"/>
      <c r="N190" s="5" t="str">
        <f>IFERROR(__xludf.DUMMYFUNCTION("""COMPUTED_VALUE""")," ")</f>
        <v> </v>
      </c>
      <c r="O190" s="5"/>
    </row>
    <row r="191">
      <c r="A191" s="2" t="str">
        <f>IFERROR(__xludf.DUMMYFUNCTION("""COMPUTED_VALUE"""),"0130")</f>
        <v>0130</v>
      </c>
      <c r="B191" s="2" t="str">
        <f>IFERROR(__xludf.DUMMYFUNCTION("""COMPUTED_VALUE"""),"CHERRY CREEK        5")</f>
        <v>CHERRY CREEK        5</v>
      </c>
      <c r="C191" s="2" t="str">
        <f>IFERROR(__xludf.DUMMYFUNCTION("""COMPUTED_VALUE"""),"04100")</f>
        <v>04100</v>
      </c>
      <c r="D191" s="2" t="str">
        <f>IFERROR(__xludf.DUMMYFUNCTION("""COMPUTED_VALUE"""),"HORIZON MIDDLE SCHOOL")</f>
        <v>HORIZON MIDDLE SCHOOL</v>
      </c>
      <c r="E191" s="3" t="str">
        <f>IFERROR(__xludf.DUMMYFUNCTION("""COMPUTED_VALUE"""),"Y")</f>
        <v>Y</v>
      </c>
      <c r="F191" s="3" t="str">
        <f>IFERROR(__xludf.DUMMYFUNCTION("""COMPUTED_VALUE"""),"Y")</f>
        <v>Y</v>
      </c>
      <c r="G191" s="3"/>
      <c r="H191" s="3"/>
      <c r="I191" s="3" t="str">
        <f>IFERROR(__xludf.DUMMYFUNCTION("""COMPUTED_VALUE""")," ")</f>
        <v> </v>
      </c>
      <c r="J191" s="3" t="str">
        <f>IFERROR(__xludf.DUMMYFUNCTION("""COMPUTED_VALUE""")," ")</f>
        <v> </v>
      </c>
      <c r="K191" s="3" t="str">
        <f>IFERROR(__xludf.DUMMYFUNCTION("""COMPUTED_VALUE"""),"Y")</f>
        <v>Y</v>
      </c>
      <c r="L191" s="3" t="str">
        <f>IFERROR(__xludf.DUMMYFUNCTION("""COMPUTED_VALUE"""),"Group 9")</f>
        <v>Group 9</v>
      </c>
      <c r="M191" s="3"/>
      <c r="N191" s="5" t="str">
        <f>IFERROR(__xludf.DUMMYFUNCTION("""COMPUTED_VALUE"""),"Y")</f>
        <v>Y</v>
      </c>
      <c r="O191" s="5"/>
    </row>
    <row r="192">
      <c r="A192" s="2" t="str">
        <f>IFERROR(__xludf.DUMMYFUNCTION("""COMPUTED_VALUE"""),"0130")</f>
        <v>0130</v>
      </c>
      <c r="B192" s="2" t="str">
        <f>IFERROR(__xludf.DUMMYFUNCTION("""COMPUTED_VALUE"""),"CHERRY CREEK        5")</f>
        <v>CHERRY CREEK        5</v>
      </c>
      <c r="C192" s="2" t="str">
        <f>IFERROR(__xludf.DUMMYFUNCTION("""COMPUTED_VALUE"""),"04189")</f>
        <v>04189</v>
      </c>
      <c r="D192" s="2" t="str">
        <f>IFERROR(__xludf.DUMMYFUNCTION("""COMPUTED_VALUE"""),"Heritage Heights Academy")</f>
        <v>Heritage Heights Academy</v>
      </c>
      <c r="E192" s="3" t="str">
        <f>IFERROR(__xludf.DUMMYFUNCTION("""COMPUTED_VALUE"""),"Y")</f>
        <v>Y</v>
      </c>
      <c r="F192" s="3" t="str">
        <f>IFERROR(__xludf.DUMMYFUNCTION("""COMPUTED_VALUE"""),"Y")</f>
        <v>Y</v>
      </c>
      <c r="G192" s="3"/>
      <c r="H192" s="3"/>
      <c r="I192" s="3" t="str">
        <f>IFERROR(__xludf.DUMMYFUNCTION("""COMPUTED_VALUE""")," ")</f>
        <v> </v>
      </c>
      <c r="J192" s="3" t="str">
        <f>IFERROR(__xludf.DUMMYFUNCTION("""COMPUTED_VALUE""")," ")</f>
        <v> </v>
      </c>
      <c r="K192" s="3" t="str">
        <f>IFERROR(__xludf.DUMMYFUNCTION("""COMPUTED_VALUE"""),"Y")</f>
        <v>Y</v>
      </c>
      <c r="L192" s="3" t="str">
        <f>IFERROR(__xludf.DUMMYFUNCTION("""COMPUTED_VALUE"""),"Group 13")</f>
        <v>Group 13</v>
      </c>
      <c r="M192" s="3"/>
      <c r="N192" s="5" t="str">
        <f>IFERROR(__xludf.DUMMYFUNCTION("""COMPUTED_VALUE""")," ")</f>
        <v> </v>
      </c>
      <c r="O192" s="5"/>
    </row>
    <row r="193">
      <c r="A193" s="2" t="str">
        <f>IFERROR(__xludf.DUMMYFUNCTION("""COMPUTED_VALUE"""),"0130")</f>
        <v>0130</v>
      </c>
      <c r="B193" s="2" t="str">
        <f>IFERROR(__xludf.DUMMYFUNCTION("""COMPUTED_VALUE"""),"CHERRY CREEK        5")</f>
        <v>CHERRY CREEK        5</v>
      </c>
      <c r="C193" s="2" t="str">
        <f>IFERROR(__xludf.DUMMYFUNCTION("""COMPUTED_VALUE"""),"04276")</f>
        <v>04276</v>
      </c>
      <c r="D193" s="2" t="str">
        <f>IFERROR(__xludf.DUMMYFUNCTION("""COMPUTED_VALUE"""),"INDEPENDENCE ELEMENTARY SCHOOL")</f>
        <v>INDEPENDENCE ELEMENTARY SCHOOL</v>
      </c>
      <c r="E193" s="3" t="str">
        <f>IFERROR(__xludf.DUMMYFUNCTION("""COMPUTED_VALUE"""),"Y")</f>
        <v>Y</v>
      </c>
      <c r="F193" s="3" t="str">
        <f>IFERROR(__xludf.DUMMYFUNCTION("""COMPUTED_VALUE"""),"Y")</f>
        <v>Y</v>
      </c>
      <c r="G193" s="3"/>
      <c r="H193" s="3"/>
      <c r="I193" s="3" t="str">
        <f>IFERROR(__xludf.DUMMYFUNCTION("""COMPUTED_VALUE""")," ")</f>
        <v> </v>
      </c>
      <c r="J193" s="3" t="str">
        <f>IFERROR(__xludf.DUMMYFUNCTION("""COMPUTED_VALUE""")," ")</f>
        <v> </v>
      </c>
      <c r="K193" s="3" t="str">
        <f>IFERROR(__xludf.DUMMYFUNCTION("""COMPUTED_VALUE"""),"Y")</f>
        <v>Y</v>
      </c>
      <c r="L193" s="3" t="str">
        <f>IFERROR(__xludf.DUMMYFUNCTION("""COMPUTED_VALUE"""),"Group 12")</f>
        <v>Group 12</v>
      </c>
      <c r="M193" s="3"/>
      <c r="N193" s="5" t="str">
        <f>IFERROR(__xludf.DUMMYFUNCTION("""COMPUTED_VALUE"""),"Y")</f>
        <v>Y</v>
      </c>
      <c r="O193" s="5"/>
    </row>
    <row r="194">
      <c r="A194" s="2" t="str">
        <f>IFERROR(__xludf.DUMMYFUNCTION("""COMPUTED_VALUE"""),"0130")</f>
        <v>0130</v>
      </c>
      <c r="B194" s="2" t="str">
        <f>IFERROR(__xludf.DUMMYFUNCTION("""COMPUTED_VALUE"""),"CHERRY CREEK        5")</f>
        <v>CHERRY CREEK        5</v>
      </c>
      <c r="C194" s="2" t="str">
        <f>IFERROR(__xludf.DUMMYFUNCTION("""COMPUTED_VALUE"""),"04280")</f>
        <v>04280</v>
      </c>
      <c r="D194" s="2" t="str">
        <f>IFERROR(__xludf.DUMMYFUNCTION("""COMPUTED_VALUE"""),"INDIAN RIDGE ELEMENTARY SCHOOL")</f>
        <v>INDIAN RIDGE ELEMENTARY SCHOOL</v>
      </c>
      <c r="E194" s="3" t="str">
        <f>IFERROR(__xludf.DUMMYFUNCTION("""COMPUTED_VALUE"""),"Y")</f>
        <v>Y</v>
      </c>
      <c r="F194" s="3" t="str">
        <f>IFERROR(__xludf.DUMMYFUNCTION("""COMPUTED_VALUE"""),"Y")</f>
        <v>Y</v>
      </c>
      <c r="G194" s="3"/>
      <c r="H194" s="3"/>
      <c r="I194" s="3" t="str">
        <f>IFERROR(__xludf.DUMMYFUNCTION("""COMPUTED_VALUE""")," ")</f>
        <v> </v>
      </c>
      <c r="J194" s="3" t="str">
        <f>IFERROR(__xludf.DUMMYFUNCTION("""COMPUTED_VALUE""")," ")</f>
        <v> </v>
      </c>
      <c r="K194" s="3" t="str">
        <f>IFERROR(__xludf.DUMMYFUNCTION("""COMPUTED_VALUE"""),"Y")</f>
        <v>Y</v>
      </c>
      <c r="L194" s="3" t="str">
        <f>IFERROR(__xludf.DUMMYFUNCTION("""COMPUTED_VALUE"""),"Group 10")</f>
        <v>Group 10</v>
      </c>
      <c r="M194" s="3"/>
      <c r="N194" s="5" t="str">
        <f>IFERROR(__xludf.DUMMYFUNCTION("""COMPUTED_VALUE""")," ")</f>
        <v> </v>
      </c>
      <c r="O194" s="5"/>
    </row>
    <row r="195">
      <c r="A195" s="2" t="str">
        <f>IFERROR(__xludf.DUMMYFUNCTION("""COMPUTED_VALUE"""),"0130")</f>
        <v>0130</v>
      </c>
      <c r="B195" s="2" t="str">
        <f>IFERROR(__xludf.DUMMYFUNCTION("""COMPUTED_VALUE"""),"CHERRY CREEK        5")</f>
        <v>CHERRY CREEK        5</v>
      </c>
      <c r="C195" s="2" t="str">
        <f>IFERROR(__xludf.DUMMYFUNCTION("""COMPUTED_VALUE"""),"04412")</f>
        <v>04412</v>
      </c>
      <c r="D195" s="2" t="str">
        <f>IFERROR(__xludf.DUMMYFUNCTION("""COMPUTED_VALUE"""),"Journey Preschool")</f>
        <v>Journey Preschool</v>
      </c>
      <c r="E195" s="3"/>
      <c r="F195" s="3" t="str">
        <f>IFERROR(__xludf.DUMMYFUNCTION("""COMPUTED_VALUE"""),"Y")</f>
        <v>Y</v>
      </c>
      <c r="G195" s="3"/>
      <c r="H195" s="3"/>
      <c r="I195" s="3" t="str">
        <f>IFERROR(__xludf.DUMMYFUNCTION("""COMPUTED_VALUE""")," ")</f>
        <v> </v>
      </c>
      <c r="J195" s="3" t="str">
        <f>IFERROR(__xludf.DUMMYFUNCTION("""COMPUTED_VALUE""")," ")</f>
        <v> </v>
      </c>
      <c r="K195" s="3" t="str">
        <f>IFERROR(__xludf.DUMMYFUNCTION("""COMPUTED_VALUE"""),"Y")</f>
        <v>Y</v>
      </c>
      <c r="L195" s="3" t="str">
        <f>IFERROR(__xludf.DUMMYFUNCTION("""COMPUTED_VALUE""")," ")</f>
        <v> </v>
      </c>
      <c r="M195" s="3"/>
      <c r="N195" s="5" t="str">
        <f>IFERROR(__xludf.DUMMYFUNCTION("""COMPUTED_VALUE""")," ")</f>
        <v> </v>
      </c>
      <c r="O195" s="5"/>
    </row>
    <row r="196">
      <c r="A196" s="2" t="str">
        <f>IFERROR(__xludf.DUMMYFUNCTION("""COMPUTED_VALUE"""),"0130")</f>
        <v>0130</v>
      </c>
      <c r="B196" s="2" t="str">
        <f>IFERROR(__xludf.DUMMYFUNCTION("""COMPUTED_VALUE"""),"CHERRY CREEK        5")</f>
        <v>CHERRY CREEK        5</v>
      </c>
      <c r="C196" s="2" t="str">
        <f>IFERROR(__xludf.DUMMYFUNCTION("""COMPUTED_VALUE"""),"04448")</f>
        <v>04448</v>
      </c>
      <c r="D196" s="2" t="str">
        <f>IFERROR(__xludf.DUMMYFUNCTION("""COMPUTED_VALUE"""),"BLACK FOREST HILLS ELEMENTARY SCHOOL")</f>
        <v>BLACK FOREST HILLS ELEMENTARY SCHOOL</v>
      </c>
      <c r="E196" s="3" t="str">
        <f>IFERROR(__xludf.DUMMYFUNCTION("""COMPUTED_VALUE"""),"Y")</f>
        <v>Y</v>
      </c>
      <c r="F196" s="3" t="str">
        <f>IFERROR(__xludf.DUMMYFUNCTION("""COMPUTED_VALUE"""),"Y")</f>
        <v>Y</v>
      </c>
      <c r="G196" s="3"/>
      <c r="H196" s="3"/>
      <c r="I196" s="3" t="str">
        <f>IFERROR(__xludf.DUMMYFUNCTION("""COMPUTED_VALUE""")," ")</f>
        <v> </v>
      </c>
      <c r="J196" s="3" t="str">
        <f>IFERROR(__xludf.DUMMYFUNCTION("""COMPUTED_VALUE""")," ")</f>
        <v> </v>
      </c>
      <c r="K196" s="3" t="str">
        <f>IFERROR(__xludf.DUMMYFUNCTION("""COMPUTED_VALUE"""),"Y")</f>
        <v>Y</v>
      </c>
      <c r="L196" s="3" t="str">
        <f>IFERROR(__xludf.DUMMYFUNCTION("""COMPUTED_VALUE"""),"Group 1")</f>
        <v>Group 1</v>
      </c>
      <c r="M196" s="3"/>
      <c r="N196" s="5" t="str">
        <f>IFERROR(__xludf.DUMMYFUNCTION("""COMPUTED_VALUE""")," ")</f>
        <v> </v>
      </c>
      <c r="O196" s="5"/>
    </row>
    <row r="197">
      <c r="A197" s="2" t="str">
        <f>IFERROR(__xludf.DUMMYFUNCTION("""COMPUTED_VALUE"""),"0130")</f>
        <v>0130</v>
      </c>
      <c r="B197" s="2" t="str">
        <f>IFERROR(__xludf.DUMMYFUNCTION("""COMPUTED_VALUE"""),"CHERRY CREEK        5")</f>
        <v>CHERRY CREEK        5</v>
      </c>
      <c r="C197" s="2" t="str">
        <f>IFERROR(__xludf.DUMMYFUNCTION("""COMPUTED_VALUE"""),"04975")</f>
        <v>04975</v>
      </c>
      <c r="D197" s="2" t="str">
        <f>IFERROR(__xludf.DUMMYFUNCTION("""COMPUTED_VALUE"""),"LAREDO MIDDLE SCHOOL")</f>
        <v>LAREDO MIDDLE SCHOOL</v>
      </c>
      <c r="E197" s="3" t="str">
        <f>IFERROR(__xludf.DUMMYFUNCTION("""COMPUTED_VALUE"""),"Y")</f>
        <v>Y</v>
      </c>
      <c r="F197" s="3" t="str">
        <f>IFERROR(__xludf.DUMMYFUNCTION("""COMPUTED_VALUE"""),"Y")</f>
        <v>Y</v>
      </c>
      <c r="G197" s="3"/>
      <c r="H197" s="3"/>
      <c r="I197" s="3" t="str">
        <f>IFERROR(__xludf.DUMMYFUNCTION("""COMPUTED_VALUE""")," ")</f>
        <v> </v>
      </c>
      <c r="J197" s="3" t="str">
        <f>IFERROR(__xludf.DUMMYFUNCTION("""COMPUTED_VALUE""")," ")</f>
        <v> </v>
      </c>
      <c r="K197" s="3" t="str">
        <f>IFERROR(__xludf.DUMMYFUNCTION("""COMPUTED_VALUE"""),"Y")</f>
        <v>Y</v>
      </c>
      <c r="L197" s="3" t="str">
        <f>IFERROR(__xludf.DUMMYFUNCTION("""COMPUTED_VALUE"""),"Group 9")</f>
        <v>Group 9</v>
      </c>
      <c r="M197" s="3"/>
      <c r="N197" s="5" t="str">
        <f>IFERROR(__xludf.DUMMYFUNCTION("""COMPUTED_VALUE""")," ")</f>
        <v> </v>
      </c>
      <c r="O197" s="5"/>
    </row>
    <row r="198">
      <c r="A198" s="2" t="str">
        <f>IFERROR(__xludf.DUMMYFUNCTION("""COMPUTED_VALUE"""),"0130")</f>
        <v>0130</v>
      </c>
      <c r="B198" s="2" t="str">
        <f>IFERROR(__xludf.DUMMYFUNCTION("""COMPUTED_VALUE"""),"CHERRY CREEK        5")</f>
        <v>CHERRY CREEK        5</v>
      </c>
      <c r="C198" s="2" t="str">
        <f>IFERROR(__xludf.DUMMYFUNCTION("""COMPUTED_VALUE"""),"05744")</f>
        <v>05744</v>
      </c>
      <c r="D198" s="2" t="str">
        <f>IFERROR(__xludf.DUMMYFUNCTION("""COMPUTED_VALUE"""),"MEADOW POINT ELEMENTARY SCHOOL")</f>
        <v>MEADOW POINT ELEMENTARY SCHOOL</v>
      </c>
      <c r="E198" s="3" t="str">
        <f>IFERROR(__xludf.DUMMYFUNCTION("""COMPUTED_VALUE"""),"Y")</f>
        <v>Y</v>
      </c>
      <c r="F198" s="3" t="str">
        <f>IFERROR(__xludf.DUMMYFUNCTION("""COMPUTED_VALUE"""),"Y")</f>
        <v>Y</v>
      </c>
      <c r="G198" s="3"/>
      <c r="H198" s="3"/>
      <c r="I198" s="3" t="str">
        <f>IFERROR(__xludf.DUMMYFUNCTION("""COMPUTED_VALUE""")," ")</f>
        <v> </v>
      </c>
      <c r="J198" s="3" t="str">
        <f>IFERROR(__xludf.DUMMYFUNCTION("""COMPUTED_VALUE""")," ")</f>
        <v> </v>
      </c>
      <c r="K198" s="3" t="str">
        <f>IFERROR(__xludf.DUMMYFUNCTION("""COMPUTED_VALUE"""),"Y")</f>
        <v>Y</v>
      </c>
      <c r="L198" s="3" t="str">
        <f>IFERROR(__xludf.DUMMYFUNCTION("""COMPUTED_VALUE"""),"Group 19")</f>
        <v>Group 19</v>
      </c>
      <c r="M198" s="3"/>
      <c r="N198" s="5" t="str">
        <f>IFERROR(__xludf.DUMMYFUNCTION("""COMPUTED_VALUE"""),"Y")</f>
        <v>Y</v>
      </c>
      <c r="O198" s="5"/>
    </row>
    <row r="199">
      <c r="A199" s="2" t="str">
        <f>IFERROR(__xludf.DUMMYFUNCTION("""COMPUTED_VALUE"""),"0130")</f>
        <v>0130</v>
      </c>
      <c r="B199" s="2" t="str">
        <f>IFERROR(__xludf.DUMMYFUNCTION("""COMPUTED_VALUE"""),"CHERRY CREEK        5")</f>
        <v>CHERRY CREEK        5</v>
      </c>
      <c r="C199" s="2" t="str">
        <f>IFERROR(__xludf.DUMMYFUNCTION("""COMPUTED_VALUE"""),"05934")</f>
        <v>05934</v>
      </c>
      <c r="D199" s="2" t="str">
        <f>IFERROR(__xludf.DUMMYFUNCTION("""COMPUTED_VALUE"""),"MISSION VIEJO ELEMENTARY SCHOOL")</f>
        <v>MISSION VIEJO ELEMENTARY SCHOOL</v>
      </c>
      <c r="E199" s="3" t="str">
        <f>IFERROR(__xludf.DUMMYFUNCTION("""COMPUTED_VALUE"""),"Y")</f>
        <v>Y</v>
      </c>
      <c r="F199" s="3" t="str">
        <f>IFERROR(__xludf.DUMMYFUNCTION("""COMPUTED_VALUE"""),"Y")</f>
        <v>Y</v>
      </c>
      <c r="G199" s="3"/>
      <c r="H199" s="3"/>
      <c r="I199" s="3" t="str">
        <f>IFERROR(__xludf.DUMMYFUNCTION("""COMPUTED_VALUE""")," ")</f>
        <v> </v>
      </c>
      <c r="J199" s="3" t="str">
        <f>IFERROR(__xludf.DUMMYFUNCTION("""COMPUTED_VALUE""")," ")</f>
        <v> </v>
      </c>
      <c r="K199" s="3" t="str">
        <f>IFERROR(__xludf.DUMMYFUNCTION("""COMPUTED_VALUE"""),"Y")</f>
        <v>Y</v>
      </c>
      <c r="L199" s="3" t="str">
        <f>IFERROR(__xludf.DUMMYFUNCTION("""COMPUTED_VALUE"""),"Group 17")</f>
        <v>Group 17</v>
      </c>
      <c r="M199" s="3"/>
      <c r="N199" s="5" t="str">
        <f>IFERROR(__xludf.DUMMYFUNCTION("""COMPUTED_VALUE""")," ")</f>
        <v> </v>
      </c>
      <c r="O199" s="5"/>
    </row>
    <row r="200">
      <c r="A200" s="2" t="str">
        <f>IFERROR(__xludf.DUMMYFUNCTION("""COMPUTED_VALUE"""),"0130")</f>
        <v>0130</v>
      </c>
      <c r="B200" s="2" t="str">
        <f>IFERROR(__xludf.DUMMYFUNCTION("""COMPUTED_VALUE"""),"CHERRY CREEK        5")</f>
        <v>CHERRY CREEK        5</v>
      </c>
      <c r="C200" s="2" t="str">
        <f>IFERROR(__xludf.DUMMYFUNCTION("""COMPUTED_VALUE"""),"06225")</f>
        <v>06225</v>
      </c>
      <c r="D200" s="2" t="str">
        <f>IFERROR(__xludf.DUMMYFUNCTION("""COMPUTED_VALUE"""),"MOUNTAIN VISTA ELEMENTARY SCHOOL")</f>
        <v>MOUNTAIN VISTA ELEMENTARY SCHOOL</v>
      </c>
      <c r="E200" s="3" t="str">
        <f>IFERROR(__xludf.DUMMYFUNCTION("""COMPUTED_VALUE"""),"Y")</f>
        <v>Y</v>
      </c>
      <c r="F200" s="3" t="str">
        <f>IFERROR(__xludf.DUMMYFUNCTION("""COMPUTED_VALUE"""),"Y")</f>
        <v>Y</v>
      </c>
      <c r="G200" s="3"/>
      <c r="H200" s="3"/>
      <c r="I200" s="3" t="str">
        <f>IFERROR(__xludf.DUMMYFUNCTION("""COMPUTED_VALUE""")," ")</f>
        <v> </v>
      </c>
      <c r="J200" s="3" t="str">
        <f>IFERROR(__xludf.DUMMYFUNCTION("""COMPUTED_VALUE""")," ")</f>
        <v> </v>
      </c>
      <c r="K200" s="3" t="str">
        <f>IFERROR(__xludf.DUMMYFUNCTION("""COMPUTED_VALUE"""),"Y")</f>
        <v>Y</v>
      </c>
      <c r="L200" s="3" t="str">
        <f>IFERROR(__xludf.DUMMYFUNCTION("""COMPUTED_VALUE"""),"Group 10")</f>
        <v>Group 10</v>
      </c>
      <c r="M200" s="3"/>
      <c r="N200" s="5" t="str">
        <f>IFERROR(__xludf.DUMMYFUNCTION("""COMPUTED_VALUE""")," ")</f>
        <v> </v>
      </c>
      <c r="O200" s="5"/>
    </row>
    <row r="201">
      <c r="A201" s="2" t="str">
        <f>IFERROR(__xludf.DUMMYFUNCTION("""COMPUTED_VALUE"""),"0130")</f>
        <v>0130</v>
      </c>
      <c r="B201" s="2" t="str">
        <f>IFERROR(__xludf.DUMMYFUNCTION("""COMPUTED_VALUE"""),"CHERRY CREEK        5")</f>
        <v>CHERRY CREEK        5</v>
      </c>
      <c r="C201" s="2" t="str">
        <f>IFERROR(__xludf.DUMMYFUNCTION("""COMPUTED_VALUE"""),"06367")</f>
        <v>06367</v>
      </c>
      <c r="D201" s="2" t="str">
        <f>IFERROR(__xludf.DUMMYFUNCTION("""COMPUTED_VALUE"""),"Options School")</f>
        <v>Options School</v>
      </c>
      <c r="E201" s="8" t="str">
        <f>IFERROR(__xludf.DUMMYFUNCTION("""COMPUTED_VALUE"""),"Y")</f>
        <v>Y</v>
      </c>
      <c r="F201" s="3" t="str">
        <f>IFERROR(__xludf.DUMMYFUNCTION("""COMPUTED_VALUE"""),"Y")</f>
        <v>Y</v>
      </c>
      <c r="G201" s="3"/>
      <c r="H201" s="3"/>
      <c r="I201" s="3" t="str">
        <f>IFERROR(__xludf.DUMMYFUNCTION("""COMPUTED_VALUE""")," ")</f>
        <v> </v>
      </c>
      <c r="J201" s="3" t="str">
        <f>IFERROR(__xludf.DUMMYFUNCTION("""COMPUTED_VALUE""")," ")</f>
        <v> </v>
      </c>
      <c r="K201" s="3" t="str">
        <f>IFERROR(__xludf.DUMMYFUNCTION("""COMPUTED_VALUE"""),"Y")</f>
        <v>Y</v>
      </c>
      <c r="L201" s="3" t="str">
        <f>IFERROR(__xludf.DUMMYFUNCTION("""COMPUTED_VALUE""")," ")</f>
        <v> </v>
      </c>
      <c r="M201" s="3"/>
      <c r="N201" s="5" t="str">
        <f>IFERROR(__xludf.DUMMYFUNCTION("""COMPUTED_VALUE""")," ")</f>
        <v> </v>
      </c>
      <c r="O201" s="5" t="str">
        <f>IFERROR(__xludf.DUMMYFUNCTION("""COMPUTED_VALUE"""),"No bfast claims as of 3/25")</f>
        <v>No bfast claims as of 3/25</v>
      </c>
    </row>
    <row r="202">
      <c r="A202" s="2" t="str">
        <f>IFERROR(__xludf.DUMMYFUNCTION("""COMPUTED_VALUE"""),"0130")</f>
        <v>0130</v>
      </c>
      <c r="B202" s="2" t="str">
        <f>IFERROR(__xludf.DUMMYFUNCTION("""COMPUTED_VALUE"""),"CHERRY CREEK        5")</f>
        <v>CHERRY CREEK        5</v>
      </c>
      <c r="C202" s="2" t="str">
        <f>IFERROR(__xludf.DUMMYFUNCTION("""COMPUTED_VALUE"""),"06625")</f>
        <v>06625</v>
      </c>
      <c r="D202" s="2" t="str">
        <f>IFERROR(__xludf.DUMMYFUNCTION("""COMPUTED_VALUE"""),"OVERLAND HIGH SCHOOL")</f>
        <v>OVERLAND HIGH SCHOOL</v>
      </c>
      <c r="E202" s="3" t="str">
        <f>IFERROR(__xludf.DUMMYFUNCTION("""COMPUTED_VALUE"""),"Y")</f>
        <v>Y</v>
      </c>
      <c r="F202" s="3" t="str">
        <f>IFERROR(__xludf.DUMMYFUNCTION("""COMPUTED_VALUE"""),"Y")</f>
        <v>Y</v>
      </c>
      <c r="G202" s="3"/>
      <c r="H202" s="3"/>
      <c r="I202" s="3" t="str">
        <f>IFERROR(__xludf.DUMMYFUNCTION("""COMPUTED_VALUE""")," ")</f>
        <v> </v>
      </c>
      <c r="J202" s="3" t="str">
        <f>IFERROR(__xludf.DUMMYFUNCTION("""COMPUTED_VALUE"""),"Y")</f>
        <v>Y</v>
      </c>
      <c r="K202" s="3" t="str">
        <f>IFERROR(__xludf.DUMMYFUNCTION("""COMPUTED_VALUE"""),"Y")</f>
        <v>Y</v>
      </c>
      <c r="L202" s="3" t="str">
        <f>IFERROR(__xludf.DUMMYFUNCTION("""COMPUTED_VALUE"""),"Group 1")</f>
        <v>Group 1</v>
      </c>
      <c r="M202" s="3"/>
      <c r="N202" s="5" t="str">
        <f>IFERROR(__xludf.DUMMYFUNCTION("""COMPUTED_VALUE"""),"Y")</f>
        <v>Y</v>
      </c>
      <c r="O202" s="5"/>
    </row>
    <row r="203">
      <c r="A203" s="2" t="str">
        <f>IFERROR(__xludf.DUMMYFUNCTION("""COMPUTED_VALUE"""),"0130")</f>
        <v>0130</v>
      </c>
      <c r="B203" s="2" t="str">
        <f>IFERROR(__xludf.DUMMYFUNCTION("""COMPUTED_VALUE"""),"CHERRY CREEK        5")</f>
        <v>CHERRY CREEK        5</v>
      </c>
      <c r="C203" s="2" t="str">
        <f>IFERROR(__xludf.DUMMYFUNCTION("""COMPUTED_VALUE"""),"06820")</f>
        <v>06820</v>
      </c>
      <c r="D203" s="2" t="str">
        <f>IFERROR(__xludf.DUMMYFUNCTION("""COMPUTED_VALUE"""),"PEAKVIEW ELEMENTARY SCHOOL")</f>
        <v>PEAKVIEW ELEMENTARY SCHOOL</v>
      </c>
      <c r="E203" s="3" t="str">
        <f>IFERROR(__xludf.DUMMYFUNCTION("""COMPUTED_VALUE"""),"Y")</f>
        <v>Y</v>
      </c>
      <c r="F203" s="3" t="str">
        <f>IFERROR(__xludf.DUMMYFUNCTION("""COMPUTED_VALUE"""),"Y")</f>
        <v>Y</v>
      </c>
      <c r="G203" s="3"/>
      <c r="H203" s="3"/>
      <c r="I203" s="3" t="str">
        <f>IFERROR(__xludf.DUMMYFUNCTION("""COMPUTED_VALUE""")," ")</f>
        <v> </v>
      </c>
      <c r="J203" s="3" t="str">
        <f>IFERROR(__xludf.DUMMYFUNCTION("""COMPUTED_VALUE""")," ")</f>
        <v> </v>
      </c>
      <c r="K203" s="3" t="str">
        <f>IFERROR(__xludf.DUMMYFUNCTION("""COMPUTED_VALUE"""),"Y")</f>
        <v>Y</v>
      </c>
      <c r="L203" s="3" t="str">
        <f>IFERROR(__xludf.DUMMYFUNCTION("""COMPUTED_VALUE"""),"Group 16")</f>
        <v>Group 16</v>
      </c>
      <c r="M203" s="3"/>
      <c r="N203" s="5" t="str">
        <f>IFERROR(__xludf.DUMMYFUNCTION("""COMPUTED_VALUE""")," ")</f>
        <v> </v>
      </c>
      <c r="O203" s="5"/>
    </row>
    <row r="204">
      <c r="A204" s="2" t="str">
        <f>IFERROR(__xludf.DUMMYFUNCTION("""COMPUTED_VALUE"""),"0130")</f>
        <v>0130</v>
      </c>
      <c r="B204" s="2" t="str">
        <f>IFERROR(__xludf.DUMMYFUNCTION("""COMPUTED_VALUE"""),"CHERRY CREEK        5")</f>
        <v>CHERRY CREEK        5</v>
      </c>
      <c r="C204" s="2" t="str">
        <f>IFERROR(__xludf.DUMMYFUNCTION("""COMPUTED_VALUE"""),"06955")</f>
        <v>06955</v>
      </c>
      <c r="D204" s="2" t="str">
        <f>IFERROR(__xludf.DUMMYFUNCTION("""COMPUTED_VALUE"""),"PINE RIDGE ELEMENTARY")</f>
        <v>PINE RIDGE ELEMENTARY</v>
      </c>
      <c r="E204" s="3" t="str">
        <f>IFERROR(__xludf.DUMMYFUNCTION("""COMPUTED_VALUE"""),"Y")</f>
        <v>Y</v>
      </c>
      <c r="F204" s="3" t="str">
        <f>IFERROR(__xludf.DUMMYFUNCTION("""COMPUTED_VALUE"""),"Y")</f>
        <v>Y</v>
      </c>
      <c r="G204" s="3"/>
      <c r="H204" s="3"/>
      <c r="I204" s="3" t="str">
        <f>IFERROR(__xludf.DUMMYFUNCTION("""COMPUTED_VALUE""")," ")</f>
        <v> </v>
      </c>
      <c r="J204" s="3" t="str">
        <f>IFERROR(__xludf.DUMMYFUNCTION("""COMPUTED_VALUE""")," ")</f>
        <v> </v>
      </c>
      <c r="K204" s="3" t="str">
        <f>IFERROR(__xludf.DUMMYFUNCTION("""COMPUTED_VALUE"""),"Y")</f>
        <v>Y</v>
      </c>
      <c r="L204" s="3" t="str">
        <f>IFERROR(__xludf.DUMMYFUNCTION("""COMPUTED_VALUE""")," ")</f>
        <v> </v>
      </c>
      <c r="M204" s="3"/>
      <c r="N204" s="5" t="str">
        <f>IFERROR(__xludf.DUMMYFUNCTION("""COMPUTED_VALUE""")," ")</f>
        <v> </v>
      </c>
      <c r="O204" s="5"/>
    </row>
    <row r="205">
      <c r="A205" s="2" t="str">
        <f>IFERROR(__xludf.DUMMYFUNCTION("""COMPUTED_VALUE"""),"0130")</f>
        <v>0130</v>
      </c>
      <c r="B205" s="2" t="str">
        <f>IFERROR(__xludf.DUMMYFUNCTION("""COMPUTED_VALUE"""),"CHERRY CREEK        5")</f>
        <v>CHERRY CREEK        5</v>
      </c>
      <c r="C205" s="2" t="str">
        <f>IFERROR(__xludf.DUMMYFUNCTION("""COMPUTED_VALUE"""),"07102")</f>
        <v>07102</v>
      </c>
      <c r="D205" s="2" t="str">
        <f>IFERROR(__xludf.DUMMYFUNCTION("""COMPUTED_VALUE"""),"POLTON COMMUNITY ELEMENTARY SCHOOL")</f>
        <v>POLTON COMMUNITY ELEMENTARY SCHOOL</v>
      </c>
      <c r="E205" s="3" t="str">
        <f>IFERROR(__xludf.DUMMYFUNCTION("""COMPUTED_VALUE"""),"Y")</f>
        <v>Y</v>
      </c>
      <c r="F205" s="3" t="str">
        <f>IFERROR(__xludf.DUMMYFUNCTION("""COMPUTED_VALUE"""),"Y")</f>
        <v>Y</v>
      </c>
      <c r="G205" s="3"/>
      <c r="H205" s="3"/>
      <c r="I205" s="3" t="str">
        <f>IFERROR(__xludf.DUMMYFUNCTION("""COMPUTED_VALUE""")," ")</f>
        <v> </v>
      </c>
      <c r="J205" s="3" t="str">
        <f>IFERROR(__xludf.DUMMYFUNCTION("""COMPUTED_VALUE""")," ")</f>
        <v> </v>
      </c>
      <c r="K205" s="3" t="str">
        <f>IFERROR(__xludf.DUMMYFUNCTION("""COMPUTED_VALUE"""),"Y")</f>
        <v>Y</v>
      </c>
      <c r="L205" s="3" t="str">
        <f>IFERROR(__xludf.DUMMYFUNCTION("""COMPUTED_VALUE"""),"Group 13")</f>
        <v>Group 13</v>
      </c>
      <c r="M205" s="3"/>
      <c r="N205" s="5" t="str">
        <f>IFERROR(__xludf.DUMMYFUNCTION("""COMPUTED_VALUE""")," ")</f>
        <v> </v>
      </c>
      <c r="O205" s="5"/>
    </row>
    <row r="206">
      <c r="A206" s="2" t="str">
        <f>IFERROR(__xludf.DUMMYFUNCTION("""COMPUTED_VALUE"""),"0130")</f>
        <v>0130</v>
      </c>
      <c r="B206" s="2" t="str">
        <f>IFERROR(__xludf.DUMMYFUNCTION("""COMPUTED_VALUE"""),"CHERRY CREEK        5")</f>
        <v>CHERRY CREEK        5</v>
      </c>
      <c r="C206" s="2" t="str">
        <f>IFERROR(__xludf.DUMMYFUNCTION("""COMPUTED_VALUE"""),"07116")</f>
        <v>07116</v>
      </c>
      <c r="D206" s="2" t="str">
        <f>IFERROR(__xludf.DUMMYFUNCTION("""COMPUTED_VALUE"""),"PONDEROSA ELEMENTARY SCHOOL")</f>
        <v>PONDEROSA ELEMENTARY SCHOOL</v>
      </c>
      <c r="E206" s="3" t="str">
        <f>IFERROR(__xludf.DUMMYFUNCTION("""COMPUTED_VALUE"""),"Y")</f>
        <v>Y</v>
      </c>
      <c r="F206" s="3" t="str">
        <f>IFERROR(__xludf.DUMMYFUNCTION("""COMPUTED_VALUE"""),"Y")</f>
        <v>Y</v>
      </c>
      <c r="G206" s="3"/>
      <c r="H206" s="3"/>
      <c r="I206" s="3" t="str">
        <f>IFERROR(__xludf.DUMMYFUNCTION("""COMPUTED_VALUE""")," ")</f>
        <v> </v>
      </c>
      <c r="J206" s="3" t="str">
        <f>IFERROR(__xludf.DUMMYFUNCTION("""COMPUTED_VALUE"""),"Y")</f>
        <v>Y</v>
      </c>
      <c r="K206" s="3" t="str">
        <f>IFERROR(__xludf.DUMMYFUNCTION("""COMPUTED_VALUE"""),"Y")</f>
        <v>Y</v>
      </c>
      <c r="L206" s="3" t="str">
        <f>IFERROR(__xludf.DUMMYFUNCTION("""COMPUTED_VALUE"""),"Group 3")</f>
        <v>Group 3</v>
      </c>
      <c r="M206" s="3"/>
      <c r="N206" s="5" t="str">
        <f>IFERROR(__xludf.DUMMYFUNCTION("""COMPUTED_VALUE""")," ")</f>
        <v> </v>
      </c>
      <c r="O206" s="5"/>
    </row>
    <row r="207">
      <c r="A207" s="2" t="str">
        <f>IFERROR(__xludf.DUMMYFUNCTION("""COMPUTED_VALUE"""),"0130")</f>
        <v>0130</v>
      </c>
      <c r="B207" s="2" t="str">
        <f>IFERROR(__xludf.DUMMYFUNCTION("""COMPUTED_VALUE"""),"CHERRY CREEK        5")</f>
        <v>CHERRY CREEK        5</v>
      </c>
      <c r="C207" s="2" t="str">
        <f>IFERROR(__xludf.DUMMYFUNCTION("""COMPUTED_VALUE"""),"07158")</f>
        <v>07158</v>
      </c>
      <c r="D207" s="2" t="str">
        <f>IFERROR(__xludf.DUMMYFUNCTION("""COMPUTED_VALUE"""),"PRAIRIE MIDDLE SCHOOL")</f>
        <v>PRAIRIE MIDDLE SCHOOL</v>
      </c>
      <c r="E207" s="3" t="str">
        <f>IFERROR(__xludf.DUMMYFUNCTION("""COMPUTED_VALUE"""),"Y")</f>
        <v>Y</v>
      </c>
      <c r="F207" s="3" t="str">
        <f>IFERROR(__xludf.DUMMYFUNCTION("""COMPUTED_VALUE"""),"Y")</f>
        <v>Y</v>
      </c>
      <c r="G207" s="3"/>
      <c r="H207" s="3"/>
      <c r="I207" s="3" t="str">
        <f>IFERROR(__xludf.DUMMYFUNCTION("""COMPUTED_VALUE""")," ")</f>
        <v> </v>
      </c>
      <c r="J207" s="3" t="str">
        <f>IFERROR(__xludf.DUMMYFUNCTION("""COMPUTED_VALUE"""),"Y")</f>
        <v>Y</v>
      </c>
      <c r="K207" s="3" t="str">
        <f>IFERROR(__xludf.DUMMYFUNCTION("""COMPUTED_VALUE"""),"Y")</f>
        <v>Y</v>
      </c>
      <c r="L207" s="3" t="str">
        <f>IFERROR(__xludf.DUMMYFUNCTION("""COMPUTED_VALUE"""),"Group 13")</f>
        <v>Group 13</v>
      </c>
      <c r="M207" s="3"/>
      <c r="N207" s="5" t="str">
        <f>IFERROR(__xludf.DUMMYFUNCTION("""COMPUTED_VALUE""")," ")</f>
        <v> </v>
      </c>
      <c r="O207" s="5"/>
    </row>
    <row r="208">
      <c r="A208" s="2" t="str">
        <f>IFERROR(__xludf.DUMMYFUNCTION("""COMPUTED_VALUE"""),"0130")</f>
        <v>0130</v>
      </c>
      <c r="B208" s="2" t="str">
        <f>IFERROR(__xludf.DUMMYFUNCTION("""COMPUTED_VALUE"""),"CHERRY CREEK        5")</f>
        <v>CHERRY CREEK        5</v>
      </c>
      <c r="C208" s="2" t="str">
        <f>IFERROR(__xludf.DUMMYFUNCTION("""COMPUTED_VALUE"""),"07277")</f>
        <v>07277</v>
      </c>
      <c r="D208" s="2" t="str">
        <f>IFERROR(__xludf.DUMMYFUNCTION("""COMPUTED_VALUE"""),"RED HAWK RIDGE ELEMENTARY SCHOOL")</f>
        <v>RED HAWK RIDGE ELEMENTARY SCHOOL</v>
      </c>
      <c r="E208" s="3" t="str">
        <f>IFERROR(__xludf.DUMMYFUNCTION("""COMPUTED_VALUE"""),"Y")</f>
        <v>Y</v>
      </c>
      <c r="F208" s="3" t="str">
        <f>IFERROR(__xludf.DUMMYFUNCTION("""COMPUTED_VALUE"""),"Y")</f>
        <v>Y</v>
      </c>
      <c r="G208" s="3"/>
      <c r="H208" s="3"/>
      <c r="I208" s="3" t="str">
        <f>IFERROR(__xludf.DUMMYFUNCTION("""COMPUTED_VALUE""")," ")</f>
        <v> </v>
      </c>
      <c r="J208" s="3" t="str">
        <f>IFERROR(__xludf.DUMMYFUNCTION("""COMPUTED_VALUE""")," ")</f>
        <v> </v>
      </c>
      <c r="K208" s="3" t="str">
        <f>IFERROR(__xludf.DUMMYFUNCTION("""COMPUTED_VALUE"""),"Y")</f>
        <v>Y</v>
      </c>
      <c r="L208" s="3" t="str">
        <f>IFERROR(__xludf.DUMMYFUNCTION("""COMPUTED_VALUE"""),"Group 21")</f>
        <v>Group 21</v>
      </c>
      <c r="M208" s="3"/>
      <c r="N208" s="5" t="str">
        <f>IFERROR(__xludf.DUMMYFUNCTION("""COMPUTED_VALUE"""),"Y")</f>
        <v>Y</v>
      </c>
      <c r="O208" s="5"/>
    </row>
    <row r="209">
      <c r="A209" s="2" t="str">
        <f>IFERROR(__xludf.DUMMYFUNCTION("""COMPUTED_VALUE"""),"0130")</f>
        <v>0130</v>
      </c>
      <c r="B209" s="2" t="str">
        <f>IFERROR(__xludf.DUMMYFUNCTION("""COMPUTED_VALUE"""),"CHERRY CREEK        5")</f>
        <v>CHERRY CREEK        5</v>
      </c>
      <c r="C209" s="2" t="str">
        <f>IFERROR(__xludf.DUMMYFUNCTION("""COMPUTED_VALUE"""),"07476")</f>
        <v>07476</v>
      </c>
      <c r="D209" s="2" t="str">
        <f>IFERROR(__xludf.DUMMYFUNCTION("""COMPUTED_VALUE"""),"ROLLING HILLS ELEMENTARY SCHOOL")</f>
        <v>ROLLING HILLS ELEMENTARY SCHOOL</v>
      </c>
      <c r="E209" s="3" t="str">
        <f>IFERROR(__xludf.DUMMYFUNCTION("""COMPUTED_VALUE"""),"Y")</f>
        <v>Y</v>
      </c>
      <c r="F209" s="3" t="str">
        <f>IFERROR(__xludf.DUMMYFUNCTION("""COMPUTED_VALUE"""),"Y")</f>
        <v>Y</v>
      </c>
      <c r="G209" s="3"/>
      <c r="H209" s="3"/>
      <c r="I209" s="3" t="str">
        <f>IFERROR(__xludf.DUMMYFUNCTION("""COMPUTED_VALUE""")," ")</f>
        <v> </v>
      </c>
      <c r="J209" s="3" t="str">
        <f>IFERROR(__xludf.DUMMYFUNCTION("""COMPUTED_VALUE""")," ")</f>
        <v> </v>
      </c>
      <c r="K209" s="3" t="str">
        <f>IFERROR(__xludf.DUMMYFUNCTION("""COMPUTED_VALUE"""),"Y")</f>
        <v>Y</v>
      </c>
      <c r="L209" s="3" t="str">
        <f>IFERROR(__xludf.DUMMYFUNCTION("""COMPUTED_VALUE""")," ")</f>
        <v> </v>
      </c>
      <c r="M209" s="3"/>
      <c r="N209" s="5" t="str">
        <f>IFERROR(__xludf.DUMMYFUNCTION("""COMPUTED_VALUE""")," ")</f>
        <v> </v>
      </c>
      <c r="O209" s="5"/>
    </row>
    <row r="210">
      <c r="A210" s="2" t="str">
        <f>IFERROR(__xludf.DUMMYFUNCTION("""COMPUTED_VALUE"""),"0130")</f>
        <v>0130</v>
      </c>
      <c r="B210" s="2" t="str">
        <f>IFERROR(__xludf.DUMMYFUNCTION("""COMPUTED_VALUE"""),"CHERRY CREEK        5")</f>
        <v>CHERRY CREEK        5</v>
      </c>
      <c r="C210" s="2" t="str">
        <f>IFERROR(__xludf.DUMMYFUNCTION("""COMPUTED_VALUE"""),"07514")</f>
        <v>07514</v>
      </c>
      <c r="D210" s="2" t="str">
        <f>IFERROR(__xludf.DUMMYFUNCTION("""COMPUTED_VALUE"""),"Infinity Middle School")</f>
        <v>Infinity Middle School</v>
      </c>
      <c r="E210" s="3" t="str">
        <f>IFERROR(__xludf.DUMMYFUNCTION("""COMPUTED_VALUE"""),"Y")</f>
        <v>Y</v>
      </c>
      <c r="F210" s="3" t="str">
        <f>IFERROR(__xludf.DUMMYFUNCTION("""COMPUTED_VALUE"""),"Y")</f>
        <v>Y</v>
      </c>
      <c r="G210" s="3"/>
      <c r="H210" s="3"/>
      <c r="I210" s="3" t="str">
        <f>IFERROR(__xludf.DUMMYFUNCTION("""COMPUTED_VALUE""")," ")</f>
        <v> </v>
      </c>
      <c r="J210" s="3" t="str">
        <f>IFERROR(__xludf.DUMMYFUNCTION("""COMPUTED_VALUE""")," ")</f>
        <v> </v>
      </c>
      <c r="K210" s="3" t="str">
        <f>IFERROR(__xludf.DUMMYFUNCTION("""COMPUTED_VALUE"""),"Y")</f>
        <v>Y</v>
      </c>
      <c r="L210" s="3" t="str">
        <f>IFERROR(__xludf.DUMMYFUNCTION("""COMPUTED_VALUE"""),"Group 1")</f>
        <v>Group 1</v>
      </c>
      <c r="M210" s="3"/>
      <c r="N210" s="5" t="str">
        <f>IFERROR(__xludf.DUMMYFUNCTION("""COMPUTED_VALUE""")," ")</f>
        <v> </v>
      </c>
      <c r="O210" s="5"/>
    </row>
    <row r="211">
      <c r="A211" s="2" t="str">
        <f>IFERROR(__xludf.DUMMYFUNCTION("""COMPUTED_VALUE"""),"0130")</f>
        <v>0130</v>
      </c>
      <c r="B211" s="2" t="str">
        <f>IFERROR(__xludf.DUMMYFUNCTION("""COMPUTED_VALUE"""),"CHERRY CREEK        5")</f>
        <v>CHERRY CREEK        5</v>
      </c>
      <c r="C211" s="2" t="str">
        <f>IFERROR(__xludf.DUMMYFUNCTION("""COMPUTED_VALUE"""),"07559")</f>
        <v>07559</v>
      </c>
      <c r="D211" s="2" t="str">
        <f>IFERROR(__xludf.DUMMYFUNCTION("""COMPUTED_VALUE"""),"SAGEBRUSH ELEMENTARY SCHOOL")</f>
        <v>SAGEBRUSH ELEMENTARY SCHOOL</v>
      </c>
      <c r="E211" s="3" t="str">
        <f>IFERROR(__xludf.DUMMYFUNCTION("""COMPUTED_VALUE"""),"Y")</f>
        <v>Y</v>
      </c>
      <c r="F211" s="3" t="str">
        <f>IFERROR(__xludf.DUMMYFUNCTION("""COMPUTED_VALUE"""),"Y")</f>
        <v>Y</v>
      </c>
      <c r="G211" s="3"/>
      <c r="H211" s="3"/>
      <c r="I211" s="3" t="str">
        <f>IFERROR(__xludf.DUMMYFUNCTION("""COMPUTED_VALUE""")," ")</f>
        <v> </v>
      </c>
      <c r="J211" s="3" t="str">
        <f>IFERROR(__xludf.DUMMYFUNCTION("""COMPUTED_VALUE""")," ")</f>
        <v> </v>
      </c>
      <c r="K211" s="3" t="str">
        <f>IFERROR(__xludf.DUMMYFUNCTION("""COMPUTED_VALUE"""),"Y")</f>
        <v>Y</v>
      </c>
      <c r="L211" s="3" t="str">
        <f>IFERROR(__xludf.DUMMYFUNCTION("""COMPUTED_VALUE"""),"Group 11")</f>
        <v>Group 11</v>
      </c>
      <c r="M211" s="3"/>
      <c r="N211" s="5" t="str">
        <f>IFERROR(__xludf.DUMMYFUNCTION("""COMPUTED_VALUE"""),"Y")</f>
        <v>Y</v>
      </c>
      <c r="O211" s="5"/>
    </row>
    <row r="212">
      <c r="A212" s="2" t="str">
        <f>IFERROR(__xludf.DUMMYFUNCTION("""COMPUTED_VALUE"""),"0130")</f>
        <v>0130</v>
      </c>
      <c r="B212" s="2" t="str">
        <f>IFERROR(__xludf.DUMMYFUNCTION("""COMPUTED_VALUE"""),"CHERRY CREEK        5")</f>
        <v>CHERRY CREEK        5</v>
      </c>
      <c r="C212" s="2" t="str">
        <f>IFERROR(__xludf.DUMMYFUNCTION("""COMPUTED_VALUE"""),"07617")</f>
        <v>07617</v>
      </c>
      <c r="D212" s="2" t="str">
        <f>IFERROR(__xludf.DUMMYFUNCTION("""COMPUTED_VALUE"""),"Woodland Elementary School")</f>
        <v>Woodland Elementary School</v>
      </c>
      <c r="E212" s="3" t="str">
        <f>IFERROR(__xludf.DUMMYFUNCTION("""COMPUTED_VALUE"""),"Y")</f>
        <v>Y</v>
      </c>
      <c r="F212" s="3" t="str">
        <f>IFERROR(__xludf.DUMMYFUNCTION("""COMPUTED_VALUE"""),"Y")</f>
        <v>Y</v>
      </c>
      <c r="G212" s="3"/>
      <c r="H212" s="3"/>
      <c r="I212" s="3" t="str">
        <f>IFERROR(__xludf.DUMMYFUNCTION("""COMPUTED_VALUE""")," ")</f>
        <v> </v>
      </c>
      <c r="J212" s="3" t="str">
        <f>IFERROR(__xludf.DUMMYFUNCTION("""COMPUTED_VALUE""")," ")</f>
        <v> </v>
      </c>
      <c r="K212" s="3" t="str">
        <f>IFERROR(__xludf.DUMMYFUNCTION("""COMPUTED_VALUE"""),"Y")</f>
        <v>Y</v>
      </c>
      <c r="L212" s="3" t="str">
        <f>IFERROR(__xludf.DUMMYFUNCTION("""COMPUTED_VALUE"""),"Group 1")</f>
        <v>Group 1</v>
      </c>
      <c r="M212" s="3"/>
      <c r="N212" s="5" t="str">
        <f>IFERROR(__xludf.DUMMYFUNCTION("""COMPUTED_VALUE""")," ")</f>
        <v> </v>
      </c>
      <c r="O212" s="5"/>
    </row>
    <row r="213">
      <c r="A213" s="2" t="str">
        <f>IFERROR(__xludf.DUMMYFUNCTION("""COMPUTED_VALUE"""),"0130")</f>
        <v>0130</v>
      </c>
      <c r="B213" s="2" t="str">
        <f>IFERROR(__xludf.DUMMYFUNCTION("""COMPUTED_VALUE"""),"CHERRY CREEK        5")</f>
        <v>CHERRY CREEK        5</v>
      </c>
      <c r="C213" s="2" t="str">
        <f>IFERROR(__xludf.DUMMYFUNCTION("""COMPUTED_VALUE"""),"08020")</f>
        <v>08020</v>
      </c>
      <c r="D213" s="2" t="str">
        <f>IFERROR(__xludf.DUMMYFUNCTION("""COMPUTED_VALUE"""),"SMOKY HILL HIGH SCHOOL")</f>
        <v>SMOKY HILL HIGH SCHOOL</v>
      </c>
      <c r="E213" s="3" t="str">
        <f>IFERROR(__xludf.DUMMYFUNCTION("""COMPUTED_VALUE"""),"Y")</f>
        <v>Y</v>
      </c>
      <c r="F213" s="3" t="str">
        <f>IFERROR(__xludf.DUMMYFUNCTION("""COMPUTED_VALUE"""),"Y")</f>
        <v>Y</v>
      </c>
      <c r="G213" s="3"/>
      <c r="H213" s="3"/>
      <c r="I213" s="3" t="str">
        <f>IFERROR(__xludf.DUMMYFUNCTION("""COMPUTED_VALUE""")," ")</f>
        <v> </v>
      </c>
      <c r="J213" s="3" t="str">
        <f>IFERROR(__xludf.DUMMYFUNCTION("""COMPUTED_VALUE""")," ")</f>
        <v> </v>
      </c>
      <c r="K213" s="3" t="str">
        <f>IFERROR(__xludf.DUMMYFUNCTION("""COMPUTED_VALUE"""),"Y")</f>
        <v>Y</v>
      </c>
      <c r="L213" s="3" t="str">
        <f>IFERROR(__xludf.DUMMYFUNCTION("""COMPUTED_VALUE"""),"Group 10")</f>
        <v>Group 10</v>
      </c>
      <c r="M213" s="3"/>
      <c r="N213" s="5" t="str">
        <f>IFERROR(__xludf.DUMMYFUNCTION("""COMPUTED_VALUE""")," ")</f>
        <v> </v>
      </c>
      <c r="O213" s="5"/>
    </row>
    <row r="214">
      <c r="A214" s="2" t="str">
        <f>IFERROR(__xludf.DUMMYFUNCTION("""COMPUTED_VALUE"""),"0130")</f>
        <v>0130</v>
      </c>
      <c r="B214" s="2" t="str">
        <f>IFERROR(__xludf.DUMMYFUNCTION("""COMPUTED_VALUE"""),"CHERRY CREEK        5")</f>
        <v>CHERRY CREEK        5</v>
      </c>
      <c r="C214" s="2" t="str">
        <f>IFERROR(__xludf.DUMMYFUNCTION("""COMPUTED_VALUE"""),"08380")</f>
        <v>08380</v>
      </c>
      <c r="D214" s="2" t="str">
        <f>IFERROR(__xludf.DUMMYFUNCTION("""COMPUTED_VALUE"""),"SUMMIT ELEMENTARY SCHOOL")</f>
        <v>SUMMIT ELEMENTARY SCHOOL</v>
      </c>
      <c r="E214" s="3" t="str">
        <f>IFERROR(__xludf.DUMMYFUNCTION("""COMPUTED_VALUE"""),"Y")</f>
        <v>Y</v>
      </c>
      <c r="F214" s="3" t="str">
        <f>IFERROR(__xludf.DUMMYFUNCTION("""COMPUTED_VALUE"""),"Y")</f>
        <v>Y</v>
      </c>
      <c r="G214" s="3"/>
      <c r="H214" s="3"/>
      <c r="I214" s="3" t="str">
        <f>IFERROR(__xludf.DUMMYFUNCTION("""COMPUTED_VALUE""")," ")</f>
        <v> </v>
      </c>
      <c r="J214" s="3" t="str">
        <f>IFERROR(__xludf.DUMMYFUNCTION("""COMPUTED_VALUE""")," ")</f>
        <v> </v>
      </c>
      <c r="K214" s="3" t="str">
        <f>IFERROR(__xludf.DUMMYFUNCTION("""COMPUTED_VALUE"""),"Y")</f>
        <v>Y</v>
      </c>
      <c r="L214" s="3" t="str">
        <f>IFERROR(__xludf.DUMMYFUNCTION("""COMPUTED_VALUE"""),"Group 14")</f>
        <v>Group 14</v>
      </c>
      <c r="M214" s="3"/>
      <c r="N214" s="5" t="str">
        <f>IFERROR(__xludf.DUMMYFUNCTION("""COMPUTED_VALUE""")," ")</f>
        <v> </v>
      </c>
      <c r="O214" s="5"/>
    </row>
    <row r="215">
      <c r="A215" s="2" t="str">
        <f>IFERROR(__xludf.DUMMYFUNCTION("""COMPUTED_VALUE"""),"0130")</f>
        <v>0130</v>
      </c>
      <c r="B215" s="2" t="str">
        <f>IFERROR(__xludf.DUMMYFUNCTION("""COMPUTED_VALUE"""),"CHERRY CREEK        5")</f>
        <v>CHERRY CREEK        5</v>
      </c>
      <c r="C215" s="2" t="str">
        <f>IFERROR(__xludf.DUMMYFUNCTION("""COMPUTED_VALUE"""),"08394")</f>
        <v>08394</v>
      </c>
      <c r="D215" s="2" t="str">
        <f>IFERROR(__xludf.DUMMYFUNCTION("""COMPUTED_VALUE"""),"SUNRISE ELEMENTARY SCHOOL")</f>
        <v>SUNRISE ELEMENTARY SCHOOL</v>
      </c>
      <c r="E215" s="3" t="str">
        <f>IFERROR(__xludf.DUMMYFUNCTION("""COMPUTED_VALUE"""),"Y")</f>
        <v>Y</v>
      </c>
      <c r="F215" s="3" t="str">
        <f>IFERROR(__xludf.DUMMYFUNCTION("""COMPUTED_VALUE"""),"Y")</f>
        <v>Y</v>
      </c>
      <c r="G215" s="3"/>
      <c r="H215" s="3"/>
      <c r="I215" s="3" t="str">
        <f>IFERROR(__xludf.DUMMYFUNCTION("""COMPUTED_VALUE""")," ")</f>
        <v> </v>
      </c>
      <c r="J215" s="3" t="str">
        <f>IFERROR(__xludf.DUMMYFUNCTION("""COMPUTED_VALUE""")," ")</f>
        <v> </v>
      </c>
      <c r="K215" s="3" t="str">
        <f>IFERROR(__xludf.DUMMYFUNCTION("""COMPUTED_VALUE"""),"Y")</f>
        <v>Y</v>
      </c>
      <c r="L215" s="3" t="str">
        <f>IFERROR(__xludf.DUMMYFUNCTION("""COMPUTED_VALUE"""),"Group 18")</f>
        <v>Group 18</v>
      </c>
      <c r="M215" s="3"/>
      <c r="N215" s="5" t="str">
        <f>IFERROR(__xludf.DUMMYFUNCTION("""COMPUTED_VALUE""")," ")</f>
        <v> </v>
      </c>
      <c r="O215" s="5"/>
    </row>
    <row r="216">
      <c r="A216" s="2" t="str">
        <f>IFERROR(__xludf.DUMMYFUNCTION("""COMPUTED_VALUE"""),"0130")</f>
        <v>0130</v>
      </c>
      <c r="B216" s="2" t="str">
        <f>IFERROR(__xludf.DUMMYFUNCTION("""COMPUTED_VALUE"""),"CHERRY CREEK        5")</f>
        <v>CHERRY CREEK        5</v>
      </c>
      <c r="C216" s="2" t="str">
        <f>IFERROR(__xludf.DUMMYFUNCTION("""COMPUTED_VALUE"""),"08848")</f>
        <v>08848</v>
      </c>
      <c r="D216" s="2" t="str">
        <f>IFERROR(__xludf.DUMMYFUNCTION("""COMPUTED_VALUE"""),"THUNDER RIDGE MIDDLE SCHOOL")</f>
        <v>THUNDER RIDGE MIDDLE SCHOOL</v>
      </c>
      <c r="E216" s="3" t="str">
        <f>IFERROR(__xludf.DUMMYFUNCTION("""COMPUTED_VALUE"""),"Y")</f>
        <v>Y</v>
      </c>
      <c r="F216" s="3" t="str">
        <f>IFERROR(__xludf.DUMMYFUNCTION("""COMPUTED_VALUE"""),"Y")</f>
        <v>Y</v>
      </c>
      <c r="G216" s="3"/>
      <c r="H216" s="3"/>
      <c r="I216" s="3" t="str">
        <f>IFERROR(__xludf.DUMMYFUNCTION("""COMPUTED_VALUE""")," ")</f>
        <v> </v>
      </c>
      <c r="J216" s="3" t="str">
        <f>IFERROR(__xludf.DUMMYFUNCTION("""COMPUTED_VALUE""")," ")</f>
        <v> </v>
      </c>
      <c r="K216" s="3" t="str">
        <f>IFERROR(__xludf.DUMMYFUNCTION("""COMPUTED_VALUE"""),"Y")</f>
        <v>Y</v>
      </c>
      <c r="L216" s="3" t="str">
        <f>IFERROR(__xludf.DUMMYFUNCTION("""COMPUTED_VALUE"""),"Group 15")</f>
        <v>Group 15</v>
      </c>
      <c r="M216" s="3"/>
      <c r="N216" s="5" t="str">
        <f>IFERROR(__xludf.DUMMYFUNCTION("""COMPUTED_VALUE""")," ")</f>
        <v> </v>
      </c>
      <c r="O216" s="5"/>
    </row>
    <row r="217">
      <c r="A217" s="2" t="str">
        <f>IFERROR(__xludf.DUMMYFUNCTION("""COMPUTED_VALUE"""),"0130")</f>
        <v>0130</v>
      </c>
      <c r="B217" s="2" t="str">
        <f>IFERROR(__xludf.DUMMYFUNCTION("""COMPUTED_VALUE"""),"CHERRY CREEK        5")</f>
        <v>CHERRY CREEK        5</v>
      </c>
      <c r="C217" s="2" t="str">
        <f>IFERROR(__xludf.DUMMYFUNCTION("""COMPUTED_VALUE"""),"08850")</f>
        <v>08850</v>
      </c>
      <c r="D217" s="2" t="str">
        <f>IFERROR(__xludf.DUMMYFUNCTION("""COMPUTED_VALUE"""),"TIMBERLINE ELEMENTARY SCHOOL")</f>
        <v>TIMBERLINE ELEMENTARY SCHOOL</v>
      </c>
      <c r="E217" s="3" t="str">
        <f>IFERROR(__xludf.DUMMYFUNCTION("""COMPUTED_VALUE"""),"Y")</f>
        <v>Y</v>
      </c>
      <c r="F217" s="3" t="str">
        <f>IFERROR(__xludf.DUMMYFUNCTION("""COMPUTED_VALUE"""),"Y")</f>
        <v>Y</v>
      </c>
      <c r="G217" s="3"/>
      <c r="H217" s="3"/>
      <c r="I217" s="3" t="str">
        <f>IFERROR(__xludf.DUMMYFUNCTION("""COMPUTED_VALUE""")," ")</f>
        <v> </v>
      </c>
      <c r="J217" s="3" t="str">
        <f>IFERROR(__xludf.DUMMYFUNCTION("""COMPUTED_VALUE""")," ")</f>
        <v> </v>
      </c>
      <c r="K217" s="3" t="str">
        <f>IFERROR(__xludf.DUMMYFUNCTION("""COMPUTED_VALUE"""),"Y")</f>
        <v>Y</v>
      </c>
      <c r="L217" s="3" t="str">
        <f>IFERROR(__xludf.DUMMYFUNCTION("""COMPUTED_VALUE"""),"Group 1")</f>
        <v>Group 1</v>
      </c>
      <c r="M217" s="3"/>
      <c r="N217" s="5" t="str">
        <f>IFERROR(__xludf.DUMMYFUNCTION("""COMPUTED_VALUE""")," ")</f>
        <v> </v>
      </c>
      <c r="O217" s="5"/>
    </row>
    <row r="218">
      <c r="A218" s="2" t="str">
        <f>IFERROR(__xludf.DUMMYFUNCTION("""COMPUTED_VALUE"""),"0130")</f>
        <v>0130</v>
      </c>
      <c r="B218" s="2" t="str">
        <f>IFERROR(__xludf.DUMMYFUNCTION("""COMPUTED_VALUE"""),"CHERRY CREEK        5")</f>
        <v>CHERRY CREEK        5</v>
      </c>
      <c r="C218" s="2" t="str">
        <f>IFERROR(__xludf.DUMMYFUNCTION("""COMPUTED_VALUE"""),"08887")</f>
        <v>08887</v>
      </c>
      <c r="D218" s="2" t="str">
        <f>IFERROR(__xludf.DUMMYFUNCTION("""COMPUTED_VALUE"""),"TRAILS WEST ELEMENTARY SCHOOL")</f>
        <v>TRAILS WEST ELEMENTARY SCHOOL</v>
      </c>
      <c r="E218" s="3" t="str">
        <f>IFERROR(__xludf.DUMMYFUNCTION("""COMPUTED_VALUE"""),"Y")</f>
        <v>Y</v>
      </c>
      <c r="F218" s="3" t="str">
        <f>IFERROR(__xludf.DUMMYFUNCTION("""COMPUTED_VALUE"""),"Y")</f>
        <v>Y</v>
      </c>
      <c r="G218" s="3"/>
      <c r="H218" s="3"/>
      <c r="I218" s="3" t="str">
        <f>IFERROR(__xludf.DUMMYFUNCTION("""COMPUTED_VALUE""")," ")</f>
        <v> </v>
      </c>
      <c r="J218" s="3" t="str">
        <f>IFERROR(__xludf.DUMMYFUNCTION("""COMPUTED_VALUE""")," ")</f>
        <v> </v>
      </c>
      <c r="K218" s="3" t="str">
        <f>IFERROR(__xludf.DUMMYFUNCTION("""COMPUTED_VALUE"""),"Y")</f>
        <v>Y</v>
      </c>
      <c r="L218" s="3" t="str">
        <f>IFERROR(__xludf.DUMMYFUNCTION("""COMPUTED_VALUE"""),"Group 1")</f>
        <v>Group 1</v>
      </c>
      <c r="M218" s="3"/>
      <c r="N218" s="5" t="str">
        <f>IFERROR(__xludf.DUMMYFUNCTION("""COMPUTED_VALUE""")," ")</f>
        <v> </v>
      </c>
      <c r="O218" s="5"/>
    </row>
    <row r="219">
      <c r="A219" s="2" t="str">
        <f>IFERROR(__xludf.DUMMYFUNCTION("""COMPUTED_VALUE"""),"0130")</f>
        <v>0130</v>
      </c>
      <c r="B219" s="2" t="str">
        <f>IFERROR(__xludf.DUMMYFUNCTION("""COMPUTED_VALUE"""),"CHERRY CREEK        5")</f>
        <v>CHERRY CREEK        5</v>
      </c>
      <c r="C219" s="2" t="str">
        <f>IFERROR(__xludf.DUMMYFUNCTION("""COMPUTED_VALUE"""),"09108")</f>
        <v>09108</v>
      </c>
      <c r="D219" s="2" t="str">
        <f>IFERROR(__xludf.DUMMYFUNCTION("""COMPUTED_VALUE"""),"VILLAGE EAST COMMUNITY ELEMENTARY SCHOOL")</f>
        <v>VILLAGE EAST COMMUNITY ELEMENTARY SCHOOL</v>
      </c>
      <c r="E219" s="3" t="str">
        <f>IFERROR(__xludf.DUMMYFUNCTION("""COMPUTED_VALUE"""),"Y")</f>
        <v>Y</v>
      </c>
      <c r="F219" s="3" t="str">
        <f>IFERROR(__xludf.DUMMYFUNCTION("""COMPUTED_VALUE"""),"Y")</f>
        <v>Y</v>
      </c>
      <c r="G219" s="3"/>
      <c r="H219" s="3"/>
      <c r="I219" s="3" t="str">
        <f>IFERROR(__xludf.DUMMYFUNCTION("""COMPUTED_VALUE""")," ")</f>
        <v> </v>
      </c>
      <c r="J219" s="3" t="str">
        <f>IFERROR(__xludf.DUMMYFUNCTION("""COMPUTED_VALUE"""),"Y")</f>
        <v>Y</v>
      </c>
      <c r="K219" s="3" t="str">
        <f>IFERROR(__xludf.DUMMYFUNCTION("""COMPUTED_VALUE"""),"Y")</f>
        <v>Y</v>
      </c>
      <c r="L219" s="3" t="str">
        <f>IFERROR(__xludf.DUMMYFUNCTION("""COMPUTED_VALUE"""),"Group 5")</f>
        <v>Group 5</v>
      </c>
      <c r="M219" s="3"/>
      <c r="N219" s="5" t="str">
        <f>IFERROR(__xludf.DUMMYFUNCTION("""COMPUTED_VALUE"""),"Y")</f>
        <v>Y</v>
      </c>
      <c r="O219" s="5"/>
    </row>
    <row r="220">
      <c r="A220" s="2" t="str">
        <f>IFERROR(__xludf.DUMMYFUNCTION("""COMPUTED_VALUE"""),"0130")</f>
        <v>0130</v>
      </c>
      <c r="B220" s="2" t="str">
        <f>IFERROR(__xludf.DUMMYFUNCTION("""COMPUTED_VALUE"""),"CHERRY CREEK        5")</f>
        <v>CHERRY CREEK        5</v>
      </c>
      <c r="C220" s="2" t="str">
        <f>IFERROR(__xludf.DUMMYFUNCTION("""COMPUTED_VALUE"""),"09200")</f>
        <v>09200</v>
      </c>
      <c r="D220" s="2" t="str">
        <f>IFERROR(__xludf.DUMMYFUNCTION("""COMPUTED_VALUE"""),"WALNUT HILLS COMMUNITY ELEMENTARY SCHOOL")</f>
        <v>WALNUT HILLS COMMUNITY ELEMENTARY SCHOOL</v>
      </c>
      <c r="E220" s="3" t="str">
        <f>IFERROR(__xludf.DUMMYFUNCTION("""COMPUTED_VALUE"""),"Y")</f>
        <v>Y</v>
      </c>
      <c r="F220" s="3" t="str">
        <f>IFERROR(__xludf.DUMMYFUNCTION("""COMPUTED_VALUE"""),"Y")</f>
        <v>Y</v>
      </c>
      <c r="G220" s="3"/>
      <c r="H220" s="3"/>
      <c r="I220" s="3" t="str">
        <f>IFERROR(__xludf.DUMMYFUNCTION("""COMPUTED_VALUE""")," ")</f>
        <v> </v>
      </c>
      <c r="J220" s="3" t="str">
        <f>IFERROR(__xludf.DUMMYFUNCTION("""COMPUTED_VALUE""")," ")</f>
        <v> </v>
      </c>
      <c r="K220" s="3" t="str">
        <f>IFERROR(__xludf.DUMMYFUNCTION("""COMPUTED_VALUE"""),"Y")</f>
        <v>Y</v>
      </c>
      <c r="L220" s="3" t="str">
        <f>IFERROR(__xludf.DUMMYFUNCTION("""COMPUTED_VALUE"""),"Group 1")</f>
        <v>Group 1</v>
      </c>
      <c r="M220" s="3"/>
      <c r="N220" s="5" t="str">
        <f>IFERROR(__xludf.DUMMYFUNCTION("""COMPUTED_VALUE""")," ")</f>
        <v> </v>
      </c>
      <c r="O220" s="5"/>
    </row>
    <row r="221">
      <c r="A221" s="2" t="str">
        <f>IFERROR(__xludf.DUMMYFUNCTION("""COMPUTED_VALUE"""),"0130")</f>
        <v>0130</v>
      </c>
      <c r="B221" s="2" t="str">
        <f>IFERROR(__xludf.DUMMYFUNCTION("""COMPUTED_VALUE"""),"CHERRY CREEK        5")</f>
        <v>CHERRY CREEK        5</v>
      </c>
      <c r="C221" s="2" t="str">
        <f>IFERROR(__xludf.DUMMYFUNCTION("""COMPUTED_VALUE"""),"09624")</f>
        <v>09624</v>
      </c>
      <c r="D221" s="2" t="str">
        <f>IFERROR(__xludf.DUMMYFUNCTION("""COMPUTED_VALUE"""),"WILLOW CREEK ELEMENTARY SCHOOL")</f>
        <v>WILLOW CREEK ELEMENTARY SCHOOL</v>
      </c>
      <c r="E221" s="3" t="str">
        <f>IFERROR(__xludf.DUMMYFUNCTION("""COMPUTED_VALUE"""),"Y")</f>
        <v>Y</v>
      </c>
      <c r="F221" s="3" t="str">
        <f>IFERROR(__xludf.DUMMYFUNCTION("""COMPUTED_VALUE"""),"Y")</f>
        <v>Y</v>
      </c>
      <c r="G221" s="3"/>
      <c r="H221" s="3"/>
      <c r="I221" s="3" t="str">
        <f>IFERROR(__xludf.DUMMYFUNCTION("""COMPUTED_VALUE""")," ")</f>
        <v> </v>
      </c>
      <c r="J221" s="3" t="str">
        <f>IFERROR(__xludf.DUMMYFUNCTION("""COMPUTED_VALUE""")," ")</f>
        <v> </v>
      </c>
      <c r="K221" s="3" t="str">
        <f>IFERROR(__xludf.DUMMYFUNCTION("""COMPUTED_VALUE"""),"Y")</f>
        <v>Y</v>
      </c>
      <c r="L221" s="3" t="str">
        <f>IFERROR(__xludf.DUMMYFUNCTION("""COMPUTED_VALUE""")," ")</f>
        <v> </v>
      </c>
      <c r="M221" s="3"/>
      <c r="N221" s="5" t="str">
        <f>IFERROR(__xludf.DUMMYFUNCTION("""COMPUTED_VALUE""")," ")</f>
        <v> </v>
      </c>
      <c r="O221" s="5"/>
    </row>
    <row r="222">
      <c r="A222" s="2" t="str">
        <f>IFERROR(__xludf.DUMMYFUNCTION("""COMPUTED_VALUE"""),"0130")</f>
        <v>0130</v>
      </c>
      <c r="B222" s="2" t="str">
        <f>IFERROR(__xludf.DUMMYFUNCTION("""COMPUTED_VALUE"""),"CHERRY CREEK        5")</f>
        <v>CHERRY CREEK        5</v>
      </c>
      <c r="C222" s="2" t="str">
        <f>IFERROR(__xludf.DUMMYFUNCTION("""COMPUTED_VALUE"""),"91727")</f>
        <v>91727</v>
      </c>
      <c r="D222" s="2" t="str">
        <f>IFERROR(__xludf.DUMMYFUNCTION("""COMPUTED_VALUE"""),"Traverse Academy")</f>
        <v>Traverse Academy</v>
      </c>
      <c r="E222" s="3" t="str">
        <f>IFERROR(__xludf.DUMMYFUNCTION("""COMPUTED_VALUE"""),"Y")</f>
        <v>Y</v>
      </c>
      <c r="F222" s="3" t="str">
        <f>IFERROR(__xludf.DUMMYFUNCTION("""COMPUTED_VALUE"""),"Y")</f>
        <v>Y</v>
      </c>
      <c r="G222" s="3"/>
      <c r="H222" s="3"/>
      <c r="I222" s="3" t="str">
        <f>IFERROR(__xludf.DUMMYFUNCTION("""COMPUTED_VALUE""")," ")</f>
        <v> </v>
      </c>
      <c r="J222" s="3" t="str">
        <f>IFERROR(__xludf.DUMMYFUNCTION("""COMPUTED_VALUE""")," ")</f>
        <v> </v>
      </c>
      <c r="K222" s="3" t="str">
        <f>IFERROR(__xludf.DUMMYFUNCTION("""COMPUTED_VALUE"""),"Y")</f>
        <v>Y</v>
      </c>
      <c r="L222" s="3" t="str">
        <f>IFERROR(__xludf.DUMMYFUNCTION("""COMPUTED_VALUE""")," ")</f>
        <v> </v>
      </c>
      <c r="M222" s="3"/>
      <c r="N222" s="5" t="str">
        <f>IFERROR(__xludf.DUMMYFUNCTION("""COMPUTED_VALUE""")," ")</f>
        <v> </v>
      </c>
      <c r="O222" s="5"/>
    </row>
    <row r="223">
      <c r="A223" s="2" t="str">
        <f>IFERROR(__xludf.DUMMYFUNCTION("""COMPUTED_VALUE"""),"0140")</f>
        <v>0140</v>
      </c>
      <c r="B223" s="2" t="str">
        <f>IFERROR(__xludf.DUMMYFUNCTION("""COMPUTED_VALUE"""),"Littleton School District 6")</f>
        <v>Littleton School District 6</v>
      </c>
      <c r="C223" s="2" t="str">
        <f>IFERROR(__xludf.DUMMYFUNCTION("""COMPUTED_VALUE"""),"00298")</f>
        <v>00298</v>
      </c>
      <c r="D223" s="2" t="str">
        <f>IFERROR(__xludf.DUMMYFUNCTION("""COMPUTED_VALUE"""),"ARAPAHOE HIGH SCHOOL")</f>
        <v>ARAPAHOE HIGH SCHOOL</v>
      </c>
      <c r="E223" s="3" t="str">
        <f>IFERROR(__xludf.DUMMYFUNCTION("""COMPUTED_VALUE"""),"Y")</f>
        <v>Y</v>
      </c>
      <c r="F223" s="3" t="str">
        <f>IFERROR(__xludf.DUMMYFUNCTION("""COMPUTED_VALUE"""),"Y")</f>
        <v>Y</v>
      </c>
      <c r="G223" s="3"/>
      <c r="H223" s="3"/>
      <c r="I223" s="3" t="str">
        <f>IFERROR(__xludf.DUMMYFUNCTION("""COMPUTED_VALUE""")," ")</f>
        <v> </v>
      </c>
      <c r="J223" s="3" t="str">
        <f>IFERROR(__xludf.DUMMYFUNCTION("""COMPUTED_VALUE""")," ")</f>
        <v> </v>
      </c>
      <c r="K223" s="3" t="str">
        <f>IFERROR(__xludf.DUMMYFUNCTION("""COMPUTED_VALUE"""),"Y")</f>
        <v>Y</v>
      </c>
      <c r="L223" s="3" t="str">
        <f>IFERROR(__xludf.DUMMYFUNCTION("""COMPUTED_VALUE""")," ")</f>
        <v> </v>
      </c>
      <c r="M223" s="3"/>
      <c r="N223" s="5" t="str">
        <f>IFERROR(__xludf.DUMMYFUNCTION("""COMPUTED_VALUE""")," ")</f>
        <v> </v>
      </c>
      <c r="O223" s="5"/>
    </row>
    <row r="224">
      <c r="A224" s="2" t="str">
        <f>IFERROR(__xludf.DUMMYFUNCTION("""COMPUTED_VALUE"""),"0140")</f>
        <v>0140</v>
      </c>
      <c r="B224" s="2" t="str">
        <f>IFERROR(__xludf.DUMMYFUNCTION("""COMPUTED_VALUE"""),"Littleton School District 6")</f>
        <v>Littleton School District 6</v>
      </c>
      <c r="C224" s="2" t="str">
        <f>IFERROR(__xludf.DUMMYFUNCTION("""COMPUTED_VALUE"""),"01145")</f>
        <v>01145</v>
      </c>
      <c r="D224" s="2" t="str">
        <f>IFERROR(__xludf.DUMMYFUNCTION("""COMPUTED_VALUE"""),"The Village ECE")</f>
        <v>The Village ECE</v>
      </c>
      <c r="E224" s="3" t="str">
        <f>IFERROR(__xludf.DUMMYFUNCTION("""COMPUTED_VALUE"""),"Y")</f>
        <v>Y</v>
      </c>
      <c r="F224" s="3" t="str">
        <f>IFERROR(__xludf.DUMMYFUNCTION("""COMPUTED_VALUE"""),"Y")</f>
        <v>Y</v>
      </c>
      <c r="G224" s="3"/>
      <c r="H224" s="3"/>
      <c r="I224" s="3" t="str">
        <f>IFERROR(__xludf.DUMMYFUNCTION("""COMPUTED_VALUE""")," ")</f>
        <v> </v>
      </c>
      <c r="J224" s="3" t="str">
        <f>IFERROR(__xludf.DUMMYFUNCTION("""COMPUTED_VALUE""")," ")</f>
        <v> </v>
      </c>
      <c r="K224" s="3" t="str">
        <f>IFERROR(__xludf.DUMMYFUNCTION("""COMPUTED_VALUE"""),"Y")</f>
        <v>Y</v>
      </c>
      <c r="L224" s="3" t="str">
        <f>IFERROR(__xludf.DUMMYFUNCTION("""COMPUTED_VALUE"""),"Group 1")</f>
        <v>Group 1</v>
      </c>
      <c r="M224" s="3"/>
      <c r="N224" s="5" t="str">
        <f>IFERROR(__xludf.DUMMYFUNCTION("""COMPUTED_VALUE""")," ")</f>
        <v> </v>
      </c>
      <c r="O224" s="5"/>
    </row>
    <row r="225">
      <c r="A225" s="2" t="str">
        <f>IFERROR(__xludf.DUMMYFUNCTION("""COMPUTED_VALUE"""),"0140")</f>
        <v>0140</v>
      </c>
      <c r="B225" s="2" t="str">
        <f>IFERROR(__xludf.DUMMYFUNCTION("""COMPUTED_VALUE"""),"Littleton School District 6")</f>
        <v>Littleton School District 6</v>
      </c>
      <c r="C225" s="2" t="str">
        <f>IFERROR(__xludf.DUMMYFUNCTION("""COMPUTED_VALUE"""),"01382")</f>
        <v>01382</v>
      </c>
      <c r="D225" s="2" t="str">
        <f>IFERROR(__xludf.DUMMYFUNCTION("""COMPUTED_VALUE"""),"CENTENNIAL ACADEMY OF FINE ARTS")</f>
        <v>CENTENNIAL ACADEMY OF FINE ARTS</v>
      </c>
      <c r="E225" s="3" t="str">
        <f>IFERROR(__xludf.DUMMYFUNCTION("""COMPUTED_VALUE"""),"Y")</f>
        <v>Y</v>
      </c>
      <c r="F225" s="3" t="str">
        <f>IFERROR(__xludf.DUMMYFUNCTION("""COMPUTED_VALUE"""),"Y")</f>
        <v>Y</v>
      </c>
      <c r="G225" s="3"/>
      <c r="H225" s="3"/>
      <c r="I225" s="3" t="str">
        <f>IFERROR(__xludf.DUMMYFUNCTION("""COMPUTED_VALUE"""),"Y")</f>
        <v>Y</v>
      </c>
      <c r="J225" s="3" t="str">
        <f>IFERROR(__xludf.DUMMYFUNCTION("""COMPUTED_VALUE""")," ")</f>
        <v> </v>
      </c>
      <c r="K225" s="3" t="str">
        <f>IFERROR(__xludf.DUMMYFUNCTION("""COMPUTED_VALUE"""),"Y")</f>
        <v>Y</v>
      </c>
      <c r="L225" s="3" t="str">
        <f>IFERROR(__xludf.DUMMYFUNCTION("""COMPUTED_VALUE"""),"Group 5")</f>
        <v>Group 5</v>
      </c>
      <c r="M225" s="3"/>
      <c r="N225" s="5" t="str">
        <f>IFERROR(__xludf.DUMMYFUNCTION("""COMPUTED_VALUE""")," ")</f>
        <v> </v>
      </c>
      <c r="O225" s="5"/>
    </row>
    <row r="226">
      <c r="A226" s="2" t="str">
        <f>IFERROR(__xludf.DUMMYFUNCTION("""COMPUTED_VALUE"""),"0140")</f>
        <v>0140</v>
      </c>
      <c r="B226" s="2" t="str">
        <f>IFERROR(__xludf.DUMMYFUNCTION("""COMPUTED_VALUE"""),"Littleton School District 6")</f>
        <v>Littleton School District 6</v>
      </c>
      <c r="C226" s="2" t="str">
        <f>IFERROR(__xludf.DUMMYFUNCTION("""COMPUTED_VALUE"""),"02219")</f>
        <v>02219</v>
      </c>
      <c r="D226" s="2" t="str">
        <f>IFERROR(__xludf.DUMMYFUNCTION("""COMPUTED_VALUE"""),"Ford Elementary School")</f>
        <v>Ford Elementary School</v>
      </c>
      <c r="E226" s="3" t="str">
        <f>IFERROR(__xludf.DUMMYFUNCTION("""COMPUTED_VALUE"""),"Y")</f>
        <v>Y</v>
      </c>
      <c r="F226" s="3" t="str">
        <f>IFERROR(__xludf.DUMMYFUNCTION("""COMPUTED_VALUE"""),"Y")</f>
        <v>Y</v>
      </c>
      <c r="G226" s="3"/>
      <c r="H226" s="3"/>
      <c r="I226" s="3" t="str">
        <f>IFERROR(__xludf.DUMMYFUNCTION("""COMPUTED_VALUE""")," ")</f>
        <v> </v>
      </c>
      <c r="J226" s="3" t="str">
        <f>IFERROR(__xludf.DUMMYFUNCTION("""COMPUTED_VALUE""")," ")</f>
        <v> </v>
      </c>
      <c r="K226" s="3" t="str">
        <f>IFERROR(__xludf.DUMMYFUNCTION("""COMPUTED_VALUE"""),"Y")</f>
        <v>Y</v>
      </c>
      <c r="L226" s="3" t="str">
        <f>IFERROR(__xludf.DUMMYFUNCTION("""COMPUTED_VALUE""")," ")</f>
        <v> </v>
      </c>
      <c r="M226" s="3"/>
      <c r="N226" s="5" t="str">
        <f>IFERROR(__xludf.DUMMYFUNCTION("""COMPUTED_VALUE""")," ")</f>
        <v> </v>
      </c>
      <c r="O226" s="5"/>
    </row>
    <row r="227">
      <c r="A227" s="2" t="str">
        <f>IFERROR(__xludf.DUMMYFUNCTION("""COMPUTED_VALUE"""),"0140")</f>
        <v>0140</v>
      </c>
      <c r="B227" s="2" t="str">
        <f>IFERROR(__xludf.DUMMYFUNCTION("""COMPUTED_VALUE"""),"Littleton School District 6")</f>
        <v>Littleton School District 6</v>
      </c>
      <c r="C227" s="2" t="str">
        <f>IFERROR(__xludf.DUMMYFUNCTION("""COMPUTED_VALUE"""),"02804")</f>
        <v>02804</v>
      </c>
      <c r="D227" s="2" t="str">
        <f>IFERROR(__xludf.DUMMYFUNCTION("""COMPUTED_VALUE"""),"EUCLID MIDDLE SCHOOL")</f>
        <v>EUCLID MIDDLE SCHOOL</v>
      </c>
      <c r="E227" s="3" t="str">
        <f>IFERROR(__xludf.DUMMYFUNCTION("""COMPUTED_VALUE"""),"Y")</f>
        <v>Y</v>
      </c>
      <c r="F227" s="3" t="str">
        <f>IFERROR(__xludf.DUMMYFUNCTION("""COMPUTED_VALUE"""),"Y")</f>
        <v>Y</v>
      </c>
      <c r="G227" s="3"/>
      <c r="H227" s="3"/>
      <c r="I227" s="3" t="str">
        <f>IFERROR(__xludf.DUMMYFUNCTION("""COMPUTED_VALUE""")," ")</f>
        <v> </v>
      </c>
      <c r="J227" s="3" t="str">
        <f>IFERROR(__xludf.DUMMYFUNCTION("""COMPUTED_VALUE""")," ")</f>
        <v> </v>
      </c>
      <c r="K227" s="3" t="str">
        <f>IFERROR(__xludf.DUMMYFUNCTION("""COMPUTED_VALUE"""),"Y")</f>
        <v>Y</v>
      </c>
      <c r="L227" s="3" t="str">
        <f>IFERROR(__xludf.DUMMYFUNCTION("""COMPUTED_VALUE"""),"Group 1")</f>
        <v>Group 1</v>
      </c>
      <c r="M227" s="3"/>
      <c r="N227" s="5" t="str">
        <f>IFERROR(__xludf.DUMMYFUNCTION("""COMPUTED_VALUE""")," ")</f>
        <v> </v>
      </c>
      <c r="O227" s="5"/>
    </row>
    <row r="228">
      <c r="A228" s="2" t="str">
        <f>IFERROR(__xludf.DUMMYFUNCTION("""COMPUTED_VALUE"""),"0140")</f>
        <v>0140</v>
      </c>
      <c r="B228" s="2" t="str">
        <f>IFERROR(__xludf.DUMMYFUNCTION("""COMPUTED_VALUE"""),"Littleton School District 6")</f>
        <v>Littleton School District 6</v>
      </c>
      <c r="C228" s="2" t="str">
        <f>IFERROR(__xludf.DUMMYFUNCTION("""COMPUTED_VALUE"""),"02926")</f>
        <v>02926</v>
      </c>
      <c r="D228" s="2" t="str">
        <f>IFERROR(__xludf.DUMMYFUNCTION("""COMPUTED_VALUE"""),"FIELD ELEMENTARY SCHOOL")</f>
        <v>FIELD ELEMENTARY SCHOOL</v>
      </c>
      <c r="E228" s="3" t="str">
        <f>IFERROR(__xludf.DUMMYFUNCTION("""COMPUTED_VALUE"""),"Y")</f>
        <v>Y</v>
      </c>
      <c r="F228" s="3" t="str">
        <f>IFERROR(__xludf.DUMMYFUNCTION("""COMPUTED_VALUE"""),"Y")</f>
        <v>Y</v>
      </c>
      <c r="G228" s="3" t="str">
        <f>IFERROR(__xludf.DUMMYFUNCTION("""COMPUTED_VALUE"""),"Y")</f>
        <v>Y</v>
      </c>
      <c r="H228" s="3"/>
      <c r="I228" s="3" t="str">
        <f>IFERROR(__xludf.DUMMYFUNCTION("""COMPUTED_VALUE"""),"Y")</f>
        <v>Y</v>
      </c>
      <c r="J228" s="3" t="str">
        <f>IFERROR(__xludf.DUMMYFUNCTION("""COMPUTED_VALUE""")," ")</f>
        <v> </v>
      </c>
      <c r="K228" s="3" t="str">
        <f>IFERROR(__xludf.DUMMYFUNCTION("""COMPUTED_VALUE"""),"Y")</f>
        <v>Y</v>
      </c>
      <c r="L228" s="3" t="str">
        <f>IFERROR(__xludf.DUMMYFUNCTION("""COMPUTED_VALUE"""),"Group 4")</f>
        <v>Group 4</v>
      </c>
      <c r="M228" s="3"/>
      <c r="N228" s="5" t="str">
        <f>IFERROR(__xludf.DUMMYFUNCTION("""COMPUTED_VALUE"""),"Y")</f>
        <v>Y</v>
      </c>
      <c r="O228" s="5"/>
    </row>
    <row r="229">
      <c r="A229" s="2" t="str">
        <f>IFERROR(__xludf.DUMMYFUNCTION("""COMPUTED_VALUE"""),"0140")</f>
        <v>0140</v>
      </c>
      <c r="B229" s="2" t="str">
        <f>IFERROR(__xludf.DUMMYFUNCTION("""COMPUTED_VALUE"""),"Littleton School District 6")</f>
        <v>Littleton School District 6</v>
      </c>
      <c r="C229" s="2" t="str">
        <f>IFERROR(__xludf.DUMMYFUNCTION("""COMPUTED_VALUE"""),"03472")</f>
        <v>03472</v>
      </c>
      <c r="D229" s="2" t="str">
        <f>IFERROR(__xludf.DUMMYFUNCTION("""COMPUTED_VALUE"""),"GODDARD MIDDLE SCHOOL")</f>
        <v>GODDARD MIDDLE SCHOOL</v>
      </c>
      <c r="E229" s="3" t="str">
        <f>IFERROR(__xludf.DUMMYFUNCTION("""COMPUTED_VALUE"""),"Y")</f>
        <v>Y</v>
      </c>
      <c r="F229" s="3" t="str">
        <f>IFERROR(__xludf.DUMMYFUNCTION("""COMPUTED_VALUE"""),"Y")</f>
        <v>Y</v>
      </c>
      <c r="G229" s="3"/>
      <c r="H229" s="3"/>
      <c r="I229" s="3" t="str">
        <f>IFERROR(__xludf.DUMMYFUNCTION("""COMPUTED_VALUE""")," ")</f>
        <v> </v>
      </c>
      <c r="J229" s="3" t="str">
        <f>IFERROR(__xludf.DUMMYFUNCTION("""COMPUTED_VALUE""")," ")</f>
        <v> </v>
      </c>
      <c r="K229" s="3" t="str">
        <f>IFERROR(__xludf.DUMMYFUNCTION("""COMPUTED_VALUE"""),"Y")</f>
        <v>Y</v>
      </c>
      <c r="L229" s="3" t="str">
        <f>IFERROR(__xludf.DUMMYFUNCTION("""COMPUTED_VALUE"""),"Group 2")</f>
        <v>Group 2</v>
      </c>
      <c r="M229" s="3"/>
      <c r="N229" s="5" t="str">
        <f>IFERROR(__xludf.DUMMYFUNCTION("""COMPUTED_VALUE""")," ")</f>
        <v> </v>
      </c>
      <c r="O229" s="5"/>
    </row>
    <row r="230">
      <c r="A230" s="2" t="str">
        <f>IFERROR(__xludf.DUMMYFUNCTION("""COMPUTED_VALUE"""),"0140")</f>
        <v>0140</v>
      </c>
      <c r="B230" s="2" t="str">
        <f>IFERROR(__xludf.DUMMYFUNCTION("""COMPUTED_VALUE"""),"Littleton School District 6")</f>
        <v>Littleton School District 6</v>
      </c>
      <c r="C230" s="2" t="str">
        <f>IFERROR(__xludf.DUMMYFUNCTION("""COMPUTED_VALUE"""),"03930")</f>
        <v>03930</v>
      </c>
      <c r="D230" s="2" t="str">
        <f>IFERROR(__xludf.DUMMYFUNCTION("""COMPUTED_VALUE"""),"HERITAGE HIGH SCHOOL")</f>
        <v>HERITAGE HIGH SCHOOL</v>
      </c>
      <c r="E230" s="3" t="str">
        <f>IFERROR(__xludf.DUMMYFUNCTION("""COMPUTED_VALUE"""),"Y")</f>
        <v>Y</v>
      </c>
      <c r="F230" s="3" t="str">
        <f>IFERROR(__xludf.DUMMYFUNCTION("""COMPUTED_VALUE"""),"Y")</f>
        <v>Y</v>
      </c>
      <c r="G230" s="3"/>
      <c r="H230" s="3"/>
      <c r="I230" s="3" t="str">
        <f>IFERROR(__xludf.DUMMYFUNCTION("""COMPUTED_VALUE""")," ")</f>
        <v> </v>
      </c>
      <c r="J230" s="3" t="str">
        <f>IFERROR(__xludf.DUMMYFUNCTION("""COMPUTED_VALUE""")," ")</f>
        <v> </v>
      </c>
      <c r="K230" s="3" t="str">
        <f>IFERROR(__xludf.DUMMYFUNCTION("""COMPUTED_VALUE"""),"Y")</f>
        <v>Y</v>
      </c>
      <c r="L230" s="3" t="str">
        <f>IFERROR(__xludf.DUMMYFUNCTION("""COMPUTED_VALUE""")," ")</f>
        <v> </v>
      </c>
      <c r="M230" s="3"/>
      <c r="N230" s="5" t="str">
        <f>IFERROR(__xludf.DUMMYFUNCTION("""COMPUTED_VALUE""")," ")</f>
        <v> </v>
      </c>
      <c r="O230" s="5"/>
    </row>
    <row r="231">
      <c r="A231" s="2" t="str">
        <f>IFERROR(__xludf.DUMMYFUNCTION("""COMPUTED_VALUE"""),"0140")</f>
        <v>0140</v>
      </c>
      <c r="B231" s="2" t="str">
        <f>IFERROR(__xludf.DUMMYFUNCTION("""COMPUTED_VALUE"""),"Littleton School District 6")</f>
        <v>Littleton School District 6</v>
      </c>
      <c r="C231" s="2" t="str">
        <f>IFERROR(__xludf.DUMMYFUNCTION("""COMPUTED_VALUE"""),"04316")</f>
        <v>04316</v>
      </c>
      <c r="D231" s="2" t="str">
        <f>IFERROR(__xludf.DUMMYFUNCTION("""COMPUTED_VALUE"""),"NEWTON MIDDLE SCHOOL")</f>
        <v>NEWTON MIDDLE SCHOOL</v>
      </c>
      <c r="E231" s="3" t="str">
        <f>IFERROR(__xludf.DUMMYFUNCTION("""COMPUTED_VALUE"""),"Y")</f>
        <v>Y</v>
      </c>
      <c r="F231" s="3" t="str">
        <f>IFERROR(__xludf.DUMMYFUNCTION("""COMPUTED_VALUE"""),"Y")</f>
        <v>Y</v>
      </c>
      <c r="G231" s="3"/>
      <c r="H231" s="3"/>
      <c r="I231" s="3" t="str">
        <f>IFERROR(__xludf.DUMMYFUNCTION("""COMPUTED_VALUE""")," ")</f>
        <v> </v>
      </c>
      <c r="J231" s="3" t="str">
        <f>IFERROR(__xludf.DUMMYFUNCTION("""COMPUTED_VALUE""")," ")</f>
        <v> </v>
      </c>
      <c r="K231" s="3" t="str">
        <f>IFERROR(__xludf.DUMMYFUNCTION("""COMPUTED_VALUE"""),"Y")</f>
        <v>Y</v>
      </c>
      <c r="L231" s="3" t="str">
        <f>IFERROR(__xludf.DUMMYFUNCTION("""COMPUTED_VALUE""")," ")</f>
        <v> </v>
      </c>
      <c r="M231" s="3"/>
      <c r="N231" s="5" t="str">
        <f>IFERROR(__xludf.DUMMYFUNCTION("""COMPUTED_VALUE""")," ")</f>
        <v> </v>
      </c>
      <c r="O231" s="5"/>
    </row>
    <row r="232">
      <c r="A232" s="2" t="str">
        <f>IFERROR(__xludf.DUMMYFUNCTION("""COMPUTED_VALUE"""),"0140")</f>
        <v>0140</v>
      </c>
      <c r="B232" s="2" t="str">
        <f>IFERROR(__xludf.DUMMYFUNCTION("""COMPUTED_VALUE"""),"Littleton School District 6")</f>
        <v>Littleton School District 6</v>
      </c>
      <c r="C232" s="2" t="str">
        <f>IFERROR(__xludf.DUMMYFUNCTION("""COMPUTED_VALUE"""),"04447")</f>
        <v>04447</v>
      </c>
      <c r="D232" s="2" t="str">
        <f>IFERROR(__xludf.DUMMYFUNCTION("""COMPUTED_VALUE"""),"JOHN WESLEY POWELL MIDDLE SCHOOL")</f>
        <v>JOHN WESLEY POWELL MIDDLE SCHOOL</v>
      </c>
      <c r="E232" s="3" t="str">
        <f>IFERROR(__xludf.DUMMYFUNCTION("""COMPUTED_VALUE"""),"Y")</f>
        <v>Y</v>
      </c>
      <c r="F232" s="3" t="str">
        <f>IFERROR(__xludf.DUMMYFUNCTION("""COMPUTED_VALUE"""),"Y")</f>
        <v>Y</v>
      </c>
      <c r="G232" s="3"/>
      <c r="H232" s="3"/>
      <c r="I232" s="3" t="str">
        <f>IFERROR(__xludf.DUMMYFUNCTION("""COMPUTED_VALUE""")," ")</f>
        <v> </v>
      </c>
      <c r="J232" s="3" t="str">
        <f>IFERROR(__xludf.DUMMYFUNCTION("""COMPUTED_VALUE""")," ")</f>
        <v> </v>
      </c>
      <c r="K232" s="3" t="str">
        <f>IFERROR(__xludf.DUMMYFUNCTION("""COMPUTED_VALUE"""),"Y")</f>
        <v>Y</v>
      </c>
      <c r="L232" s="3" t="str">
        <f>IFERROR(__xludf.DUMMYFUNCTION("""COMPUTED_VALUE"""),"Group 1")</f>
        <v>Group 1</v>
      </c>
      <c r="M232" s="3"/>
      <c r="N232" s="5" t="str">
        <f>IFERROR(__xludf.DUMMYFUNCTION("""COMPUTED_VALUE""")," ")</f>
        <v> </v>
      </c>
      <c r="O232" s="5"/>
    </row>
    <row r="233">
      <c r="A233" s="2" t="str">
        <f>IFERROR(__xludf.DUMMYFUNCTION("""COMPUTED_VALUE"""),"0140")</f>
        <v>0140</v>
      </c>
      <c r="B233" s="2" t="str">
        <f>IFERROR(__xludf.DUMMYFUNCTION("""COMPUTED_VALUE"""),"Littleton School District 6")</f>
        <v>Littleton School District 6</v>
      </c>
      <c r="C233" s="2" t="str">
        <f>IFERROR(__xludf.DUMMYFUNCTION("""COMPUTED_VALUE"""),"05224")</f>
        <v>05224</v>
      </c>
      <c r="D233" s="2" t="str">
        <f>IFERROR(__xludf.DUMMYFUNCTION("""COMPUTED_VALUE"""),"LITTLETON HIGH SCHOOL")</f>
        <v>LITTLETON HIGH SCHOOL</v>
      </c>
      <c r="E233" s="3" t="str">
        <f>IFERROR(__xludf.DUMMYFUNCTION("""COMPUTED_VALUE"""),"Y")</f>
        <v>Y</v>
      </c>
      <c r="F233" s="3" t="str">
        <f>IFERROR(__xludf.DUMMYFUNCTION("""COMPUTED_VALUE"""),"Y")</f>
        <v>Y</v>
      </c>
      <c r="G233" s="3"/>
      <c r="H233" s="3"/>
      <c r="I233" s="3" t="str">
        <f>IFERROR(__xludf.DUMMYFUNCTION("""COMPUTED_VALUE""")," ")</f>
        <v> </v>
      </c>
      <c r="J233" s="3" t="str">
        <f>IFERROR(__xludf.DUMMYFUNCTION("""COMPUTED_VALUE""")," ")</f>
        <v> </v>
      </c>
      <c r="K233" s="3" t="str">
        <f>IFERROR(__xludf.DUMMYFUNCTION("""COMPUTED_VALUE"""),"Y")</f>
        <v>Y</v>
      </c>
      <c r="L233" s="3" t="str">
        <f>IFERROR(__xludf.DUMMYFUNCTION("""COMPUTED_VALUE"""),"Group 1")</f>
        <v>Group 1</v>
      </c>
      <c r="M233" s="3"/>
      <c r="N233" s="5" t="str">
        <f>IFERROR(__xludf.DUMMYFUNCTION("""COMPUTED_VALUE""")," ")</f>
        <v> </v>
      </c>
      <c r="O233" s="5"/>
    </row>
    <row r="234">
      <c r="A234" s="2" t="str">
        <f>IFERROR(__xludf.DUMMYFUNCTION("""COMPUTED_VALUE"""),"0140")</f>
        <v>0140</v>
      </c>
      <c r="B234" s="2" t="str">
        <f>IFERROR(__xludf.DUMMYFUNCTION("""COMPUTED_VALUE"""),"Littleton School District 6")</f>
        <v>Littleton School District 6</v>
      </c>
      <c r="C234" s="2" t="str">
        <f>IFERROR(__xludf.DUMMYFUNCTION("""COMPUTED_VALUE"""),"05229")</f>
        <v>05229</v>
      </c>
      <c r="D234" s="2" t="str">
        <f>IFERROR(__xludf.DUMMYFUNCTION("""COMPUTED_VALUE"""),"LITTLETON ACADEMY")</f>
        <v>LITTLETON ACADEMY</v>
      </c>
      <c r="E234" s="3"/>
      <c r="F234" s="3" t="str">
        <f>IFERROR(__xludf.DUMMYFUNCTION("""COMPUTED_VALUE"""),"Y")</f>
        <v>Y</v>
      </c>
      <c r="G234" s="3"/>
      <c r="H234" s="3"/>
      <c r="I234" s="3" t="str">
        <f>IFERROR(__xludf.DUMMYFUNCTION("""COMPUTED_VALUE""")," ")</f>
        <v> </v>
      </c>
      <c r="J234" s="3" t="str">
        <f>IFERROR(__xludf.DUMMYFUNCTION("""COMPUTED_VALUE""")," ")</f>
        <v> </v>
      </c>
      <c r="K234" s="3" t="str">
        <f>IFERROR(__xludf.DUMMYFUNCTION("""COMPUTED_VALUE"""),"Y")</f>
        <v>Y</v>
      </c>
      <c r="L234" s="3" t="str">
        <f>IFERROR(__xludf.DUMMYFUNCTION("""COMPUTED_VALUE""")," ")</f>
        <v> </v>
      </c>
      <c r="M234" s="3"/>
      <c r="N234" s="5" t="str">
        <f>IFERROR(__xludf.DUMMYFUNCTION("""COMPUTED_VALUE""")," ")</f>
        <v> </v>
      </c>
      <c r="O234" s="5"/>
    </row>
    <row r="235">
      <c r="A235" s="2" t="str">
        <f>IFERROR(__xludf.DUMMYFUNCTION("""COMPUTED_VALUE"""),"0140")</f>
        <v>0140</v>
      </c>
      <c r="B235" s="2" t="str">
        <f>IFERROR(__xludf.DUMMYFUNCTION("""COMPUTED_VALUE"""),"Littleton School District 6")</f>
        <v>Littleton School District 6</v>
      </c>
      <c r="C235" s="2" t="str">
        <f>IFERROR(__xludf.DUMMYFUNCTION("""COMPUTED_VALUE"""),"05233")</f>
        <v>05233</v>
      </c>
      <c r="D235" s="2" t="str">
        <f>IFERROR(__xludf.DUMMYFUNCTION("""COMPUTED_VALUE"""),"LITTLETON PREP CHARTER SCHOOL")</f>
        <v>LITTLETON PREP CHARTER SCHOOL</v>
      </c>
      <c r="E235" s="3" t="str">
        <f>IFERROR(__xludf.DUMMYFUNCTION("""COMPUTED_VALUE"""),"Y")</f>
        <v>Y</v>
      </c>
      <c r="F235" s="3" t="str">
        <f>IFERROR(__xludf.DUMMYFUNCTION("""COMPUTED_VALUE"""),"Y")</f>
        <v>Y</v>
      </c>
      <c r="G235" s="3"/>
      <c r="H235" s="3"/>
      <c r="I235" s="3" t="str">
        <f>IFERROR(__xludf.DUMMYFUNCTION("""COMPUTED_VALUE""")," ")</f>
        <v> </v>
      </c>
      <c r="J235" s="3" t="str">
        <f>IFERROR(__xludf.DUMMYFUNCTION("""COMPUTED_VALUE""")," ")</f>
        <v> </v>
      </c>
      <c r="K235" s="3" t="str">
        <f>IFERROR(__xludf.DUMMYFUNCTION("""COMPUTED_VALUE"""),"Y")</f>
        <v>Y</v>
      </c>
      <c r="L235" s="3" t="str">
        <f>IFERROR(__xludf.DUMMYFUNCTION("""COMPUTED_VALUE"""),"Group 5")</f>
        <v>Group 5</v>
      </c>
      <c r="M235" s="3"/>
      <c r="N235" s="5" t="str">
        <f>IFERROR(__xludf.DUMMYFUNCTION("""COMPUTED_VALUE""")," ")</f>
        <v> </v>
      </c>
      <c r="O235" s="5"/>
    </row>
    <row r="236">
      <c r="A236" s="2" t="str">
        <f>IFERROR(__xludf.DUMMYFUNCTION("""COMPUTED_VALUE"""),"0140")</f>
        <v>0140</v>
      </c>
      <c r="B236" s="2" t="str">
        <f>IFERROR(__xludf.DUMMYFUNCTION("""COMPUTED_VALUE"""),"Littleton School District 6")</f>
        <v>Littleton School District 6</v>
      </c>
      <c r="C236" s="2" t="str">
        <f>IFERROR(__xludf.DUMMYFUNCTION("""COMPUTED_VALUE"""),"05236")</f>
        <v>05236</v>
      </c>
      <c r="D236" s="2" t="str">
        <f>IFERROR(__xludf.DUMMYFUNCTION("""COMPUTED_VALUE"""),"LOIS LENSKI ELEMENTARY SCHOOL")</f>
        <v>LOIS LENSKI ELEMENTARY SCHOOL</v>
      </c>
      <c r="E236" s="3" t="str">
        <f>IFERROR(__xludf.DUMMYFUNCTION("""COMPUTED_VALUE"""),"Y")</f>
        <v>Y</v>
      </c>
      <c r="F236" s="3" t="str">
        <f>IFERROR(__xludf.DUMMYFUNCTION("""COMPUTED_VALUE"""),"Y")</f>
        <v>Y</v>
      </c>
      <c r="G236" s="3"/>
      <c r="H236" s="3"/>
      <c r="I236" s="3" t="str">
        <f>IFERROR(__xludf.DUMMYFUNCTION("""COMPUTED_VALUE""")," ")</f>
        <v> </v>
      </c>
      <c r="J236" s="3" t="str">
        <f>IFERROR(__xludf.DUMMYFUNCTION("""COMPUTED_VALUE""")," ")</f>
        <v> </v>
      </c>
      <c r="K236" s="3" t="str">
        <f>IFERROR(__xludf.DUMMYFUNCTION("""COMPUTED_VALUE"""),"Y")</f>
        <v>Y</v>
      </c>
      <c r="L236" s="3" t="str">
        <f>IFERROR(__xludf.DUMMYFUNCTION("""COMPUTED_VALUE""")," ")</f>
        <v> </v>
      </c>
      <c r="M236" s="3"/>
      <c r="N236" s="5" t="str">
        <f>IFERROR(__xludf.DUMMYFUNCTION("""COMPUTED_VALUE""")," ")</f>
        <v> </v>
      </c>
      <c r="O236" s="5"/>
    </row>
    <row r="237">
      <c r="A237" s="2" t="str">
        <f>IFERROR(__xludf.DUMMYFUNCTION("""COMPUTED_VALUE"""),"0140")</f>
        <v>0140</v>
      </c>
      <c r="B237" s="2" t="str">
        <f>IFERROR(__xludf.DUMMYFUNCTION("""COMPUTED_VALUE"""),"Littleton School District 6")</f>
        <v>Littleton School District 6</v>
      </c>
      <c r="C237" s="2" t="str">
        <f>IFERROR(__xludf.DUMMYFUNCTION("""COMPUTED_VALUE"""),"05572")</f>
        <v>05572</v>
      </c>
      <c r="D237" s="2" t="str">
        <f>IFERROR(__xludf.DUMMYFUNCTION("""COMPUTED_VALUE"""),"HOPKINS ELEMENTARY SCHOOL")</f>
        <v>HOPKINS ELEMENTARY SCHOOL</v>
      </c>
      <c r="E237" s="3" t="str">
        <f>IFERROR(__xludf.DUMMYFUNCTION("""COMPUTED_VALUE"""),"Y")</f>
        <v>Y</v>
      </c>
      <c r="F237" s="3" t="str">
        <f>IFERROR(__xludf.DUMMYFUNCTION("""COMPUTED_VALUE"""),"Y")</f>
        <v>Y</v>
      </c>
      <c r="G237" s="3"/>
      <c r="H237" s="3"/>
      <c r="I237" s="3" t="str">
        <f>IFERROR(__xludf.DUMMYFUNCTION("""COMPUTED_VALUE""")," ")</f>
        <v> </v>
      </c>
      <c r="J237" s="3" t="str">
        <f>IFERROR(__xludf.DUMMYFUNCTION("""COMPUTED_VALUE""")," ")</f>
        <v> </v>
      </c>
      <c r="K237" s="3" t="str">
        <f>IFERROR(__xludf.DUMMYFUNCTION("""COMPUTED_VALUE"""),"Y")</f>
        <v>Y</v>
      </c>
      <c r="L237" s="3" t="str">
        <f>IFERROR(__xludf.DUMMYFUNCTION("""COMPUTED_VALUE"""),"Group 3")</f>
        <v>Group 3</v>
      </c>
      <c r="M237" s="3"/>
      <c r="N237" s="5" t="str">
        <f>IFERROR(__xludf.DUMMYFUNCTION("""COMPUTED_VALUE""")," ")</f>
        <v> </v>
      </c>
      <c r="O237" s="5"/>
    </row>
    <row r="238">
      <c r="A238" s="2" t="str">
        <f>IFERROR(__xludf.DUMMYFUNCTION("""COMPUTED_VALUE"""),"0140")</f>
        <v>0140</v>
      </c>
      <c r="B238" s="2" t="str">
        <f>IFERROR(__xludf.DUMMYFUNCTION("""COMPUTED_VALUE"""),"Littleton School District 6")</f>
        <v>Littleton School District 6</v>
      </c>
      <c r="C238" s="2" t="str">
        <f>IFERROR(__xludf.DUMMYFUNCTION("""COMPUTED_VALUE"""),"05875")</f>
        <v>05875</v>
      </c>
      <c r="D238" s="2" t="str">
        <f>IFERROR(__xludf.DUMMYFUNCTION("""COMPUTED_VALUE"""),"Gudy Gaskill Elementary School")</f>
        <v>Gudy Gaskill Elementary School</v>
      </c>
      <c r="E238" s="3" t="str">
        <f>IFERROR(__xludf.DUMMYFUNCTION("""COMPUTED_VALUE"""),"Y")</f>
        <v>Y</v>
      </c>
      <c r="F238" s="3" t="str">
        <f>IFERROR(__xludf.DUMMYFUNCTION("""COMPUTED_VALUE"""),"Y")</f>
        <v>Y</v>
      </c>
      <c r="G238" s="3"/>
      <c r="H238" s="3"/>
      <c r="I238" s="3" t="str">
        <f>IFERROR(__xludf.DUMMYFUNCTION("""COMPUTED_VALUE""")," ")</f>
        <v> </v>
      </c>
      <c r="J238" s="3" t="str">
        <f>IFERROR(__xludf.DUMMYFUNCTION("""COMPUTED_VALUE""")," ")</f>
        <v> </v>
      </c>
      <c r="K238" s="3" t="str">
        <f>IFERROR(__xludf.DUMMYFUNCTION("""COMPUTED_VALUE"""),"Y")</f>
        <v>Y</v>
      </c>
      <c r="L238" s="3" t="str">
        <f>IFERROR(__xludf.DUMMYFUNCTION("""COMPUTED_VALUE"""),"Group 1")</f>
        <v>Group 1</v>
      </c>
      <c r="M238" s="3"/>
      <c r="N238" s="5" t="str">
        <f>IFERROR(__xludf.DUMMYFUNCTION("""COMPUTED_VALUE""")," ")</f>
        <v> </v>
      </c>
      <c r="O238" s="5"/>
    </row>
    <row r="239">
      <c r="A239" s="2" t="str">
        <f>IFERROR(__xludf.DUMMYFUNCTION("""COMPUTED_VALUE"""),"0140")</f>
        <v>0140</v>
      </c>
      <c r="B239" s="2" t="str">
        <f>IFERROR(__xludf.DUMMYFUNCTION("""COMPUTED_VALUE"""),"Littleton School District 6")</f>
        <v>Littleton School District 6</v>
      </c>
      <c r="C239" s="2" t="str">
        <f>IFERROR(__xludf.DUMMYFUNCTION("""COMPUTED_VALUE"""),"07518")</f>
        <v>07518</v>
      </c>
      <c r="D239" s="2" t="str">
        <f>IFERROR(__xludf.DUMMYFUNCTION("""COMPUTED_VALUE"""),"RUNYON ELEMENTARY SCHOOL")</f>
        <v>RUNYON ELEMENTARY SCHOOL</v>
      </c>
      <c r="E239" s="3" t="str">
        <f>IFERROR(__xludf.DUMMYFUNCTION("""COMPUTED_VALUE"""),"Y")</f>
        <v>Y</v>
      </c>
      <c r="F239" s="3" t="str">
        <f>IFERROR(__xludf.DUMMYFUNCTION("""COMPUTED_VALUE"""),"Y")</f>
        <v>Y</v>
      </c>
      <c r="G239" s="3"/>
      <c r="H239" s="3"/>
      <c r="I239" s="3" t="str">
        <f>IFERROR(__xludf.DUMMYFUNCTION("""COMPUTED_VALUE""")," ")</f>
        <v> </v>
      </c>
      <c r="J239" s="3" t="str">
        <f>IFERROR(__xludf.DUMMYFUNCTION("""COMPUTED_VALUE""")," ")</f>
        <v> </v>
      </c>
      <c r="K239" s="3" t="str">
        <f>IFERROR(__xludf.DUMMYFUNCTION("""COMPUTED_VALUE"""),"Y")</f>
        <v>Y</v>
      </c>
      <c r="L239" s="3" t="str">
        <f>IFERROR(__xludf.DUMMYFUNCTION("""COMPUTED_VALUE""")," ")</f>
        <v> </v>
      </c>
      <c r="M239" s="3"/>
      <c r="N239" s="5" t="str">
        <f>IFERROR(__xludf.DUMMYFUNCTION("""COMPUTED_VALUE""")," ")</f>
        <v> </v>
      </c>
      <c r="O239" s="5"/>
    </row>
    <row r="240">
      <c r="A240" s="2" t="str">
        <f>IFERROR(__xludf.DUMMYFUNCTION("""COMPUTED_VALUE"""),"0140")</f>
        <v>0140</v>
      </c>
      <c r="B240" s="2" t="str">
        <f>IFERROR(__xludf.DUMMYFUNCTION("""COMPUTED_VALUE"""),"Littleton School District 6")</f>
        <v>Littleton School District 6</v>
      </c>
      <c r="C240" s="2" t="str">
        <f>IFERROR(__xludf.DUMMYFUNCTION("""COMPUTED_VALUE"""),"07606")</f>
        <v>07606</v>
      </c>
      <c r="D240" s="2" t="str">
        <f>IFERROR(__xludf.DUMMYFUNCTION("""COMPUTED_VALUE"""),"SANDBURG ELEMENTARY SCHOOL")</f>
        <v>SANDBURG ELEMENTARY SCHOOL</v>
      </c>
      <c r="E240" s="3" t="str">
        <f>IFERROR(__xludf.DUMMYFUNCTION("""COMPUTED_VALUE"""),"Y")</f>
        <v>Y</v>
      </c>
      <c r="F240" s="3" t="str">
        <f>IFERROR(__xludf.DUMMYFUNCTION("""COMPUTED_VALUE"""),"Y")</f>
        <v>Y</v>
      </c>
      <c r="G240" s="3"/>
      <c r="H240" s="3"/>
      <c r="I240" s="3" t="str">
        <f>IFERROR(__xludf.DUMMYFUNCTION("""COMPUTED_VALUE""")," ")</f>
        <v> </v>
      </c>
      <c r="J240" s="3" t="str">
        <f>IFERROR(__xludf.DUMMYFUNCTION("""COMPUTED_VALUE""")," ")</f>
        <v> </v>
      </c>
      <c r="K240" s="3" t="str">
        <f>IFERROR(__xludf.DUMMYFUNCTION("""COMPUTED_VALUE"""),"Y")</f>
        <v>Y</v>
      </c>
      <c r="L240" s="3" t="str">
        <f>IFERROR(__xludf.DUMMYFUNCTION("""COMPUTED_VALUE""")," ")</f>
        <v> </v>
      </c>
      <c r="M240" s="3"/>
      <c r="N240" s="5" t="str">
        <f>IFERROR(__xludf.DUMMYFUNCTION("""COMPUTED_VALUE""")," ")</f>
        <v> </v>
      </c>
      <c r="O240" s="5"/>
    </row>
    <row r="241">
      <c r="A241" s="2" t="str">
        <f>IFERROR(__xludf.DUMMYFUNCTION("""COMPUTED_VALUE"""),"0140")</f>
        <v>0140</v>
      </c>
      <c r="B241" s="2" t="str">
        <f>IFERROR(__xludf.DUMMYFUNCTION("""COMPUTED_VALUE"""),"Littleton School District 6")</f>
        <v>Littleton School District 6</v>
      </c>
      <c r="C241" s="2" t="str">
        <f>IFERROR(__xludf.DUMMYFUNCTION("""COMPUTED_VALUE"""),"08064")</f>
        <v>08064</v>
      </c>
      <c r="D241" s="2" t="str">
        <f>IFERROR(__xludf.DUMMYFUNCTION("""COMPUTED_VALUE"""),"Little Raven Elementary")</f>
        <v>Little Raven Elementary</v>
      </c>
      <c r="E241" s="3" t="str">
        <f>IFERROR(__xludf.DUMMYFUNCTION("""COMPUTED_VALUE"""),"Y")</f>
        <v>Y</v>
      </c>
      <c r="F241" s="3" t="str">
        <f>IFERROR(__xludf.DUMMYFUNCTION("""COMPUTED_VALUE"""),"Y")</f>
        <v>Y</v>
      </c>
      <c r="G241" s="3"/>
      <c r="H241" s="3"/>
      <c r="I241" s="3" t="str">
        <f>IFERROR(__xludf.DUMMYFUNCTION("""COMPUTED_VALUE""")," ")</f>
        <v> </v>
      </c>
      <c r="J241" s="3" t="str">
        <f>IFERROR(__xludf.DUMMYFUNCTION("""COMPUTED_VALUE""")," ")</f>
        <v> </v>
      </c>
      <c r="K241" s="3" t="str">
        <f>IFERROR(__xludf.DUMMYFUNCTION("""COMPUTED_VALUE"""),"Y")</f>
        <v>Y</v>
      </c>
      <c r="L241" s="3" t="str">
        <f>IFERROR(__xludf.DUMMYFUNCTION("""COMPUTED_VALUE"""),"Group 3")</f>
        <v>Group 3</v>
      </c>
      <c r="M241" s="3"/>
      <c r="N241" s="5" t="str">
        <f>IFERROR(__xludf.DUMMYFUNCTION("""COMPUTED_VALUE""")," ")</f>
        <v> </v>
      </c>
      <c r="O241" s="5"/>
    </row>
    <row r="242">
      <c r="A242" s="2" t="str">
        <f>IFERROR(__xludf.DUMMYFUNCTION("""COMPUTED_VALUE"""),"0140")</f>
        <v>0140</v>
      </c>
      <c r="B242" s="2" t="str">
        <f>IFERROR(__xludf.DUMMYFUNCTION("""COMPUTED_VALUE"""),"Littleton School District 6")</f>
        <v>Littleton School District 6</v>
      </c>
      <c r="C242" s="2" t="str">
        <f>IFERROR(__xludf.DUMMYFUNCTION("""COMPUTED_VALUE"""),"09600")</f>
        <v>09600</v>
      </c>
      <c r="D242" s="2" t="str">
        <f>IFERROR(__xludf.DUMMYFUNCTION("""COMPUTED_VALUE"""),"WILDER ELEMENTARY SCHOOL")</f>
        <v>WILDER ELEMENTARY SCHOOL</v>
      </c>
      <c r="E242" s="3" t="str">
        <f>IFERROR(__xludf.DUMMYFUNCTION("""COMPUTED_VALUE"""),"Y")</f>
        <v>Y</v>
      </c>
      <c r="F242" s="3" t="str">
        <f>IFERROR(__xludf.DUMMYFUNCTION("""COMPUTED_VALUE"""),"Y")</f>
        <v>Y</v>
      </c>
      <c r="G242" s="3"/>
      <c r="H242" s="3"/>
      <c r="I242" s="3" t="str">
        <f>IFERROR(__xludf.DUMMYFUNCTION("""COMPUTED_VALUE""")," ")</f>
        <v> </v>
      </c>
      <c r="J242" s="3" t="str">
        <f>IFERROR(__xludf.DUMMYFUNCTION("""COMPUTED_VALUE""")," ")</f>
        <v> </v>
      </c>
      <c r="K242" s="3" t="str">
        <f>IFERROR(__xludf.DUMMYFUNCTION("""COMPUTED_VALUE"""),"Y")</f>
        <v>Y</v>
      </c>
      <c r="L242" s="3" t="str">
        <f>IFERROR(__xludf.DUMMYFUNCTION("""COMPUTED_VALUE""")," ")</f>
        <v> </v>
      </c>
      <c r="M242" s="3"/>
      <c r="N242" s="5" t="str">
        <f>IFERROR(__xludf.DUMMYFUNCTION("""COMPUTED_VALUE""")," ")</f>
        <v> </v>
      </c>
      <c r="O242" s="5"/>
    </row>
    <row r="243">
      <c r="A243" s="2" t="str">
        <f>IFERROR(__xludf.DUMMYFUNCTION("""COMPUTED_VALUE"""),"0170")</f>
        <v>0170</v>
      </c>
      <c r="B243" s="2" t="str">
        <f>IFERROR(__xludf.DUMMYFUNCTION("""COMPUTED_VALUE"""),"DEER TRAIL          26J")</f>
        <v>DEER TRAIL          26J</v>
      </c>
      <c r="C243" s="2" t="str">
        <f>IFERROR(__xludf.DUMMYFUNCTION("""COMPUTED_VALUE"""),"02136")</f>
        <v>02136</v>
      </c>
      <c r="D243" s="2" t="str">
        <f>IFERROR(__xludf.DUMMYFUNCTION("""COMPUTED_VALUE"""),"DEER TRAIL ELEMENTARY SCHOOL")</f>
        <v>DEER TRAIL ELEMENTARY SCHOOL</v>
      </c>
      <c r="E243" s="3" t="str">
        <f>IFERROR(__xludf.DUMMYFUNCTION("""COMPUTED_VALUE"""),"Y")</f>
        <v>Y</v>
      </c>
      <c r="F243" s="3" t="str">
        <f>IFERROR(__xludf.DUMMYFUNCTION("""COMPUTED_VALUE"""),"Y")</f>
        <v>Y</v>
      </c>
      <c r="G243" s="3"/>
      <c r="H243" s="3"/>
      <c r="I243" s="3" t="str">
        <f>IFERROR(__xludf.DUMMYFUNCTION("""COMPUTED_VALUE""")," ")</f>
        <v> </v>
      </c>
      <c r="J243" s="3" t="str">
        <f>IFERROR(__xludf.DUMMYFUNCTION("""COMPUTED_VALUE""")," ")</f>
        <v> </v>
      </c>
      <c r="K243" s="3" t="str">
        <f>IFERROR(__xludf.DUMMYFUNCTION("""COMPUTED_VALUE"""),"Y")</f>
        <v>Y</v>
      </c>
      <c r="L243" s="3" t="str">
        <f>IFERROR(__xludf.DUMMYFUNCTION("""COMPUTED_VALUE"""),"Group 1")</f>
        <v>Group 1</v>
      </c>
      <c r="M243" s="3"/>
      <c r="N243" s="5" t="str">
        <f>IFERROR(__xludf.DUMMYFUNCTION("""COMPUTED_VALUE""")," ")</f>
        <v> </v>
      </c>
      <c r="O243" s="5"/>
    </row>
    <row r="244">
      <c r="A244" s="2" t="str">
        <f>IFERROR(__xludf.DUMMYFUNCTION("""COMPUTED_VALUE"""),"0170")</f>
        <v>0170</v>
      </c>
      <c r="B244" s="2" t="str">
        <f>IFERROR(__xludf.DUMMYFUNCTION("""COMPUTED_VALUE"""),"DEER TRAIL          26J")</f>
        <v>DEER TRAIL          26J</v>
      </c>
      <c r="C244" s="2" t="str">
        <f>IFERROR(__xludf.DUMMYFUNCTION("""COMPUTED_VALUE"""),"02140")</f>
        <v>02140</v>
      </c>
      <c r="D244" s="2" t="str">
        <f>IFERROR(__xludf.DUMMYFUNCTION("""COMPUTED_VALUE"""),"DEER TRAIL JUNIOR-SENIOR HIGH SCHOOL")</f>
        <v>DEER TRAIL JUNIOR-SENIOR HIGH SCHOOL</v>
      </c>
      <c r="E244" s="3" t="str">
        <f>IFERROR(__xludf.DUMMYFUNCTION("""COMPUTED_VALUE"""),"Y")</f>
        <v>Y</v>
      </c>
      <c r="F244" s="3" t="str">
        <f>IFERROR(__xludf.DUMMYFUNCTION("""COMPUTED_VALUE"""),"Y")</f>
        <v>Y</v>
      </c>
      <c r="G244" s="3"/>
      <c r="H244" s="3"/>
      <c r="I244" s="3" t="str">
        <f>IFERROR(__xludf.DUMMYFUNCTION("""COMPUTED_VALUE""")," ")</f>
        <v> </v>
      </c>
      <c r="J244" s="3" t="str">
        <f>IFERROR(__xludf.DUMMYFUNCTION("""COMPUTED_VALUE""")," ")</f>
        <v> </v>
      </c>
      <c r="K244" s="3" t="str">
        <f>IFERROR(__xludf.DUMMYFUNCTION("""COMPUTED_VALUE"""),"Y")</f>
        <v>Y</v>
      </c>
      <c r="L244" s="3" t="str">
        <f>IFERROR(__xludf.DUMMYFUNCTION("""COMPUTED_VALUE"""),"Group 2")</f>
        <v>Group 2</v>
      </c>
      <c r="M244" s="3"/>
      <c r="N244" s="5" t="str">
        <f>IFERROR(__xludf.DUMMYFUNCTION("""COMPUTED_VALUE""")," ")</f>
        <v> </v>
      </c>
      <c r="O244" s="5"/>
    </row>
    <row r="245">
      <c r="A245" s="2" t="str">
        <f>IFERROR(__xludf.DUMMYFUNCTION("""COMPUTED_VALUE"""),"0180")</f>
        <v>0180</v>
      </c>
      <c r="B245" s="2" t="str">
        <f>IFERROR(__xludf.DUMMYFUNCTION("""COMPUTED_VALUE"""),"ADAMS-ARAPAHOE 28J")</f>
        <v>ADAMS-ARAPAHOE 28J</v>
      </c>
      <c r="C245" s="2" t="str">
        <f>IFERROR(__xludf.DUMMYFUNCTION("""COMPUTED_VALUE"""),"00103")</f>
        <v>00103</v>
      </c>
      <c r="D245" s="2" t="str">
        <f>IFERROR(__xludf.DUMMYFUNCTION("""COMPUTED_VALUE"""),"Aurora Highlands P8")</f>
        <v>Aurora Highlands P8</v>
      </c>
      <c r="E245" s="3" t="str">
        <f>IFERROR(__xludf.DUMMYFUNCTION("""COMPUTED_VALUE"""),"Y")</f>
        <v>Y</v>
      </c>
      <c r="F245" s="3" t="str">
        <f>IFERROR(__xludf.DUMMYFUNCTION("""COMPUTED_VALUE"""),"Y")</f>
        <v>Y</v>
      </c>
      <c r="G245" s="3"/>
      <c r="H245" s="3"/>
      <c r="I245" s="3" t="str">
        <f>IFERROR(__xludf.DUMMYFUNCTION("""COMPUTED_VALUE""")," ")</f>
        <v> </v>
      </c>
      <c r="J245" s="3" t="str">
        <f>IFERROR(__xludf.DUMMYFUNCTION("""COMPUTED_VALUE""")," ")</f>
        <v> </v>
      </c>
      <c r="K245" s="3" t="str">
        <f>IFERROR(__xludf.DUMMYFUNCTION("""COMPUTED_VALUE"""),"Y")</f>
        <v>Y</v>
      </c>
      <c r="L245" s="3" t="str">
        <f>IFERROR(__xludf.DUMMYFUNCTION("""COMPUTED_VALUE"""),"Group 15")</f>
        <v>Group 15</v>
      </c>
      <c r="M245" s="3"/>
      <c r="N245" s="5" t="str">
        <f>IFERROR(__xludf.DUMMYFUNCTION("""COMPUTED_VALUE"""),"Y")</f>
        <v>Y</v>
      </c>
      <c r="O245" s="5"/>
    </row>
    <row r="246">
      <c r="A246" s="2" t="str">
        <f>IFERROR(__xludf.DUMMYFUNCTION("""COMPUTED_VALUE"""),"0180")</f>
        <v>0180</v>
      </c>
      <c r="B246" s="2" t="str">
        <f>IFERROR(__xludf.DUMMYFUNCTION("""COMPUTED_VALUE"""),"ADAMS-ARAPAHOE 28J")</f>
        <v>ADAMS-ARAPAHOE 28J</v>
      </c>
      <c r="C246" s="2" t="str">
        <f>IFERROR(__xludf.DUMMYFUNCTION("""COMPUTED_VALUE"""),"00126")</f>
        <v>00126</v>
      </c>
      <c r="D246" s="2" t="str">
        <f>IFERROR(__xludf.DUMMYFUNCTION("""COMPUTED_VALUE"""),"ACADEMY OF ADVANCED LEARNING")</f>
        <v>ACADEMY OF ADVANCED LEARNING</v>
      </c>
      <c r="E246" s="3" t="str">
        <f>IFERROR(__xludf.DUMMYFUNCTION("""COMPUTED_VALUE"""),"Y")</f>
        <v>Y</v>
      </c>
      <c r="F246" s="3" t="str">
        <f>IFERROR(__xludf.DUMMYFUNCTION("""COMPUTED_VALUE"""),"Y")</f>
        <v>Y</v>
      </c>
      <c r="G246" s="3"/>
      <c r="H246" s="3"/>
      <c r="I246" s="3" t="str">
        <f>IFERROR(__xludf.DUMMYFUNCTION("""COMPUTED_VALUE""")," ")</f>
        <v> </v>
      </c>
      <c r="J246" s="3" t="str">
        <f>IFERROR(__xludf.DUMMYFUNCTION("""COMPUTED_VALUE"""),"Y")</f>
        <v>Y</v>
      </c>
      <c r="K246" s="3" t="str">
        <f>IFERROR(__xludf.DUMMYFUNCTION("""COMPUTED_VALUE"""),"Y")</f>
        <v>Y</v>
      </c>
      <c r="L246" s="3" t="str">
        <f>IFERROR(__xludf.DUMMYFUNCTION("""COMPUTED_VALUE"""),"Group 6")</f>
        <v>Group 6</v>
      </c>
      <c r="M246" s="3"/>
      <c r="N246" s="5" t="str">
        <f>IFERROR(__xludf.DUMMYFUNCTION("""COMPUTED_VALUE""")," ")</f>
        <v> </v>
      </c>
      <c r="O246" s="5"/>
    </row>
    <row r="247">
      <c r="A247" s="2" t="str">
        <f>IFERROR(__xludf.DUMMYFUNCTION("""COMPUTED_VALUE"""),"0180")</f>
        <v>0180</v>
      </c>
      <c r="B247" s="2" t="str">
        <f>IFERROR(__xludf.DUMMYFUNCTION("""COMPUTED_VALUE"""),"ADAMS-ARAPAHOE 28J")</f>
        <v>ADAMS-ARAPAHOE 28J</v>
      </c>
      <c r="C247" s="2" t="str">
        <f>IFERROR(__xludf.DUMMYFUNCTION("""COMPUTED_VALUE"""),"00127")</f>
        <v>00127</v>
      </c>
      <c r="D247" s="2" t="str">
        <f>IFERROR(__xludf.DUMMYFUNCTION("""COMPUTED_VALUE"""),"AURORA SCIENCE &amp; TECHNOLOGY MIDDLE SCHOOL")</f>
        <v>AURORA SCIENCE &amp; TECHNOLOGY MIDDLE SCHOOL</v>
      </c>
      <c r="E247" s="3" t="str">
        <f>IFERROR(__xludf.DUMMYFUNCTION("""COMPUTED_VALUE"""),"Y")</f>
        <v>Y</v>
      </c>
      <c r="F247" s="3" t="str">
        <f>IFERROR(__xludf.DUMMYFUNCTION("""COMPUTED_VALUE"""),"Y")</f>
        <v>Y</v>
      </c>
      <c r="G247" s="3"/>
      <c r="H247" s="3"/>
      <c r="I247" s="3" t="str">
        <f>IFERROR(__xludf.DUMMYFUNCTION("""COMPUTED_VALUE""")," ")</f>
        <v> </v>
      </c>
      <c r="J247" s="3" t="str">
        <f>IFERROR(__xludf.DUMMYFUNCTION("""COMPUTED_VALUE"""),"Y")</f>
        <v>Y</v>
      </c>
      <c r="K247" s="3" t="str">
        <f>IFERROR(__xludf.DUMMYFUNCTION("""COMPUTED_VALUE"""),"Y")</f>
        <v>Y</v>
      </c>
      <c r="L247" s="3" t="str">
        <f>IFERROR(__xludf.DUMMYFUNCTION("""COMPUTED_VALUE"""),"Group 1")</f>
        <v>Group 1</v>
      </c>
      <c r="M247" s="3"/>
      <c r="N247" s="5" t="str">
        <f>IFERROR(__xludf.DUMMYFUNCTION("""COMPUTED_VALUE"""),"Y")</f>
        <v>Y</v>
      </c>
      <c r="O247" s="5"/>
    </row>
    <row r="248">
      <c r="A248" s="2" t="str">
        <f>IFERROR(__xludf.DUMMYFUNCTION("""COMPUTED_VALUE"""),"0180")</f>
        <v>0180</v>
      </c>
      <c r="B248" s="2" t="str">
        <f>IFERROR(__xludf.DUMMYFUNCTION("""COMPUTED_VALUE"""),"ADAMS-ARAPAHOE 28J")</f>
        <v>ADAMS-ARAPAHOE 28J</v>
      </c>
      <c r="C248" s="2" t="str">
        <f>IFERROR(__xludf.DUMMYFUNCTION("""COMPUTED_VALUE"""),"00213")</f>
        <v>00213</v>
      </c>
      <c r="D248" s="2" t="str">
        <f>IFERROR(__xludf.DUMMYFUNCTION("""COMPUTED_VALUE"""),"AXL ACADEMY")</f>
        <v>AXL ACADEMY</v>
      </c>
      <c r="E248" s="3" t="str">
        <f>IFERROR(__xludf.DUMMYFUNCTION("""COMPUTED_VALUE"""),"Y")</f>
        <v>Y</v>
      </c>
      <c r="F248" s="3" t="str">
        <f>IFERROR(__xludf.DUMMYFUNCTION("""COMPUTED_VALUE"""),"Y")</f>
        <v>Y</v>
      </c>
      <c r="G248" s="3"/>
      <c r="H248" s="3"/>
      <c r="I248" s="3" t="str">
        <f>IFERROR(__xludf.DUMMYFUNCTION("""COMPUTED_VALUE""")," ")</f>
        <v> </v>
      </c>
      <c r="J248" s="3" t="str">
        <f>IFERROR(__xludf.DUMMYFUNCTION("""COMPUTED_VALUE"""),"Y")</f>
        <v>Y</v>
      </c>
      <c r="K248" s="3" t="str">
        <f>IFERROR(__xludf.DUMMYFUNCTION("""COMPUTED_VALUE"""),"Y")</f>
        <v>Y</v>
      </c>
      <c r="L248" s="3" t="str">
        <f>IFERROR(__xludf.DUMMYFUNCTION("""COMPUTED_VALUE"""),"Group 14")</f>
        <v>Group 14</v>
      </c>
      <c r="M248" s="3"/>
      <c r="N248" s="5" t="str">
        <f>IFERROR(__xludf.DUMMYFUNCTION("""COMPUTED_VALUE""")," ")</f>
        <v> </v>
      </c>
      <c r="O248" s="5"/>
    </row>
    <row r="249">
      <c r="A249" s="2" t="str">
        <f>IFERROR(__xludf.DUMMYFUNCTION("""COMPUTED_VALUE"""),"0180")</f>
        <v>0180</v>
      </c>
      <c r="B249" s="2" t="str">
        <f>IFERROR(__xludf.DUMMYFUNCTION("""COMPUTED_VALUE"""),"ADAMS-ARAPAHOE 28J")</f>
        <v>ADAMS-ARAPAHOE 28J</v>
      </c>
      <c r="C249" s="2" t="str">
        <f>IFERROR(__xludf.DUMMYFUNCTION("""COMPUTED_VALUE"""),"00214")</f>
        <v>00214</v>
      </c>
      <c r="D249" s="2" t="str">
        <f>IFERROR(__xludf.DUMMYFUNCTION("""COMPUTED_VALUE"""),"ALTURA ELEMENTARY SCHOOL")</f>
        <v>ALTURA ELEMENTARY SCHOOL</v>
      </c>
      <c r="E249" s="3" t="str">
        <f>IFERROR(__xludf.DUMMYFUNCTION("""COMPUTED_VALUE"""),"Y")</f>
        <v>Y</v>
      </c>
      <c r="F249" s="3" t="str">
        <f>IFERROR(__xludf.DUMMYFUNCTION("""COMPUTED_VALUE"""),"Y")</f>
        <v>Y</v>
      </c>
      <c r="G249" s="3"/>
      <c r="H249" s="3"/>
      <c r="I249" s="3" t="str">
        <f>IFERROR(__xludf.DUMMYFUNCTION("""COMPUTED_VALUE""")," ")</f>
        <v> </v>
      </c>
      <c r="J249" s="3" t="str">
        <f>IFERROR(__xludf.DUMMYFUNCTION("""COMPUTED_VALUE"""),"Y")</f>
        <v>Y</v>
      </c>
      <c r="K249" s="3" t="str">
        <f>IFERROR(__xludf.DUMMYFUNCTION("""COMPUTED_VALUE"""),"Y")</f>
        <v>Y</v>
      </c>
      <c r="L249" s="3" t="str">
        <f>IFERROR(__xludf.DUMMYFUNCTION("""COMPUTED_VALUE"""),"Group 17")</f>
        <v>Group 17</v>
      </c>
      <c r="M249" s="3"/>
      <c r="N249" s="5" t="str">
        <f>IFERROR(__xludf.DUMMYFUNCTION("""COMPUTED_VALUE""")," ")</f>
        <v> </v>
      </c>
      <c r="O249" s="5"/>
    </row>
    <row r="250">
      <c r="A250" s="2" t="str">
        <f>IFERROR(__xludf.DUMMYFUNCTION("""COMPUTED_VALUE"""),"0180")</f>
        <v>0180</v>
      </c>
      <c r="B250" s="2" t="str">
        <f>IFERROR(__xludf.DUMMYFUNCTION("""COMPUTED_VALUE"""),"ADAMS-ARAPAHOE 28J")</f>
        <v>ADAMS-ARAPAHOE 28J</v>
      </c>
      <c r="C250" s="2" t="str">
        <f>IFERROR(__xludf.DUMMYFUNCTION("""COMPUTED_VALUE"""),"00310")</f>
        <v>00310</v>
      </c>
      <c r="D250" s="2" t="str">
        <f>IFERROR(__xludf.DUMMYFUNCTION("""COMPUTED_VALUE"""),"ARKANSAS ELEMENTARY SCHOOL")</f>
        <v>ARKANSAS ELEMENTARY SCHOOL</v>
      </c>
      <c r="E250" s="3" t="str">
        <f>IFERROR(__xludf.DUMMYFUNCTION("""COMPUTED_VALUE"""),"Y")</f>
        <v>Y</v>
      </c>
      <c r="F250" s="3" t="str">
        <f>IFERROR(__xludf.DUMMYFUNCTION("""COMPUTED_VALUE"""),"Y")</f>
        <v>Y</v>
      </c>
      <c r="G250" s="3"/>
      <c r="H250" s="3"/>
      <c r="I250" s="3" t="str">
        <f>IFERROR(__xludf.DUMMYFUNCTION("""COMPUTED_VALUE""")," ")</f>
        <v> </v>
      </c>
      <c r="J250" s="3" t="str">
        <f>IFERROR(__xludf.DUMMYFUNCTION("""COMPUTED_VALUE"""),"Y")</f>
        <v>Y</v>
      </c>
      <c r="K250" s="3" t="str">
        <f>IFERROR(__xludf.DUMMYFUNCTION("""COMPUTED_VALUE"""),"Y")</f>
        <v>Y</v>
      </c>
      <c r="L250" s="3" t="str">
        <f>IFERROR(__xludf.DUMMYFUNCTION("""COMPUTED_VALUE"""),"Group 17")</f>
        <v>Group 17</v>
      </c>
      <c r="M250" s="3"/>
      <c r="N250" s="5" t="str">
        <f>IFERROR(__xludf.DUMMYFUNCTION("""COMPUTED_VALUE""")," ")</f>
        <v> </v>
      </c>
      <c r="O250" s="5"/>
    </row>
    <row r="251">
      <c r="A251" s="2" t="str">
        <f>IFERROR(__xludf.DUMMYFUNCTION("""COMPUTED_VALUE"""),"0180")</f>
        <v>0180</v>
      </c>
      <c r="B251" s="2" t="str">
        <f>IFERROR(__xludf.DUMMYFUNCTION("""COMPUTED_VALUE"""),"ADAMS-ARAPAHOE 28J")</f>
        <v>ADAMS-ARAPAHOE 28J</v>
      </c>
      <c r="C251" s="2" t="str">
        <f>IFERROR(__xludf.DUMMYFUNCTION("""COMPUTED_VALUE"""),"00458")</f>
        <v>00458</v>
      </c>
      <c r="D251" s="2" t="str">
        <f>IFERROR(__xludf.DUMMYFUNCTION("""COMPUTED_VALUE"""),"AURORA ACADEMY CHARTER SCHOOL")</f>
        <v>AURORA ACADEMY CHARTER SCHOOL</v>
      </c>
      <c r="E251" s="3" t="str">
        <f>IFERROR(__xludf.DUMMYFUNCTION("""COMPUTED_VALUE"""),"Y")</f>
        <v>Y</v>
      </c>
      <c r="F251" s="3" t="str">
        <f>IFERROR(__xludf.DUMMYFUNCTION("""COMPUTED_VALUE"""),"Y")</f>
        <v>Y</v>
      </c>
      <c r="G251" s="3"/>
      <c r="H251" s="3"/>
      <c r="I251" s="3" t="str">
        <f>IFERROR(__xludf.DUMMYFUNCTION("""COMPUTED_VALUE""")," ")</f>
        <v> </v>
      </c>
      <c r="J251" s="3" t="str">
        <f>IFERROR(__xludf.DUMMYFUNCTION("""COMPUTED_VALUE"""),"Y")</f>
        <v>Y</v>
      </c>
      <c r="K251" s="3" t="str">
        <f>IFERROR(__xludf.DUMMYFUNCTION("""COMPUTED_VALUE"""),"Y")</f>
        <v>Y</v>
      </c>
      <c r="L251" s="3" t="str">
        <f>IFERROR(__xludf.DUMMYFUNCTION("""COMPUTED_VALUE"""),"Group 17")</f>
        <v>Group 17</v>
      </c>
      <c r="M251" s="3"/>
      <c r="N251" s="5" t="str">
        <f>IFERROR(__xludf.DUMMYFUNCTION("""COMPUTED_VALUE""")," ")</f>
        <v> </v>
      </c>
      <c r="O251" s="5"/>
    </row>
    <row r="252">
      <c r="A252" s="2" t="str">
        <f>IFERROR(__xludf.DUMMYFUNCTION("""COMPUTED_VALUE"""),"0180")</f>
        <v>0180</v>
      </c>
      <c r="B252" s="2" t="str">
        <f>IFERROR(__xludf.DUMMYFUNCTION("""COMPUTED_VALUE"""),"ADAMS-ARAPAHOE 28J")</f>
        <v>ADAMS-ARAPAHOE 28J</v>
      </c>
      <c r="C252" s="2" t="str">
        <f>IFERROR(__xludf.DUMMYFUNCTION("""COMPUTED_VALUE"""),"00464")</f>
        <v>00464</v>
      </c>
      <c r="D252" s="2" t="str">
        <f>IFERROR(__xludf.DUMMYFUNCTION("""COMPUTED_VALUE"""),"AURORA HILLS MIDDLE SCHOOL")</f>
        <v>AURORA HILLS MIDDLE SCHOOL</v>
      </c>
      <c r="E252" s="3" t="str">
        <f>IFERROR(__xludf.DUMMYFUNCTION("""COMPUTED_VALUE"""),"Y")</f>
        <v>Y</v>
      </c>
      <c r="F252" s="3" t="str">
        <f>IFERROR(__xludf.DUMMYFUNCTION("""COMPUTED_VALUE"""),"Y")</f>
        <v>Y</v>
      </c>
      <c r="G252" s="3"/>
      <c r="H252" s="3"/>
      <c r="I252" s="3" t="str">
        <f>IFERROR(__xludf.DUMMYFUNCTION("""COMPUTED_VALUE""")," ")</f>
        <v> </v>
      </c>
      <c r="J252" s="3" t="str">
        <f>IFERROR(__xludf.DUMMYFUNCTION("""COMPUTED_VALUE"""),"Y")</f>
        <v>Y</v>
      </c>
      <c r="K252" s="3" t="str">
        <f>IFERROR(__xludf.DUMMYFUNCTION("""COMPUTED_VALUE"""),"Y")</f>
        <v>Y</v>
      </c>
      <c r="L252" s="3" t="str">
        <f>IFERROR(__xludf.DUMMYFUNCTION("""COMPUTED_VALUE"""),"Group 4")</f>
        <v>Group 4</v>
      </c>
      <c r="M252" s="3"/>
      <c r="N252" s="5" t="str">
        <f>IFERROR(__xludf.DUMMYFUNCTION("""COMPUTED_VALUE"""),"Y")</f>
        <v>Y</v>
      </c>
      <c r="O252" s="5"/>
    </row>
    <row r="253">
      <c r="A253" s="2" t="str">
        <f>IFERROR(__xludf.DUMMYFUNCTION("""COMPUTED_VALUE"""),"0180")</f>
        <v>0180</v>
      </c>
      <c r="B253" s="2" t="str">
        <f>IFERROR(__xludf.DUMMYFUNCTION("""COMPUTED_VALUE"""),"ADAMS-ARAPAHOE 28J")</f>
        <v>ADAMS-ARAPAHOE 28J</v>
      </c>
      <c r="C253" s="2" t="str">
        <f>IFERROR(__xludf.DUMMYFUNCTION("""COMPUTED_VALUE"""),"00465")</f>
        <v>00465</v>
      </c>
      <c r="D253" s="2" t="str">
        <f>IFERROR(__xludf.DUMMYFUNCTION("""COMPUTED_VALUE"""),"AURORA FRONTIER K-8")</f>
        <v>AURORA FRONTIER K-8</v>
      </c>
      <c r="E253" s="3" t="str">
        <f>IFERROR(__xludf.DUMMYFUNCTION("""COMPUTED_VALUE"""),"Y")</f>
        <v>Y</v>
      </c>
      <c r="F253" s="3" t="str">
        <f>IFERROR(__xludf.DUMMYFUNCTION("""COMPUTED_VALUE"""),"Y")</f>
        <v>Y</v>
      </c>
      <c r="G253" s="3"/>
      <c r="H253" s="3"/>
      <c r="I253" s="3" t="str">
        <f>IFERROR(__xludf.DUMMYFUNCTION("""COMPUTED_VALUE""")," ")</f>
        <v> </v>
      </c>
      <c r="J253" s="3" t="str">
        <f>IFERROR(__xludf.DUMMYFUNCTION("""COMPUTED_VALUE""")," ")</f>
        <v> </v>
      </c>
      <c r="K253" s="3" t="str">
        <f>IFERROR(__xludf.DUMMYFUNCTION("""COMPUTED_VALUE"""),"Y")</f>
        <v>Y</v>
      </c>
      <c r="L253" s="3" t="str">
        <f>IFERROR(__xludf.DUMMYFUNCTION("""COMPUTED_VALUE"""),"Group 8")</f>
        <v>Group 8</v>
      </c>
      <c r="M253" s="3"/>
      <c r="N253" s="5" t="str">
        <f>IFERROR(__xludf.DUMMYFUNCTION("""COMPUTED_VALUE"""),"Y")</f>
        <v>Y</v>
      </c>
      <c r="O253" s="5"/>
    </row>
    <row r="254">
      <c r="A254" s="2" t="str">
        <f>IFERROR(__xludf.DUMMYFUNCTION("""COMPUTED_VALUE"""),"0180")</f>
        <v>0180</v>
      </c>
      <c r="B254" s="2" t="str">
        <f>IFERROR(__xludf.DUMMYFUNCTION("""COMPUTED_VALUE"""),"ADAMS-ARAPAHOE 28J")</f>
        <v>ADAMS-ARAPAHOE 28J</v>
      </c>
      <c r="C254" s="2" t="str">
        <f>IFERROR(__xludf.DUMMYFUNCTION("""COMPUTED_VALUE"""),"00914")</f>
        <v>00914</v>
      </c>
      <c r="D254" s="2" t="str">
        <f>IFERROR(__xludf.DUMMYFUNCTION("""COMPUTED_VALUE"""),"BOSTON K-8 SCHOOL")</f>
        <v>BOSTON K-8 SCHOOL</v>
      </c>
      <c r="E254" s="3" t="str">
        <f>IFERROR(__xludf.DUMMYFUNCTION("""COMPUTED_VALUE"""),"Y")</f>
        <v>Y</v>
      </c>
      <c r="F254" s="3" t="str">
        <f>IFERROR(__xludf.DUMMYFUNCTION("""COMPUTED_VALUE"""),"Y")</f>
        <v>Y</v>
      </c>
      <c r="G254" s="3"/>
      <c r="H254" s="3"/>
      <c r="I254" s="3" t="str">
        <f>IFERROR(__xludf.DUMMYFUNCTION("""COMPUTED_VALUE""")," ")</f>
        <v> </v>
      </c>
      <c r="J254" s="3" t="str">
        <f>IFERROR(__xludf.DUMMYFUNCTION("""COMPUTED_VALUE"""),"Y")</f>
        <v>Y</v>
      </c>
      <c r="K254" s="3" t="str">
        <f>IFERROR(__xludf.DUMMYFUNCTION("""COMPUTED_VALUE"""),"Y")</f>
        <v>Y</v>
      </c>
      <c r="L254" s="3" t="str">
        <f>IFERROR(__xludf.DUMMYFUNCTION("""COMPUTED_VALUE"""),"Group 17")</f>
        <v>Group 17</v>
      </c>
      <c r="M254" s="3"/>
      <c r="N254" s="5" t="str">
        <f>IFERROR(__xludf.DUMMYFUNCTION("""COMPUTED_VALUE""")," ")</f>
        <v> </v>
      </c>
      <c r="O254" s="5"/>
    </row>
    <row r="255">
      <c r="A255" s="2" t="str">
        <f>IFERROR(__xludf.DUMMYFUNCTION("""COMPUTED_VALUE"""),"0180")</f>
        <v>0180</v>
      </c>
      <c r="B255" s="2" t="str">
        <f>IFERROR(__xludf.DUMMYFUNCTION("""COMPUTED_VALUE"""),"ADAMS-ARAPAHOE 28J")</f>
        <v>ADAMS-ARAPAHOE 28J</v>
      </c>
      <c r="C255" s="2" t="str">
        <f>IFERROR(__xludf.DUMMYFUNCTION("""COMPUTED_VALUE"""),"01458")</f>
        <v>01458</v>
      </c>
      <c r="D255" s="2" t="str">
        <f>IFERROR(__xludf.DUMMYFUNCTION("""COMPUTED_VALUE"""),"AURORA CENTRAL CAMPUS")</f>
        <v>AURORA CENTRAL CAMPUS</v>
      </c>
      <c r="E255" s="3" t="str">
        <f>IFERROR(__xludf.DUMMYFUNCTION("""COMPUTED_VALUE"""),"Y")</f>
        <v>Y</v>
      </c>
      <c r="F255" s="3" t="str">
        <f>IFERROR(__xludf.DUMMYFUNCTION("""COMPUTED_VALUE"""),"Y")</f>
        <v>Y</v>
      </c>
      <c r="G255" s="3"/>
      <c r="H255" s="3"/>
      <c r="I255" s="3" t="str">
        <f>IFERROR(__xludf.DUMMYFUNCTION("""COMPUTED_VALUE""")," ")</f>
        <v> </v>
      </c>
      <c r="J255" s="3" t="str">
        <f>IFERROR(__xludf.DUMMYFUNCTION("""COMPUTED_VALUE"""),"Y")</f>
        <v>Y</v>
      </c>
      <c r="K255" s="3" t="str">
        <f>IFERROR(__xludf.DUMMYFUNCTION("""COMPUTED_VALUE"""),"Y")</f>
        <v>Y</v>
      </c>
      <c r="L255" s="3" t="str">
        <f>IFERROR(__xludf.DUMMYFUNCTION("""COMPUTED_VALUE"""),"Group 8")</f>
        <v>Group 8</v>
      </c>
      <c r="M255" s="3"/>
      <c r="N255" s="5" t="str">
        <f>IFERROR(__xludf.DUMMYFUNCTION("""COMPUTED_VALUE"""),"Y")</f>
        <v>Y</v>
      </c>
      <c r="O255" s="5"/>
    </row>
    <row r="256">
      <c r="A256" s="2" t="str">
        <f>IFERROR(__xludf.DUMMYFUNCTION("""COMPUTED_VALUE"""),"0180")</f>
        <v>0180</v>
      </c>
      <c r="B256" s="2" t="str">
        <f>IFERROR(__xludf.DUMMYFUNCTION("""COMPUTED_VALUE"""),"ADAMS-ARAPAHOE 28J")</f>
        <v>ADAMS-ARAPAHOE 28J</v>
      </c>
      <c r="C256" s="2" t="str">
        <f>IFERROR(__xludf.DUMMYFUNCTION("""COMPUTED_VALUE"""),"01720")</f>
        <v>01720</v>
      </c>
      <c r="D256" s="2" t="str">
        <f>IFERROR(__xludf.DUMMYFUNCTION("""COMPUTED_VALUE"""),"CLYDE MILLER K-8")</f>
        <v>CLYDE MILLER K-8</v>
      </c>
      <c r="E256" s="3" t="str">
        <f>IFERROR(__xludf.DUMMYFUNCTION("""COMPUTED_VALUE"""),"Y")</f>
        <v>Y</v>
      </c>
      <c r="F256" s="3" t="str">
        <f>IFERROR(__xludf.DUMMYFUNCTION("""COMPUTED_VALUE"""),"Y")</f>
        <v>Y</v>
      </c>
      <c r="G256" s="3"/>
      <c r="H256" s="3"/>
      <c r="I256" s="3" t="str">
        <f>IFERROR(__xludf.DUMMYFUNCTION("""COMPUTED_VALUE""")," ")</f>
        <v> </v>
      </c>
      <c r="J256" s="3" t="str">
        <f>IFERROR(__xludf.DUMMYFUNCTION("""COMPUTED_VALUE"""),"Y")</f>
        <v>Y</v>
      </c>
      <c r="K256" s="3" t="str">
        <f>IFERROR(__xludf.DUMMYFUNCTION("""COMPUTED_VALUE"""),"Y")</f>
        <v>Y</v>
      </c>
      <c r="L256" s="3" t="str">
        <f>IFERROR(__xludf.DUMMYFUNCTION("""COMPUTED_VALUE"""),"Group 17")</f>
        <v>Group 17</v>
      </c>
      <c r="M256" s="3"/>
      <c r="N256" s="5" t="str">
        <f>IFERROR(__xludf.DUMMYFUNCTION("""COMPUTED_VALUE"""),"Y")</f>
        <v>Y</v>
      </c>
      <c r="O256" s="5"/>
    </row>
    <row r="257">
      <c r="A257" s="2" t="str">
        <f>IFERROR(__xludf.DUMMYFUNCTION("""COMPUTED_VALUE"""),"0180")</f>
        <v>0180</v>
      </c>
      <c r="B257" s="2" t="str">
        <f>IFERROR(__xludf.DUMMYFUNCTION("""COMPUTED_VALUE"""),"ADAMS-ARAPAHOE 28J")</f>
        <v>ADAMS-ARAPAHOE 28J</v>
      </c>
      <c r="C257" s="2" t="str">
        <f>IFERROR(__xludf.DUMMYFUNCTION("""COMPUTED_VALUE"""),"01800")</f>
        <v>01800</v>
      </c>
      <c r="D257" s="2" t="str">
        <f>IFERROR(__xludf.DUMMYFUNCTION("""COMPUTED_VALUE"""),"COLUMBIA MIDDLE SCHOOL")</f>
        <v>COLUMBIA MIDDLE SCHOOL</v>
      </c>
      <c r="E257" s="3" t="str">
        <f>IFERROR(__xludf.DUMMYFUNCTION("""COMPUTED_VALUE"""),"Y")</f>
        <v>Y</v>
      </c>
      <c r="F257" s="3" t="str">
        <f>IFERROR(__xludf.DUMMYFUNCTION("""COMPUTED_VALUE"""),"Y")</f>
        <v>Y</v>
      </c>
      <c r="G257" s="3"/>
      <c r="H257" s="3"/>
      <c r="I257" s="3" t="str">
        <f>IFERROR(__xludf.DUMMYFUNCTION("""COMPUTED_VALUE""")," ")</f>
        <v> </v>
      </c>
      <c r="J257" s="3" t="str">
        <f>IFERROR(__xludf.DUMMYFUNCTION("""COMPUTED_VALUE"""),"Y")</f>
        <v>Y</v>
      </c>
      <c r="K257" s="3" t="str">
        <f>IFERROR(__xludf.DUMMYFUNCTION("""COMPUTED_VALUE"""),"Y")</f>
        <v>Y</v>
      </c>
      <c r="L257" s="3" t="str">
        <f>IFERROR(__xludf.DUMMYFUNCTION("""COMPUTED_VALUE"""),"Group 17")</f>
        <v>Group 17</v>
      </c>
      <c r="M257" s="3"/>
      <c r="N257" s="5" t="str">
        <f>IFERROR(__xludf.DUMMYFUNCTION("""COMPUTED_VALUE""")," ")</f>
        <v> </v>
      </c>
      <c r="O257" s="5"/>
    </row>
    <row r="258">
      <c r="A258" s="2" t="str">
        <f>IFERROR(__xludf.DUMMYFUNCTION("""COMPUTED_VALUE"""),"0180")</f>
        <v>0180</v>
      </c>
      <c r="B258" s="2" t="str">
        <f>IFERROR(__xludf.DUMMYFUNCTION("""COMPUTED_VALUE"""),"ADAMS-ARAPAHOE 28J")</f>
        <v>ADAMS-ARAPAHOE 28J</v>
      </c>
      <c r="C258" s="2" t="str">
        <f>IFERROR(__xludf.DUMMYFUNCTION("""COMPUTED_VALUE"""),"01851")</f>
        <v>01851</v>
      </c>
      <c r="D258" s="2" t="str">
        <f>IFERROR(__xludf.DUMMYFUNCTION("""COMPUTED_VALUE"""),"Harmony Ridge P-8")</f>
        <v>Harmony Ridge P-8</v>
      </c>
      <c r="E258" s="3" t="str">
        <f>IFERROR(__xludf.DUMMYFUNCTION("""COMPUTED_VALUE"""),"Y")</f>
        <v>Y</v>
      </c>
      <c r="F258" s="3" t="str">
        <f>IFERROR(__xludf.DUMMYFUNCTION("""COMPUTED_VALUE"""),"Y")</f>
        <v>Y</v>
      </c>
      <c r="G258" s="3"/>
      <c r="H258" s="3"/>
      <c r="I258" s="3" t="str">
        <f>IFERROR(__xludf.DUMMYFUNCTION("""COMPUTED_VALUE""")," ")</f>
        <v> </v>
      </c>
      <c r="J258" s="3" t="str">
        <f>IFERROR(__xludf.DUMMYFUNCTION("""COMPUTED_VALUE""")," ")</f>
        <v> </v>
      </c>
      <c r="K258" s="3" t="str">
        <f>IFERROR(__xludf.DUMMYFUNCTION("""COMPUTED_VALUE"""),"Y")</f>
        <v>Y</v>
      </c>
      <c r="L258" s="3" t="str">
        <f>IFERROR(__xludf.DUMMYFUNCTION("""COMPUTED_VALUE"""),"Group 1")</f>
        <v>Group 1</v>
      </c>
      <c r="M258" s="3"/>
      <c r="N258" s="5" t="str">
        <f>IFERROR(__xludf.DUMMYFUNCTION("""COMPUTED_VALUE"""),"Y")</f>
        <v>Y</v>
      </c>
      <c r="O258" s="5"/>
    </row>
    <row r="259">
      <c r="A259" s="2" t="str">
        <f>IFERROR(__xludf.DUMMYFUNCTION("""COMPUTED_VALUE"""),"0180")</f>
        <v>0180</v>
      </c>
      <c r="B259" s="2" t="str">
        <f>IFERROR(__xludf.DUMMYFUNCTION("""COMPUTED_VALUE"""),"ADAMS-ARAPAHOE 28J")</f>
        <v>ADAMS-ARAPAHOE 28J</v>
      </c>
      <c r="C259" s="2" t="str">
        <f>IFERROR(__xludf.DUMMYFUNCTION("""COMPUTED_VALUE"""),"01948")</f>
        <v>01948</v>
      </c>
      <c r="D259" s="2" t="str">
        <f>IFERROR(__xludf.DUMMYFUNCTION("""COMPUTED_VALUE"""),"CRAWFORD ELEMENTARY SCHOOL")</f>
        <v>CRAWFORD ELEMENTARY SCHOOL</v>
      </c>
      <c r="E259" s="3" t="str">
        <f>IFERROR(__xludf.DUMMYFUNCTION("""COMPUTED_VALUE"""),"Y")</f>
        <v>Y</v>
      </c>
      <c r="F259" s="3" t="str">
        <f>IFERROR(__xludf.DUMMYFUNCTION("""COMPUTED_VALUE"""),"Y")</f>
        <v>Y</v>
      </c>
      <c r="G259" s="3"/>
      <c r="H259" s="3"/>
      <c r="I259" s="3" t="str">
        <f>IFERROR(__xludf.DUMMYFUNCTION("""COMPUTED_VALUE""")," ")</f>
        <v> </v>
      </c>
      <c r="J259" s="3" t="str">
        <f>IFERROR(__xludf.DUMMYFUNCTION("""COMPUTED_VALUE"""),"Y")</f>
        <v>Y</v>
      </c>
      <c r="K259" s="3" t="str">
        <f>IFERROR(__xludf.DUMMYFUNCTION("""COMPUTED_VALUE"""),"Y")</f>
        <v>Y</v>
      </c>
      <c r="L259" s="3" t="str">
        <f>IFERROR(__xludf.DUMMYFUNCTION("""COMPUTED_VALUE"""),"Group 17")</f>
        <v>Group 17</v>
      </c>
      <c r="M259" s="3"/>
      <c r="N259" s="5" t="str">
        <f>IFERROR(__xludf.DUMMYFUNCTION("""COMPUTED_VALUE""")," ")</f>
        <v> </v>
      </c>
      <c r="O259" s="5"/>
    </row>
    <row r="260">
      <c r="A260" s="2" t="str">
        <f>IFERROR(__xludf.DUMMYFUNCTION("""COMPUTED_VALUE"""),"0180")</f>
        <v>0180</v>
      </c>
      <c r="B260" s="2" t="str">
        <f>IFERROR(__xludf.DUMMYFUNCTION("""COMPUTED_VALUE"""),"ADAMS-ARAPAHOE 28J")</f>
        <v>ADAMS-ARAPAHOE 28J</v>
      </c>
      <c r="C260" s="2" t="str">
        <f>IFERROR(__xludf.DUMMYFUNCTION("""COMPUTED_VALUE"""),"02095")</f>
        <v>02095</v>
      </c>
      <c r="D260" s="2" t="str">
        <f>IFERROR(__xludf.DUMMYFUNCTION("""COMPUTED_VALUE"""),"DALTON ELEMENTARY SCHOOL")</f>
        <v>DALTON ELEMENTARY SCHOOL</v>
      </c>
      <c r="E260" s="3" t="str">
        <f>IFERROR(__xludf.DUMMYFUNCTION("""COMPUTED_VALUE"""),"Y")</f>
        <v>Y</v>
      </c>
      <c r="F260" s="3" t="str">
        <f>IFERROR(__xludf.DUMMYFUNCTION("""COMPUTED_VALUE"""),"Y")</f>
        <v>Y</v>
      </c>
      <c r="G260" s="3"/>
      <c r="H260" s="3"/>
      <c r="I260" s="3" t="str">
        <f>IFERROR(__xludf.DUMMYFUNCTION("""COMPUTED_VALUE""")," ")</f>
        <v> </v>
      </c>
      <c r="J260" s="3" t="str">
        <f>IFERROR(__xludf.DUMMYFUNCTION("""COMPUTED_VALUE"""),"Y")</f>
        <v>Y</v>
      </c>
      <c r="K260" s="3" t="str">
        <f>IFERROR(__xludf.DUMMYFUNCTION("""COMPUTED_VALUE"""),"Y")</f>
        <v>Y</v>
      </c>
      <c r="L260" s="3" t="str">
        <f>IFERROR(__xludf.DUMMYFUNCTION("""COMPUTED_VALUE"""),"Group 13")</f>
        <v>Group 13</v>
      </c>
      <c r="M260" s="3"/>
      <c r="N260" s="5" t="str">
        <f>IFERROR(__xludf.DUMMYFUNCTION("""COMPUTED_VALUE""")," ")</f>
        <v> </v>
      </c>
      <c r="O260" s="5"/>
    </row>
    <row r="261">
      <c r="A261" s="2" t="str">
        <f>IFERROR(__xludf.DUMMYFUNCTION("""COMPUTED_VALUE"""),"0180")</f>
        <v>0180</v>
      </c>
      <c r="B261" s="2" t="str">
        <f>IFERROR(__xludf.DUMMYFUNCTION("""COMPUTED_VALUE"""),"ADAMS-ARAPAHOE 28J")</f>
        <v>ADAMS-ARAPAHOE 28J</v>
      </c>
      <c r="C261" s="2" t="str">
        <f>IFERROR(__xludf.DUMMYFUNCTION("""COMPUTED_VALUE"""),"02114")</f>
        <v>02114</v>
      </c>
      <c r="D261" s="2" t="str">
        <f>IFERROR(__xludf.DUMMYFUNCTION("""COMPUTED_VALUE"""),"DARTMOUTH ELEMENTARY SCHOOL")</f>
        <v>DARTMOUTH ELEMENTARY SCHOOL</v>
      </c>
      <c r="E261" s="3" t="str">
        <f>IFERROR(__xludf.DUMMYFUNCTION("""COMPUTED_VALUE"""),"Y")</f>
        <v>Y</v>
      </c>
      <c r="F261" s="3" t="str">
        <f>IFERROR(__xludf.DUMMYFUNCTION("""COMPUTED_VALUE"""),"Y")</f>
        <v>Y</v>
      </c>
      <c r="G261" s="3"/>
      <c r="H261" s="3"/>
      <c r="I261" s="3" t="str">
        <f>IFERROR(__xludf.DUMMYFUNCTION("""COMPUTED_VALUE""")," ")</f>
        <v> </v>
      </c>
      <c r="J261" s="3" t="str">
        <f>IFERROR(__xludf.DUMMYFUNCTION("""COMPUTED_VALUE"""),"Y")</f>
        <v>Y</v>
      </c>
      <c r="K261" s="3" t="str">
        <f>IFERROR(__xludf.DUMMYFUNCTION("""COMPUTED_VALUE"""),"Y")</f>
        <v>Y</v>
      </c>
      <c r="L261" s="3" t="str">
        <f>IFERROR(__xludf.DUMMYFUNCTION("""COMPUTED_VALUE"""),"Group 2")</f>
        <v>Group 2</v>
      </c>
      <c r="M261" s="3"/>
      <c r="N261" s="5" t="str">
        <f>IFERROR(__xludf.DUMMYFUNCTION("""COMPUTED_VALUE"""),"Y")</f>
        <v>Y</v>
      </c>
      <c r="O261" s="5"/>
    </row>
    <row r="262">
      <c r="A262" s="2" t="str">
        <f>IFERROR(__xludf.DUMMYFUNCTION("""COMPUTED_VALUE"""),"0180")</f>
        <v>0180</v>
      </c>
      <c r="B262" s="2" t="str">
        <f>IFERROR(__xludf.DUMMYFUNCTION("""COMPUTED_VALUE"""),"ADAMS-ARAPAHOE 28J")</f>
        <v>ADAMS-ARAPAHOE 28J</v>
      </c>
      <c r="C262" s="2" t="str">
        <f>IFERROR(__xludf.DUMMYFUNCTION("""COMPUTED_VALUE"""),"02384")</f>
        <v>02384</v>
      </c>
      <c r="D262" s="2" t="str">
        <f>IFERROR(__xludf.DUMMYFUNCTION("""COMPUTED_VALUE"""),"EAST MIDDLE SCHOOL")</f>
        <v>EAST MIDDLE SCHOOL</v>
      </c>
      <c r="E262" s="3" t="str">
        <f>IFERROR(__xludf.DUMMYFUNCTION("""COMPUTED_VALUE"""),"Y")</f>
        <v>Y</v>
      </c>
      <c r="F262" s="3" t="str">
        <f>IFERROR(__xludf.DUMMYFUNCTION("""COMPUTED_VALUE"""),"Y")</f>
        <v>Y</v>
      </c>
      <c r="G262" s="3"/>
      <c r="H262" s="3"/>
      <c r="I262" s="3" t="str">
        <f>IFERROR(__xludf.DUMMYFUNCTION("""COMPUTED_VALUE""")," ")</f>
        <v> </v>
      </c>
      <c r="J262" s="3" t="str">
        <f>IFERROR(__xludf.DUMMYFUNCTION("""COMPUTED_VALUE"""),"Y")</f>
        <v>Y</v>
      </c>
      <c r="K262" s="3" t="str">
        <f>IFERROR(__xludf.DUMMYFUNCTION("""COMPUTED_VALUE"""),"Y")</f>
        <v>Y</v>
      </c>
      <c r="L262" s="3" t="str">
        <f>IFERROR(__xludf.DUMMYFUNCTION("""COMPUTED_VALUE"""),"Group 17")</f>
        <v>Group 17</v>
      </c>
      <c r="M262" s="3"/>
      <c r="N262" s="5" t="str">
        <f>IFERROR(__xludf.DUMMYFUNCTION("""COMPUTED_VALUE""")," ")</f>
        <v> </v>
      </c>
      <c r="O262" s="5"/>
    </row>
    <row r="263">
      <c r="A263" s="2" t="str">
        <f>IFERROR(__xludf.DUMMYFUNCTION("""COMPUTED_VALUE"""),"0180")</f>
        <v>0180</v>
      </c>
      <c r="B263" s="2" t="str">
        <f>IFERROR(__xludf.DUMMYFUNCTION("""COMPUTED_VALUE"""),"ADAMS-ARAPAHOE 28J")</f>
        <v>ADAMS-ARAPAHOE 28J</v>
      </c>
      <c r="C263" s="2" t="str">
        <f>IFERROR(__xludf.DUMMYFUNCTION("""COMPUTED_VALUE"""),"02618")</f>
        <v>02618</v>
      </c>
      <c r="D263" s="2" t="str">
        <f>IFERROR(__xludf.DUMMYFUNCTION("""COMPUTED_VALUE"""),"ELKHART ELEMENTARY SCHOOL")</f>
        <v>ELKHART ELEMENTARY SCHOOL</v>
      </c>
      <c r="E263" s="3" t="str">
        <f>IFERROR(__xludf.DUMMYFUNCTION("""COMPUTED_VALUE"""),"Y")</f>
        <v>Y</v>
      </c>
      <c r="F263" s="3" t="str">
        <f>IFERROR(__xludf.DUMMYFUNCTION("""COMPUTED_VALUE"""),"Y")</f>
        <v>Y</v>
      </c>
      <c r="G263" s="3"/>
      <c r="H263" s="3"/>
      <c r="I263" s="3" t="str">
        <f>IFERROR(__xludf.DUMMYFUNCTION("""COMPUTED_VALUE""")," ")</f>
        <v> </v>
      </c>
      <c r="J263" s="3" t="str">
        <f>IFERROR(__xludf.DUMMYFUNCTION("""COMPUTED_VALUE"""),"Y")</f>
        <v>Y</v>
      </c>
      <c r="K263" s="3" t="str">
        <f>IFERROR(__xludf.DUMMYFUNCTION("""COMPUTED_VALUE"""),"Y")</f>
        <v>Y</v>
      </c>
      <c r="L263" s="3" t="str">
        <f>IFERROR(__xludf.DUMMYFUNCTION("""COMPUTED_VALUE"""),"Group 1")</f>
        <v>Group 1</v>
      </c>
      <c r="M263" s="3"/>
      <c r="N263" s="5" t="str">
        <f>IFERROR(__xludf.DUMMYFUNCTION("""COMPUTED_VALUE"""),"Y")</f>
        <v>Y</v>
      </c>
      <c r="O263" s="5"/>
    </row>
    <row r="264">
      <c r="A264" s="2" t="str">
        <f>IFERROR(__xludf.DUMMYFUNCTION("""COMPUTED_VALUE"""),"0180")</f>
        <v>0180</v>
      </c>
      <c r="B264" s="2" t="str">
        <f>IFERROR(__xludf.DUMMYFUNCTION("""COMPUTED_VALUE"""),"ADAMS-ARAPAHOE 28J")</f>
        <v>ADAMS-ARAPAHOE 28J</v>
      </c>
      <c r="C264" s="2" t="str">
        <f>IFERROR(__xludf.DUMMYFUNCTION("""COMPUTED_VALUE"""),"02673")</f>
        <v>02673</v>
      </c>
      <c r="D264" s="2" t="str">
        <f>IFERROR(__xludf.DUMMYFUNCTION("""COMPUTED_VALUE"""),"EDNA AND JOHN W. MOSLEY P-8")</f>
        <v>EDNA AND JOHN W. MOSLEY P-8</v>
      </c>
      <c r="E264" s="3" t="str">
        <f>IFERROR(__xludf.DUMMYFUNCTION("""COMPUTED_VALUE"""),"Y")</f>
        <v>Y</v>
      </c>
      <c r="F264" s="3" t="str">
        <f>IFERROR(__xludf.DUMMYFUNCTION("""COMPUTED_VALUE"""),"Y")</f>
        <v>Y</v>
      </c>
      <c r="G264" s="3"/>
      <c r="H264" s="3"/>
      <c r="I264" s="3" t="str">
        <f>IFERROR(__xludf.DUMMYFUNCTION("""COMPUTED_VALUE""")," ")</f>
        <v> </v>
      </c>
      <c r="J264" s="3" t="str">
        <f>IFERROR(__xludf.DUMMYFUNCTION("""COMPUTED_VALUE"""),"Y")</f>
        <v>Y</v>
      </c>
      <c r="K264" s="3" t="str">
        <f>IFERROR(__xludf.DUMMYFUNCTION("""COMPUTED_VALUE"""),"Y")</f>
        <v>Y</v>
      </c>
      <c r="L264" s="3" t="str">
        <f>IFERROR(__xludf.DUMMYFUNCTION("""COMPUTED_VALUE"""),"Group 8")</f>
        <v>Group 8</v>
      </c>
      <c r="M264" s="3"/>
      <c r="N264" s="5" t="str">
        <f>IFERROR(__xludf.DUMMYFUNCTION("""COMPUTED_VALUE"""),"Y")</f>
        <v>Y</v>
      </c>
      <c r="O264" s="5"/>
    </row>
    <row r="265">
      <c r="A265" s="2" t="str">
        <f>IFERROR(__xludf.DUMMYFUNCTION("""COMPUTED_VALUE"""),"0180")</f>
        <v>0180</v>
      </c>
      <c r="B265" s="2" t="str">
        <f>IFERROR(__xludf.DUMMYFUNCTION("""COMPUTED_VALUE"""),"ADAMS-ARAPAHOE 28J")</f>
        <v>ADAMS-ARAPAHOE 28J</v>
      </c>
      <c r="C265" s="2" t="str">
        <f>IFERROR(__xludf.DUMMYFUNCTION("""COMPUTED_VALUE"""),"02951")</f>
        <v>02951</v>
      </c>
      <c r="D265" s="2" t="str">
        <f>IFERROR(__xludf.DUMMYFUNCTION("""COMPUTED_VALUE"""),"LAREDO CHILD DEVELOPMENT CENTER")</f>
        <v>LAREDO CHILD DEVELOPMENT CENTER</v>
      </c>
      <c r="E265" s="3" t="str">
        <f>IFERROR(__xludf.DUMMYFUNCTION("""COMPUTED_VALUE"""),"Y")</f>
        <v>Y</v>
      </c>
      <c r="F265" s="3" t="str">
        <f>IFERROR(__xludf.DUMMYFUNCTION("""COMPUTED_VALUE"""),"Y")</f>
        <v>Y</v>
      </c>
      <c r="G265" s="3"/>
      <c r="H265" s="3"/>
      <c r="I265" s="3" t="str">
        <f>IFERROR(__xludf.DUMMYFUNCTION("""COMPUTED_VALUE""")," ")</f>
        <v> </v>
      </c>
      <c r="J265" s="3" t="str">
        <f>IFERROR(__xludf.DUMMYFUNCTION("""COMPUTED_VALUE"""),"Y")</f>
        <v>Y</v>
      </c>
      <c r="K265" s="3" t="str">
        <f>IFERROR(__xludf.DUMMYFUNCTION("""COMPUTED_VALUE"""),"Y")</f>
        <v>Y</v>
      </c>
      <c r="L265" s="3" t="str">
        <f>IFERROR(__xludf.DUMMYFUNCTION("""COMPUTED_VALUE"""),"Group 5")</f>
        <v>Group 5</v>
      </c>
      <c r="M265" s="3"/>
      <c r="N265" s="5" t="str">
        <f>IFERROR(__xludf.DUMMYFUNCTION("""COMPUTED_VALUE""")," ")</f>
        <v> </v>
      </c>
      <c r="O265" s="5"/>
    </row>
    <row r="266">
      <c r="A266" s="2" t="str">
        <f>IFERROR(__xludf.DUMMYFUNCTION("""COMPUTED_VALUE"""),"0180")</f>
        <v>0180</v>
      </c>
      <c r="B266" s="2" t="str">
        <f>IFERROR(__xludf.DUMMYFUNCTION("""COMPUTED_VALUE"""),"ADAMS-ARAPAHOE 28J")</f>
        <v>ADAMS-ARAPAHOE 28J</v>
      </c>
      <c r="C266" s="2" t="str">
        <f>IFERROR(__xludf.DUMMYFUNCTION("""COMPUTED_VALUE"""),"03272")</f>
        <v>03272</v>
      </c>
      <c r="D266" s="2" t="str">
        <f>IFERROR(__xludf.DUMMYFUNCTION("""COMPUTED_VALUE"""),"FULTON ACADEMY OF EXCELLENCE")</f>
        <v>FULTON ACADEMY OF EXCELLENCE</v>
      </c>
      <c r="E266" s="3" t="str">
        <f>IFERROR(__xludf.DUMMYFUNCTION("""COMPUTED_VALUE"""),"Y")</f>
        <v>Y</v>
      </c>
      <c r="F266" s="3" t="str">
        <f>IFERROR(__xludf.DUMMYFUNCTION("""COMPUTED_VALUE"""),"Y")</f>
        <v>Y</v>
      </c>
      <c r="G266" s="3"/>
      <c r="H266" s="3"/>
      <c r="I266" s="3" t="str">
        <f>IFERROR(__xludf.DUMMYFUNCTION("""COMPUTED_VALUE""")," ")</f>
        <v> </v>
      </c>
      <c r="J266" s="3" t="str">
        <f>IFERROR(__xludf.DUMMYFUNCTION("""COMPUTED_VALUE"""),"Y")</f>
        <v>Y</v>
      </c>
      <c r="K266" s="3" t="str">
        <f>IFERROR(__xludf.DUMMYFUNCTION("""COMPUTED_VALUE"""),"Y")</f>
        <v>Y</v>
      </c>
      <c r="L266" s="3" t="str">
        <f>IFERROR(__xludf.DUMMYFUNCTION("""COMPUTED_VALUE"""),"Group 1")</f>
        <v>Group 1</v>
      </c>
      <c r="M266" s="3"/>
      <c r="N266" s="5" t="str">
        <f>IFERROR(__xludf.DUMMYFUNCTION("""COMPUTED_VALUE""")," ")</f>
        <v> </v>
      </c>
      <c r="O266" s="5"/>
    </row>
    <row r="267">
      <c r="A267" s="2" t="str">
        <f>IFERROR(__xludf.DUMMYFUNCTION("""COMPUTED_VALUE"""),"0180")</f>
        <v>0180</v>
      </c>
      <c r="B267" s="2" t="str">
        <f>IFERROR(__xludf.DUMMYFUNCTION("""COMPUTED_VALUE"""),"ADAMS-ARAPAHOE 28J")</f>
        <v>ADAMS-ARAPAHOE 28J</v>
      </c>
      <c r="C267" s="2" t="str">
        <f>IFERROR(__xludf.DUMMYFUNCTION("""COMPUTED_VALUE"""),"03354")</f>
        <v>03354</v>
      </c>
      <c r="D267" s="2" t="str">
        <f>IFERROR(__xludf.DUMMYFUNCTION("""COMPUTED_VALUE"""),"GATEWAY HIGH SCHOOL")</f>
        <v>GATEWAY HIGH SCHOOL</v>
      </c>
      <c r="E267" s="3" t="str">
        <f>IFERROR(__xludf.DUMMYFUNCTION("""COMPUTED_VALUE"""),"Y")</f>
        <v>Y</v>
      </c>
      <c r="F267" s="3" t="str">
        <f>IFERROR(__xludf.DUMMYFUNCTION("""COMPUTED_VALUE"""),"Y")</f>
        <v>Y</v>
      </c>
      <c r="G267" s="3"/>
      <c r="H267" s="3"/>
      <c r="I267" s="3" t="str">
        <f>IFERROR(__xludf.DUMMYFUNCTION("""COMPUTED_VALUE""")," ")</f>
        <v> </v>
      </c>
      <c r="J267" s="3" t="str">
        <f>IFERROR(__xludf.DUMMYFUNCTION("""COMPUTED_VALUE"""),"Y")</f>
        <v>Y</v>
      </c>
      <c r="K267" s="3" t="str">
        <f>IFERROR(__xludf.DUMMYFUNCTION("""COMPUTED_VALUE"""),"Y")</f>
        <v>Y</v>
      </c>
      <c r="L267" s="3" t="str">
        <f>IFERROR(__xludf.DUMMYFUNCTION("""COMPUTED_VALUE"""),"Group 15")</f>
        <v>Group 15</v>
      </c>
      <c r="M267" s="3"/>
      <c r="N267" s="5" t="str">
        <f>IFERROR(__xludf.DUMMYFUNCTION("""COMPUTED_VALUE"""),"Y")</f>
        <v>Y</v>
      </c>
      <c r="O267" s="5"/>
    </row>
    <row r="268">
      <c r="A268" s="2" t="str">
        <f>IFERROR(__xludf.DUMMYFUNCTION("""COMPUTED_VALUE"""),"0180")</f>
        <v>0180</v>
      </c>
      <c r="B268" s="2" t="str">
        <f>IFERROR(__xludf.DUMMYFUNCTION("""COMPUTED_VALUE"""),"ADAMS-ARAPAHOE 28J")</f>
        <v>ADAMS-ARAPAHOE 28J</v>
      </c>
      <c r="C268" s="2" t="str">
        <f>IFERROR(__xludf.DUMMYFUNCTION("""COMPUTED_VALUE"""),"03471")</f>
        <v>03471</v>
      </c>
      <c r="D268" s="2" t="str">
        <f>IFERROR(__xludf.DUMMYFUNCTION("""COMPUTED_VALUE"""),"GLOBAL VILLAGE ACADEMY AURORA")</f>
        <v>GLOBAL VILLAGE ACADEMY AURORA</v>
      </c>
      <c r="E268" s="3" t="str">
        <f>IFERROR(__xludf.DUMMYFUNCTION("""COMPUTED_VALUE"""),"Y")</f>
        <v>Y</v>
      </c>
      <c r="F268" s="3" t="str">
        <f>IFERROR(__xludf.DUMMYFUNCTION("""COMPUTED_VALUE"""),"Y")</f>
        <v>Y</v>
      </c>
      <c r="G268" s="3"/>
      <c r="H268" s="3"/>
      <c r="I268" s="3" t="str">
        <f>IFERROR(__xludf.DUMMYFUNCTION("""COMPUTED_VALUE""")," ")</f>
        <v> </v>
      </c>
      <c r="J268" s="3" t="str">
        <f>IFERROR(__xludf.DUMMYFUNCTION("""COMPUTED_VALUE"""),"Y")</f>
        <v>Y</v>
      </c>
      <c r="K268" s="3" t="str">
        <f>IFERROR(__xludf.DUMMYFUNCTION("""COMPUTED_VALUE"""),"Y")</f>
        <v>Y</v>
      </c>
      <c r="L268" s="3" t="str">
        <f>IFERROR(__xludf.DUMMYFUNCTION("""COMPUTED_VALUE"""),"Group 9")</f>
        <v>Group 9</v>
      </c>
      <c r="M268" s="3"/>
      <c r="N268" s="5" t="str">
        <f>IFERROR(__xludf.DUMMYFUNCTION("""COMPUTED_VALUE""")," ")</f>
        <v> </v>
      </c>
      <c r="O268" s="5"/>
    </row>
    <row r="269">
      <c r="A269" s="2" t="str">
        <f>IFERROR(__xludf.DUMMYFUNCTION("""COMPUTED_VALUE"""),"0180")</f>
        <v>0180</v>
      </c>
      <c r="B269" s="2" t="str">
        <f>IFERROR(__xludf.DUMMYFUNCTION("""COMPUTED_VALUE"""),"ADAMS-ARAPAHOE 28J")</f>
        <v>ADAMS-ARAPAHOE 28J</v>
      </c>
      <c r="C269" s="2" t="str">
        <f>IFERROR(__xludf.DUMMYFUNCTION("""COMPUTED_VALUE"""),"04024")</f>
        <v>04024</v>
      </c>
      <c r="D269" s="2" t="str">
        <f>IFERROR(__xludf.DUMMYFUNCTION("""COMPUTED_VALUE"""),"HINKLEY HIGH SCHOOL")</f>
        <v>HINKLEY HIGH SCHOOL</v>
      </c>
      <c r="E269" s="3" t="str">
        <f>IFERROR(__xludf.DUMMYFUNCTION("""COMPUTED_VALUE"""),"Y")</f>
        <v>Y</v>
      </c>
      <c r="F269" s="3" t="str">
        <f>IFERROR(__xludf.DUMMYFUNCTION("""COMPUTED_VALUE"""),"Y")</f>
        <v>Y</v>
      </c>
      <c r="G269" s="3"/>
      <c r="H269" s="3"/>
      <c r="I269" s="3" t="str">
        <f>IFERROR(__xludf.DUMMYFUNCTION("""COMPUTED_VALUE""")," ")</f>
        <v> </v>
      </c>
      <c r="J269" s="3" t="str">
        <f>IFERROR(__xludf.DUMMYFUNCTION("""COMPUTED_VALUE"""),"Y")</f>
        <v>Y</v>
      </c>
      <c r="K269" s="3" t="str">
        <f>IFERROR(__xludf.DUMMYFUNCTION("""COMPUTED_VALUE"""),"Y")</f>
        <v>Y</v>
      </c>
      <c r="L269" s="3" t="str">
        <f>IFERROR(__xludf.DUMMYFUNCTION("""COMPUTED_VALUE"""),"Group 9")</f>
        <v>Group 9</v>
      </c>
      <c r="M269" s="3"/>
      <c r="N269" s="5" t="str">
        <f>IFERROR(__xludf.DUMMYFUNCTION("""COMPUTED_VALUE"""),"Y")</f>
        <v>Y</v>
      </c>
      <c r="O269" s="5"/>
    </row>
    <row r="270">
      <c r="A270" s="2" t="str">
        <f>IFERROR(__xludf.DUMMYFUNCTION("""COMPUTED_VALUE"""),"0180")</f>
        <v>0180</v>
      </c>
      <c r="B270" s="2" t="str">
        <f>IFERROR(__xludf.DUMMYFUNCTION("""COMPUTED_VALUE"""),"ADAMS-ARAPAHOE 28J")</f>
        <v>ADAMS-ARAPAHOE 28J</v>
      </c>
      <c r="C270" s="2" t="str">
        <f>IFERROR(__xludf.DUMMYFUNCTION("""COMPUTED_VALUE"""),"04270")</f>
        <v>04270</v>
      </c>
      <c r="D270" s="2" t="str">
        <f>IFERROR(__xludf.DUMMYFUNCTION("""COMPUTED_VALUE"""),"IOWA ELEMENTARY SCHOOL")</f>
        <v>IOWA ELEMENTARY SCHOOL</v>
      </c>
      <c r="E270" s="3" t="str">
        <f>IFERROR(__xludf.DUMMYFUNCTION("""COMPUTED_VALUE"""),"Y")</f>
        <v>Y</v>
      </c>
      <c r="F270" s="3" t="str">
        <f>IFERROR(__xludf.DUMMYFUNCTION("""COMPUTED_VALUE"""),"Y")</f>
        <v>Y</v>
      </c>
      <c r="G270" s="3"/>
      <c r="H270" s="3"/>
      <c r="I270" s="3" t="str">
        <f>IFERROR(__xludf.DUMMYFUNCTION("""COMPUTED_VALUE""")," ")</f>
        <v> </v>
      </c>
      <c r="J270" s="3" t="str">
        <f>IFERROR(__xludf.DUMMYFUNCTION("""COMPUTED_VALUE"""),"Y")</f>
        <v>Y</v>
      </c>
      <c r="K270" s="3" t="str">
        <f>IFERROR(__xludf.DUMMYFUNCTION("""COMPUTED_VALUE"""),"Y")</f>
        <v>Y</v>
      </c>
      <c r="L270" s="3" t="str">
        <f>IFERROR(__xludf.DUMMYFUNCTION("""COMPUTED_VALUE"""),"Group 1")</f>
        <v>Group 1</v>
      </c>
      <c r="M270" s="3"/>
      <c r="N270" s="5" t="str">
        <f>IFERROR(__xludf.DUMMYFUNCTION("""COMPUTED_VALUE"""),"Y")</f>
        <v>Y</v>
      </c>
      <c r="O270" s="5"/>
    </row>
    <row r="271">
      <c r="A271" s="2" t="str">
        <f>IFERROR(__xludf.DUMMYFUNCTION("""COMPUTED_VALUE"""),"0180")</f>
        <v>0180</v>
      </c>
      <c r="B271" s="2" t="str">
        <f>IFERROR(__xludf.DUMMYFUNCTION("""COMPUTED_VALUE"""),"ADAMS-ARAPAHOE 28J")</f>
        <v>ADAMS-ARAPAHOE 28J</v>
      </c>
      <c r="C271" s="2" t="str">
        <f>IFERROR(__xludf.DUMMYFUNCTION("""COMPUTED_VALUE"""),"04385")</f>
        <v>04385</v>
      </c>
      <c r="D271" s="2" t="str">
        <f>IFERROR(__xludf.DUMMYFUNCTION("""COMPUTED_VALUE"""),"JAMAICA CHILD DEVELOPMENT CENTER")</f>
        <v>JAMAICA CHILD DEVELOPMENT CENTER</v>
      </c>
      <c r="E271" s="3" t="str">
        <f>IFERROR(__xludf.DUMMYFUNCTION("""COMPUTED_VALUE"""),"Y")</f>
        <v>Y</v>
      </c>
      <c r="F271" s="3" t="str">
        <f>IFERROR(__xludf.DUMMYFUNCTION("""COMPUTED_VALUE"""),"Y")</f>
        <v>Y</v>
      </c>
      <c r="G271" s="3"/>
      <c r="H271" s="3"/>
      <c r="I271" s="3" t="str">
        <f>IFERROR(__xludf.DUMMYFUNCTION("""COMPUTED_VALUE""")," ")</f>
        <v> </v>
      </c>
      <c r="J271" s="3" t="str">
        <f>IFERROR(__xludf.DUMMYFUNCTION("""COMPUTED_VALUE"""),"Y")</f>
        <v>Y</v>
      </c>
      <c r="K271" s="3" t="str">
        <f>IFERROR(__xludf.DUMMYFUNCTION("""COMPUTED_VALUE"""),"Y")</f>
        <v>Y</v>
      </c>
      <c r="L271" s="3" t="str">
        <f>IFERROR(__xludf.DUMMYFUNCTION("""COMPUTED_VALUE"""),"Group 3")</f>
        <v>Group 3</v>
      </c>
      <c r="M271" s="3"/>
      <c r="N271" s="5" t="str">
        <f>IFERROR(__xludf.DUMMYFUNCTION("""COMPUTED_VALUE""")," ")</f>
        <v> </v>
      </c>
      <c r="O271" s="5"/>
    </row>
    <row r="272">
      <c r="A272" s="2" t="str">
        <f>IFERROR(__xludf.DUMMYFUNCTION("""COMPUTED_VALUE"""),"0180")</f>
        <v>0180</v>
      </c>
      <c r="B272" s="2" t="str">
        <f>IFERROR(__xludf.DUMMYFUNCTION("""COMPUTED_VALUE"""),"ADAMS-ARAPAHOE 28J")</f>
        <v>ADAMS-ARAPAHOE 28J</v>
      </c>
      <c r="C272" s="2" t="str">
        <f>IFERROR(__xludf.DUMMYFUNCTION("""COMPUTED_VALUE"""),"04426")</f>
        <v>04426</v>
      </c>
      <c r="D272" s="2" t="str">
        <f>IFERROR(__xludf.DUMMYFUNCTION("""COMPUTED_VALUE"""),"JEWELL ELEMENTARY SCHOOL")</f>
        <v>JEWELL ELEMENTARY SCHOOL</v>
      </c>
      <c r="E272" s="3" t="str">
        <f>IFERROR(__xludf.DUMMYFUNCTION("""COMPUTED_VALUE"""),"Y")</f>
        <v>Y</v>
      </c>
      <c r="F272" s="3" t="str">
        <f>IFERROR(__xludf.DUMMYFUNCTION("""COMPUTED_VALUE"""),"Y")</f>
        <v>Y</v>
      </c>
      <c r="G272" s="3"/>
      <c r="H272" s="3"/>
      <c r="I272" s="3" t="str">
        <f>IFERROR(__xludf.DUMMYFUNCTION("""COMPUTED_VALUE""")," ")</f>
        <v> </v>
      </c>
      <c r="J272" s="3" t="str">
        <f>IFERROR(__xludf.DUMMYFUNCTION("""COMPUTED_VALUE"""),"Y")</f>
        <v>Y</v>
      </c>
      <c r="K272" s="3" t="str">
        <f>IFERROR(__xludf.DUMMYFUNCTION("""COMPUTED_VALUE"""),"Y")</f>
        <v>Y</v>
      </c>
      <c r="L272" s="3" t="str">
        <f>IFERROR(__xludf.DUMMYFUNCTION("""COMPUTED_VALUE"""),"Group 1")</f>
        <v>Group 1</v>
      </c>
      <c r="M272" s="3"/>
      <c r="N272" s="5" t="str">
        <f>IFERROR(__xludf.DUMMYFUNCTION("""COMPUTED_VALUE""")," ")</f>
        <v> </v>
      </c>
      <c r="O272" s="5"/>
    </row>
    <row r="273">
      <c r="A273" s="2" t="str">
        <f>IFERROR(__xludf.DUMMYFUNCTION("""COMPUTED_VALUE"""),"0180")</f>
        <v>0180</v>
      </c>
      <c r="B273" s="2" t="str">
        <f>IFERROR(__xludf.DUMMYFUNCTION("""COMPUTED_VALUE"""),"ADAMS-ARAPAHOE 28J")</f>
        <v>ADAMS-ARAPAHOE 28J</v>
      </c>
      <c r="C273" s="2" t="str">
        <f>IFERROR(__xludf.DUMMYFUNCTION("""COMPUTED_VALUE"""),"04646")</f>
        <v>04646</v>
      </c>
      <c r="D273" s="2" t="str">
        <f>IFERROR(__xludf.DUMMYFUNCTION("""COMPUTED_VALUE"""),"KENTON ELEMENTARY SCHOOL")</f>
        <v>KENTON ELEMENTARY SCHOOL</v>
      </c>
      <c r="E273" s="3" t="str">
        <f>IFERROR(__xludf.DUMMYFUNCTION("""COMPUTED_VALUE"""),"Y")</f>
        <v>Y</v>
      </c>
      <c r="F273" s="3" t="str">
        <f>IFERROR(__xludf.DUMMYFUNCTION("""COMPUTED_VALUE"""),"Y")</f>
        <v>Y</v>
      </c>
      <c r="G273" s="3"/>
      <c r="H273" s="3"/>
      <c r="I273" s="3" t="str">
        <f>IFERROR(__xludf.DUMMYFUNCTION("""COMPUTED_VALUE""")," ")</f>
        <v> </v>
      </c>
      <c r="J273" s="3" t="str">
        <f>IFERROR(__xludf.DUMMYFUNCTION("""COMPUTED_VALUE"""),"Y")</f>
        <v>Y</v>
      </c>
      <c r="K273" s="3" t="str">
        <f>IFERROR(__xludf.DUMMYFUNCTION("""COMPUTED_VALUE"""),"Y")</f>
        <v>Y</v>
      </c>
      <c r="L273" s="3" t="str">
        <f>IFERROR(__xludf.DUMMYFUNCTION("""COMPUTED_VALUE"""),"Group 17")</f>
        <v>Group 17</v>
      </c>
      <c r="M273" s="3"/>
      <c r="N273" s="5" t="str">
        <f>IFERROR(__xludf.DUMMYFUNCTION("""COMPUTED_VALUE""")," ")</f>
        <v> </v>
      </c>
      <c r="O273" s="5"/>
    </row>
    <row r="274">
      <c r="A274" s="2" t="str">
        <f>IFERROR(__xludf.DUMMYFUNCTION("""COMPUTED_VALUE"""),"0180")</f>
        <v>0180</v>
      </c>
      <c r="B274" s="2" t="str">
        <f>IFERROR(__xludf.DUMMYFUNCTION("""COMPUTED_VALUE"""),"ADAMS-ARAPAHOE 28J")</f>
        <v>ADAMS-ARAPAHOE 28J</v>
      </c>
      <c r="C274" s="2" t="str">
        <f>IFERROR(__xludf.DUMMYFUNCTION("""COMPUTED_VALUE"""),"04970")</f>
        <v>04970</v>
      </c>
      <c r="D274" s="2" t="str">
        <f>IFERROR(__xludf.DUMMYFUNCTION("""COMPUTED_VALUE"""),"LANSING ELEMENTARY COMMUNITY SCHOOL")</f>
        <v>LANSING ELEMENTARY COMMUNITY SCHOOL</v>
      </c>
      <c r="E274" s="3" t="str">
        <f>IFERROR(__xludf.DUMMYFUNCTION("""COMPUTED_VALUE"""),"Y")</f>
        <v>Y</v>
      </c>
      <c r="F274" s="3" t="str">
        <f>IFERROR(__xludf.DUMMYFUNCTION("""COMPUTED_VALUE"""),"Y")</f>
        <v>Y</v>
      </c>
      <c r="G274" s="3"/>
      <c r="H274" s="3"/>
      <c r="I274" s="3" t="str">
        <f>IFERROR(__xludf.DUMMYFUNCTION("""COMPUTED_VALUE""")," ")</f>
        <v> </v>
      </c>
      <c r="J274" s="3" t="str">
        <f>IFERROR(__xludf.DUMMYFUNCTION("""COMPUTED_VALUE"""),"Y")</f>
        <v>Y</v>
      </c>
      <c r="K274" s="3" t="str">
        <f>IFERROR(__xludf.DUMMYFUNCTION("""COMPUTED_VALUE"""),"Y")</f>
        <v>Y</v>
      </c>
      <c r="L274" s="3" t="str">
        <f>IFERROR(__xludf.DUMMYFUNCTION("""COMPUTED_VALUE"""),"Group 17")</f>
        <v>Group 17</v>
      </c>
      <c r="M274" s="3"/>
      <c r="N274" s="5" t="str">
        <f>IFERROR(__xludf.DUMMYFUNCTION("""COMPUTED_VALUE""")," ")</f>
        <v> </v>
      </c>
      <c r="O274" s="5"/>
    </row>
    <row r="275">
      <c r="A275" s="2" t="str">
        <f>IFERROR(__xludf.DUMMYFUNCTION("""COMPUTED_VALUE"""),"0180")</f>
        <v>0180</v>
      </c>
      <c r="B275" s="2" t="str">
        <f>IFERROR(__xludf.DUMMYFUNCTION("""COMPUTED_VALUE"""),"ADAMS-ARAPAHOE 28J")</f>
        <v>ADAMS-ARAPAHOE 28J</v>
      </c>
      <c r="C275" s="2" t="str">
        <f>IFERROR(__xludf.DUMMYFUNCTION("""COMPUTED_VALUE"""),"04973")</f>
        <v>04973</v>
      </c>
      <c r="D275" s="2" t="str">
        <f>IFERROR(__xludf.DUMMYFUNCTION("""COMPUTED_VALUE"""),"LAREDO ELEMENTARY SCHOOL")</f>
        <v>LAREDO ELEMENTARY SCHOOL</v>
      </c>
      <c r="E275" s="3" t="str">
        <f>IFERROR(__xludf.DUMMYFUNCTION("""COMPUTED_VALUE"""),"Y")</f>
        <v>Y</v>
      </c>
      <c r="F275" s="3" t="str">
        <f>IFERROR(__xludf.DUMMYFUNCTION("""COMPUTED_VALUE"""),"Y")</f>
        <v>Y</v>
      </c>
      <c r="G275" s="3"/>
      <c r="H275" s="3"/>
      <c r="I275" s="3" t="str">
        <f>IFERROR(__xludf.DUMMYFUNCTION("""COMPUTED_VALUE""")," ")</f>
        <v> </v>
      </c>
      <c r="J275" s="3" t="str">
        <f>IFERROR(__xludf.DUMMYFUNCTION("""COMPUTED_VALUE"""),"Y")</f>
        <v>Y</v>
      </c>
      <c r="K275" s="3" t="str">
        <f>IFERROR(__xludf.DUMMYFUNCTION("""COMPUTED_VALUE"""),"Y")</f>
        <v>Y</v>
      </c>
      <c r="L275" s="3" t="str">
        <f>IFERROR(__xludf.DUMMYFUNCTION("""COMPUTED_VALUE"""),"Group 1")</f>
        <v>Group 1</v>
      </c>
      <c r="M275" s="3"/>
      <c r="N275" s="5" t="str">
        <f>IFERROR(__xludf.DUMMYFUNCTION("""COMPUTED_VALUE"""),"Y")</f>
        <v>Y</v>
      </c>
      <c r="O275" s="5"/>
    </row>
    <row r="276">
      <c r="A276" s="2" t="str">
        <f>IFERROR(__xludf.DUMMYFUNCTION("""COMPUTED_VALUE"""),"0180")</f>
        <v>0180</v>
      </c>
      <c r="B276" s="2" t="str">
        <f>IFERROR(__xludf.DUMMYFUNCTION("""COMPUTED_VALUE"""),"ADAMS-ARAPAHOE 28J")</f>
        <v>ADAMS-ARAPAHOE 28J</v>
      </c>
      <c r="C276" s="2" t="str">
        <f>IFERROR(__xludf.DUMMYFUNCTION("""COMPUTED_VALUE"""),"05298")</f>
        <v>05298</v>
      </c>
      <c r="D276" s="2" t="str">
        <f>IFERROR(__xludf.DUMMYFUNCTION("""COMPUTED_VALUE"""),"Lotus School for Excellence")</f>
        <v>Lotus School for Excellence</v>
      </c>
      <c r="E276" s="3" t="str">
        <f>IFERROR(__xludf.DUMMYFUNCTION("""COMPUTED_VALUE"""),"Y")</f>
        <v>Y</v>
      </c>
      <c r="F276" s="3" t="str">
        <f>IFERROR(__xludf.DUMMYFUNCTION("""COMPUTED_VALUE"""),"Y")</f>
        <v>Y</v>
      </c>
      <c r="G276" s="3"/>
      <c r="H276" s="3"/>
      <c r="I276" s="3" t="str">
        <f>IFERROR(__xludf.DUMMYFUNCTION("""COMPUTED_VALUE""")," ")</f>
        <v> </v>
      </c>
      <c r="J276" s="3" t="str">
        <f>IFERROR(__xludf.DUMMYFUNCTION("""COMPUTED_VALUE"""),"Y")</f>
        <v>Y</v>
      </c>
      <c r="K276" s="3" t="str">
        <f>IFERROR(__xludf.DUMMYFUNCTION("""COMPUTED_VALUE"""),"Y")</f>
        <v>Y</v>
      </c>
      <c r="L276" s="3" t="str">
        <f>IFERROR(__xludf.DUMMYFUNCTION("""COMPUTED_VALUE"""),"Group 10")</f>
        <v>Group 10</v>
      </c>
      <c r="M276" s="3"/>
      <c r="N276" s="5" t="str">
        <f>IFERROR(__xludf.DUMMYFUNCTION("""COMPUTED_VALUE"""),"Y")</f>
        <v>Y</v>
      </c>
      <c r="O276" s="5"/>
    </row>
    <row r="277">
      <c r="A277" s="2" t="str">
        <f>IFERROR(__xludf.DUMMYFUNCTION("""COMPUTED_VALUE"""),"0180")</f>
        <v>0180</v>
      </c>
      <c r="B277" s="2" t="str">
        <f>IFERROR(__xludf.DUMMYFUNCTION("""COMPUTED_VALUE"""),"ADAMS-ARAPAHOE 28J")</f>
        <v>ADAMS-ARAPAHOE 28J</v>
      </c>
      <c r="C277" s="2" t="str">
        <f>IFERROR(__xludf.DUMMYFUNCTION("""COMPUTED_VALUE"""),"05751")</f>
        <v>05751</v>
      </c>
      <c r="D277" s="2" t="str">
        <f>IFERROR(__xludf.DUMMYFUNCTION("""COMPUTED_VALUE"""),"MEADOWOOD CHILD DEVELOPMENT CENTER")</f>
        <v>MEADOWOOD CHILD DEVELOPMENT CENTER</v>
      </c>
      <c r="E277" s="3" t="str">
        <f>IFERROR(__xludf.DUMMYFUNCTION("""COMPUTED_VALUE"""),"Y")</f>
        <v>Y</v>
      </c>
      <c r="F277" s="3" t="str">
        <f>IFERROR(__xludf.DUMMYFUNCTION("""COMPUTED_VALUE"""),"Y")</f>
        <v>Y</v>
      </c>
      <c r="G277" s="3"/>
      <c r="H277" s="3"/>
      <c r="I277" s="3" t="str">
        <f>IFERROR(__xludf.DUMMYFUNCTION("""COMPUTED_VALUE""")," ")</f>
        <v> </v>
      </c>
      <c r="J277" s="3" t="str">
        <f>IFERROR(__xludf.DUMMYFUNCTION("""COMPUTED_VALUE""")," ")</f>
        <v> </v>
      </c>
      <c r="K277" s="3" t="str">
        <f>IFERROR(__xludf.DUMMYFUNCTION("""COMPUTED_VALUE"""),"Y")</f>
        <v>Y</v>
      </c>
      <c r="L277" s="3" t="str">
        <f>IFERROR(__xludf.DUMMYFUNCTION("""COMPUTED_VALUE"""),"Group 5")</f>
        <v>Group 5</v>
      </c>
      <c r="M277" s="3"/>
      <c r="N277" s="5" t="str">
        <f>IFERROR(__xludf.DUMMYFUNCTION("""COMPUTED_VALUE""")," ")</f>
        <v> </v>
      </c>
      <c r="O277" s="5"/>
    </row>
    <row r="278">
      <c r="A278" s="2" t="str">
        <f>IFERROR(__xludf.DUMMYFUNCTION("""COMPUTED_VALUE"""),"0180")</f>
        <v>0180</v>
      </c>
      <c r="B278" s="2" t="str">
        <f>IFERROR(__xludf.DUMMYFUNCTION("""COMPUTED_VALUE"""),"ADAMS-ARAPAHOE 28J")</f>
        <v>ADAMS-ARAPAHOE 28J</v>
      </c>
      <c r="C278" s="2" t="str">
        <f>IFERROR(__xludf.DUMMYFUNCTION("""COMPUTED_VALUE"""),"05957")</f>
        <v>05957</v>
      </c>
      <c r="D278" s="2" t="str">
        <f>IFERROR(__xludf.DUMMYFUNCTION("""COMPUTED_VALUE"""),"MONTESSORI DEL MUNDO CHARTER SCHOOL")</f>
        <v>MONTESSORI DEL MUNDO CHARTER SCHOOL</v>
      </c>
      <c r="E278" s="3" t="str">
        <f>IFERROR(__xludf.DUMMYFUNCTION("""COMPUTED_VALUE"""),"Y")</f>
        <v>Y</v>
      </c>
      <c r="F278" s="3" t="str">
        <f>IFERROR(__xludf.DUMMYFUNCTION("""COMPUTED_VALUE"""),"Y")</f>
        <v>Y</v>
      </c>
      <c r="G278" s="3"/>
      <c r="H278" s="3"/>
      <c r="I278" s="3" t="str">
        <f>IFERROR(__xludf.DUMMYFUNCTION("""COMPUTED_VALUE""")," ")</f>
        <v> </v>
      </c>
      <c r="J278" s="3" t="str">
        <f>IFERROR(__xludf.DUMMYFUNCTION("""COMPUTED_VALUE""")," ")</f>
        <v> </v>
      </c>
      <c r="K278" s="3" t="str">
        <f>IFERROR(__xludf.DUMMYFUNCTION("""COMPUTED_VALUE"""),"Y")</f>
        <v>Y</v>
      </c>
      <c r="L278" s="3" t="str">
        <f>IFERROR(__xludf.DUMMYFUNCTION("""COMPUTED_VALUE"""),"Group 17")</f>
        <v>Group 17</v>
      </c>
      <c r="M278" s="3"/>
      <c r="N278" s="5" t="str">
        <f>IFERROR(__xludf.DUMMYFUNCTION("""COMPUTED_VALUE""")," ")</f>
        <v> </v>
      </c>
      <c r="O278" s="5"/>
    </row>
    <row r="279">
      <c r="A279" s="2" t="str">
        <f>IFERROR(__xludf.DUMMYFUNCTION("""COMPUTED_VALUE"""),"0180")</f>
        <v>0180</v>
      </c>
      <c r="B279" s="2" t="str">
        <f>IFERROR(__xludf.DUMMYFUNCTION("""COMPUTED_VALUE"""),"ADAMS-ARAPAHOE 28J")</f>
        <v>ADAMS-ARAPAHOE 28J</v>
      </c>
      <c r="C279" s="2" t="str">
        <f>IFERROR(__xludf.DUMMYFUNCTION("""COMPUTED_VALUE"""),"05964")</f>
        <v>05964</v>
      </c>
      <c r="D279" s="2" t="str">
        <f>IFERROR(__xludf.DUMMYFUNCTION("""COMPUTED_VALUE"""),"Aurora Science &amp; Technology High School")</f>
        <v>Aurora Science &amp; Technology High School</v>
      </c>
      <c r="E279" s="3" t="str">
        <f>IFERROR(__xludf.DUMMYFUNCTION("""COMPUTED_VALUE"""),"Y")</f>
        <v>Y</v>
      </c>
      <c r="F279" s="3" t="str">
        <f>IFERROR(__xludf.DUMMYFUNCTION("""COMPUTED_VALUE"""),"Y")</f>
        <v>Y</v>
      </c>
      <c r="G279" s="3"/>
      <c r="H279" s="3"/>
      <c r="I279" s="3" t="str">
        <f>IFERROR(__xludf.DUMMYFUNCTION("""COMPUTED_VALUE""")," ")</f>
        <v> </v>
      </c>
      <c r="J279" s="3" t="str">
        <f>IFERROR(__xludf.DUMMYFUNCTION("""COMPUTED_VALUE"""),"Y")</f>
        <v>Y</v>
      </c>
      <c r="K279" s="3" t="str">
        <f>IFERROR(__xludf.DUMMYFUNCTION("""COMPUTED_VALUE"""),"Y")</f>
        <v>Y</v>
      </c>
      <c r="L279" s="3" t="str">
        <f>IFERROR(__xludf.DUMMYFUNCTION("""COMPUTED_VALUE"""),"Group 5")</f>
        <v>Group 5</v>
      </c>
      <c r="M279" s="3"/>
      <c r="N279" s="5" t="str">
        <f>IFERROR(__xludf.DUMMYFUNCTION("""COMPUTED_VALUE""")," ")</f>
        <v> </v>
      </c>
      <c r="O279" s="5"/>
    </row>
    <row r="280">
      <c r="A280" s="2" t="str">
        <f>IFERROR(__xludf.DUMMYFUNCTION("""COMPUTED_VALUE"""),"0180")</f>
        <v>0180</v>
      </c>
      <c r="B280" s="2" t="str">
        <f>IFERROR(__xludf.DUMMYFUNCTION("""COMPUTED_VALUE"""),"ADAMS-ARAPAHOE 28J")</f>
        <v>ADAMS-ARAPAHOE 28J</v>
      </c>
      <c r="C280" s="2" t="str">
        <f>IFERROR(__xludf.DUMMYFUNCTION("""COMPUTED_VALUE"""),"06068")</f>
        <v>06068</v>
      </c>
      <c r="D280" s="2" t="str">
        <f>IFERROR(__xludf.DUMMYFUNCTION("""COMPUTED_VALUE"""),"MONTVIEW MATH &amp; HEALTH SCIENCES ELEMENTARY SCHOOL")</f>
        <v>MONTVIEW MATH &amp; HEALTH SCIENCES ELEMENTARY SCHOOL</v>
      </c>
      <c r="E280" s="3" t="str">
        <f>IFERROR(__xludf.DUMMYFUNCTION("""COMPUTED_VALUE"""),"Y")</f>
        <v>Y</v>
      </c>
      <c r="F280" s="3" t="str">
        <f>IFERROR(__xludf.DUMMYFUNCTION("""COMPUTED_VALUE"""),"Y")</f>
        <v>Y</v>
      </c>
      <c r="G280" s="3"/>
      <c r="H280" s="3"/>
      <c r="I280" s="3" t="str">
        <f>IFERROR(__xludf.DUMMYFUNCTION("""COMPUTED_VALUE""")," ")</f>
        <v> </v>
      </c>
      <c r="J280" s="3" t="str">
        <f>IFERROR(__xludf.DUMMYFUNCTION("""COMPUTED_VALUE"""),"Y")</f>
        <v>Y</v>
      </c>
      <c r="K280" s="3" t="str">
        <f>IFERROR(__xludf.DUMMYFUNCTION("""COMPUTED_VALUE"""),"Y")</f>
        <v>Y</v>
      </c>
      <c r="L280" s="3" t="str">
        <f>IFERROR(__xludf.DUMMYFUNCTION("""COMPUTED_VALUE"""),"Group 17")</f>
        <v>Group 17</v>
      </c>
      <c r="M280" s="3"/>
      <c r="N280" s="5" t="str">
        <f>IFERROR(__xludf.DUMMYFUNCTION("""COMPUTED_VALUE""")," ")</f>
        <v> </v>
      </c>
      <c r="O280" s="5"/>
    </row>
    <row r="281">
      <c r="A281" s="2" t="str">
        <f>IFERROR(__xludf.DUMMYFUNCTION("""COMPUTED_VALUE"""),"0180")</f>
        <v>0180</v>
      </c>
      <c r="B281" s="2" t="str">
        <f>IFERROR(__xludf.DUMMYFUNCTION("""COMPUTED_VALUE"""),"ADAMS-ARAPAHOE 28J")</f>
        <v>ADAMS-ARAPAHOE 28J</v>
      </c>
      <c r="C281" s="2" t="str">
        <f>IFERROR(__xludf.DUMMYFUNCTION("""COMPUTED_VALUE"""),"06160")</f>
        <v>06160</v>
      </c>
      <c r="D281" s="2" t="str">
        <f>IFERROR(__xludf.DUMMYFUNCTION("""COMPUTED_VALUE"""),"MRACHEK MIDDLE SCHOOL")</f>
        <v>MRACHEK MIDDLE SCHOOL</v>
      </c>
      <c r="E281" s="3" t="str">
        <f>IFERROR(__xludf.DUMMYFUNCTION("""COMPUTED_VALUE"""),"Y")</f>
        <v>Y</v>
      </c>
      <c r="F281" s="3" t="str">
        <f>IFERROR(__xludf.DUMMYFUNCTION("""COMPUTED_VALUE"""),"Y")</f>
        <v>Y</v>
      </c>
      <c r="G281" s="3"/>
      <c r="H281" s="3"/>
      <c r="I281" s="3" t="str">
        <f>IFERROR(__xludf.DUMMYFUNCTION("""COMPUTED_VALUE""")," ")</f>
        <v> </v>
      </c>
      <c r="J281" s="3" t="str">
        <f>IFERROR(__xludf.DUMMYFUNCTION("""COMPUTED_VALUE"""),"Y")</f>
        <v>Y</v>
      </c>
      <c r="K281" s="3" t="str">
        <f>IFERROR(__xludf.DUMMYFUNCTION("""COMPUTED_VALUE"""),"Y")</f>
        <v>Y</v>
      </c>
      <c r="L281" s="3" t="str">
        <f>IFERROR(__xludf.DUMMYFUNCTION("""COMPUTED_VALUE"""),"Group 11")</f>
        <v>Group 11</v>
      </c>
      <c r="M281" s="3"/>
      <c r="N281" s="5"/>
      <c r="O281" s="5"/>
    </row>
    <row r="282">
      <c r="A282" s="2" t="str">
        <f>IFERROR(__xludf.DUMMYFUNCTION("""COMPUTED_VALUE"""),"0180")</f>
        <v>0180</v>
      </c>
      <c r="B282" s="2" t="str">
        <f>IFERROR(__xludf.DUMMYFUNCTION("""COMPUTED_VALUE"""),"ADAMS-ARAPAHOE 28J")</f>
        <v>ADAMS-ARAPAHOE 28J</v>
      </c>
      <c r="C282" s="2" t="str">
        <f>IFERROR(__xludf.DUMMYFUNCTION("""COMPUTED_VALUE"""),"06189")</f>
        <v>06189</v>
      </c>
      <c r="D282" s="2" t="str">
        <f>IFERROR(__xludf.DUMMYFUNCTION("""COMPUTED_VALUE"""),"MURPHY CREEK K-8 SCHOOL")</f>
        <v>MURPHY CREEK K-8 SCHOOL</v>
      </c>
      <c r="E282" s="3" t="str">
        <f>IFERROR(__xludf.DUMMYFUNCTION("""COMPUTED_VALUE"""),"Y")</f>
        <v>Y</v>
      </c>
      <c r="F282" s="3" t="str">
        <f>IFERROR(__xludf.DUMMYFUNCTION("""COMPUTED_VALUE"""),"Y")</f>
        <v>Y</v>
      </c>
      <c r="G282" s="3"/>
      <c r="H282" s="3"/>
      <c r="I282" s="3" t="str">
        <f>IFERROR(__xludf.DUMMYFUNCTION("""COMPUTED_VALUE""")," ")</f>
        <v> </v>
      </c>
      <c r="J282" s="3" t="str">
        <f>IFERROR(__xludf.DUMMYFUNCTION("""COMPUTED_VALUE""")," ")</f>
        <v> </v>
      </c>
      <c r="K282" s="3" t="str">
        <f>IFERROR(__xludf.DUMMYFUNCTION("""COMPUTED_VALUE"""),"Y")</f>
        <v>Y</v>
      </c>
      <c r="L282" s="3" t="str">
        <f>IFERROR(__xludf.DUMMYFUNCTION("""COMPUTED_VALUE""")," ")</f>
        <v> </v>
      </c>
      <c r="M282" s="3"/>
      <c r="N282" s="5" t="str">
        <f>IFERROR(__xludf.DUMMYFUNCTION("""COMPUTED_VALUE"""),"Y")</f>
        <v>Y</v>
      </c>
      <c r="O282" s="5"/>
    </row>
    <row r="283">
      <c r="A283" s="2" t="str">
        <f>IFERROR(__xludf.DUMMYFUNCTION("""COMPUTED_VALUE"""),"0180")</f>
        <v>0180</v>
      </c>
      <c r="B283" s="2" t="str">
        <f>IFERROR(__xludf.DUMMYFUNCTION("""COMPUTED_VALUE"""),"ADAMS-ARAPAHOE 28J")</f>
        <v>ADAMS-ARAPAHOE 28J</v>
      </c>
      <c r="C283" s="2" t="str">
        <f>IFERROR(__xludf.DUMMYFUNCTION("""COMPUTED_VALUE"""),"06266")</f>
        <v>06266</v>
      </c>
      <c r="D283" s="2" t="str">
        <f>IFERROR(__xludf.DUMMYFUNCTION("""COMPUTED_VALUE"""),"New Legacy")</f>
        <v>New Legacy</v>
      </c>
      <c r="E283" s="3" t="str">
        <f>IFERROR(__xludf.DUMMYFUNCTION("""COMPUTED_VALUE"""),"Y")</f>
        <v>Y</v>
      </c>
      <c r="F283" s="3" t="str">
        <f>IFERROR(__xludf.DUMMYFUNCTION("""COMPUTED_VALUE"""),"Y")</f>
        <v>Y</v>
      </c>
      <c r="G283" s="3"/>
      <c r="H283" s="3"/>
      <c r="I283" s="3" t="str">
        <f>IFERROR(__xludf.DUMMYFUNCTION("""COMPUTED_VALUE""")," ")</f>
        <v> </v>
      </c>
      <c r="J283" s="3" t="str">
        <f>IFERROR(__xludf.DUMMYFUNCTION("""COMPUTED_VALUE"""),"Y")</f>
        <v>Y</v>
      </c>
      <c r="K283" s="3" t="str">
        <f>IFERROR(__xludf.DUMMYFUNCTION("""COMPUTED_VALUE"""),"Y")</f>
        <v>Y</v>
      </c>
      <c r="L283" s="3" t="str">
        <f>IFERROR(__xludf.DUMMYFUNCTION("""COMPUTED_VALUE"""),"Group 4")</f>
        <v>Group 4</v>
      </c>
      <c r="M283" s="3"/>
      <c r="N283" s="5" t="str">
        <f>IFERROR(__xludf.DUMMYFUNCTION("""COMPUTED_VALUE""")," ")</f>
        <v> </v>
      </c>
      <c r="O283" s="5"/>
    </row>
    <row r="284">
      <c r="A284" s="2" t="str">
        <f>IFERROR(__xludf.DUMMYFUNCTION("""COMPUTED_VALUE"""),"0180")</f>
        <v>0180</v>
      </c>
      <c r="B284" s="2" t="str">
        <f>IFERROR(__xludf.DUMMYFUNCTION("""COMPUTED_VALUE"""),"ADAMS-ARAPAHOE 28J")</f>
        <v>ADAMS-ARAPAHOE 28J</v>
      </c>
      <c r="C284" s="2" t="str">
        <f>IFERROR(__xludf.DUMMYFUNCTION("""COMPUTED_VALUE"""),"06310")</f>
        <v>06310</v>
      </c>
      <c r="D284" s="2" t="str">
        <f>IFERROR(__xludf.DUMMYFUNCTION("""COMPUTED_VALUE"""),"NORTH MIDDLE SCHOOL HEALTH SCIENCES AND TECHNOLOGY CAMPUS")</f>
        <v>NORTH MIDDLE SCHOOL HEALTH SCIENCES AND TECHNOLOGY CAMPUS</v>
      </c>
      <c r="E284" s="3" t="str">
        <f>IFERROR(__xludf.DUMMYFUNCTION("""COMPUTED_VALUE"""),"Y")</f>
        <v>Y</v>
      </c>
      <c r="F284" s="3" t="str">
        <f>IFERROR(__xludf.DUMMYFUNCTION("""COMPUTED_VALUE"""),"Y")</f>
        <v>Y</v>
      </c>
      <c r="G284" s="3"/>
      <c r="H284" s="3"/>
      <c r="I284" s="3" t="str">
        <f>IFERROR(__xludf.DUMMYFUNCTION("""COMPUTED_VALUE""")," ")</f>
        <v> </v>
      </c>
      <c r="J284" s="3" t="str">
        <f>IFERROR(__xludf.DUMMYFUNCTION("""COMPUTED_VALUE"""),"Y")</f>
        <v>Y</v>
      </c>
      <c r="K284" s="3" t="str">
        <f>IFERROR(__xludf.DUMMYFUNCTION("""COMPUTED_VALUE"""),"Y")</f>
        <v>Y</v>
      </c>
      <c r="L284" s="3" t="str">
        <f>IFERROR(__xludf.DUMMYFUNCTION("""COMPUTED_VALUE"""),"Group 1")</f>
        <v>Group 1</v>
      </c>
      <c r="M284" s="3"/>
      <c r="N284" s="5" t="str">
        <f>IFERROR(__xludf.DUMMYFUNCTION("""COMPUTED_VALUE"""),"Y")</f>
        <v>Y</v>
      </c>
      <c r="O284" s="5"/>
    </row>
    <row r="285">
      <c r="A285" s="2" t="str">
        <f>IFERROR(__xludf.DUMMYFUNCTION("""COMPUTED_VALUE"""),"0180")</f>
        <v>0180</v>
      </c>
      <c r="B285" s="2" t="str">
        <f>IFERROR(__xludf.DUMMYFUNCTION("""COMPUTED_VALUE"""),"ADAMS-ARAPAHOE 28J")</f>
        <v>ADAMS-ARAPAHOE 28J</v>
      </c>
      <c r="C285" s="2" t="str">
        <f>IFERROR(__xludf.DUMMYFUNCTION("""COMPUTED_VALUE"""),"06758")</f>
        <v>06758</v>
      </c>
      <c r="D285" s="2" t="str">
        <f>IFERROR(__xludf.DUMMYFUNCTION("""COMPUTED_VALUE"""),"PARK LANE ELEMENTARY SCHOOL")</f>
        <v>PARK LANE ELEMENTARY SCHOOL</v>
      </c>
      <c r="E285" s="3" t="str">
        <f>IFERROR(__xludf.DUMMYFUNCTION("""COMPUTED_VALUE"""),"Y")</f>
        <v>Y</v>
      </c>
      <c r="F285" s="3" t="str">
        <f>IFERROR(__xludf.DUMMYFUNCTION("""COMPUTED_VALUE"""),"Y")</f>
        <v>Y</v>
      </c>
      <c r="G285" s="3"/>
      <c r="H285" s="3"/>
      <c r="I285" s="3" t="str">
        <f>IFERROR(__xludf.DUMMYFUNCTION("""COMPUTED_VALUE""")," ")</f>
        <v> </v>
      </c>
      <c r="J285" s="3" t="str">
        <f>IFERROR(__xludf.DUMMYFUNCTION("""COMPUTED_VALUE"""),"Y")</f>
        <v>Y</v>
      </c>
      <c r="K285" s="3" t="str">
        <f>IFERROR(__xludf.DUMMYFUNCTION("""COMPUTED_VALUE"""),"Y")</f>
        <v>Y</v>
      </c>
      <c r="L285" s="3" t="str">
        <f>IFERROR(__xludf.DUMMYFUNCTION("""COMPUTED_VALUE"""),"Group 6")</f>
        <v>Group 6</v>
      </c>
      <c r="M285" s="3"/>
      <c r="N285" s="5" t="str">
        <f>IFERROR(__xludf.DUMMYFUNCTION("""COMPUTED_VALUE""")," ")</f>
        <v> </v>
      </c>
      <c r="O285" s="5"/>
    </row>
    <row r="286">
      <c r="A286" s="2" t="str">
        <f>IFERROR(__xludf.DUMMYFUNCTION("""COMPUTED_VALUE"""),"0180")</f>
        <v>0180</v>
      </c>
      <c r="B286" s="2" t="str">
        <f>IFERROR(__xludf.DUMMYFUNCTION("""COMPUTED_VALUE"""),"ADAMS-ARAPAHOE 28J")</f>
        <v>ADAMS-ARAPAHOE 28J</v>
      </c>
      <c r="C286" s="2" t="str">
        <f>IFERROR(__xludf.DUMMYFUNCTION("""COMPUTED_VALUE"""),"07232")</f>
        <v>07232</v>
      </c>
      <c r="D286" s="2" t="str">
        <f>IFERROR(__xludf.DUMMYFUNCTION("""COMPUTED_VALUE"""),"AURORA QUEST K-8")</f>
        <v>AURORA QUEST K-8</v>
      </c>
      <c r="E286" s="3" t="str">
        <f>IFERROR(__xludf.DUMMYFUNCTION("""COMPUTED_VALUE"""),"Y")</f>
        <v>Y</v>
      </c>
      <c r="F286" s="3" t="str">
        <f>IFERROR(__xludf.DUMMYFUNCTION("""COMPUTED_VALUE"""),"Y")</f>
        <v>Y</v>
      </c>
      <c r="G286" s="3"/>
      <c r="H286" s="3"/>
      <c r="I286" s="3" t="str">
        <f>IFERROR(__xludf.DUMMYFUNCTION("""COMPUTED_VALUE""")," ")</f>
        <v> </v>
      </c>
      <c r="J286" s="3" t="str">
        <f>IFERROR(__xludf.DUMMYFUNCTION("""COMPUTED_VALUE""")," ")</f>
        <v> </v>
      </c>
      <c r="K286" s="3" t="str">
        <f>IFERROR(__xludf.DUMMYFUNCTION("""COMPUTED_VALUE"""),"Y")</f>
        <v>Y</v>
      </c>
      <c r="L286" s="3" t="str">
        <f>IFERROR(__xludf.DUMMYFUNCTION("""COMPUTED_VALUE"""),"Group 5")</f>
        <v>Group 5</v>
      </c>
      <c r="M286" s="3"/>
      <c r="N286" s="5" t="str">
        <f>IFERROR(__xludf.DUMMYFUNCTION("""COMPUTED_VALUE"""),"Y")</f>
        <v>Y</v>
      </c>
      <c r="O286" s="5"/>
    </row>
    <row r="287">
      <c r="A287" s="2" t="str">
        <f>IFERROR(__xludf.DUMMYFUNCTION("""COMPUTED_VALUE"""),"0180")</f>
        <v>0180</v>
      </c>
      <c r="B287" s="2" t="str">
        <f>IFERROR(__xludf.DUMMYFUNCTION("""COMPUTED_VALUE"""),"ADAMS-ARAPAHOE 28J")</f>
        <v>ADAMS-ARAPAHOE 28J</v>
      </c>
      <c r="C287" s="2" t="str">
        <f>IFERROR(__xludf.DUMMYFUNCTION("""COMPUTED_VALUE"""),"07250")</f>
        <v>07250</v>
      </c>
      <c r="D287" s="2" t="str">
        <f>IFERROR(__xludf.DUMMYFUNCTION("""COMPUTED_VALUE"""),"RANGEVIEW HIGH SCHOOL")</f>
        <v>RANGEVIEW HIGH SCHOOL</v>
      </c>
      <c r="E287" s="3" t="str">
        <f>IFERROR(__xludf.DUMMYFUNCTION("""COMPUTED_VALUE"""),"Y")</f>
        <v>Y</v>
      </c>
      <c r="F287" s="3" t="str">
        <f>IFERROR(__xludf.DUMMYFUNCTION("""COMPUTED_VALUE"""),"Y")</f>
        <v>Y</v>
      </c>
      <c r="G287" s="3"/>
      <c r="H287" s="3"/>
      <c r="I287" s="3" t="str">
        <f>IFERROR(__xludf.DUMMYFUNCTION("""COMPUTED_VALUE""")," ")</f>
        <v> </v>
      </c>
      <c r="J287" s="3" t="str">
        <f>IFERROR(__xludf.DUMMYFUNCTION("""COMPUTED_VALUE"""),"Y")</f>
        <v>Y</v>
      </c>
      <c r="K287" s="3" t="str">
        <f>IFERROR(__xludf.DUMMYFUNCTION("""COMPUTED_VALUE"""),"Y")</f>
        <v>Y</v>
      </c>
      <c r="L287" s="3" t="str">
        <f>IFERROR(__xludf.DUMMYFUNCTION("""COMPUTED_VALUE"""),"Group 16")</f>
        <v>Group 16</v>
      </c>
      <c r="M287" s="3"/>
      <c r="N287" s="5" t="str">
        <f>IFERROR(__xludf.DUMMYFUNCTION("""COMPUTED_VALUE"""),"Y")</f>
        <v>Y</v>
      </c>
      <c r="O287" s="5"/>
    </row>
    <row r="288">
      <c r="A288" s="2" t="str">
        <f>IFERROR(__xludf.DUMMYFUNCTION("""COMPUTED_VALUE"""),"0180")</f>
        <v>0180</v>
      </c>
      <c r="B288" s="2" t="str">
        <f>IFERROR(__xludf.DUMMYFUNCTION("""COMPUTED_VALUE"""),"ADAMS-ARAPAHOE 28J")</f>
        <v>ADAMS-ARAPAHOE 28J</v>
      </c>
      <c r="C288" s="2" t="str">
        <f>IFERROR(__xludf.DUMMYFUNCTION("""COMPUTED_VALUE"""),"07557")</f>
        <v>07557</v>
      </c>
      <c r="D288" s="2" t="str">
        <f>IFERROR(__xludf.DUMMYFUNCTION("""COMPUTED_VALUE"""),"SABLE CHILD DEVELOPMENT CENTER")</f>
        <v>SABLE CHILD DEVELOPMENT CENTER</v>
      </c>
      <c r="E288" s="3" t="str">
        <f>IFERROR(__xludf.DUMMYFUNCTION("""COMPUTED_VALUE"""),"Y")</f>
        <v>Y</v>
      </c>
      <c r="F288" s="3" t="str">
        <f>IFERROR(__xludf.DUMMYFUNCTION("""COMPUTED_VALUE"""),"Y")</f>
        <v>Y</v>
      </c>
      <c r="G288" s="3"/>
      <c r="H288" s="3"/>
      <c r="I288" s="3" t="str">
        <f>IFERROR(__xludf.DUMMYFUNCTION("""COMPUTED_VALUE""")," ")</f>
        <v> </v>
      </c>
      <c r="J288" s="3" t="str">
        <f>IFERROR(__xludf.DUMMYFUNCTION("""COMPUTED_VALUE""")," ")</f>
        <v> </v>
      </c>
      <c r="K288" s="3" t="str">
        <f>IFERROR(__xludf.DUMMYFUNCTION("""COMPUTED_VALUE"""),"Y")</f>
        <v>Y</v>
      </c>
      <c r="L288" s="3" t="str">
        <f>IFERROR(__xludf.DUMMYFUNCTION("""COMPUTED_VALUE""")," ")</f>
        <v> </v>
      </c>
      <c r="M288" s="3"/>
      <c r="N288" s="5" t="str">
        <f>IFERROR(__xludf.DUMMYFUNCTION("""COMPUTED_VALUE""")," ")</f>
        <v> </v>
      </c>
      <c r="O288" s="5"/>
    </row>
    <row r="289">
      <c r="A289" s="2" t="str">
        <f>IFERROR(__xludf.DUMMYFUNCTION("""COMPUTED_VALUE"""),"0180")</f>
        <v>0180</v>
      </c>
      <c r="B289" s="2" t="str">
        <f>IFERROR(__xludf.DUMMYFUNCTION("""COMPUTED_VALUE"""),"ADAMS-ARAPAHOE 28J")</f>
        <v>ADAMS-ARAPAHOE 28J</v>
      </c>
      <c r="C289" s="2" t="str">
        <f>IFERROR(__xludf.DUMMYFUNCTION("""COMPUTED_VALUE"""),"07865")</f>
        <v>07865</v>
      </c>
      <c r="D289" s="2" t="str">
        <f>IFERROR(__xludf.DUMMYFUNCTION("""COMPUTED_VALUE"""),"SIDE CREEK ELEMENTARY SCHOOL")</f>
        <v>SIDE CREEK ELEMENTARY SCHOOL</v>
      </c>
      <c r="E289" s="3" t="str">
        <f>IFERROR(__xludf.DUMMYFUNCTION("""COMPUTED_VALUE"""),"Y")</f>
        <v>Y</v>
      </c>
      <c r="F289" s="3" t="str">
        <f>IFERROR(__xludf.DUMMYFUNCTION("""COMPUTED_VALUE"""),"Y")</f>
        <v>Y</v>
      </c>
      <c r="G289" s="3"/>
      <c r="H289" s="3"/>
      <c r="I289" s="3" t="str">
        <f>IFERROR(__xludf.DUMMYFUNCTION("""COMPUTED_VALUE""")," ")</f>
        <v> </v>
      </c>
      <c r="J289" s="3" t="str">
        <f>IFERROR(__xludf.DUMMYFUNCTION("""COMPUTED_VALUE"""),"Y")</f>
        <v>Y</v>
      </c>
      <c r="K289" s="3" t="str">
        <f>IFERROR(__xludf.DUMMYFUNCTION("""COMPUTED_VALUE"""),"Y")</f>
        <v>Y</v>
      </c>
      <c r="L289" s="3" t="str">
        <f>IFERROR(__xludf.DUMMYFUNCTION("""COMPUTED_VALUE"""),"Group 3")</f>
        <v>Group 3</v>
      </c>
      <c r="M289" s="3"/>
      <c r="N289" s="5" t="str">
        <f>IFERROR(__xludf.DUMMYFUNCTION("""COMPUTED_VALUE""")," ")</f>
        <v> </v>
      </c>
      <c r="O289" s="5"/>
    </row>
    <row r="290">
      <c r="A290" s="2" t="str">
        <f>IFERROR(__xludf.DUMMYFUNCTION("""COMPUTED_VALUE"""),"0180")</f>
        <v>0180</v>
      </c>
      <c r="B290" s="2" t="str">
        <f>IFERROR(__xludf.DUMMYFUNCTION("""COMPUTED_VALUE"""),"ADAMS-ARAPAHOE 28J")</f>
        <v>ADAMS-ARAPAHOE 28J</v>
      </c>
      <c r="C290" s="2" t="str">
        <f>IFERROR(__xludf.DUMMYFUNCTION("""COMPUTED_VALUE"""),"07932")</f>
        <v>07932</v>
      </c>
      <c r="D290" s="2" t="str">
        <f>IFERROR(__xludf.DUMMYFUNCTION("""COMPUTED_VALUE"""),"Del Mar Academy")</f>
        <v>Del Mar Academy</v>
      </c>
      <c r="E290" s="3" t="str">
        <f>IFERROR(__xludf.DUMMYFUNCTION("""COMPUTED_VALUE"""),"Y")</f>
        <v>Y</v>
      </c>
      <c r="F290" s="3" t="str">
        <f>IFERROR(__xludf.DUMMYFUNCTION("""COMPUTED_VALUE"""),"Y")</f>
        <v>Y</v>
      </c>
      <c r="G290" s="3"/>
      <c r="H290" s="3"/>
      <c r="I290" s="3" t="str">
        <f>IFERROR(__xludf.DUMMYFUNCTION("""COMPUTED_VALUE""")," ")</f>
        <v> </v>
      </c>
      <c r="J290" s="3" t="str">
        <f>IFERROR(__xludf.DUMMYFUNCTION("""COMPUTED_VALUE"""),"Y")</f>
        <v>Y</v>
      </c>
      <c r="K290" s="3" t="str">
        <f>IFERROR(__xludf.DUMMYFUNCTION("""COMPUTED_VALUE"""),"Y")</f>
        <v>Y</v>
      </c>
      <c r="L290" s="3" t="str">
        <f>IFERROR(__xludf.DUMMYFUNCTION("""COMPUTED_VALUE"""),"Group 10")</f>
        <v>Group 10</v>
      </c>
      <c r="M290" s="3"/>
      <c r="N290" s="5" t="str">
        <f>IFERROR(__xludf.DUMMYFUNCTION("""COMPUTED_VALUE"""),"Y")</f>
        <v>Y</v>
      </c>
      <c r="O290" s="5"/>
    </row>
    <row r="291">
      <c r="A291" s="2" t="str">
        <f>IFERROR(__xludf.DUMMYFUNCTION("""COMPUTED_VALUE"""),"0180")</f>
        <v>0180</v>
      </c>
      <c r="B291" s="2" t="str">
        <f>IFERROR(__xludf.DUMMYFUNCTION("""COMPUTED_VALUE"""),"ADAMS-ARAPAHOE 28J")</f>
        <v>ADAMS-ARAPAHOE 28J</v>
      </c>
      <c r="C291" s="2" t="str">
        <f>IFERROR(__xludf.DUMMYFUNCTION("""COMPUTED_VALUE"""),"08356")</f>
        <v>08356</v>
      </c>
      <c r="D291" s="2" t="str">
        <f>IFERROR(__xludf.DUMMYFUNCTION("""COMPUTED_VALUE"""),"WILLIAM SMITH HIGH SCHOOL")</f>
        <v>WILLIAM SMITH HIGH SCHOOL</v>
      </c>
      <c r="E291" s="3" t="str">
        <f>IFERROR(__xludf.DUMMYFUNCTION("""COMPUTED_VALUE"""),"Y")</f>
        <v>Y</v>
      </c>
      <c r="F291" s="3" t="str">
        <f>IFERROR(__xludf.DUMMYFUNCTION("""COMPUTED_VALUE"""),"Y")</f>
        <v>Y</v>
      </c>
      <c r="G291" s="3"/>
      <c r="H291" s="3"/>
      <c r="I291" s="3" t="str">
        <f>IFERROR(__xludf.DUMMYFUNCTION("""COMPUTED_VALUE""")," ")</f>
        <v> </v>
      </c>
      <c r="J291" s="3" t="str">
        <f>IFERROR(__xludf.DUMMYFUNCTION("""COMPUTED_VALUE"""),"Y")</f>
        <v>Y</v>
      </c>
      <c r="K291" s="3" t="str">
        <f>IFERROR(__xludf.DUMMYFUNCTION("""COMPUTED_VALUE"""),"Y")</f>
        <v>Y</v>
      </c>
      <c r="L291" s="3" t="str">
        <f>IFERROR(__xludf.DUMMYFUNCTION("""COMPUTED_VALUE"""),"Group 5")</f>
        <v>Group 5</v>
      </c>
      <c r="M291" s="3"/>
      <c r="N291" s="5" t="str">
        <f>IFERROR(__xludf.DUMMYFUNCTION("""COMPUTED_VALUE""")," ")</f>
        <v> </v>
      </c>
      <c r="O291" s="5"/>
    </row>
    <row r="292">
      <c r="A292" s="2" t="str">
        <f>IFERROR(__xludf.DUMMYFUNCTION("""COMPUTED_VALUE"""),"0180")</f>
        <v>0180</v>
      </c>
      <c r="B292" s="2" t="str">
        <f>IFERROR(__xludf.DUMMYFUNCTION("""COMPUTED_VALUE"""),"ADAMS-ARAPAHOE 28J")</f>
        <v>ADAMS-ARAPAHOE 28J</v>
      </c>
      <c r="C292" s="2" t="str">
        <f>IFERROR(__xludf.DUMMYFUNCTION("""COMPUTED_VALUE"""),"08858")</f>
        <v>08858</v>
      </c>
      <c r="D292" s="2" t="str">
        <f>IFERROR(__xludf.DUMMYFUNCTION("""COMPUTED_VALUE"""),"TOLLGATE ELEMENTARY SCHOOL OF EXPEDITIONARY LEARNING")</f>
        <v>TOLLGATE ELEMENTARY SCHOOL OF EXPEDITIONARY LEARNING</v>
      </c>
      <c r="E292" s="3" t="str">
        <f>IFERROR(__xludf.DUMMYFUNCTION("""COMPUTED_VALUE"""),"Y")</f>
        <v>Y</v>
      </c>
      <c r="F292" s="3" t="str">
        <f>IFERROR(__xludf.DUMMYFUNCTION("""COMPUTED_VALUE"""),"Y")</f>
        <v>Y</v>
      </c>
      <c r="G292" s="3"/>
      <c r="H292" s="3"/>
      <c r="I292" s="3" t="str">
        <f>IFERROR(__xludf.DUMMYFUNCTION("""COMPUTED_VALUE""")," ")</f>
        <v> </v>
      </c>
      <c r="J292" s="3" t="str">
        <f>IFERROR(__xludf.DUMMYFUNCTION("""COMPUTED_VALUE"""),"Y")</f>
        <v>Y</v>
      </c>
      <c r="K292" s="3" t="str">
        <f>IFERROR(__xludf.DUMMYFUNCTION("""COMPUTED_VALUE"""),"Y")</f>
        <v>Y</v>
      </c>
      <c r="L292" s="3" t="str">
        <f>IFERROR(__xludf.DUMMYFUNCTION("""COMPUTED_VALUE"""),"Group 7")</f>
        <v>Group 7</v>
      </c>
      <c r="M292" s="3"/>
      <c r="N292" s="5" t="str">
        <f>IFERROR(__xludf.DUMMYFUNCTION("""COMPUTED_VALUE"""),"Y")</f>
        <v>Y</v>
      </c>
      <c r="O292" s="5"/>
    </row>
    <row r="293">
      <c r="A293" s="2" t="str">
        <f>IFERROR(__xludf.DUMMYFUNCTION("""COMPUTED_VALUE"""),"0180")</f>
        <v>0180</v>
      </c>
      <c r="B293" s="2" t="str">
        <f>IFERROR(__xludf.DUMMYFUNCTION("""COMPUTED_VALUE"""),"ADAMS-ARAPAHOE 28J")</f>
        <v>ADAMS-ARAPAHOE 28J</v>
      </c>
      <c r="C293" s="2" t="str">
        <f>IFERROR(__xludf.DUMMYFUNCTION("""COMPUTED_VALUE"""),"09053")</f>
        <v>09053</v>
      </c>
      <c r="D293" s="2" t="str">
        <f>IFERROR(__xludf.DUMMYFUNCTION("""COMPUTED_VALUE"""),"Vega Collegiate Academy")</f>
        <v>Vega Collegiate Academy</v>
      </c>
      <c r="E293" s="3" t="str">
        <f>IFERROR(__xludf.DUMMYFUNCTION("""COMPUTED_VALUE"""),"Y")</f>
        <v>Y</v>
      </c>
      <c r="F293" s="3" t="str">
        <f>IFERROR(__xludf.DUMMYFUNCTION("""COMPUTED_VALUE"""),"Y")</f>
        <v>Y</v>
      </c>
      <c r="G293" s="3"/>
      <c r="H293" s="3"/>
      <c r="I293" s="3" t="str">
        <f>IFERROR(__xludf.DUMMYFUNCTION("""COMPUTED_VALUE""")," ")</f>
        <v> </v>
      </c>
      <c r="J293" s="3" t="str">
        <f>IFERROR(__xludf.DUMMYFUNCTION("""COMPUTED_VALUE"""),"Y")</f>
        <v>Y</v>
      </c>
      <c r="K293" s="3" t="str">
        <f>IFERROR(__xludf.DUMMYFUNCTION("""COMPUTED_VALUE"""),"Y")</f>
        <v>Y</v>
      </c>
      <c r="L293" s="3" t="str">
        <f>IFERROR(__xludf.DUMMYFUNCTION("""COMPUTED_VALUE"""),"Group 1")</f>
        <v>Group 1</v>
      </c>
      <c r="M293" s="3"/>
      <c r="N293" s="5" t="str">
        <f>IFERROR(__xludf.DUMMYFUNCTION("""COMPUTED_VALUE""")," ")</f>
        <v> </v>
      </c>
      <c r="O293" s="5"/>
    </row>
    <row r="294">
      <c r="A294" s="2" t="str">
        <f>IFERROR(__xludf.DUMMYFUNCTION("""COMPUTED_VALUE"""),"0180")</f>
        <v>0180</v>
      </c>
      <c r="B294" s="2" t="str">
        <f>IFERROR(__xludf.DUMMYFUNCTION("""COMPUTED_VALUE"""),"ADAMS-ARAPAHOE 28J")</f>
        <v>ADAMS-ARAPAHOE 28J</v>
      </c>
      <c r="C294" s="2" t="str">
        <f>IFERROR(__xludf.DUMMYFUNCTION("""COMPUTED_VALUE"""),"09056")</f>
        <v>09056</v>
      </c>
      <c r="D294" s="2" t="str">
        <f>IFERROR(__xludf.DUMMYFUNCTION("""COMPUTED_VALUE"""),"VANGUARD CLASSICAL SCHOOL - WEST")</f>
        <v>VANGUARD CLASSICAL SCHOOL - WEST</v>
      </c>
      <c r="E294" s="3" t="str">
        <f>IFERROR(__xludf.DUMMYFUNCTION("""COMPUTED_VALUE"""),"Y")</f>
        <v>Y</v>
      </c>
      <c r="F294" s="3" t="str">
        <f>IFERROR(__xludf.DUMMYFUNCTION("""COMPUTED_VALUE"""),"Y")</f>
        <v>Y</v>
      </c>
      <c r="G294" s="3"/>
      <c r="H294" s="3"/>
      <c r="I294" s="3" t="str">
        <f>IFERROR(__xludf.DUMMYFUNCTION("""COMPUTED_VALUE""")," ")</f>
        <v> </v>
      </c>
      <c r="J294" s="3" t="str">
        <f>IFERROR(__xludf.DUMMYFUNCTION("""COMPUTED_VALUE"""),"Y")</f>
        <v>Y</v>
      </c>
      <c r="K294" s="3" t="str">
        <f>IFERROR(__xludf.DUMMYFUNCTION("""COMPUTED_VALUE"""),"Y")</f>
        <v>Y</v>
      </c>
      <c r="L294" s="3" t="str">
        <f>IFERROR(__xludf.DUMMYFUNCTION("""COMPUTED_VALUE"""),"Group 1")</f>
        <v>Group 1</v>
      </c>
      <c r="M294" s="3"/>
      <c r="N294" s="5" t="str">
        <f>IFERROR(__xludf.DUMMYFUNCTION("""COMPUTED_VALUE""")," ")</f>
        <v> </v>
      </c>
      <c r="O294" s="5"/>
    </row>
    <row r="295">
      <c r="A295" s="2" t="str">
        <f>IFERROR(__xludf.DUMMYFUNCTION("""COMPUTED_VALUE"""),"0180")</f>
        <v>0180</v>
      </c>
      <c r="B295" s="2" t="str">
        <f>IFERROR(__xludf.DUMMYFUNCTION("""COMPUTED_VALUE"""),"ADAMS-ARAPAHOE 28J")</f>
        <v>ADAMS-ARAPAHOE 28J</v>
      </c>
      <c r="C295" s="2" t="str">
        <f>IFERROR(__xludf.DUMMYFUNCTION("""COMPUTED_VALUE"""),"09059")</f>
        <v>09059</v>
      </c>
      <c r="D295" s="2" t="str">
        <f>IFERROR(__xludf.DUMMYFUNCTION("""COMPUTED_VALUE"""),"VASSAR ELEMENTARY SCHOOL")</f>
        <v>VASSAR ELEMENTARY SCHOOL</v>
      </c>
      <c r="E295" s="3" t="str">
        <f>IFERROR(__xludf.DUMMYFUNCTION("""COMPUTED_VALUE"""),"Y")</f>
        <v>Y</v>
      </c>
      <c r="F295" s="3" t="str">
        <f>IFERROR(__xludf.DUMMYFUNCTION("""COMPUTED_VALUE"""),"Y")</f>
        <v>Y</v>
      </c>
      <c r="G295" s="3"/>
      <c r="H295" s="3"/>
      <c r="I295" s="3" t="str">
        <f>IFERROR(__xludf.DUMMYFUNCTION("""COMPUTED_VALUE""")," ")</f>
        <v> </v>
      </c>
      <c r="J295" s="3" t="str">
        <f>IFERROR(__xludf.DUMMYFUNCTION("""COMPUTED_VALUE"""),"Y")</f>
        <v>Y</v>
      </c>
      <c r="K295" s="3" t="str">
        <f>IFERROR(__xludf.DUMMYFUNCTION("""COMPUTED_VALUE"""),"Y")</f>
        <v>Y</v>
      </c>
      <c r="L295" s="3" t="str">
        <f>IFERROR(__xludf.DUMMYFUNCTION("""COMPUTED_VALUE"""),"Group 4")</f>
        <v>Group 4</v>
      </c>
      <c r="M295" s="3"/>
      <c r="N295" s="5" t="str">
        <f>IFERROR(__xludf.DUMMYFUNCTION("""COMPUTED_VALUE""")," ")</f>
        <v> </v>
      </c>
      <c r="O295" s="5"/>
    </row>
    <row r="296">
      <c r="A296" s="2" t="str">
        <f>IFERROR(__xludf.DUMMYFUNCTION("""COMPUTED_VALUE"""),"0180")</f>
        <v>0180</v>
      </c>
      <c r="B296" s="2" t="str">
        <f>IFERROR(__xludf.DUMMYFUNCTION("""COMPUTED_VALUE"""),"ADAMS-ARAPAHOE 28J")</f>
        <v>ADAMS-ARAPAHOE 28J</v>
      </c>
      <c r="C296" s="2" t="str">
        <f>IFERROR(__xludf.DUMMYFUNCTION("""COMPUTED_VALUE"""),"09060")</f>
        <v>09060</v>
      </c>
      <c r="D296" s="2" t="str">
        <f>IFERROR(__xludf.DUMMYFUNCTION("""COMPUTED_VALUE"""),"VAUGHN ELEMENTARY SCHOOL")</f>
        <v>VAUGHN ELEMENTARY SCHOOL</v>
      </c>
      <c r="E296" s="3" t="str">
        <f>IFERROR(__xludf.DUMMYFUNCTION("""COMPUTED_VALUE"""),"Y")</f>
        <v>Y</v>
      </c>
      <c r="F296" s="3" t="str">
        <f>IFERROR(__xludf.DUMMYFUNCTION("""COMPUTED_VALUE"""),"Y")</f>
        <v>Y</v>
      </c>
      <c r="G296" s="3"/>
      <c r="H296" s="3"/>
      <c r="I296" s="3" t="str">
        <f>IFERROR(__xludf.DUMMYFUNCTION("""COMPUTED_VALUE""")," ")</f>
        <v> </v>
      </c>
      <c r="J296" s="3" t="str">
        <f>IFERROR(__xludf.DUMMYFUNCTION("""COMPUTED_VALUE"""),"Y")</f>
        <v>Y</v>
      </c>
      <c r="K296" s="3" t="str">
        <f>IFERROR(__xludf.DUMMYFUNCTION("""COMPUTED_VALUE"""),"Y")</f>
        <v>Y</v>
      </c>
      <c r="L296" s="3" t="str">
        <f>IFERROR(__xludf.DUMMYFUNCTION("""COMPUTED_VALUE"""),"Group 17")</f>
        <v>Group 17</v>
      </c>
      <c r="M296" s="3"/>
      <c r="N296" s="5" t="str">
        <f>IFERROR(__xludf.DUMMYFUNCTION("""COMPUTED_VALUE""")," ")</f>
        <v> </v>
      </c>
      <c r="O296" s="5"/>
    </row>
    <row r="297">
      <c r="A297" s="2" t="str">
        <f>IFERROR(__xludf.DUMMYFUNCTION("""COMPUTED_VALUE"""),"0180")</f>
        <v>0180</v>
      </c>
      <c r="B297" s="2" t="str">
        <f>IFERROR(__xludf.DUMMYFUNCTION("""COMPUTED_VALUE"""),"ADAMS-ARAPAHOE 28J")</f>
        <v>ADAMS-ARAPAHOE 28J</v>
      </c>
      <c r="C297" s="2" t="str">
        <f>IFERROR(__xludf.DUMMYFUNCTION("""COMPUTED_VALUE"""),"09083")</f>
        <v>09083</v>
      </c>
      <c r="D297" s="2" t="str">
        <f>IFERROR(__xludf.DUMMYFUNCTION("""COMPUTED_VALUE"""),"VISTA PEAK P-8 EXPLORATORY")</f>
        <v>VISTA PEAK P-8 EXPLORATORY</v>
      </c>
      <c r="E297" s="3" t="str">
        <f>IFERROR(__xludf.DUMMYFUNCTION("""COMPUTED_VALUE"""),"Y")</f>
        <v>Y</v>
      </c>
      <c r="F297" s="3" t="str">
        <f>IFERROR(__xludf.DUMMYFUNCTION("""COMPUTED_VALUE"""),"Y")</f>
        <v>Y</v>
      </c>
      <c r="G297" s="3"/>
      <c r="H297" s="3"/>
      <c r="I297" s="3" t="str">
        <f>IFERROR(__xludf.DUMMYFUNCTION("""COMPUTED_VALUE""")," ")</f>
        <v> </v>
      </c>
      <c r="J297" s="3" t="str">
        <f>IFERROR(__xludf.DUMMYFUNCTION("""COMPUTED_VALUE""")," ")</f>
        <v> </v>
      </c>
      <c r="K297" s="3" t="str">
        <f>IFERROR(__xludf.DUMMYFUNCTION("""COMPUTED_VALUE"""),"Y")</f>
        <v>Y</v>
      </c>
      <c r="L297" s="3" t="str">
        <f>IFERROR(__xludf.DUMMYFUNCTION("""COMPUTED_VALUE""")," ")</f>
        <v> </v>
      </c>
      <c r="M297" s="3"/>
      <c r="N297" s="5" t="str">
        <f>IFERROR(__xludf.DUMMYFUNCTION("""COMPUTED_VALUE"""),"Y")</f>
        <v>Y</v>
      </c>
      <c r="O297" s="5"/>
    </row>
    <row r="298">
      <c r="A298" s="2" t="str">
        <f>IFERROR(__xludf.DUMMYFUNCTION("""COMPUTED_VALUE"""),"0180")</f>
        <v>0180</v>
      </c>
      <c r="B298" s="2" t="str">
        <f>IFERROR(__xludf.DUMMYFUNCTION("""COMPUTED_VALUE"""),"ADAMS-ARAPAHOE 28J")</f>
        <v>ADAMS-ARAPAHOE 28J</v>
      </c>
      <c r="C298" s="2" t="str">
        <f>IFERROR(__xludf.DUMMYFUNCTION("""COMPUTED_VALUE"""),"09125")</f>
        <v>09125</v>
      </c>
      <c r="D298" s="2" t="str">
        <f>IFERROR(__xludf.DUMMYFUNCTION("""COMPUTED_VALUE"""),"VISTA PEAK 9-12 PREPARATORY")</f>
        <v>VISTA PEAK 9-12 PREPARATORY</v>
      </c>
      <c r="E298" s="3" t="str">
        <f>IFERROR(__xludf.DUMMYFUNCTION("""COMPUTED_VALUE"""),"Y")</f>
        <v>Y</v>
      </c>
      <c r="F298" s="3" t="str">
        <f>IFERROR(__xludf.DUMMYFUNCTION("""COMPUTED_VALUE"""),"Y")</f>
        <v>Y</v>
      </c>
      <c r="G298" s="3"/>
      <c r="H298" s="3"/>
      <c r="I298" s="3" t="str">
        <f>IFERROR(__xludf.DUMMYFUNCTION("""COMPUTED_VALUE""")," ")</f>
        <v> </v>
      </c>
      <c r="J298" s="3" t="str">
        <f>IFERROR(__xludf.DUMMYFUNCTION("""COMPUTED_VALUE""")," ")</f>
        <v> </v>
      </c>
      <c r="K298" s="3" t="str">
        <f>IFERROR(__xludf.DUMMYFUNCTION("""COMPUTED_VALUE"""),"Y")</f>
        <v>Y</v>
      </c>
      <c r="L298" s="3" t="str">
        <f>IFERROR(__xludf.DUMMYFUNCTION("""COMPUTED_VALUE"""),"Group 16")</f>
        <v>Group 16</v>
      </c>
      <c r="M298" s="3"/>
      <c r="N298" s="5" t="str">
        <f>IFERROR(__xludf.DUMMYFUNCTION("""COMPUTED_VALUE"""),"Y")</f>
        <v>Y</v>
      </c>
      <c r="O298" s="5"/>
    </row>
    <row r="299">
      <c r="A299" s="2" t="str">
        <f>IFERROR(__xludf.DUMMYFUNCTION("""COMPUTED_VALUE"""),"0180")</f>
        <v>0180</v>
      </c>
      <c r="B299" s="2" t="str">
        <f>IFERROR(__xludf.DUMMYFUNCTION("""COMPUTED_VALUE"""),"ADAMS-ARAPAHOE 28J")</f>
        <v>ADAMS-ARAPAHOE 28J</v>
      </c>
      <c r="C299" s="2" t="str">
        <f>IFERROR(__xludf.DUMMYFUNCTION("""COMPUTED_VALUE"""),"09140")</f>
        <v>09140</v>
      </c>
      <c r="D299" s="2" t="str">
        <f>IFERROR(__xludf.DUMMYFUNCTION("""COMPUTED_VALUE"""),"VIRGINIA COURT ELEMENTARY SCHOOL")</f>
        <v>VIRGINIA COURT ELEMENTARY SCHOOL</v>
      </c>
      <c r="E299" s="3" t="str">
        <f>IFERROR(__xludf.DUMMYFUNCTION("""COMPUTED_VALUE"""),"Y")</f>
        <v>Y</v>
      </c>
      <c r="F299" s="3" t="str">
        <f>IFERROR(__xludf.DUMMYFUNCTION("""COMPUTED_VALUE"""),"Y")</f>
        <v>Y</v>
      </c>
      <c r="G299" s="3"/>
      <c r="H299" s="3"/>
      <c r="I299" s="3" t="str">
        <f>IFERROR(__xludf.DUMMYFUNCTION("""COMPUTED_VALUE""")," ")</f>
        <v> </v>
      </c>
      <c r="J299" s="3" t="str">
        <f>IFERROR(__xludf.DUMMYFUNCTION("""COMPUTED_VALUE"""),"Y")</f>
        <v>Y</v>
      </c>
      <c r="K299" s="3" t="str">
        <f>IFERROR(__xludf.DUMMYFUNCTION("""COMPUTED_VALUE"""),"Y")</f>
        <v>Y</v>
      </c>
      <c r="L299" s="3" t="str">
        <f>IFERROR(__xludf.DUMMYFUNCTION("""COMPUTED_VALUE"""),"Group 6")</f>
        <v>Group 6</v>
      </c>
      <c r="M299" s="3"/>
      <c r="N299" s="5" t="str">
        <f>IFERROR(__xludf.DUMMYFUNCTION("""COMPUTED_VALUE""")," ")</f>
        <v> </v>
      </c>
      <c r="O299" s="5"/>
    </row>
    <row r="300">
      <c r="A300" s="2" t="str">
        <f>IFERROR(__xludf.DUMMYFUNCTION("""COMPUTED_VALUE"""),"0180")</f>
        <v>0180</v>
      </c>
      <c r="B300" s="2" t="str">
        <f>IFERROR(__xludf.DUMMYFUNCTION("""COMPUTED_VALUE"""),"ADAMS-ARAPAHOE 28J")</f>
        <v>ADAMS-ARAPAHOE 28J</v>
      </c>
      <c r="C300" s="2" t="str">
        <f>IFERROR(__xludf.DUMMYFUNCTION("""COMPUTED_VALUE"""),"09189")</f>
        <v>09189</v>
      </c>
      <c r="D300" s="2" t="str">
        <f>IFERROR(__xludf.DUMMYFUNCTION("""COMPUTED_VALUE"""),"VANGUARD CLASSICAL SCHOOL - EAST")</f>
        <v>VANGUARD CLASSICAL SCHOOL - EAST</v>
      </c>
      <c r="E300" s="3" t="str">
        <f>IFERROR(__xludf.DUMMYFUNCTION("""COMPUTED_VALUE"""),"Y")</f>
        <v>Y</v>
      </c>
      <c r="F300" s="3" t="str">
        <f>IFERROR(__xludf.DUMMYFUNCTION("""COMPUTED_VALUE"""),"Y")</f>
        <v>Y</v>
      </c>
      <c r="G300" s="3"/>
      <c r="H300" s="3"/>
      <c r="I300" s="3" t="str">
        <f>IFERROR(__xludf.DUMMYFUNCTION("""COMPUTED_VALUE""")," ")</f>
        <v> </v>
      </c>
      <c r="J300" s="3" t="str">
        <f>IFERROR(__xludf.DUMMYFUNCTION("""COMPUTED_VALUE"""),"Y")</f>
        <v>Y</v>
      </c>
      <c r="K300" s="3" t="str">
        <f>IFERROR(__xludf.DUMMYFUNCTION("""COMPUTED_VALUE"""),"Y")</f>
        <v>Y</v>
      </c>
      <c r="L300" s="3" t="str">
        <f>IFERROR(__xludf.DUMMYFUNCTION("""COMPUTED_VALUE"""),"Group 12")</f>
        <v>Group 12</v>
      </c>
      <c r="M300" s="3"/>
      <c r="N300" s="5" t="str">
        <f>IFERROR(__xludf.DUMMYFUNCTION("""COMPUTED_VALUE""")," ")</f>
        <v> </v>
      </c>
      <c r="O300" s="5"/>
    </row>
    <row r="301">
      <c r="A301" s="2" t="str">
        <f>IFERROR(__xludf.DUMMYFUNCTION("""COMPUTED_VALUE"""),"0180")</f>
        <v>0180</v>
      </c>
      <c r="B301" s="2" t="str">
        <f>IFERROR(__xludf.DUMMYFUNCTION("""COMPUTED_VALUE"""),"ADAMS-ARAPAHOE 28J")</f>
        <v>ADAMS-ARAPAHOE 28J</v>
      </c>
      <c r="C301" s="2" t="str">
        <f>IFERROR(__xludf.DUMMYFUNCTION("""COMPUTED_VALUE"""),"09396")</f>
        <v>09396</v>
      </c>
      <c r="D301" s="2" t="str">
        <f>IFERROR(__xludf.DUMMYFUNCTION("""COMPUTED_VALUE"""),"AURORA WEST COLLEGE PREPARATORY ACADEMY")</f>
        <v>AURORA WEST COLLEGE PREPARATORY ACADEMY</v>
      </c>
      <c r="E301" s="3" t="str">
        <f>IFERROR(__xludf.DUMMYFUNCTION("""COMPUTED_VALUE"""),"Y")</f>
        <v>Y</v>
      </c>
      <c r="F301" s="3" t="str">
        <f>IFERROR(__xludf.DUMMYFUNCTION("""COMPUTED_VALUE"""),"Y")</f>
        <v>Y</v>
      </c>
      <c r="G301" s="3"/>
      <c r="H301" s="3"/>
      <c r="I301" s="3" t="str">
        <f>IFERROR(__xludf.DUMMYFUNCTION("""COMPUTED_VALUE""")," ")</f>
        <v> </v>
      </c>
      <c r="J301" s="3" t="str">
        <f>IFERROR(__xludf.DUMMYFUNCTION("""COMPUTED_VALUE"""),"Y")</f>
        <v>Y</v>
      </c>
      <c r="K301" s="3" t="str">
        <f>IFERROR(__xludf.DUMMYFUNCTION("""COMPUTED_VALUE"""),"Y")</f>
        <v>Y</v>
      </c>
      <c r="L301" s="3" t="str">
        <f>IFERROR(__xludf.DUMMYFUNCTION("""COMPUTED_VALUE"""),"Group 1")</f>
        <v>Group 1</v>
      </c>
      <c r="M301" s="3"/>
      <c r="N301" s="5" t="str">
        <f>IFERROR(__xludf.DUMMYFUNCTION("""COMPUTED_VALUE"""),"Y")</f>
        <v>Y</v>
      </c>
      <c r="O301" s="5"/>
    </row>
    <row r="302">
      <c r="A302" s="2" t="str">
        <f>IFERROR(__xludf.DUMMYFUNCTION("""COMPUTED_VALUE"""),"0180")</f>
        <v>0180</v>
      </c>
      <c r="B302" s="2" t="str">
        <f>IFERROR(__xludf.DUMMYFUNCTION("""COMPUTED_VALUE"""),"ADAMS-ARAPAHOE 28J")</f>
        <v>ADAMS-ARAPAHOE 28J</v>
      </c>
      <c r="C302" s="2" t="str">
        <f>IFERROR(__xludf.DUMMYFUNCTION("""COMPUTED_VALUE"""),"09514")</f>
        <v>09514</v>
      </c>
      <c r="D302" s="2" t="str">
        <f>IFERROR(__xludf.DUMMYFUNCTION("""COMPUTED_VALUE"""),"Clara Brown Entrepreneurial Academy")</f>
        <v>Clara Brown Entrepreneurial Academy</v>
      </c>
      <c r="E302" s="3" t="str">
        <f>IFERROR(__xludf.DUMMYFUNCTION("""COMPUTED_VALUE"""),"Y")</f>
        <v>Y</v>
      </c>
      <c r="F302" s="3" t="str">
        <f>IFERROR(__xludf.DUMMYFUNCTION("""COMPUTED_VALUE"""),"Y")</f>
        <v>Y</v>
      </c>
      <c r="G302" s="3"/>
      <c r="H302" s="3"/>
      <c r="I302" s="3" t="str">
        <f>IFERROR(__xludf.DUMMYFUNCTION("""COMPUTED_VALUE""")," ")</f>
        <v> </v>
      </c>
      <c r="J302" s="3" t="str">
        <f>IFERROR(__xludf.DUMMYFUNCTION("""COMPUTED_VALUE"""),"Y")</f>
        <v>Y</v>
      </c>
      <c r="K302" s="3" t="str">
        <f>IFERROR(__xludf.DUMMYFUNCTION("""COMPUTED_VALUE"""),"Y")</f>
        <v>Y</v>
      </c>
      <c r="L302" s="3" t="str">
        <f>IFERROR(__xludf.DUMMYFUNCTION("""COMPUTED_VALUE"""),"Group 17")</f>
        <v>Group 17</v>
      </c>
      <c r="M302" s="3"/>
      <c r="N302" s="5" t="str">
        <f>IFERROR(__xludf.DUMMYFUNCTION("""COMPUTED_VALUE""")," ")</f>
        <v> </v>
      </c>
      <c r="O302" s="5"/>
    </row>
    <row r="303">
      <c r="A303" s="2" t="str">
        <f>IFERROR(__xludf.DUMMYFUNCTION("""COMPUTED_VALUE"""),"0180")</f>
        <v>0180</v>
      </c>
      <c r="B303" s="2" t="str">
        <f>IFERROR(__xludf.DUMMYFUNCTION("""COMPUTED_VALUE"""),"ADAMS-ARAPAHOE 28J")</f>
        <v>ADAMS-ARAPAHOE 28J</v>
      </c>
      <c r="C303" s="2" t="str">
        <f>IFERROR(__xludf.DUMMYFUNCTION("""COMPUTED_VALUE"""),"09756")</f>
        <v>09756</v>
      </c>
      <c r="D303" s="2" t="str">
        <f>IFERROR(__xludf.DUMMYFUNCTION("""COMPUTED_VALUE"""),"YALE ELEMENTARY SCHOOL")</f>
        <v>YALE ELEMENTARY SCHOOL</v>
      </c>
      <c r="E303" s="3" t="str">
        <f>IFERROR(__xludf.DUMMYFUNCTION("""COMPUTED_VALUE"""),"Y")</f>
        <v>Y</v>
      </c>
      <c r="F303" s="3" t="str">
        <f>IFERROR(__xludf.DUMMYFUNCTION("""COMPUTED_VALUE"""),"Y")</f>
        <v>Y</v>
      </c>
      <c r="G303" s="3"/>
      <c r="H303" s="3"/>
      <c r="I303" s="3" t="str">
        <f>IFERROR(__xludf.DUMMYFUNCTION("""COMPUTED_VALUE""")," ")</f>
        <v> </v>
      </c>
      <c r="J303" s="3" t="str">
        <f>IFERROR(__xludf.DUMMYFUNCTION("""COMPUTED_VALUE"""),"Y")</f>
        <v>Y</v>
      </c>
      <c r="K303" s="3" t="str">
        <f>IFERROR(__xludf.DUMMYFUNCTION("""COMPUTED_VALUE"""),"Y")</f>
        <v>Y</v>
      </c>
      <c r="L303" s="3" t="str">
        <f>IFERROR(__xludf.DUMMYFUNCTION("""COMPUTED_VALUE"""),"Group 12")</f>
        <v>Group 12</v>
      </c>
      <c r="M303" s="3"/>
      <c r="N303" s="5" t="str">
        <f>IFERROR(__xludf.DUMMYFUNCTION("""COMPUTED_VALUE"""),"Y")</f>
        <v>Y</v>
      </c>
      <c r="O303" s="5"/>
    </row>
    <row r="304">
      <c r="A304" s="2" t="str">
        <f>IFERROR(__xludf.DUMMYFUNCTION("""COMPUTED_VALUE"""),"0190")</f>
        <v>0190</v>
      </c>
      <c r="B304" s="2" t="str">
        <f>IFERROR(__xludf.DUMMYFUNCTION("""COMPUTED_VALUE"""),"BYERS               32J")</f>
        <v>BYERS               32J</v>
      </c>
      <c r="C304" s="2" t="str">
        <f>IFERROR(__xludf.DUMMYFUNCTION("""COMPUTED_VALUE"""),"01168")</f>
        <v>01168</v>
      </c>
      <c r="D304" s="2" t="str">
        <f>IFERROR(__xludf.DUMMYFUNCTION("""COMPUTED_VALUE"""),"BYERS ELEMENTARY SCHOOL")</f>
        <v>BYERS ELEMENTARY SCHOOL</v>
      </c>
      <c r="E304" s="3" t="str">
        <f>IFERROR(__xludf.DUMMYFUNCTION("""COMPUTED_VALUE"""),"Y")</f>
        <v>Y</v>
      </c>
      <c r="F304" s="3" t="str">
        <f>IFERROR(__xludf.DUMMYFUNCTION("""COMPUTED_VALUE"""),"Y")</f>
        <v>Y</v>
      </c>
      <c r="G304" s="3"/>
      <c r="H304" s="3"/>
      <c r="I304" s="3" t="str">
        <f>IFERROR(__xludf.DUMMYFUNCTION("""COMPUTED_VALUE""")," ")</f>
        <v> </v>
      </c>
      <c r="J304" s="3" t="str">
        <f>IFERROR(__xludf.DUMMYFUNCTION("""COMPUTED_VALUE""")," ")</f>
        <v> </v>
      </c>
      <c r="K304" s="3" t="str">
        <f>IFERROR(__xludf.DUMMYFUNCTION("""COMPUTED_VALUE"""),"Y")</f>
        <v>Y</v>
      </c>
      <c r="L304" s="3" t="str">
        <f>IFERROR(__xludf.DUMMYFUNCTION("""COMPUTED_VALUE"""),"Group 1")</f>
        <v>Group 1</v>
      </c>
      <c r="M304" s="3"/>
      <c r="N304" s="5" t="str">
        <f>IFERROR(__xludf.DUMMYFUNCTION("""COMPUTED_VALUE""")," ")</f>
        <v> </v>
      </c>
      <c r="O304" s="5"/>
    </row>
    <row r="305">
      <c r="A305" s="2" t="str">
        <f>IFERROR(__xludf.DUMMYFUNCTION("""COMPUTED_VALUE"""),"0190")</f>
        <v>0190</v>
      </c>
      <c r="B305" s="2" t="str">
        <f>IFERROR(__xludf.DUMMYFUNCTION("""COMPUTED_VALUE"""),"BYERS               32J")</f>
        <v>BYERS               32J</v>
      </c>
      <c r="C305" s="2" t="str">
        <f>IFERROR(__xludf.DUMMYFUNCTION("""COMPUTED_VALUE"""),"01176")</f>
        <v>01176</v>
      </c>
      <c r="D305" s="2" t="str">
        <f>IFERROR(__xludf.DUMMYFUNCTION("""COMPUTED_VALUE"""),"BYERS JUNIOR-SENIOR HIGH SCHOOL")</f>
        <v>BYERS JUNIOR-SENIOR HIGH SCHOOL</v>
      </c>
      <c r="E305" s="3" t="str">
        <f>IFERROR(__xludf.DUMMYFUNCTION("""COMPUTED_VALUE"""),"Y")</f>
        <v>Y</v>
      </c>
      <c r="F305" s="3" t="str">
        <f>IFERROR(__xludf.DUMMYFUNCTION("""COMPUTED_VALUE"""),"Y")</f>
        <v>Y</v>
      </c>
      <c r="G305" s="3"/>
      <c r="H305" s="3"/>
      <c r="I305" s="3" t="str">
        <f>IFERROR(__xludf.DUMMYFUNCTION("""COMPUTED_VALUE""")," ")</f>
        <v> </v>
      </c>
      <c r="J305" s="3" t="str">
        <f>IFERROR(__xludf.DUMMYFUNCTION("""COMPUTED_VALUE""")," ")</f>
        <v> </v>
      </c>
      <c r="K305" s="3" t="str">
        <f>IFERROR(__xludf.DUMMYFUNCTION("""COMPUTED_VALUE"""),"Y")</f>
        <v>Y</v>
      </c>
      <c r="L305" s="3" t="str">
        <f>IFERROR(__xludf.DUMMYFUNCTION("""COMPUTED_VALUE"""),"Group 1")</f>
        <v>Group 1</v>
      </c>
      <c r="M305" s="3"/>
      <c r="N305" s="5" t="str">
        <f>IFERROR(__xludf.DUMMYFUNCTION("""COMPUTED_VALUE""")," ")</f>
        <v> </v>
      </c>
      <c r="O305" s="5"/>
    </row>
    <row r="306">
      <c r="A306" s="2" t="str">
        <f>IFERROR(__xludf.DUMMYFUNCTION("""COMPUTED_VALUE"""),"0220")</f>
        <v>0220</v>
      </c>
      <c r="B306" s="2" t="str">
        <f>IFERROR(__xludf.DUMMYFUNCTION("""COMPUTED_VALUE"""),"ARCHULETA COUNTY    50 JT")</f>
        <v>ARCHULETA COUNTY    50 JT</v>
      </c>
      <c r="C306" s="2" t="str">
        <f>IFERROR(__xludf.DUMMYFUNCTION("""COMPUTED_VALUE"""),"02269")</f>
        <v>02269</v>
      </c>
      <c r="D306" s="2" t="str">
        <f>IFERROR(__xludf.DUMMYFUNCTION("""COMPUTED_VALUE"""),"SAN JUAN MOUNTAIN SCHOOL")</f>
        <v>SAN JUAN MOUNTAIN SCHOOL</v>
      </c>
      <c r="E306" s="3" t="str">
        <f>IFERROR(__xludf.DUMMYFUNCTION("""COMPUTED_VALUE"""),"Y")</f>
        <v>Y</v>
      </c>
      <c r="F306" s="3" t="str">
        <f>IFERROR(__xludf.DUMMYFUNCTION("""COMPUTED_VALUE"""),"Y")</f>
        <v>Y</v>
      </c>
      <c r="G306" s="3"/>
      <c r="H306" s="3"/>
      <c r="I306" s="3" t="str">
        <f>IFERROR(__xludf.DUMMYFUNCTION("""COMPUTED_VALUE""")," ")</f>
        <v> </v>
      </c>
      <c r="J306" s="3" t="str">
        <f>IFERROR(__xludf.DUMMYFUNCTION("""COMPUTED_VALUE""")," ")</f>
        <v> </v>
      </c>
      <c r="K306" s="3" t="str">
        <f>IFERROR(__xludf.DUMMYFUNCTION("""COMPUTED_VALUE"""),"Y")</f>
        <v>Y</v>
      </c>
      <c r="L306" s="3" t="str">
        <f>IFERROR(__xludf.DUMMYFUNCTION("""COMPUTED_VALUE"""),"Group 3")</f>
        <v>Group 3</v>
      </c>
      <c r="M306" s="3"/>
      <c r="N306" s="5" t="str">
        <f>IFERROR(__xludf.DUMMYFUNCTION("""COMPUTED_VALUE""")," ")</f>
        <v> </v>
      </c>
      <c r="O306" s="5"/>
    </row>
    <row r="307">
      <c r="A307" s="2" t="str">
        <f>IFERROR(__xludf.DUMMYFUNCTION("""COMPUTED_VALUE"""),"0220")</f>
        <v>0220</v>
      </c>
      <c r="B307" s="2" t="str">
        <f>IFERROR(__xludf.DUMMYFUNCTION("""COMPUTED_VALUE"""),"ARCHULETA COUNTY    50 JT")</f>
        <v>ARCHULETA COUNTY    50 JT</v>
      </c>
      <c r="C307" s="2" t="str">
        <f>IFERROR(__xludf.DUMMYFUNCTION("""COMPUTED_VALUE"""),"06652")</f>
        <v>06652</v>
      </c>
      <c r="D307" s="2" t="str">
        <f>IFERROR(__xludf.DUMMYFUNCTION("""COMPUTED_VALUE"""),"PAGOSA SPRINGS ELEMENTARY SCHOOL")</f>
        <v>PAGOSA SPRINGS ELEMENTARY SCHOOL</v>
      </c>
      <c r="E307" s="3" t="str">
        <f>IFERROR(__xludf.DUMMYFUNCTION("""COMPUTED_VALUE"""),"Y")</f>
        <v>Y</v>
      </c>
      <c r="F307" s="3" t="str">
        <f>IFERROR(__xludf.DUMMYFUNCTION("""COMPUTED_VALUE"""),"Y")</f>
        <v>Y</v>
      </c>
      <c r="G307" s="3"/>
      <c r="H307" s="3"/>
      <c r="I307" s="3" t="str">
        <f>IFERROR(__xludf.DUMMYFUNCTION("""COMPUTED_VALUE""")," ")</f>
        <v> </v>
      </c>
      <c r="J307" s="3" t="str">
        <f>IFERROR(__xludf.DUMMYFUNCTION("""COMPUTED_VALUE""")," ")</f>
        <v> </v>
      </c>
      <c r="K307" s="3" t="str">
        <f>IFERROR(__xludf.DUMMYFUNCTION("""COMPUTED_VALUE"""),"Y")</f>
        <v>Y</v>
      </c>
      <c r="L307" s="3" t="str">
        <f>IFERROR(__xludf.DUMMYFUNCTION("""COMPUTED_VALUE"""),"Group 1")</f>
        <v>Group 1</v>
      </c>
      <c r="M307" s="3"/>
      <c r="N307" s="5" t="str">
        <f>IFERROR(__xludf.DUMMYFUNCTION("""COMPUTED_VALUE""")," ")</f>
        <v> </v>
      </c>
      <c r="O307" s="5"/>
    </row>
    <row r="308">
      <c r="A308" s="2" t="str">
        <f>IFERROR(__xludf.DUMMYFUNCTION("""COMPUTED_VALUE"""),"0220")</f>
        <v>0220</v>
      </c>
      <c r="B308" s="2" t="str">
        <f>IFERROR(__xludf.DUMMYFUNCTION("""COMPUTED_VALUE"""),"ARCHULETA COUNTY    50 JT")</f>
        <v>ARCHULETA COUNTY    50 JT</v>
      </c>
      <c r="C308" s="2" t="str">
        <f>IFERROR(__xludf.DUMMYFUNCTION("""COMPUTED_VALUE"""),"06657")</f>
        <v>06657</v>
      </c>
      <c r="D308" s="2" t="str">
        <f>IFERROR(__xludf.DUMMYFUNCTION("""COMPUTED_VALUE"""),"PAGOSA SPRINGS MIDDLE SCHOOL")</f>
        <v>PAGOSA SPRINGS MIDDLE SCHOOL</v>
      </c>
      <c r="E308" s="3" t="str">
        <f>IFERROR(__xludf.DUMMYFUNCTION("""COMPUTED_VALUE"""),"Y")</f>
        <v>Y</v>
      </c>
      <c r="F308" s="3" t="str">
        <f>IFERROR(__xludf.DUMMYFUNCTION("""COMPUTED_VALUE"""),"Y")</f>
        <v>Y</v>
      </c>
      <c r="G308" s="3"/>
      <c r="H308" s="3"/>
      <c r="I308" s="3" t="str">
        <f>IFERROR(__xludf.DUMMYFUNCTION("""COMPUTED_VALUE""")," ")</f>
        <v> </v>
      </c>
      <c r="J308" s="3" t="str">
        <f>IFERROR(__xludf.DUMMYFUNCTION("""COMPUTED_VALUE""")," ")</f>
        <v> </v>
      </c>
      <c r="K308" s="3" t="str">
        <f>IFERROR(__xludf.DUMMYFUNCTION("""COMPUTED_VALUE"""),"Y")</f>
        <v>Y</v>
      </c>
      <c r="L308" s="3" t="str">
        <f>IFERROR(__xludf.DUMMYFUNCTION("""COMPUTED_VALUE"""),"Group 1")</f>
        <v>Group 1</v>
      </c>
      <c r="M308" s="3"/>
      <c r="N308" s="5" t="str">
        <f>IFERROR(__xludf.DUMMYFUNCTION("""COMPUTED_VALUE""")," ")</f>
        <v> </v>
      </c>
      <c r="O308" s="5"/>
    </row>
    <row r="309">
      <c r="A309" s="2" t="str">
        <f>IFERROR(__xludf.DUMMYFUNCTION("""COMPUTED_VALUE"""),"0220")</f>
        <v>0220</v>
      </c>
      <c r="B309" s="2" t="str">
        <f>IFERROR(__xludf.DUMMYFUNCTION("""COMPUTED_VALUE"""),"ARCHULETA COUNTY    50 JT")</f>
        <v>ARCHULETA COUNTY    50 JT</v>
      </c>
      <c r="C309" s="2" t="str">
        <f>IFERROR(__xludf.DUMMYFUNCTION("""COMPUTED_VALUE"""),"06658")</f>
        <v>06658</v>
      </c>
      <c r="D309" s="2" t="str">
        <f>IFERROR(__xludf.DUMMYFUNCTION("""COMPUTED_VALUE"""),"PAGOSA SPRINGS HIGH SCHOOL")</f>
        <v>PAGOSA SPRINGS HIGH SCHOOL</v>
      </c>
      <c r="E309" s="3" t="str">
        <f>IFERROR(__xludf.DUMMYFUNCTION("""COMPUTED_VALUE"""),"Y")</f>
        <v>Y</v>
      </c>
      <c r="F309" s="3" t="str">
        <f>IFERROR(__xludf.DUMMYFUNCTION("""COMPUTED_VALUE"""),"Y")</f>
        <v>Y</v>
      </c>
      <c r="G309" s="3"/>
      <c r="H309" s="3"/>
      <c r="I309" s="3" t="str">
        <f>IFERROR(__xludf.DUMMYFUNCTION("""COMPUTED_VALUE""")," ")</f>
        <v> </v>
      </c>
      <c r="J309" s="3" t="str">
        <f>IFERROR(__xludf.DUMMYFUNCTION("""COMPUTED_VALUE""")," ")</f>
        <v> </v>
      </c>
      <c r="K309" s="3" t="str">
        <f>IFERROR(__xludf.DUMMYFUNCTION("""COMPUTED_VALUE"""),"Y")</f>
        <v>Y</v>
      </c>
      <c r="L309" s="3" t="str">
        <f>IFERROR(__xludf.DUMMYFUNCTION("""COMPUTED_VALUE"""),"Group 2")</f>
        <v>Group 2</v>
      </c>
      <c r="M309" s="3"/>
      <c r="N309" s="5" t="str">
        <f>IFERROR(__xludf.DUMMYFUNCTION("""COMPUTED_VALUE""")," ")</f>
        <v> </v>
      </c>
      <c r="O309" s="5"/>
    </row>
    <row r="310">
      <c r="A310" s="2" t="str">
        <f>IFERROR(__xludf.DUMMYFUNCTION("""COMPUTED_VALUE"""),"0230")</f>
        <v>0230</v>
      </c>
      <c r="B310" s="2" t="str">
        <f>IFERROR(__xludf.DUMMYFUNCTION("""COMPUTED_VALUE"""),"WALSH RE-1")</f>
        <v>WALSH RE-1</v>
      </c>
      <c r="C310" s="2" t="str">
        <f>IFERROR(__xludf.DUMMYFUNCTION("""COMPUTED_VALUE"""),"09222")</f>
        <v>09222</v>
      </c>
      <c r="D310" s="2" t="str">
        <f>IFERROR(__xludf.DUMMYFUNCTION("""COMPUTED_VALUE"""),"WALSH ELEMENTARY SCHOOL")</f>
        <v>WALSH ELEMENTARY SCHOOL</v>
      </c>
      <c r="E310" s="3" t="str">
        <f>IFERROR(__xludf.DUMMYFUNCTION("""COMPUTED_VALUE"""),"Y")</f>
        <v>Y</v>
      </c>
      <c r="F310" s="3" t="str">
        <f>IFERROR(__xludf.DUMMYFUNCTION("""COMPUTED_VALUE"""),"Y")</f>
        <v>Y</v>
      </c>
      <c r="G310" s="3"/>
      <c r="H310" s="3"/>
      <c r="I310" s="3" t="str">
        <f>IFERROR(__xludf.DUMMYFUNCTION("""COMPUTED_VALUE"""),"Y")</f>
        <v>Y</v>
      </c>
      <c r="J310" s="3" t="str">
        <f>IFERROR(__xludf.DUMMYFUNCTION("""COMPUTED_VALUE""")," ")</f>
        <v> </v>
      </c>
      <c r="K310" s="3" t="str">
        <f>IFERROR(__xludf.DUMMYFUNCTION("""COMPUTED_VALUE"""),"Y")</f>
        <v>Y</v>
      </c>
      <c r="L310" s="3" t="str">
        <f>IFERROR(__xludf.DUMMYFUNCTION("""COMPUTED_VALUE"""),"Group 1")</f>
        <v>Group 1</v>
      </c>
      <c r="M310" s="3"/>
      <c r="N310" s="5" t="str">
        <f>IFERROR(__xludf.DUMMYFUNCTION("""COMPUTED_VALUE""")," ")</f>
        <v> </v>
      </c>
      <c r="O310" s="5"/>
    </row>
    <row r="311">
      <c r="A311" s="2" t="str">
        <f>IFERROR(__xludf.DUMMYFUNCTION("""COMPUTED_VALUE"""),"0230")</f>
        <v>0230</v>
      </c>
      <c r="B311" s="2" t="str">
        <f>IFERROR(__xludf.DUMMYFUNCTION("""COMPUTED_VALUE"""),"WALSH RE-1")</f>
        <v>WALSH RE-1</v>
      </c>
      <c r="C311" s="2" t="str">
        <f>IFERROR(__xludf.DUMMYFUNCTION("""COMPUTED_VALUE"""),"09226")</f>
        <v>09226</v>
      </c>
      <c r="D311" s="2" t="str">
        <f>IFERROR(__xludf.DUMMYFUNCTION("""COMPUTED_VALUE"""),"WALSH HIGH SCHOOL")</f>
        <v>WALSH HIGH SCHOOL</v>
      </c>
      <c r="E311" s="3" t="str">
        <f>IFERROR(__xludf.DUMMYFUNCTION("""COMPUTED_VALUE"""),"Y")</f>
        <v>Y</v>
      </c>
      <c r="F311" s="3" t="str">
        <f>IFERROR(__xludf.DUMMYFUNCTION("""COMPUTED_VALUE"""),"Y")</f>
        <v>Y</v>
      </c>
      <c r="G311" s="3"/>
      <c r="H311" s="3"/>
      <c r="I311" s="3" t="str">
        <f>IFERROR(__xludf.DUMMYFUNCTION("""COMPUTED_VALUE""")," ")</f>
        <v> </v>
      </c>
      <c r="J311" s="3" t="str">
        <f>IFERROR(__xludf.DUMMYFUNCTION("""COMPUTED_VALUE""")," ")</f>
        <v> </v>
      </c>
      <c r="K311" s="3" t="str">
        <f>IFERROR(__xludf.DUMMYFUNCTION("""COMPUTED_VALUE"""),"Y")</f>
        <v>Y</v>
      </c>
      <c r="L311" s="3" t="str">
        <f>IFERROR(__xludf.DUMMYFUNCTION("""COMPUTED_VALUE"""),"Group 1")</f>
        <v>Group 1</v>
      </c>
      <c r="M311" s="3"/>
      <c r="N311" s="5" t="str">
        <f>IFERROR(__xludf.DUMMYFUNCTION("""COMPUTED_VALUE""")," ")</f>
        <v> </v>
      </c>
      <c r="O311" s="5"/>
    </row>
    <row r="312">
      <c r="A312" s="2" t="str">
        <f>IFERROR(__xludf.DUMMYFUNCTION("""COMPUTED_VALUE"""),"0240")</f>
        <v>0240</v>
      </c>
      <c r="B312" s="2" t="str">
        <f>IFERROR(__xludf.DUMMYFUNCTION("""COMPUTED_VALUE"""),"PRITCHETT           RE-3")</f>
        <v>PRITCHETT           RE-3</v>
      </c>
      <c r="C312" s="2" t="str">
        <f>IFERROR(__xludf.DUMMYFUNCTION("""COMPUTED_VALUE"""),"07174")</f>
        <v>07174</v>
      </c>
      <c r="D312" s="2" t="str">
        <f>IFERROR(__xludf.DUMMYFUNCTION("""COMPUTED_VALUE"""),"PRITCHETT ELEMENTARY SCHOOL")</f>
        <v>PRITCHETT ELEMENTARY SCHOOL</v>
      </c>
      <c r="E312" s="3" t="str">
        <f>IFERROR(__xludf.DUMMYFUNCTION("""COMPUTED_VALUE"""),"Y")</f>
        <v>Y</v>
      </c>
      <c r="F312" s="3" t="str">
        <f>IFERROR(__xludf.DUMMYFUNCTION("""COMPUTED_VALUE"""),"Y")</f>
        <v>Y</v>
      </c>
      <c r="G312" s="3"/>
      <c r="H312" s="3"/>
      <c r="I312" s="3" t="str">
        <f>IFERROR(__xludf.DUMMYFUNCTION("""COMPUTED_VALUE""")," ")</f>
        <v> </v>
      </c>
      <c r="J312" s="3" t="str">
        <f>IFERROR(__xludf.DUMMYFUNCTION("""COMPUTED_VALUE""")," ")</f>
        <v> </v>
      </c>
      <c r="K312" s="3" t="str">
        <f>IFERROR(__xludf.DUMMYFUNCTION("""COMPUTED_VALUE"""),"Y")</f>
        <v>Y</v>
      </c>
      <c r="L312" s="3" t="str">
        <f>IFERROR(__xludf.DUMMYFUNCTION("""COMPUTED_VALUE""")," ")</f>
        <v> </v>
      </c>
      <c r="M312" s="3"/>
      <c r="N312" s="5" t="str">
        <f>IFERROR(__xludf.DUMMYFUNCTION("""COMPUTED_VALUE""")," ")</f>
        <v> </v>
      </c>
      <c r="O312" s="5"/>
    </row>
    <row r="313">
      <c r="A313" s="2" t="str">
        <f>IFERROR(__xludf.DUMMYFUNCTION("""COMPUTED_VALUE"""),"0240")</f>
        <v>0240</v>
      </c>
      <c r="B313" s="2" t="str">
        <f>IFERROR(__xludf.DUMMYFUNCTION("""COMPUTED_VALUE"""),"PRITCHETT           RE-3")</f>
        <v>PRITCHETT           RE-3</v>
      </c>
      <c r="C313" s="2" t="str">
        <f>IFERROR(__xludf.DUMMYFUNCTION("""COMPUTED_VALUE"""),"07176")</f>
        <v>07176</v>
      </c>
      <c r="D313" s="2" t="str">
        <f>IFERROR(__xludf.DUMMYFUNCTION("""COMPUTED_VALUE"""),"PRITCHETT MIDDLE SCHOOL")</f>
        <v>PRITCHETT MIDDLE SCHOOL</v>
      </c>
      <c r="E313" s="3" t="str">
        <f>IFERROR(__xludf.DUMMYFUNCTION("""COMPUTED_VALUE"""),"Y")</f>
        <v>Y</v>
      </c>
      <c r="F313" s="3" t="str">
        <f>IFERROR(__xludf.DUMMYFUNCTION("""COMPUTED_VALUE"""),"Y")</f>
        <v>Y</v>
      </c>
      <c r="G313" s="3"/>
      <c r="H313" s="3"/>
      <c r="I313" s="3" t="str">
        <f>IFERROR(__xludf.DUMMYFUNCTION("""COMPUTED_VALUE""")," ")</f>
        <v> </v>
      </c>
      <c r="J313" s="3" t="str">
        <f>IFERROR(__xludf.DUMMYFUNCTION("""COMPUTED_VALUE""")," ")</f>
        <v> </v>
      </c>
      <c r="K313" s="3" t="str">
        <f>IFERROR(__xludf.DUMMYFUNCTION("""COMPUTED_VALUE"""),"Y")</f>
        <v>Y</v>
      </c>
      <c r="L313" s="3" t="str">
        <f>IFERROR(__xludf.DUMMYFUNCTION("""COMPUTED_VALUE""")," ")</f>
        <v> </v>
      </c>
      <c r="M313" s="3"/>
      <c r="N313" s="5" t="str">
        <f>IFERROR(__xludf.DUMMYFUNCTION("""COMPUTED_VALUE""")," ")</f>
        <v> </v>
      </c>
      <c r="O313" s="5"/>
    </row>
    <row r="314">
      <c r="A314" s="2" t="str">
        <f>IFERROR(__xludf.DUMMYFUNCTION("""COMPUTED_VALUE"""),"0240")</f>
        <v>0240</v>
      </c>
      <c r="B314" s="2" t="str">
        <f>IFERROR(__xludf.DUMMYFUNCTION("""COMPUTED_VALUE"""),"PRITCHETT           RE-3")</f>
        <v>PRITCHETT           RE-3</v>
      </c>
      <c r="C314" s="2" t="str">
        <f>IFERROR(__xludf.DUMMYFUNCTION("""COMPUTED_VALUE"""),"07180")</f>
        <v>07180</v>
      </c>
      <c r="D314" s="2" t="str">
        <f>IFERROR(__xludf.DUMMYFUNCTION("""COMPUTED_VALUE"""),"PRITCHETT UNDIVIDED HIGH SCHOOL")</f>
        <v>PRITCHETT UNDIVIDED HIGH SCHOOL</v>
      </c>
      <c r="E314" s="3" t="str">
        <f>IFERROR(__xludf.DUMMYFUNCTION("""COMPUTED_VALUE"""),"Y")</f>
        <v>Y</v>
      </c>
      <c r="F314" s="3" t="str">
        <f>IFERROR(__xludf.DUMMYFUNCTION("""COMPUTED_VALUE"""),"Y")</f>
        <v>Y</v>
      </c>
      <c r="G314" s="3"/>
      <c r="H314" s="3"/>
      <c r="I314" s="3" t="str">
        <f>IFERROR(__xludf.DUMMYFUNCTION("""COMPUTED_VALUE""")," ")</f>
        <v> </v>
      </c>
      <c r="J314" s="3" t="str">
        <f>IFERROR(__xludf.DUMMYFUNCTION("""COMPUTED_VALUE""")," ")</f>
        <v> </v>
      </c>
      <c r="K314" s="3" t="str">
        <f>IFERROR(__xludf.DUMMYFUNCTION("""COMPUTED_VALUE"""),"Y")</f>
        <v>Y</v>
      </c>
      <c r="L314" s="3" t="str">
        <f>IFERROR(__xludf.DUMMYFUNCTION("""COMPUTED_VALUE"""),"Group 1")</f>
        <v>Group 1</v>
      </c>
      <c r="M314" s="3"/>
      <c r="N314" s="5" t="str">
        <f>IFERROR(__xludf.DUMMYFUNCTION("""COMPUTED_VALUE""")," ")</f>
        <v> </v>
      </c>
      <c r="O314" s="5"/>
    </row>
    <row r="315">
      <c r="A315" s="2" t="str">
        <f>IFERROR(__xludf.DUMMYFUNCTION("""COMPUTED_VALUE"""),"0250")</f>
        <v>0250</v>
      </c>
      <c r="B315" s="2" t="str">
        <f>IFERROR(__xludf.DUMMYFUNCTION("""COMPUTED_VALUE"""),"SPRINGFIELD RE-4")</f>
        <v>SPRINGFIELD RE-4</v>
      </c>
      <c r="C315" s="2" t="str">
        <f>IFERROR(__xludf.DUMMYFUNCTION("""COMPUTED_VALUE"""),"08160")</f>
        <v>08160</v>
      </c>
      <c r="D315" s="2" t="str">
        <f>IFERROR(__xludf.DUMMYFUNCTION("""COMPUTED_VALUE"""),"SPRINGFIELD ELEMENTARY SCHOOL")</f>
        <v>SPRINGFIELD ELEMENTARY SCHOOL</v>
      </c>
      <c r="E315" s="3" t="str">
        <f>IFERROR(__xludf.DUMMYFUNCTION("""COMPUTED_VALUE"""),"Y")</f>
        <v>Y</v>
      </c>
      <c r="F315" s="3" t="str">
        <f>IFERROR(__xludf.DUMMYFUNCTION("""COMPUTED_VALUE"""),"Y")</f>
        <v>Y</v>
      </c>
      <c r="G315" s="3" t="str">
        <f>IFERROR(__xludf.DUMMYFUNCTION("""COMPUTED_VALUE"""),"Y")</f>
        <v>Y</v>
      </c>
      <c r="H315" s="3"/>
      <c r="I315" s="3" t="str">
        <f>IFERROR(__xludf.DUMMYFUNCTION("""COMPUTED_VALUE""")," ")</f>
        <v> </v>
      </c>
      <c r="J315" s="3" t="str">
        <f>IFERROR(__xludf.DUMMYFUNCTION("""COMPUTED_VALUE""")," ")</f>
        <v> </v>
      </c>
      <c r="K315" s="3" t="str">
        <f>IFERROR(__xludf.DUMMYFUNCTION("""COMPUTED_VALUE"""),"Y")</f>
        <v>Y</v>
      </c>
      <c r="L315" s="3" t="str">
        <f>IFERROR(__xludf.DUMMYFUNCTION("""COMPUTED_VALUE"""),"Group 1")</f>
        <v>Group 1</v>
      </c>
      <c r="M315" s="3"/>
      <c r="N315" s="5" t="str">
        <f>IFERROR(__xludf.DUMMYFUNCTION("""COMPUTED_VALUE""")," ")</f>
        <v> </v>
      </c>
      <c r="O315" s="5"/>
    </row>
    <row r="316">
      <c r="A316" s="2" t="str">
        <f>IFERROR(__xludf.DUMMYFUNCTION("""COMPUTED_VALUE"""),"0250")</f>
        <v>0250</v>
      </c>
      <c r="B316" s="2" t="str">
        <f>IFERROR(__xludf.DUMMYFUNCTION("""COMPUTED_VALUE"""),"SPRINGFIELD RE-4")</f>
        <v>SPRINGFIELD RE-4</v>
      </c>
      <c r="C316" s="2" t="str">
        <f>IFERROR(__xludf.DUMMYFUNCTION("""COMPUTED_VALUE"""),"08168")</f>
        <v>08168</v>
      </c>
      <c r="D316" s="2" t="str">
        <f>IFERROR(__xludf.DUMMYFUNCTION("""COMPUTED_VALUE"""),"SPRINGFIELD JUNIOR/SENIOR HIGH SCHOOL")</f>
        <v>SPRINGFIELD JUNIOR/SENIOR HIGH SCHOOL</v>
      </c>
      <c r="E316" s="3" t="str">
        <f>IFERROR(__xludf.DUMMYFUNCTION("""COMPUTED_VALUE"""),"Y")</f>
        <v>Y</v>
      </c>
      <c r="F316" s="3" t="str">
        <f>IFERROR(__xludf.DUMMYFUNCTION("""COMPUTED_VALUE"""),"Y")</f>
        <v>Y</v>
      </c>
      <c r="G316" s="3"/>
      <c r="H316" s="3"/>
      <c r="I316" s="3" t="str">
        <f>IFERROR(__xludf.DUMMYFUNCTION("""COMPUTED_VALUE""")," ")</f>
        <v> </v>
      </c>
      <c r="J316" s="3" t="str">
        <f>IFERROR(__xludf.DUMMYFUNCTION("""COMPUTED_VALUE""")," ")</f>
        <v> </v>
      </c>
      <c r="K316" s="3" t="str">
        <f>IFERROR(__xludf.DUMMYFUNCTION("""COMPUTED_VALUE"""),"Y")</f>
        <v>Y</v>
      </c>
      <c r="L316" s="3" t="str">
        <f>IFERROR(__xludf.DUMMYFUNCTION("""COMPUTED_VALUE"""),"Group 1")</f>
        <v>Group 1</v>
      </c>
      <c r="M316" s="3"/>
      <c r="N316" s="5" t="str">
        <f>IFERROR(__xludf.DUMMYFUNCTION("""COMPUTED_VALUE"""),"Y")</f>
        <v>Y</v>
      </c>
      <c r="O316" s="5"/>
    </row>
    <row r="317">
      <c r="A317" s="2" t="str">
        <f>IFERROR(__xludf.DUMMYFUNCTION("""COMPUTED_VALUE"""),"0260")</f>
        <v>0260</v>
      </c>
      <c r="B317" s="2" t="str">
        <f>IFERROR(__xludf.DUMMYFUNCTION("""COMPUTED_VALUE"""),"VILAS RE-5")</f>
        <v>VILAS RE-5</v>
      </c>
      <c r="C317" s="2" t="str">
        <f>IFERROR(__xludf.DUMMYFUNCTION("""COMPUTED_VALUE"""),"09090")</f>
        <v>09090</v>
      </c>
      <c r="D317" s="2" t="str">
        <f>IFERROR(__xludf.DUMMYFUNCTION("""COMPUTED_VALUE"""),"VILAS ELEMENTARY SCHOOL")</f>
        <v>VILAS ELEMENTARY SCHOOL</v>
      </c>
      <c r="E317" s="3" t="str">
        <f>IFERROR(__xludf.DUMMYFUNCTION("""COMPUTED_VALUE"""),"Y")</f>
        <v>Y</v>
      </c>
      <c r="F317" s="3" t="str">
        <f>IFERROR(__xludf.DUMMYFUNCTION("""COMPUTED_VALUE"""),"Y")</f>
        <v>Y</v>
      </c>
      <c r="G317" s="3"/>
      <c r="H317" s="3"/>
      <c r="I317" s="3" t="str">
        <f>IFERROR(__xludf.DUMMYFUNCTION("""COMPUTED_VALUE""")," ")</f>
        <v> </v>
      </c>
      <c r="J317" s="3" t="str">
        <f>IFERROR(__xludf.DUMMYFUNCTION("""COMPUTED_VALUE""")," ")</f>
        <v> </v>
      </c>
      <c r="K317" s="3" t="str">
        <f>IFERROR(__xludf.DUMMYFUNCTION("""COMPUTED_VALUE"""),"Y")</f>
        <v>Y</v>
      </c>
      <c r="L317" s="3" t="str">
        <f>IFERROR(__xludf.DUMMYFUNCTION("""COMPUTED_VALUE"""),"Group 1")</f>
        <v>Group 1</v>
      </c>
      <c r="M317" s="3"/>
      <c r="N317" s="5" t="str">
        <f>IFERROR(__xludf.DUMMYFUNCTION("""COMPUTED_VALUE""")," ")</f>
        <v> </v>
      </c>
      <c r="O317" s="5"/>
    </row>
    <row r="318">
      <c r="A318" s="2" t="str">
        <f>IFERROR(__xludf.DUMMYFUNCTION("""COMPUTED_VALUE"""),"0260")</f>
        <v>0260</v>
      </c>
      <c r="B318" s="2" t="str">
        <f>IFERROR(__xludf.DUMMYFUNCTION("""COMPUTED_VALUE"""),"VILAS RE-5")</f>
        <v>VILAS RE-5</v>
      </c>
      <c r="C318" s="2" t="str">
        <f>IFERROR(__xludf.DUMMYFUNCTION("""COMPUTED_VALUE"""),"09100")</f>
        <v>09100</v>
      </c>
      <c r="D318" s="2" t="str">
        <f>IFERROR(__xludf.DUMMYFUNCTION("""COMPUTED_VALUE"""),"VILAS UNDIVIDED HIGH SCHOOL")</f>
        <v>VILAS UNDIVIDED HIGH SCHOOL</v>
      </c>
      <c r="E318" s="3" t="str">
        <f>IFERROR(__xludf.DUMMYFUNCTION("""COMPUTED_VALUE"""),"Y")</f>
        <v>Y</v>
      </c>
      <c r="F318" s="3" t="str">
        <f>IFERROR(__xludf.DUMMYFUNCTION("""COMPUTED_VALUE"""),"Y")</f>
        <v>Y</v>
      </c>
      <c r="G318" s="3"/>
      <c r="H318" s="3"/>
      <c r="I318" s="3" t="str">
        <f>IFERROR(__xludf.DUMMYFUNCTION("""COMPUTED_VALUE""")," ")</f>
        <v> </v>
      </c>
      <c r="J318" s="3" t="str">
        <f>IFERROR(__xludf.DUMMYFUNCTION("""COMPUTED_VALUE""")," ")</f>
        <v> </v>
      </c>
      <c r="K318" s="3" t="str">
        <f>IFERROR(__xludf.DUMMYFUNCTION("""COMPUTED_VALUE"""),"Y")</f>
        <v>Y</v>
      </c>
      <c r="L318" s="3" t="str">
        <f>IFERROR(__xludf.DUMMYFUNCTION("""COMPUTED_VALUE"""),"Group 1")</f>
        <v>Group 1</v>
      </c>
      <c r="M318" s="3"/>
      <c r="N318" s="5" t="str">
        <f>IFERROR(__xludf.DUMMYFUNCTION("""COMPUTED_VALUE""")," ")</f>
        <v> </v>
      </c>
      <c r="O318" s="5"/>
    </row>
    <row r="319">
      <c r="A319" s="2" t="str">
        <f>IFERROR(__xludf.DUMMYFUNCTION("""COMPUTED_VALUE"""),"0270")</f>
        <v>0270</v>
      </c>
      <c r="B319" s="2" t="str">
        <f>IFERROR(__xludf.DUMMYFUNCTION("""COMPUTED_VALUE"""),"CAMPO               RE-6")</f>
        <v>CAMPO               RE-6</v>
      </c>
      <c r="C319" s="2" t="str">
        <f>IFERROR(__xludf.DUMMYFUNCTION("""COMPUTED_VALUE"""),"01248")</f>
        <v>01248</v>
      </c>
      <c r="D319" s="2" t="str">
        <f>IFERROR(__xludf.DUMMYFUNCTION("""COMPUTED_VALUE"""),"CAMPO ELEMENTARY SCHOOL")</f>
        <v>CAMPO ELEMENTARY SCHOOL</v>
      </c>
      <c r="E319" s="3" t="str">
        <f>IFERROR(__xludf.DUMMYFUNCTION("""COMPUTED_VALUE"""),"Y")</f>
        <v>Y</v>
      </c>
      <c r="F319" s="3" t="str">
        <f>IFERROR(__xludf.DUMMYFUNCTION("""COMPUTED_VALUE"""),"Y")</f>
        <v>Y</v>
      </c>
      <c r="G319" s="3"/>
      <c r="H319" s="3"/>
      <c r="I319" s="3" t="str">
        <f>IFERROR(__xludf.DUMMYFUNCTION("""COMPUTED_VALUE""")," ")</f>
        <v> </v>
      </c>
      <c r="J319" s="3" t="str">
        <f>IFERROR(__xludf.DUMMYFUNCTION("""COMPUTED_VALUE""")," ")</f>
        <v> </v>
      </c>
      <c r="K319" s="3" t="str">
        <f>IFERROR(__xludf.DUMMYFUNCTION("""COMPUTED_VALUE"""),"Y")</f>
        <v>Y</v>
      </c>
      <c r="L319" s="3" t="str">
        <f>IFERROR(__xludf.DUMMYFUNCTION("""COMPUTED_VALUE"""),"Group 1")</f>
        <v>Group 1</v>
      </c>
      <c r="M319" s="3"/>
      <c r="N319" s="5" t="str">
        <f>IFERROR(__xludf.DUMMYFUNCTION("""COMPUTED_VALUE""")," ")</f>
        <v> </v>
      </c>
      <c r="O319" s="5"/>
    </row>
    <row r="320">
      <c r="A320" s="2" t="str">
        <f>IFERROR(__xludf.DUMMYFUNCTION("""COMPUTED_VALUE"""),"0270")</f>
        <v>0270</v>
      </c>
      <c r="B320" s="2" t="str">
        <f>IFERROR(__xludf.DUMMYFUNCTION("""COMPUTED_VALUE"""),"CAMPO               RE-6")</f>
        <v>CAMPO               RE-6</v>
      </c>
      <c r="C320" s="2" t="str">
        <f>IFERROR(__xludf.DUMMYFUNCTION("""COMPUTED_VALUE"""),"01252")</f>
        <v>01252</v>
      </c>
      <c r="D320" s="2" t="str">
        <f>IFERROR(__xludf.DUMMYFUNCTION("""COMPUTED_VALUE"""),"CAMPO UNDIVIDED HIGH SCHOOL")</f>
        <v>CAMPO UNDIVIDED HIGH SCHOOL</v>
      </c>
      <c r="E320" s="3" t="str">
        <f>IFERROR(__xludf.DUMMYFUNCTION("""COMPUTED_VALUE"""),"Y")</f>
        <v>Y</v>
      </c>
      <c r="F320" s="3" t="str">
        <f>IFERROR(__xludf.DUMMYFUNCTION("""COMPUTED_VALUE"""),"Y")</f>
        <v>Y</v>
      </c>
      <c r="G320" s="3"/>
      <c r="H320" s="3"/>
      <c r="I320" s="3" t="str">
        <f>IFERROR(__xludf.DUMMYFUNCTION("""COMPUTED_VALUE""")," ")</f>
        <v> </v>
      </c>
      <c r="J320" s="3" t="str">
        <f>IFERROR(__xludf.DUMMYFUNCTION("""COMPUTED_VALUE""")," ")</f>
        <v> </v>
      </c>
      <c r="K320" s="3" t="str">
        <f>IFERROR(__xludf.DUMMYFUNCTION("""COMPUTED_VALUE"""),"Y")</f>
        <v>Y</v>
      </c>
      <c r="L320" s="3" t="str">
        <f>IFERROR(__xludf.DUMMYFUNCTION("""COMPUTED_VALUE"""),"Group 1")</f>
        <v>Group 1</v>
      </c>
      <c r="M320" s="3"/>
      <c r="N320" s="5" t="str">
        <f>IFERROR(__xludf.DUMMYFUNCTION("""COMPUTED_VALUE""")," ")</f>
        <v> </v>
      </c>
      <c r="O320" s="5"/>
    </row>
    <row r="321">
      <c r="A321" s="2" t="str">
        <f>IFERROR(__xludf.DUMMYFUNCTION("""COMPUTED_VALUE"""),"0290")</f>
        <v>0290</v>
      </c>
      <c r="B321" s="2" t="str">
        <f>IFERROR(__xludf.DUMMYFUNCTION("""COMPUTED_VALUE"""),"Bent County School District #1")</f>
        <v>Bent County School District #1</v>
      </c>
      <c r="C321" s="2" t="str">
        <f>IFERROR(__xludf.DUMMYFUNCTION("""COMPUTED_VALUE"""),"01812")</f>
        <v>01812</v>
      </c>
      <c r="D321" s="2" t="str">
        <f>IFERROR(__xludf.DUMMYFUNCTION("""COMPUTED_VALUE"""),"LAS ANIMAS ELEMENTARY SCHOOL")</f>
        <v>LAS ANIMAS ELEMENTARY SCHOOL</v>
      </c>
      <c r="E321" s="3" t="str">
        <f>IFERROR(__xludf.DUMMYFUNCTION("""COMPUTED_VALUE"""),"Y")</f>
        <v>Y</v>
      </c>
      <c r="F321" s="3" t="str">
        <f>IFERROR(__xludf.DUMMYFUNCTION("""COMPUTED_VALUE"""),"Y")</f>
        <v>Y</v>
      </c>
      <c r="G321" s="3"/>
      <c r="H321" s="3"/>
      <c r="I321" s="3" t="str">
        <f>IFERROR(__xludf.DUMMYFUNCTION("""COMPUTED_VALUE""")," ")</f>
        <v> </v>
      </c>
      <c r="J321" s="3" t="str">
        <f>IFERROR(__xludf.DUMMYFUNCTION("""COMPUTED_VALUE""")," ")</f>
        <v> </v>
      </c>
      <c r="K321" s="3" t="str">
        <f>IFERROR(__xludf.DUMMYFUNCTION("""COMPUTED_VALUE"""),"Y")</f>
        <v>Y</v>
      </c>
      <c r="L321" s="3" t="str">
        <f>IFERROR(__xludf.DUMMYFUNCTION("""COMPUTED_VALUE"""),"Group 1")</f>
        <v>Group 1</v>
      </c>
      <c r="M321" s="3"/>
      <c r="N321" s="5" t="str">
        <f>IFERROR(__xludf.DUMMYFUNCTION("""COMPUTED_VALUE"""),"Y")</f>
        <v>Y</v>
      </c>
      <c r="O321" s="5"/>
    </row>
    <row r="322">
      <c r="A322" s="2" t="str">
        <f>IFERROR(__xludf.DUMMYFUNCTION("""COMPUTED_VALUE"""),"0290")</f>
        <v>0290</v>
      </c>
      <c r="B322" s="2" t="str">
        <f>IFERROR(__xludf.DUMMYFUNCTION("""COMPUTED_VALUE"""),"Bent County School District #1")</f>
        <v>Bent County School District #1</v>
      </c>
      <c r="C322" s="2" t="str">
        <f>IFERROR(__xludf.DUMMYFUNCTION("""COMPUTED_VALUE"""),"04986")</f>
        <v>04986</v>
      </c>
      <c r="D322" s="2" t="str">
        <f>IFERROR(__xludf.DUMMYFUNCTION("""COMPUTED_VALUE"""),"LAS ANIMAS JUNIOR HIGH SCHOOL")</f>
        <v>LAS ANIMAS JUNIOR HIGH SCHOOL</v>
      </c>
      <c r="E322" s="3" t="str">
        <f>IFERROR(__xludf.DUMMYFUNCTION("""COMPUTED_VALUE"""),"Y")</f>
        <v>Y</v>
      </c>
      <c r="F322" s="3" t="str">
        <f>IFERROR(__xludf.DUMMYFUNCTION("""COMPUTED_VALUE"""),"Y")</f>
        <v>Y</v>
      </c>
      <c r="G322" s="3"/>
      <c r="H322" s="3"/>
      <c r="I322" s="3" t="str">
        <f>IFERROR(__xludf.DUMMYFUNCTION("""COMPUTED_VALUE""")," ")</f>
        <v> </v>
      </c>
      <c r="J322" s="3" t="str">
        <f>IFERROR(__xludf.DUMMYFUNCTION("""COMPUTED_VALUE""")," ")</f>
        <v> </v>
      </c>
      <c r="K322" s="3" t="str">
        <f>IFERROR(__xludf.DUMMYFUNCTION("""COMPUTED_VALUE"""),"Y")</f>
        <v>Y</v>
      </c>
      <c r="L322" s="3" t="str">
        <f>IFERROR(__xludf.DUMMYFUNCTION("""COMPUTED_VALUE"""),"Group 1")</f>
        <v>Group 1</v>
      </c>
      <c r="M322" s="3"/>
      <c r="N322" s="5" t="str">
        <f>IFERROR(__xludf.DUMMYFUNCTION("""COMPUTED_VALUE""")," ")</f>
        <v> </v>
      </c>
      <c r="O322" s="5"/>
    </row>
    <row r="323">
      <c r="A323" s="2" t="str">
        <f>IFERROR(__xludf.DUMMYFUNCTION("""COMPUTED_VALUE"""),"0290")</f>
        <v>0290</v>
      </c>
      <c r="B323" s="2" t="str">
        <f>IFERROR(__xludf.DUMMYFUNCTION("""COMPUTED_VALUE"""),"Bent County School District #1")</f>
        <v>Bent County School District #1</v>
      </c>
      <c r="C323" s="2" t="str">
        <f>IFERROR(__xludf.DUMMYFUNCTION("""COMPUTED_VALUE"""),"04990")</f>
        <v>04990</v>
      </c>
      <c r="D323" s="2" t="str">
        <f>IFERROR(__xludf.DUMMYFUNCTION("""COMPUTED_VALUE"""),"LAS ANIMAS HIGH SCHOOL")</f>
        <v>LAS ANIMAS HIGH SCHOOL</v>
      </c>
      <c r="E323" s="3" t="str">
        <f>IFERROR(__xludf.DUMMYFUNCTION("""COMPUTED_VALUE"""),"Y")</f>
        <v>Y</v>
      </c>
      <c r="F323" s="3" t="str">
        <f>IFERROR(__xludf.DUMMYFUNCTION("""COMPUTED_VALUE"""),"Y")</f>
        <v>Y</v>
      </c>
      <c r="G323" s="3"/>
      <c r="H323" s="3"/>
      <c r="I323" s="3" t="str">
        <f>IFERROR(__xludf.DUMMYFUNCTION("""COMPUTED_VALUE""")," ")</f>
        <v> </v>
      </c>
      <c r="J323" s="3" t="str">
        <f>IFERROR(__xludf.DUMMYFUNCTION("""COMPUTED_VALUE""")," ")</f>
        <v> </v>
      </c>
      <c r="K323" s="3" t="str">
        <f>IFERROR(__xludf.DUMMYFUNCTION("""COMPUTED_VALUE"""),"Y")</f>
        <v>Y</v>
      </c>
      <c r="L323" s="3" t="str">
        <f>IFERROR(__xludf.DUMMYFUNCTION("""COMPUTED_VALUE"""),"Group 1")</f>
        <v>Group 1</v>
      </c>
      <c r="M323" s="3"/>
      <c r="N323" s="5" t="str">
        <f>IFERROR(__xludf.DUMMYFUNCTION("""COMPUTED_VALUE""")," ")</f>
        <v> </v>
      </c>
      <c r="O323" s="5"/>
    </row>
    <row r="324">
      <c r="A324" s="2" t="str">
        <f>IFERROR(__xludf.DUMMYFUNCTION("""COMPUTED_VALUE"""),"0310")</f>
        <v>0310</v>
      </c>
      <c r="B324" s="2" t="str">
        <f>IFERROR(__xludf.DUMMYFUNCTION("""COMPUTED_VALUE"""),"McCLAVE            RE-2")</f>
        <v>McCLAVE            RE-2</v>
      </c>
      <c r="C324" s="2" t="str">
        <f>IFERROR(__xludf.DUMMYFUNCTION("""COMPUTED_VALUE"""),"05666")</f>
        <v>05666</v>
      </c>
      <c r="D324" s="2" t="str">
        <f>IFERROR(__xludf.DUMMYFUNCTION("""COMPUTED_VALUE"""),"McCLAVE ELEMENTARY SCHOOL")</f>
        <v>McCLAVE ELEMENTARY SCHOOL</v>
      </c>
      <c r="E324" s="3" t="str">
        <f>IFERROR(__xludf.DUMMYFUNCTION("""COMPUTED_VALUE"""),"Y")</f>
        <v>Y</v>
      </c>
      <c r="F324" s="3" t="str">
        <f>IFERROR(__xludf.DUMMYFUNCTION("""COMPUTED_VALUE"""),"Y")</f>
        <v>Y</v>
      </c>
      <c r="G324" s="3"/>
      <c r="H324" s="3"/>
      <c r="I324" s="3" t="str">
        <f>IFERROR(__xludf.DUMMYFUNCTION("""COMPUTED_VALUE""")," ")</f>
        <v> </v>
      </c>
      <c r="J324" s="3" t="str">
        <f>IFERROR(__xludf.DUMMYFUNCTION("""COMPUTED_VALUE""")," ")</f>
        <v> </v>
      </c>
      <c r="K324" s="3" t="str">
        <f>IFERROR(__xludf.DUMMYFUNCTION("""COMPUTED_VALUE"""),"Y")</f>
        <v>Y</v>
      </c>
      <c r="L324" s="3" t="str">
        <f>IFERROR(__xludf.DUMMYFUNCTION("""COMPUTED_VALUE"""),"Group 2")</f>
        <v>Group 2</v>
      </c>
      <c r="M324" s="3"/>
      <c r="N324" s="5" t="str">
        <f>IFERROR(__xludf.DUMMYFUNCTION("""COMPUTED_VALUE""")," ")</f>
        <v> </v>
      </c>
      <c r="O324" s="5"/>
    </row>
    <row r="325">
      <c r="A325" s="2" t="str">
        <f>IFERROR(__xludf.DUMMYFUNCTION("""COMPUTED_VALUE"""),"0310")</f>
        <v>0310</v>
      </c>
      <c r="B325" s="2" t="str">
        <f>IFERROR(__xludf.DUMMYFUNCTION("""COMPUTED_VALUE"""),"McCLAVE            RE-2")</f>
        <v>McCLAVE            RE-2</v>
      </c>
      <c r="C325" s="2" t="str">
        <f>IFERROR(__xludf.DUMMYFUNCTION("""COMPUTED_VALUE"""),"05670")</f>
        <v>05670</v>
      </c>
      <c r="D325" s="2" t="str">
        <f>IFERROR(__xludf.DUMMYFUNCTION("""COMPUTED_VALUE"""),"McCLAVE UNDIVIDED HIGH SCHOOL")</f>
        <v>McCLAVE UNDIVIDED HIGH SCHOOL</v>
      </c>
      <c r="E325" s="3" t="str">
        <f>IFERROR(__xludf.DUMMYFUNCTION("""COMPUTED_VALUE"""),"Y")</f>
        <v>Y</v>
      </c>
      <c r="F325" s="3" t="str">
        <f>IFERROR(__xludf.DUMMYFUNCTION("""COMPUTED_VALUE"""),"Y")</f>
        <v>Y</v>
      </c>
      <c r="G325" s="3"/>
      <c r="H325" s="3"/>
      <c r="I325" s="3" t="str">
        <f>IFERROR(__xludf.DUMMYFUNCTION("""COMPUTED_VALUE""")," ")</f>
        <v> </v>
      </c>
      <c r="J325" s="3" t="str">
        <f>IFERROR(__xludf.DUMMYFUNCTION("""COMPUTED_VALUE""")," ")</f>
        <v> </v>
      </c>
      <c r="K325" s="3" t="str">
        <f>IFERROR(__xludf.DUMMYFUNCTION("""COMPUTED_VALUE"""),"Y")</f>
        <v>Y</v>
      </c>
      <c r="L325" s="3" t="str">
        <f>IFERROR(__xludf.DUMMYFUNCTION("""COMPUTED_VALUE"""),"Group 1")</f>
        <v>Group 1</v>
      </c>
      <c r="M325" s="3"/>
      <c r="N325" s="5" t="str">
        <f>IFERROR(__xludf.DUMMYFUNCTION("""COMPUTED_VALUE""")," ")</f>
        <v> </v>
      </c>
      <c r="O325" s="5"/>
    </row>
    <row r="326">
      <c r="A326" s="2" t="str">
        <f>IFERROR(__xludf.DUMMYFUNCTION("""COMPUTED_VALUE"""),"0470")</f>
        <v>0470</v>
      </c>
      <c r="B326" s="2" t="str">
        <f>IFERROR(__xludf.DUMMYFUNCTION("""COMPUTED_VALUE"""),"ST VRAIN VALLEY RE-1J")</f>
        <v>ST VRAIN VALLEY RE-1J</v>
      </c>
      <c r="C326" s="2" t="str">
        <f>IFERROR(__xludf.DUMMYFUNCTION("""COMPUTED_VALUE"""),"00060")</f>
        <v>00060</v>
      </c>
      <c r="D326" s="2" t="str">
        <f>IFERROR(__xludf.DUMMYFUNCTION("""COMPUTED_VALUE"""),"LEGACY ELEMENTARY")</f>
        <v>LEGACY ELEMENTARY</v>
      </c>
      <c r="E326" s="3" t="str">
        <f>IFERROR(__xludf.DUMMYFUNCTION("""COMPUTED_VALUE"""),"Y")</f>
        <v>Y</v>
      </c>
      <c r="F326" s="3" t="str">
        <f>IFERROR(__xludf.DUMMYFUNCTION("""COMPUTED_VALUE"""),"Y")</f>
        <v>Y</v>
      </c>
      <c r="G326" s="3" t="str">
        <f>IFERROR(__xludf.DUMMYFUNCTION("""COMPUTED_VALUE"""),"Y")</f>
        <v>Y</v>
      </c>
      <c r="H326" s="3"/>
      <c r="I326" s="3" t="str">
        <f>IFERROR(__xludf.DUMMYFUNCTION("""COMPUTED_VALUE""")," ")</f>
        <v> </v>
      </c>
      <c r="J326" s="3" t="str">
        <f>IFERROR(__xludf.DUMMYFUNCTION("""COMPUTED_VALUE""")," ")</f>
        <v> </v>
      </c>
      <c r="K326" s="3" t="str">
        <f>IFERROR(__xludf.DUMMYFUNCTION("""COMPUTED_VALUE"""),"Y")</f>
        <v>Y</v>
      </c>
      <c r="L326" s="3" t="str">
        <f>IFERROR(__xludf.DUMMYFUNCTION("""COMPUTED_VALUE"""),"Group 1")</f>
        <v>Group 1</v>
      </c>
      <c r="M326" s="3"/>
      <c r="N326" s="5" t="str">
        <f>IFERROR(__xludf.DUMMYFUNCTION("""COMPUTED_VALUE""")," ")</f>
        <v> </v>
      </c>
      <c r="O326" s="5"/>
    </row>
    <row r="327">
      <c r="A327" s="2" t="str">
        <f>IFERROR(__xludf.DUMMYFUNCTION("""COMPUTED_VALUE"""),"0470")</f>
        <v>0470</v>
      </c>
      <c r="B327" s="2" t="str">
        <f>IFERROR(__xludf.DUMMYFUNCTION("""COMPUTED_VALUE"""),"ST VRAIN VALLEY RE-1J")</f>
        <v>ST VRAIN VALLEY RE-1J</v>
      </c>
      <c r="C327" s="2" t="str">
        <f>IFERROR(__xludf.DUMMYFUNCTION("""COMPUTED_VALUE"""),"00061")</f>
        <v>00061</v>
      </c>
      <c r="D327" s="2" t="str">
        <f>IFERROR(__xludf.DUMMYFUNCTION("""COMPUTED_VALUE"""),"ALPINE ELEMENTARY")</f>
        <v>ALPINE ELEMENTARY</v>
      </c>
      <c r="E327" s="3" t="str">
        <f>IFERROR(__xludf.DUMMYFUNCTION("""COMPUTED_VALUE"""),"Y")</f>
        <v>Y</v>
      </c>
      <c r="F327" s="3" t="str">
        <f>IFERROR(__xludf.DUMMYFUNCTION("""COMPUTED_VALUE"""),"Y")</f>
        <v>Y</v>
      </c>
      <c r="G327" s="3" t="str">
        <f>IFERROR(__xludf.DUMMYFUNCTION("""COMPUTED_VALUE"""),"Y")</f>
        <v>Y</v>
      </c>
      <c r="H327" s="3"/>
      <c r="I327" s="3" t="str">
        <f>IFERROR(__xludf.DUMMYFUNCTION("""COMPUTED_VALUE""")," ")</f>
        <v> </v>
      </c>
      <c r="J327" s="3" t="str">
        <f>IFERROR(__xludf.DUMMYFUNCTION("""COMPUTED_VALUE""")," ")</f>
        <v> </v>
      </c>
      <c r="K327" s="3" t="str">
        <f>IFERROR(__xludf.DUMMYFUNCTION("""COMPUTED_VALUE"""),"Y")</f>
        <v>Y</v>
      </c>
      <c r="L327" s="3" t="str">
        <f>IFERROR(__xludf.DUMMYFUNCTION("""COMPUTED_VALUE"""),"Group 10")</f>
        <v>Group 10</v>
      </c>
      <c r="M327" s="3"/>
      <c r="N327" s="5" t="str">
        <f>IFERROR(__xludf.DUMMYFUNCTION("""COMPUTED_VALUE"""),"Y")</f>
        <v>Y</v>
      </c>
      <c r="O327" s="5"/>
    </row>
    <row r="328">
      <c r="A328" s="2" t="str">
        <f>IFERROR(__xludf.DUMMYFUNCTION("""COMPUTED_VALUE"""),"0470")</f>
        <v>0470</v>
      </c>
      <c r="B328" s="2" t="str">
        <f>IFERROR(__xludf.DUMMYFUNCTION("""COMPUTED_VALUE"""),"ST VRAIN VALLEY RE-1J")</f>
        <v>ST VRAIN VALLEY RE-1J</v>
      </c>
      <c r="C328" s="2" t="str">
        <f>IFERROR(__xludf.DUMMYFUNCTION("""COMPUTED_VALUE"""),"00071")</f>
        <v>00071</v>
      </c>
      <c r="D328" s="2" t="str">
        <f>IFERROR(__xludf.DUMMYFUNCTION("""COMPUTED_VALUE"""),"Aspen Ridge Preparatory School")</f>
        <v>Aspen Ridge Preparatory School</v>
      </c>
      <c r="E328" s="3"/>
      <c r="F328" s="3" t="str">
        <f>IFERROR(__xludf.DUMMYFUNCTION("""COMPUTED_VALUE"""),"Y")</f>
        <v>Y</v>
      </c>
      <c r="G328" s="3"/>
      <c r="H328" s="3"/>
      <c r="I328" s="3" t="str">
        <f>IFERROR(__xludf.DUMMYFUNCTION("""COMPUTED_VALUE""")," ")</f>
        <v> </v>
      </c>
      <c r="J328" s="3" t="str">
        <f>IFERROR(__xludf.DUMMYFUNCTION("""COMPUTED_VALUE""")," ")</f>
        <v> </v>
      </c>
      <c r="K328" s="3" t="str">
        <f>IFERROR(__xludf.DUMMYFUNCTION("""COMPUTED_VALUE"""),"Y")</f>
        <v>Y</v>
      </c>
      <c r="L328" s="3" t="str">
        <f>IFERROR(__xludf.DUMMYFUNCTION("""COMPUTED_VALUE""")," ")</f>
        <v> </v>
      </c>
      <c r="M328" s="3"/>
      <c r="N328" s="5" t="str">
        <f>IFERROR(__xludf.DUMMYFUNCTION("""COMPUTED_VALUE""")," ")</f>
        <v> </v>
      </c>
      <c r="O328" s="5"/>
    </row>
    <row r="329">
      <c r="A329" s="2" t="str">
        <f>IFERROR(__xludf.DUMMYFUNCTION("""COMPUTED_VALUE"""),"0470")</f>
        <v>0470</v>
      </c>
      <c r="B329" s="2" t="str">
        <f>IFERROR(__xludf.DUMMYFUNCTION("""COMPUTED_VALUE"""),"ST VRAIN VALLEY RE-1J")</f>
        <v>ST VRAIN VALLEY RE-1J</v>
      </c>
      <c r="C329" s="2" t="str">
        <f>IFERROR(__xludf.DUMMYFUNCTION("""COMPUTED_VALUE"""),"00226")</f>
        <v>00226</v>
      </c>
      <c r="D329" s="2" t="str">
        <f>IFERROR(__xludf.DUMMYFUNCTION("""COMPUTED_VALUE"""),"ALTONA MIDDLE SCHOOL")</f>
        <v>ALTONA MIDDLE SCHOOL</v>
      </c>
      <c r="E329" s="3" t="str">
        <f>IFERROR(__xludf.DUMMYFUNCTION("""COMPUTED_VALUE"""),"Y")</f>
        <v>Y</v>
      </c>
      <c r="F329" s="3" t="str">
        <f>IFERROR(__xludf.DUMMYFUNCTION("""COMPUTED_VALUE"""),"Y")</f>
        <v>Y</v>
      </c>
      <c r="G329" s="3"/>
      <c r="H329" s="3"/>
      <c r="I329" s="3" t="str">
        <f>IFERROR(__xludf.DUMMYFUNCTION("""COMPUTED_VALUE""")," ")</f>
        <v> </v>
      </c>
      <c r="J329" s="3" t="str">
        <f>IFERROR(__xludf.DUMMYFUNCTION("""COMPUTED_VALUE""")," ")</f>
        <v> </v>
      </c>
      <c r="K329" s="3" t="str">
        <f>IFERROR(__xludf.DUMMYFUNCTION("""COMPUTED_VALUE"""),"Y")</f>
        <v>Y</v>
      </c>
      <c r="L329" s="3" t="str">
        <f>IFERROR(__xludf.DUMMYFUNCTION("""COMPUTED_VALUE""")," ")</f>
        <v> </v>
      </c>
      <c r="M329" s="3"/>
      <c r="N329" s="5" t="str">
        <f>IFERROR(__xludf.DUMMYFUNCTION("""COMPUTED_VALUE""")," ")</f>
        <v> </v>
      </c>
      <c r="O329" s="5"/>
    </row>
    <row r="330">
      <c r="A330" s="2" t="str">
        <f>IFERROR(__xludf.DUMMYFUNCTION("""COMPUTED_VALUE"""),"0470")</f>
        <v>0470</v>
      </c>
      <c r="B330" s="2" t="str">
        <f>IFERROR(__xludf.DUMMYFUNCTION("""COMPUTED_VALUE"""),"ST VRAIN VALLEY RE-1J")</f>
        <v>ST VRAIN VALLEY RE-1J</v>
      </c>
      <c r="C330" s="2" t="str">
        <f>IFERROR(__xludf.DUMMYFUNCTION("""COMPUTED_VALUE"""),"00875")</f>
        <v>00875</v>
      </c>
      <c r="D330" s="2" t="str">
        <f>IFERROR(__xludf.DUMMYFUNCTION("""COMPUTED_VALUE"""),"BLACK ROCK ELEMENTARY")</f>
        <v>BLACK ROCK ELEMENTARY</v>
      </c>
      <c r="E330" s="3" t="str">
        <f>IFERROR(__xludf.DUMMYFUNCTION("""COMPUTED_VALUE"""),"Y")</f>
        <v>Y</v>
      </c>
      <c r="F330" s="3" t="str">
        <f>IFERROR(__xludf.DUMMYFUNCTION("""COMPUTED_VALUE"""),"Y")</f>
        <v>Y</v>
      </c>
      <c r="G330" s="3" t="str">
        <f>IFERROR(__xludf.DUMMYFUNCTION("""COMPUTED_VALUE"""),"Y")</f>
        <v>Y</v>
      </c>
      <c r="H330" s="3"/>
      <c r="I330" s="3" t="str">
        <f>IFERROR(__xludf.DUMMYFUNCTION("""COMPUTED_VALUE""")," ")</f>
        <v> </v>
      </c>
      <c r="J330" s="3" t="str">
        <f>IFERROR(__xludf.DUMMYFUNCTION("""COMPUTED_VALUE""")," ")</f>
        <v> </v>
      </c>
      <c r="K330" s="3" t="str">
        <f>IFERROR(__xludf.DUMMYFUNCTION("""COMPUTED_VALUE"""),"Y")</f>
        <v>Y</v>
      </c>
      <c r="L330" s="3" t="str">
        <f>IFERROR(__xludf.DUMMYFUNCTION("""COMPUTED_VALUE"""),"Group 1")</f>
        <v>Group 1</v>
      </c>
      <c r="M330" s="3"/>
      <c r="N330" s="5" t="str">
        <f>IFERROR(__xludf.DUMMYFUNCTION("""COMPUTED_VALUE""")," ")</f>
        <v> </v>
      </c>
      <c r="O330" s="5"/>
    </row>
    <row r="331">
      <c r="A331" s="2" t="str">
        <f>IFERROR(__xludf.DUMMYFUNCTION("""COMPUTED_VALUE"""),"0470")</f>
        <v>0470</v>
      </c>
      <c r="B331" s="2" t="str">
        <f>IFERROR(__xludf.DUMMYFUNCTION("""COMPUTED_VALUE"""),"ST VRAIN VALLEY RE-1J")</f>
        <v>ST VRAIN VALLEY RE-1J</v>
      </c>
      <c r="C331" s="2" t="str">
        <f>IFERROR(__xludf.DUMMYFUNCTION("""COMPUTED_VALUE"""),"00878")</f>
        <v>00878</v>
      </c>
      <c r="D331" s="2" t="str">
        <f>IFERROR(__xludf.DUMMYFUNCTION("""COMPUTED_VALUE"""),"BLUE MOUNTAIN ELEMENTARY")</f>
        <v>BLUE MOUNTAIN ELEMENTARY</v>
      </c>
      <c r="E331" s="3" t="str">
        <f>IFERROR(__xludf.DUMMYFUNCTION("""COMPUTED_VALUE"""),"Y")</f>
        <v>Y</v>
      </c>
      <c r="F331" s="3" t="str">
        <f>IFERROR(__xludf.DUMMYFUNCTION("""COMPUTED_VALUE"""),"Y")</f>
        <v>Y</v>
      </c>
      <c r="G331" s="3" t="str">
        <f>IFERROR(__xludf.DUMMYFUNCTION("""COMPUTED_VALUE"""),"Y")</f>
        <v>Y</v>
      </c>
      <c r="H331" s="3"/>
      <c r="I331" s="3" t="str">
        <f>IFERROR(__xludf.DUMMYFUNCTION("""COMPUTED_VALUE""")," ")</f>
        <v> </v>
      </c>
      <c r="J331" s="3" t="str">
        <f>IFERROR(__xludf.DUMMYFUNCTION("""COMPUTED_VALUE""")," ")</f>
        <v> </v>
      </c>
      <c r="K331" s="3" t="str">
        <f>IFERROR(__xludf.DUMMYFUNCTION("""COMPUTED_VALUE"""),"Y")</f>
        <v>Y</v>
      </c>
      <c r="L331" s="3" t="str">
        <f>IFERROR(__xludf.DUMMYFUNCTION("""COMPUTED_VALUE""")," ")</f>
        <v> </v>
      </c>
      <c r="M331" s="3"/>
      <c r="N331" s="5" t="str">
        <f>IFERROR(__xludf.DUMMYFUNCTION("""COMPUTED_VALUE""")," ")</f>
        <v> </v>
      </c>
      <c r="O331" s="5"/>
    </row>
    <row r="332">
      <c r="A332" s="2" t="str">
        <f>IFERROR(__xludf.DUMMYFUNCTION("""COMPUTED_VALUE"""),"0470")</f>
        <v>0470</v>
      </c>
      <c r="B332" s="2" t="str">
        <f>IFERROR(__xludf.DUMMYFUNCTION("""COMPUTED_VALUE"""),"ST VRAIN VALLEY RE-1J")</f>
        <v>ST VRAIN VALLEY RE-1J</v>
      </c>
      <c r="C332" s="2" t="str">
        <f>IFERROR(__xludf.DUMMYFUNCTION("""COMPUTED_VALUE"""),"01148")</f>
        <v>01148</v>
      </c>
      <c r="D332" s="2" t="str">
        <f>IFERROR(__xludf.DUMMYFUNCTION("""COMPUTED_VALUE"""),"BURLINGTON ELEMENTARY SCHOOL")</f>
        <v>BURLINGTON ELEMENTARY SCHOOL</v>
      </c>
      <c r="E332" s="3" t="str">
        <f>IFERROR(__xludf.DUMMYFUNCTION("""COMPUTED_VALUE"""),"Y")</f>
        <v>Y</v>
      </c>
      <c r="F332" s="3" t="str">
        <f>IFERROR(__xludf.DUMMYFUNCTION("""COMPUTED_VALUE"""),"Y")</f>
        <v>Y</v>
      </c>
      <c r="G332" s="3" t="str">
        <f>IFERROR(__xludf.DUMMYFUNCTION("""COMPUTED_VALUE"""),"Y")</f>
        <v>Y</v>
      </c>
      <c r="H332" s="3"/>
      <c r="I332" s="3" t="str">
        <f>IFERROR(__xludf.DUMMYFUNCTION("""COMPUTED_VALUE""")," ")</f>
        <v> </v>
      </c>
      <c r="J332" s="3" t="str">
        <f>IFERROR(__xludf.DUMMYFUNCTION("""COMPUTED_VALUE""")," ")</f>
        <v> </v>
      </c>
      <c r="K332" s="3" t="str">
        <f>IFERROR(__xludf.DUMMYFUNCTION("""COMPUTED_VALUE"""),"Y")</f>
        <v>Y</v>
      </c>
      <c r="L332" s="3" t="str">
        <f>IFERROR(__xludf.DUMMYFUNCTION("""COMPUTED_VALUE"""),"Group 5")</f>
        <v>Group 5</v>
      </c>
      <c r="M332" s="3"/>
      <c r="N332" s="5" t="str">
        <f>IFERROR(__xludf.DUMMYFUNCTION("""COMPUTED_VALUE""")," ")</f>
        <v> </v>
      </c>
      <c r="O332" s="5"/>
    </row>
    <row r="333">
      <c r="A333" s="2" t="str">
        <f>IFERROR(__xludf.DUMMYFUNCTION("""COMPUTED_VALUE"""),"0470")</f>
        <v>0470</v>
      </c>
      <c r="B333" s="2" t="str">
        <f>IFERROR(__xludf.DUMMYFUNCTION("""COMPUTED_VALUE"""),"ST VRAIN VALLEY RE-1J")</f>
        <v>ST VRAIN VALLEY RE-1J</v>
      </c>
      <c r="C333" s="2" t="str">
        <f>IFERROR(__xludf.DUMMYFUNCTION("""COMPUTED_VALUE"""),"01245")</f>
        <v>01245</v>
      </c>
      <c r="D333" s="2" t="str">
        <f>IFERROR(__xludf.DUMMYFUNCTION("""COMPUTED_VALUE"""),"CENTENNIAL ELEMENTARY")</f>
        <v>CENTENNIAL ELEMENTARY</v>
      </c>
      <c r="E333" s="3" t="str">
        <f>IFERROR(__xludf.DUMMYFUNCTION("""COMPUTED_VALUE"""),"Y")</f>
        <v>Y</v>
      </c>
      <c r="F333" s="3" t="str">
        <f>IFERROR(__xludf.DUMMYFUNCTION("""COMPUTED_VALUE"""),"Y")</f>
        <v>Y</v>
      </c>
      <c r="G333" s="3" t="str">
        <f>IFERROR(__xludf.DUMMYFUNCTION("""COMPUTED_VALUE"""),"Y")</f>
        <v>Y</v>
      </c>
      <c r="H333" s="3"/>
      <c r="I333" s="3" t="str">
        <f>IFERROR(__xludf.DUMMYFUNCTION("""COMPUTED_VALUE""")," ")</f>
        <v> </v>
      </c>
      <c r="J333" s="3" t="str">
        <f>IFERROR(__xludf.DUMMYFUNCTION("""COMPUTED_VALUE""")," ")</f>
        <v> </v>
      </c>
      <c r="K333" s="3" t="str">
        <f>IFERROR(__xludf.DUMMYFUNCTION("""COMPUTED_VALUE"""),"Y")</f>
        <v>Y</v>
      </c>
      <c r="L333" s="3" t="str">
        <f>IFERROR(__xludf.DUMMYFUNCTION("""COMPUTED_VALUE""")," ")</f>
        <v> </v>
      </c>
      <c r="M333" s="3"/>
      <c r="N333" s="5" t="str">
        <f>IFERROR(__xludf.DUMMYFUNCTION("""COMPUTED_VALUE""")," ")</f>
        <v> </v>
      </c>
      <c r="O333" s="5"/>
    </row>
    <row r="334">
      <c r="A334" s="2" t="str">
        <f>IFERROR(__xludf.DUMMYFUNCTION("""COMPUTED_VALUE"""),"0470")</f>
        <v>0470</v>
      </c>
      <c r="B334" s="2" t="str">
        <f>IFERROR(__xludf.DUMMYFUNCTION("""COMPUTED_VALUE"""),"ST VRAIN VALLEY RE-1J")</f>
        <v>ST VRAIN VALLEY RE-1J</v>
      </c>
      <c r="C334" s="2" t="str">
        <f>IFERROR(__xludf.DUMMYFUNCTION("""COMPUTED_VALUE"""),"01284")</f>
        <v>01284</v>
      </c>
      <c r="D334" s="2" t="str">
        <f>IFERROR(__xludf.DUMMYFUNCTION("""COMPUTED_VALUE"""),"Carbon Valley Academy")</f>
        <v>Carbon Valley Academy</v>
      </c>
      <c r="E334" s="3" t="str">
        <f>IFERROR(__xludf.DUMMYFUNCTION("""COMPUTED_VALUE"""),"Y")</f>
        <v>Y</v>
      </c>
      <c r="F334" s="3" t="str">
        <f>IFERROR(__xludf.DUMMYFUNCTION("""COMPUTED_VALUE"""),"Y")</f>
        <v>Y</v>
      </c>
      <c r="G334" s="3"/>
      <c r="H334" s="3"/>
      <c r="I334" s="3" t="str">
        <f>IFERROR(__xludf.DUMMYFUNCTION("""COMPUTED_VALUE""")," ")</f>
        <v> </v>
      </c>
      <c r="J334" s="3" t="str">
        <f>IFERROR(__xludf.DUMMYFUNCTION("""COMPUTED_VALUE""")," ")</f>
        <v> </v>
      </c>
      <c r="K334" s="3" t="str">
        <f>IFERROR(__xludf.DUMMYFUNCTION("""COMPUTED_VALUE"""),"Y")</f>
        <v>Y</v>
      </c>
      <c r="L334" s="3" t="str">
        <f>IFERROR(__xludf.DUMMYFUNCTION("""COMPUTED_VALUE"""),"Group 7")</f>
        <v>Group 7</v>
      </c>
      <c r="M334" s="3"/>
      <c r="N334" s="5" t="str">
        <f>IFERROR(__xludf.DUMMYFUNCTION("""COMPUTED_VALUE"""),"Y")</f>
        <v>Y</v>
      </c>
      <c r="O334" s="5"/>
    </row>
    <row r="335">
      <c r="A335" s="2" t="str">
        <f>IFERROR(__xludf.DUMMYFUNCTION("""COMPUTED_VALUE"""),"0470")</f>
        <v>0470</v>
      </c>
      <c r="B335" s="2" t="str">
        <f>IFERROR(__xludf.DUMMYFUNCTION("""COMPUTED_VALUE"""),"ST VRAIN VALLEY RE-1J")</f>
        <v>ST VRAIN VALLEY RE-1J</v>
      </c>
      <c r="C335" s="2" t="str">
        <f>IFERROR(__xludf.DUMMYFUNCTION("""COMPUTED_VALUE"""),"01434")</f>
        <v>01434</v>
      </c>
      <c r="D335" s="2" t="str">
        <f>IFERROR(__xludf.DUMMYFUNCTION("""COMPUTED_VALUE"""),"CENTRAL ELEMENTARY SCHOOL")</f>
        <v>CENTRAL ELEMENTARY SCHOOL</v>
      </c>
      <c r="E335" s="3" t="str">
        <f>IFERROR(__xludf.DUMMYFUNCTION("""COMPUTED_VALUE"""),"Y")</f>
        <v>Y</v>
      </c>
      <c r="F335" s="3" t="str">
        <f>IFERROR(__xludf.DUMMYFUNCTION("""COMPUTED_VALUE"""),"Y")</f>
        <v>Y</v>
      </c>
      <c r="G335" s="3" t="str">
        <f>IFERROR(__xludf.DUMMYFUNCTION("""COMPUTED_VALUE"""),"Y")</f>
        <v>Y</v>
      </c>
      <c r="H335" s="3"/>
      <c r="I335" s="3" t="str">
        <f>IFERROR(__xludf.DUMMYFUNCTION("""COMPUTED_VALUE""")," ")</f>
        <v> </v>
      </c>
      <c r="J335" s="3" t="str">
        <f>IFERROR(__xludf.DUMMYFUNCTION("""COMPUTED_VALUE""")," ")</f>
        <v> </v>
      </c>
      <c r="K335" s="3" t="str">
        <f>IFERROR(__xludf.DUMMYFUNCTION("""COMPUTED_VALUE"""),"Y")</f>
        <v>Y</v>
      </c>
      <c r="L335" s="3" t="str">
        <f>IFERROR(__xludf.DUMMYFUNCTION("""COMPUTED_VALUE"""),"Group 11")</f>
        <v>Group 11</v>
      </c>
      <c r="M335" s="3"/>
      <c r="N335" s="5" t="str">
        <f>IFERROR(__xludf.DUMMYFUNCTION("""COMPUTED_VALUE""")," ")</f>
        <v> </v>
      </c>
      <c r="O335" s="5"/>
    </row>
    <row r="336">
      <c r="A336" s="2" t="str">
        <f>IFERROR(__xludf.DUMMYFUNCTION("""COMPUTED_VALUE"""),"0470")</f>
        <v>0470</v>
      </c>
      <c r="B336" s="2" t="str">
        <f>IFERROR(__xludf.DUMMYFUNCTION("""COMPUTED_VALUE"""),"ST VRAIN VALLEY RE-1J")</f>
        <v>ST VRAIN VALLEY RE-1J</v>
      </c>
      <c r="C336" s="2" t="str">
        <f>IFERROR(__xludf.DUMMYFUNCTION("""COMPUTED_VALUE"""),"01844")</f>
        <v>01844</v>
      </c>
      <c r="D336" s="2" t="str">
        <f>IFERROR(__xludf.DUMMYFUNCTION("""COMPUTED_VALUE"""),"COLUMBINE ELEMENTARY SCHOOL")</f>
        <v>COLUMBINE ELEMENTARY SCHOOL</v>
      </c>
      <c r="E336" s="3" t="str">
        <f>IFERROR(__xludf.DUMMYFUNCTION("""COMPUTED_VALUE"""),"Y")</f>
        <v>Y</v>
      </c>
      <c r="F336" s="3" t="str">
        <f>IFERROR(__xludf.DUMMYFUNCTION("""COMPUTED_VALUE"""),"Y")</f>
        <v>Y</v>
      </c>
      <c r="G336" s="3" t="str">
        <f>IFERROR(__xludf.DUMMYFUNCTION("""COMPUTED_VALUE"""),"Y")</f>
        <v>Y</v>
      </c>
      <c r="H336" s="3"/>
      <c r="I336" s="3" t="str">
        <f>IFERROR(__xludf.DUMMYFUNCTION("""COMPUTED_VALUE""")," ")</f>
        <v> </v>
      </c>
      <c r="J336" s="3" t="str">
        <f>IFERROR(__xludf.DUMMYFUNCTION("""COMPUTED_VALUE"""),"Y")</f>
        <v>Y</v>
      </c>
      <c r="K336" s="3" t="str">
        <f>IFERROR(__xludf.DUMMYFUNCTION("""COMPUTED_VALUE"""),"Y")</f>
        <v>Y</v>
      </c>
      <c r="L336" s="3" t="str">
        <f>IFERROR(__xludf.DUMMYFUNCTION("""COMPUTED_VALUE"""),"Group 4")</f>
        <v>Group 4</v>
      </c>
      <c r="M336" s="3"/>
      <c r="N336" s="5" t="str">
        <f>IFERROR(__xludf.DUMMYFUNCTION("""COMPUTED_VALUE"""),"Y")</f>
        <v>Y</v>
      </c>
      <c r="O336" s="5"/>
    </row>
    <row r="337">
      <c r="A337" s="2" t="str">
        <f>IFERROR(__xludf.DUMMYFUNCTION("""COMPUTED_VALUE"""),"0470")</f>
        <v>0470</v>
      </c>
      <c r="B337" s="2" t="str">
        <f>IFERROR(__xludf.DUMMYFUNCTION("""COMPUTED_VALUE"""),"ST VRAIN VALLEY RE-1J")</f>
        <v>ST VRAIN VALLEY RE-1J</v>
      </c>
      <c r="C337" s="2" t="str">
        <f>IFERROR(__xludf.DUMMYFUNCTION("""COMPUTED_VALUE"""),"02343")</f>
        <v>02343</v>
      </c>
      <c r="D337" s="2" t="str">
        <f>IFERROR(__xludf.DUMMYFUNCTION("""COMPUTED_VALUE"""),"EAGLE CREST ELEMENTARY SCHOOL")</f>
        <v>EAGLE CREST ELEMENTARY SCHOOL</v>
      </c>
      <c r="E337" s="3" t="str">
        <f>IFERROR(__xludf.DUMMYFUNCTION("""COMPUTED_VALUE"""),"Y")</f>
        <v>Y</v>
      </c>
      <c r="F337" s="3" t="str">
        <f>IFERROR(__xludf.DUMMYFUNCTION("""COMPUTED_VALUE"""),"Y")</f>
        <v>Y</v>
      </c>
      <c r="G337" s="3" t="str">
        <f>IFERROR(__xludf.DUMMYFUNCTION("""COMPUTED_VALUE"""),"Y")</f>
        <v>Y</v>
      </c>
      <c r="H337" s="3"/>
      <c r="I337" s="3" t="str">
        <f>IFERROR(__xludf.DUMMYFUNCTION("""COMPUTED_VALUE""")," ")</f>
        <v> </v>
      </c>
      <c r="J337" s="3" t="str">
        <f>IFERROR(__xludf.DUMMYFUNCTION("""COMPUTED_VALUE""")," ")</f>
        <v> </v>
      </c>
      <c r="K337" s="3" t="str">
        <f>IFERROR(__xludf.DUMMYFUNCTION("""COMPUTED_VALUE"""),"Y")</f>
        <v>Y</v>
      </c>
      <c r="L337" s="3" t="str">
        <f>IFERROR(__xludf.DUMMYFUNCTION("""COMPUTED_VALUE"""),"Group 8")</f>
        <v>Group 8</v>
      </c>
      <c r="M337" s="3"/>
      <c r="N337" s="5" t="str">
        <f>IFERROR(__xludf.DUMMYFUNCTION("""COMPUTED_VALUE""")," ")</f>
        <v> </v>
      </c>
      <c r="O337" s="5"/>
    </row>
    <row r="338">
      <c r="A338" s="2" t="str">
        <f>IFERROR(__xludf.DUMMYFUNCTION("""COMPUTED_VALUE"""),"0470")</f>
        <v>0470</v>
      </c>
      <c r="B338" s="2" t="str">
        <f>IFERROR(__xludf.DUMMYFUNCTION("""COMPUTED_VALUE"""),"ST VRAIN VALLEY RE-1J")</f>
        <v>ST VRAIN VALLEY RE-1J</v>
      </c>
      <c r="C338" s="2" t="str">
        <f>IFERROR(__xludf.DUMMYFUNCTION("""COMPUTED_VALUE"""),"02758")</f>
        <v>02758</v>
      </c>
      <c r="D338" s="2" t="str">
        <f>IFERROR(__xludf.DUMMYFUNCTION("""COMPUTED_VALUE"""),"ERIE ELEMENTARY SCHOOL")</f>
        <v>ERIE ELEMENTARY SCHOOL</v>
      </c>
      <c r="E338" s="3" t="str">
        <f>IFERROR(__xludf.DUMMYFUNCTION("""COMPUTED_VALUE"""),"Y")</f>
        <v>Y</v>
      </c>
      <c r="F338" s="3" t="str">
        <f>IFERROR(__xludf.DUMMYFUNCTION("""COMPUTED_VALUE"""),"Y")</f>
        <v>Y</v>
      </c>
      <c r="G338" s="3" t="str">
        <f>IFERROR(__xludf.DUMMYFUNCTION("""COMPUTED_VALUE"""),"Y")</f>
        <v>Y</v>
      </c>
      <c r="H338" s="3"/>
      <c r="I338" s="3" t="str">
        <f>IFERROR(__xludf.DUMMYFUNCTION("""COMPUTED_VALUE""")," ")</f>
        <v> </v>
      </c>
      <c r="J338" s="3" t="str">
        <f>IFERROR(__xludf.DUMMYFUNCTION("""COMPUTED_VALUE""")," ")</f>
        <v> </v>
      </c>
      <c r="K338" s="3" t="str">
        <f>IFERROR(__xludf.DUMMYFUNCTION("""COMPUTED_VALUE"""),"Y")</f>
        <v>Y</v>
      </c>
      <c r="L338" s="3" t="str">
        <f>IFERROR(__xludf.DUMMYFUNCTION("""COMPUTED_VALUE"""),"Group 1")</f>
        <v>Group 1</v>
      </c>
      <c r="M338" s="3"/>
      <c r="N338" s="5" t="str">
        <f>IFERROR(__xludf.DUMMYFUNCTION("""COMPUTED_VALUE""")," ")</f>
        <v> </v>
      </c>
      <c r="O338" s="5"/>
    </row>
    <row r="339">
      <c r="A339" s="2" t="str">
        <f>IFERROR(__xludf.DUMMYFUNCTION("""COMPUTED_VALUE"""),"0470")</f>
        <v>0470</v>
      </c>
      <c r="B339" s="2" t="str">
        <f>IFERROR(__xludf.DUMMYFUNCTION("""COMPUTED_VALUE"""),"ST VRAIN VALLEY RE-1J")</f>
        <v>ST VRAIN VALLEY RE-1J</v>
      </c>
      <c r="C339" s="2" t="str">
        <f>IFERROR(__xludf.DUMMYFUNCTION("""COMPUTED_VALUE"""),"02760")</f>
        <v>02760</v>
      </c>
      <c r="D339" s="2" t="str">
        <f>IFERROR(__xludf.DUMMYFUNCTION("""COMPUTED_VALUE"""),"ERIE MIDDLE SCHOOL")</f>
        <v>ERIE MIDDLE SCHOOL</v>
      </c>
      <c r="E339" s="3" t="str">
        <f>IFERROR(__xludf.DUMMYFUNCTION("""COMPUTED_VALUE"""),"Y")</f>
        <v>Y</v>
      </c>
      <c r="F339" s="3" t="str">
        <f>IFERROR(__xludf.DUMMYFUNCTION("""COMPUTED_VALUE"""),"Y")</f>
        <v>Y</v>
      </c>
      <c r="G339" s="3" t="str">
        <f>IFERROR(__xludf.DUMMYFUNCTION("""COMPUTED_VALUE"""),"Y")</f>
        <v>Y</v>
      </c>
      <c r="H339" s="3"/>
      <c r="I339" s="3" t="str">
        <f>IFERROR(__xludf.DUMMYFUNCTION("""COMPUTED_VALUE""")," ")</f>
        <v> </v>
      </c>
      <c r="J339" s="3" t="str">
        <f>IFERROR(__xludf.DUMMYFUNCTION("""COMPUTED_VALUE""")," ")</f>
        <v> </v>
      </c>
      <c r="K339" s="3" t="str">
        <f>IFERROR(__xludf.DUMMYFUNCTION("""COMPUTED_VALUE"""),"Y")</f>
        <v>Y</v>
      </c>
      <c r="L339" s="3" t="str">
        <f>IFERROR(__xludf.DUMMYFUNCTION("""COMPUTED_VALUE""")," ")</f>
        <v> </v>
      </c>
      <c r="M339" s="3"/>
      <c r="N339" s="5" t="str">
        <f>IFERROR(__xludf.DUMMYFUNCTION("""COMPUTED_VALUE"""),"Y")</f>
        <v>Y</v>
      </c>
      <c r="O339" s="5"/>
    </row>
    <row r="340">
      <c r="A340" s="2" t="str">
        <f>IFERROR(__xludf.DUMMYFUNCTION("""COMPUTED_VALUE"""),"0470")</f>
        <v>0470</v>
      </c>
      <c r="B340" s="2" t="str">
        <f>IFERROR(__xludf.DUMMYFUNCTION("""COMPUTED_VALUE"""),"ST VRAIN VALLEY RE-1J")</f>
        <v>ST VRAIN VALLEY RE-1J</v>
      </c>
      <c r="C340" s="2" t="str">
        <f>IFERROR(__xludf.DUMMYFUNCTION("""COMPUTED_VALUE"""),"02761")</f>
        <v>02761</v>
      </c>
      <c r="D340" s="2" t="str">
        <f>IFERROR(__xludf.DUMMYFUNCTION("""COMPUTED_VALUE"""),"ERIE HIGH SCHOOL")</f>
        <v>ERIE HIGH SCHOOL</v>
      </c>
      <c r="E340" s="3" t="str">
        <f>IFERROR(__xludf.DUMMYFUNCTION("""COMPUTED_VALUE"""),"Y")</f>
        <v>Y</v>
      </c>
      <c r="F340" s="3" t="str">
        <f>IFERROR(__xludf.DUMMYFUNCTION("""COMPUTED_VALUE"""),"Y")</f>
        <v>Y</v>
      </c>
      <c r="G340" s="3"/>
      <c r="H340" s="3"/>
      <c r="I340" s="3" t="str">
        <f>IFERROR(__xludf.DUMMYFUNCTION("""COMPUTED_VALUE""")," ")</f>
        <v> </v>
      </c>
      <c r="J340" s="3" t="str">
        <f>IFERROR(__xludf.DUMMYFUNCTION("""COMPUTED_VALUE""")," ")</f>
        <v> </v>
      </c>
      <c r="K340" s="3" t="str">
        <f>IFERROR(__xludf.DUMMYFUNCTION("""COMPUTED_VALUE"""),"Y")</f>
        <v>Y</v>
      </c>
      <c r="L340" s="3" t="str">
        <f>IFERROR(__xludf.DUMMYFUNCTION("""COMPUTED_VALUE""")," ")</f>
        <v> </v>
      </c>
      <c r="M340" s="3"/>
      <c r="N340" s="5" t="str">
        <f>IFERROR(__xludf.DUMMYFUNCTION("""COMPUTED_VALUE""")," ")</f>
        <v> </v>
      </c>
      <c r="O340" s="5"/>
    </row>
    <row r="341">
      <c r="A341" s="2" t="str">
        <f>IFERROR(__xludf.DUMMYFUNCTION("""COMPUTED_VALUE"""),"0470")</f>
        <v>0470</v>
      </c>
      <c r="B341" s="2" t="str">
        <f>IFERROR(__xludf.DUMMYFUNCTION("""COMPUTED_VALUE"""),"ST VRAIN VALLEY RE-1J")</f>
        <v>ST VRAIN VALLEY RE-1J</v>
      </c>
      <c r="C341" s="2" t="str">
        <f>IFERROR(__xludf.DUMMYFUNCTION("""COMPUTED_VALUE"""),"02912")</f>
        <v>02912</v>
      </c>
      <c r="D341" s="2" t="str">
        <f>IFERROR(__xludf.DUMMYFUNCTION("""COMPUTED_VALUE"""),"FALL RIVER ELEMENTARY SCHOOL")</f>
        <v>FALL RIVER ELEMENTARY SCHOOL</v>
      </c>
      <c r="E341" s="3" t="str">
        <f>IFERROR(__xludf.DUMMYFUNCTION("""COMPUTED_VALUE"""),"Y")</f>
        <v>Y</v>
      </c>
      <c r="F341" s="3" t="str">
        <f>IFERROR(__xludf.DUMMYFUNCTION("""COMPUTED_VALUE"""),"Y")</f>
        <v>Y</v>
      </c>
      <c r="G341" s="3" t="str">
        <f>IFERROR(__xludf.DUMMYFUNCTION("""COMPUTED_VALUE"""),"Y")</f>
        <v>Y</v>
      </c>
      <c r="H341" s="3"/>
      <c r="I341" s="3" t="str">
        <f>IFERROR(__xludf.DUMMYFUNCTION("""COMPUTED_VALUE""")," ")</f>
        <v> </v>
      </c>
      <c r="J341" s="3" t="str">
        <f>IFERROR(__xludf.DUMMYFUNCTION("""COMPUTED_VALUE""")," ")</f>
        <v> </v>
      </c>
      <c r="K341" s="3" t="str">
        <f>IFERROR(__xludf.DUMMYFUNCTION("""COMPUTED_VALUE"""),"Y")</f>
        <v>Y</v>
      </c>
      <c r="L341" s="3" t="str">
        <f>IFERROR(__xludf.DUMMYFUNCTION("""COMPUTED_VALUE"""),"Group 6")</f>
        <v>Group 6</v>
      </c>
      <c r="M341" s="3"/>
      <c r="N341" s="5" t="str">
        <f>IFERROR(__xludf.DUMMYFUNCTION("""COMPUTED_VALUE""")," ")</f>
        <v> </v>
      </c>
      <c r="O341" s="5"/>
    </row>
    <row r="342">
      <c r="A342" s="2" t="str">
        <f>IFERROR(__xludf.DUMMYFUNCTION("""COMPUTED_VALUE"""),"0470")</f>
        <v>0470</v>
      </c>
      <c r="B342" s="2" t="str">
        <f>IFERROR(__xludf.DUMMYFUNCTION("""COMPUTED_VALUE"""),"ST VRAIN VALLEY RE-1J")</f>
        <v>ST VRAIN VALLEY RE-1J</v>
      </c>
      <c r="C342" s="2" t="str">
        <f>IFERROR(__xludf.DUMMYFUNCTION("""COMPUTED_VALUE"""),"02964")</f>
        <v>02964</v>
      </c>
      <c r="D342" s="2" t="str">
        <f>IFERROR(__xludf.DUMMYFUNCTION("""COMPUTED_VALUE"""),"FLAGSTAFF CHARTER SCHOOL")</f>
        <v>FLAGSTAFF CHARTER SCHOOL</v>
      </c>
      <c r="E342" s="3"/>
      <c r="F342" s="3" t="str">
        <f>IFERROR(__xludf.DUMMYFUNCTION("""COMPUTED_VALUE"""),"Y")</f>
        <v>Y</v>
      </c>
      <c r="G342" s="3"/>
      <c r="H342" s="3"/>
      <c r="I342" s="3" t="str">
        <f>IFERROR(__xludf.DUMMYFUNCTION("""COMPUTED_VALUE""")," ")</f>
        <v> </v>
      </c>
      <c r="J342" s="3" t="str">
        <f>IFERROR(__xludf.DUMMYFUNCTION("""COMPUTED_VALUE""")," ")</f>
        <v> </v>
      </c>
      <c r="K342" s="3" t="str">
        <f>IFERROR(__xludf.DUMMYFUNCTION("""COMPUTED_VALUE"""),"Y")</f>
        <v>Y</v>
      </c>
      <c r="L342" s="3" t="str">
        <f>IFERROR(__xludf.DUMMYFUNCTION("""COMPUTED_VALUE""")," ")</f>
        <v> </v>
      </c>
      <c r="M342" s="3"/>
      <c r="N342" s="5" t="str">
        <f>IFERROR(__xludf.DUMMYFUNCTION("""COMPUTED_VALUE""")," ")</f>
        <v> </v>
      </c>
      <c r="O342" s="5"/>
    </row>
    <row r="343">
      <c r="A343" s="2" t="str">
        <f>IFERROR(__xludf.DUMMYFUNCTION("""COMPUTED_VALUE"""),"0470")</f>
        <v>0470</v>
      </c>
      <c r="B343" s="2" t="str">
        <f>IFERROR(__xludf.DUMMYFUNCTION("""COMPUTED_VALUE"""),"ST VRAIN VALLEY RE-1J")</f>
        <v>ST VRAIN VALLEY RE-1J</v>
      </c>
      <c r="C343" s="2" t="str">
        <f>IFERROR(__xludf.DUMMYFUNCTION("""COMPUTED_VALUE"""),"03192")</f>
        <v>03192</v>
      </c>
      <c r="D343" s="2" t="str">
        <f>IFERROR(__xludf.DUMMYFUNCTION("""COMPUTED_VALUE"""),"Thunder Valley PK-8")</f>
        <v>Thunder Valley PK-8</v>
      </c>
      <c r="E343" s="3" t="str">
        <f>IFERROR(__xludf.DUMMYFUNCTION("""COMPUTED_VALUE"""),"Y")</f>
        <v>Y</v>
      </c>
      <c r="F343" s="3" t="str">
        <f>IFERROR(__xludf.DUMMYFUNCTION("""COMPUTED_VALUE"""),"Y")</f>
        <v>Y</v>
      </c>
      <c r="G343" s="3" t="str">
        <f>IFERROR(__xludf.DUMMYFUNCTION("""COMPUTED_VALUE"""),"Y")</f>
        <v>Y</v>
      </c>
      <c r="H343" s="3"/>
      <c r="I343" s="3" t="str">
        <f>IFERROR(__xludf.DUMMYFUNCTION("""COMPUTED_VALUE""")," ")</f>
        <v> </v>
      </c>
      <c r="J343" s="3" t="str">
        <f>IFERROR(__xludf.DUMMYFUNCTION("""COMPUTED_VALUE""")," ")</f>
        <v> </v>
      </c>
      <c r="K343" s="3" t="str">
        <f>IFERROR(__xludf.DUMMYFUNCTION("""COMPUTED_VALUE"""),"Y")</f>
        <v>Y</v>
      </c>
      <c r="L343" s="3" t="str">
        <f>IFERROR(__xludf.DUMMYFUNCTION("""COMPUTED_VALUE"""),"Group 9")</f>
        <v>Group 9</v>
      </c>
      <c r="M343" s="3"/>
      <c r="N343" s="5" t="str">
        <f>IFERROR(__xludf.DUMMYFUNCTION("""COMPUTED_VALUE"""),"Y")</f>
        <v>Y</v>
      </c>
      <c r="O343" s="5"/>
    </row>
    <row r="344">
      <c r="A344" s="2" t="str">
        <f>IFERROR(__xludf.DUMMYFUNCTION("""COMPUTED_VALUE"""),"0470")</f>
        <v>0470</v>
      </c>
      <c r="B344" s="2" t="str">
        <f>IFERROR(__xludf.DUMMYFUNCTION("""COMPUTED_VALUE"""),"ST VRAIN VALLEY RE-1J")</f>
        <v>ST VRAIN VALLEY RE-1J</v>
      </c>
      <c r="C344" s="2" t="str">
        <f>IFERROR(__xludf.DUMMYFUNCTION("""COMPUTED_VALUE"""),"03194")</f>
        <v>03194</v>
      </c>
      <c r="D344" s="2" t="str">
        <f>IFERROR(__xludf.DUMMYFUNCTION("""COMPUTED_VALUE"""),"COAL RIDGE MIDDLE SCHOOL")</f>
        <v>COAL RIDGE MIDDLE SCHOOL</v>
      </c>
      <c r="E344" s="3" t="str">
        <f>IFERROR(__xludf.DUMMYFUNCTION("""COMPUTED_VALUE"""),"Y")</f>
        <v>Y</v>
      </c>
      <c r="F344" s="3" t="str">
        <f>IFERROR(__xludf.DUMMYFUNCTION("""COMPUTED_VALUE"""),"Y")</f>
        <v>Y</v>
      </c>
      <c r="G344" s="3" t="str">
        <f>IFERROR(__xludf.DUMMYFUNCTION("""COMPUTED_VALUE"""),"Y")</f>
        <v>Y</v>
      </c>
      <c r="H344" s="3"/>
      <c r="I344" s="3" t="str">
        <f>IFERROR(__xludf.DUMMYFUNCTION("""COMPUTED_VALUE""")," ")</f>
        <v> </v>
      </c>
      <c r="J344" s="3" t="str">
        <f>IFERROR(__xludf.DUMMYFUNCTION("""COMPUTED_VALUE""")," ")</f>
        <v> </v>
      </c>
      <c r="K344" s="3" t="str">
        <f>IFERROR(__xludf.DUMMYFUNCTION("""COMPUTED_VALUE"""),"Y")</f>
        <v>Y</v>
      </c>
      <c r="L344" s="3" t="str">
        <f>IFERROR(__xludf.DUMMYFUNCTION("""COMPUTED_VALUE"""),"Group 11")</f>
        <v>Group 11</v>
      </c>
      <c r="M344" s="3"/>
      <c r="N344" s="5" t="str">
        <f>IFERROR(__xludf.DUMMYFUNCTION("""COMPUTED_VALUE"""),"Y")</f>
        <v>Y</v>
      </c>
      <c r="O344" s="5"/>
    </row>
    <row r="345">
      <c r="A345" s="2" t="str">
        <f>IFERROR(__xludf.DUMMYFUNCTION("""COMPUTED_VALUE"""),"0470")</f>
        <v>0470</v>
      </c>
      <c r="B345" s="2" t="str">
        <f>IFERROR(__xludf.DUMMYFUNCTION("""COMPUTED_VALUE"""),"ST VRAIN VALLEY RE-1J")</f>
        <v>ST VRAIN VALLEY RE-1J</v>
      </c>
      <c r="C345" s="2" t="str">
        <f>IFERROR(__xludf.DUMMYFUNCTION("""COMPUTED_VALUE"""),"03196")</f>
        <v>03196</v>
      </c>
      <c r="D345" s="2" t="str">
        <f>IFERROR(__xludf.DUMMYFUNCTION("""COMPUTED_VALUE"""),"FREDERICK SENIOR HIGH SCHOOL")</f>
        <v>FREDERICK SENIOR HIGH SCHOOL</v>
      </c>
      <c r="E345" s="3" t="str">
        <f>IFERROR(__xludf.DUMMYFUNCTION("""COMPUTED_VALUE"""),"Y")</f>
        <v>Y</v>
      </c>
      <c r="F345" s="3" t="str">
        <f>IFERROR(__xludf.DUMMYFUNCTION("""COMPUTED_VALUE"""),"Y")</f>
        <v>Y</v>
      </c>
      <c r="G345" s="3" t="str">
        <f>IFERROR(__xludf.DUMMYFUNCTION("""COMPUTED_VALUE"""),"Y")</f>
        <v>Y</v>
      </c>
      <c r="H345" s="3"/>
      <c r="I345" s="3" t="str">
        <f>IFERROR(__xludf.DUMMYFUNCTION("""COMPUTED_VALUE""")," ")</f>
        <v> </v>
      </c>
      <c r="J345" s="3" t="str">
        <f>IFERROR(__xludf.DUMMYFUNCTION("""COMPUTED_VALUE""")," ")</f>
        <v> </v>
      </c>
      <c r="K345" s="3" t="str">
        <f>IFERROR(__xludf.DUMMYFUNCTION("""COMPUTED_VALUE"""),"Y")</f>
        <v>Y</v>
      </c>
      <c r="L345" s="3" t="str">
        <f>IFERROR(__xludf.DUMMYFUNCTION("""COMPUTED_VALUE"""),"Group 11")</f>
        <v>Group 11</v>
      </c>
      <c r="M345" s="3"/>
      <c r="N345" s="5" t="str">
        <f>IFERROR(__xludf.DUMMYFUNCTION("""COMPUTED_VALUE"""),"Y")</f>
        <v>Y</v>
      </c>
      <c r="O345" s="5"/>
    </row>
    <row r="346">
      <c r="A346" s="2" t="str">
        <f>IFERROR(__xludf.DUMMYFUNCTION("""COMPUTED_VALUE"""),"0470")</f>
        <v>0470</v>
      </c>
      <c r="B346" s="2" t="str">
        <f>IFERROR(__xludf.DUMMYFUNCTION("""COMPUTED_VALUE"""),"ST VRAIN VALLEY RE-1J")</f>
        <v>ST VRAIN VALLEY RE-1J</v>
      </c>
      <c r="C346" s="2" t="str">
        <f>IFERROR(__xludf.DUMMYFUNCTION("""COMPUTED_VALUE"""),"03473")</f>
        <v>03473</v>
      </c>
      <c r="D346" s="2" t="str">
        <f>IFERROR(__xludf.DUMMYFUNCTION("""COMPUTED_VALUE"""),"GRAND VIEW ELEMENTARY")</f>
        <v>GRAND VIEW ELEMENTARY</v>
      </c>
      <c r="E346" s="3" t="str">
        <f>IFERROR(__xludf.DUMMYFUNCTION("""COMPUTED_VALUE"""),"Y")</f>
        <v>Y</v>
      </c>
      <c r="F346" s="3" t="str">
        <f>IFERROR(__xludf.DUMMYFUNCTION("""COMPUTED_VALUE"""),"Y")</f>
        <v>Y</v>
      </c>
      <c r="G346" s="3" t="str">
        <f>IFERROR(__xludf.DUMMYFUNCTION("""COMPUTED_VALUE"""),"Y")</f>
        <v>Y</v>
      </c>
      <c r="H346" s="3"/>
      <c r="I346" s="3" t="str">
        <f>IFERROR(__xludf.DUMMYFUNCTION("""COMPUTED_VALUE""")," ")</f>
        <v> </v>
      </c>
      <c r="J346" s="3" t="str">
        <f>IFERROR(__xludf.DUMMYFUNCTION("""COMPUTED_VALUE""")," ")</f>
        <v> </v>
      </c>
      <c r="K346" s="3" t="str">
        <f>IFERROR(__xludf.DUMMYFUNCTION("""COMPUTED_VALUE"""),"Y")</f>
        <v>Y</v>
      </c>
      <c r="L346" s="3" t="str">
        <f>IFERROR(__xludf.DUMMYFUNCTION("""COMPUTED_VALUE"""),"Group 11")</f>
        <v>Group 11</v>
      </c>
      <c r="M346" s="3"/>
      <c r="N346" s="5" t="str">
        <f>IFERROR(__xludf.DUMMYFUNCTION("""COMPUTED_VALUE""")," ")</f>
        <v> </v>
      </c>
      <c r="O346" s="5"/>
    </row>
    <row r="347">
      <c r="A347" s="2" t="str">
        <f>IFERROR(__xludf.DUMMYFUNCTION("""COMPUTED_VALUE"""),"0470")</f>
        <v>0470</v>
      </c>
      <c r="B347" s="2" t="str">
        <f>IFERROR(__xludf.DUMMYFUNCTION("""COMPUTED_VALUE"""),"ST VRAIN VALLEY RE-1J")</f>
        <v>ST VRAIN VALLEY RE-1J</v>
      </c>
      <c r="C347" s="2" t="str">
        <f>IFERROR(__xludf.DUMMYFUNCTION("""COMPUTED_VALUE"""),"04202")</f>
        <v>04202</v>
      </c>
      <c r="D347" s="2" t="str">
        <f>IFERROR(__xludf.DUMMYFUNCTION("""COMPUTED_VALUE"""),"HYGIENE ELEMENTARY SCHOOL")</f>
        <v>HYGIENE ELEMENTARY SCHOOL</v>
      </c>
      <c r="E347" s="3" t="str">
        <f>IFERROR(__xludf.DUMMYFUNCTION("""COMPUTED_VALUE"""),"Y")</f>
        <v>Y</v>
      </c>
      <c r="F347" s="3" t="str">
        <f>IFERROR(__xludf.DUMMYFUNCTION("""COMPUTED_VALUE"""),"Y")</f>
        <v>Y</v>
      </c>
      <c r="G347" s="3" t="str">
        <f>IFERROR(__xludf.DUMMYFUNCTION("""COMPUTED_VALUE"""),"Y")</f>
        <v>Y</v>
      </c>
      <c r="H347" s="3"/>
      <c r="I347" s="3" t="str">
        <f>IFERROR(__xludf.DUMMYFUNCTION("""COMPUTED_VALUE""")," ")</f>
        <v> </v>
      </c>
      <c r="J347" s="3" t="str">
        <f>IFERROR(__xludf.DUMMYFUNCTION("""COMPUTED_VALUE""")," ")</f>
        <v> </v>
      </c>
      <c r="K347" s="3" t="str">
        <f>IFERROR(__xludf.DUMMYFUNCTION("""COMPUTED_VALUE"""),"Y")</f>
        <v>Y</v>
      </c>
      <c r="L347" s="3" t="str">
        <f>IFERROR(__xludf.DUMMYFUNCTION("""COMPUTED_VALUE"""),"Group 11")</f>
        <v>Group 11</v>
      </c>
      <c r="M347" s="3"/>
      <c r="N347" s="5" t="str">
        <f>IFERROR(__xludf.DUMMYFUNCTION("""COMPUTED_VALUE""")," ")</f>
        <v> </v>
      </c>
      <c r="O347" s="5"/>
    </row>
    <row r="348">
      <c r="A348" s="2" t="str">
        <f>IFERROR(__xludf.DUMMYFUNCTION("""COMPUTED_VALUE"""),"0470")</f>
        <v>0470</v>
      </c>
      <c r="B348" s="2" t="str">
        <f>IFERROR(__xludf.DUMMYFUNCTION("""COMPUTED_VALUE"""),"ST VRAIN VALLEY RE-1J")</f>
        <v>ST VRAIN VALLEY RE-1J</v>
      </c>
      <c r="C348" s="2" t="str">
        <f>IFERROR(__xludf.DUMMYFUNCTION("""COMPUTED_VALUE"""),"04278")</f>
        <v>04278</v>
      </c>
      <c r="D348" s="2" t="str">
        <f>IFERROR(__xludf.DUMMYFUNCTION("""COMPUTED_VALUE"""),"INDIAN PEAKS ELEMENTARY SCHOOL")</f>
        <v>INDIAN PEAKS ELEMENTARY SCHOOL</v>
      </c>
      <c r="E348" s="3" t="str">
        <f>IFERROR(__xludf.DUMMYFUNCTION("""COMPUTED_VALUE"""),"Y")</f>
        <v>Y</v>
      </c>
      <c r="F348" s="3" t="str">
        <f>IFERROR(__xludf.DUMMYFUNCTION("""COMPUTED_VALUE"""),"Y")</f>
        <v>Y</v>
      </c>
      <c r="G348" s="3" t="str">
        <f>IFERROR(__xludf.DUMMYFUNCTION("""COMPUTED_VALUE"""),"Y")</f>
        <v>Y</v>
      </c>
      <c r="H348" s="3"/>
      <c r="I348" s="3" t="str">
        <f>IFERROR(__xludf.DUMMYFUNCTION("""COMPUTED_VALUE""")," ")</f>
        <v> </v>
      </c>
      <c r="J348" s="3" t="str">
        <f>IFERROR(__xludf.DUMMYFUNCTION("""COMPUTED_VALUE"""),"Y")</f>
        <v>Y</v>
      </c>
      <c r="K348" s="3" t="str">
        <f>IFERROR(__xludf.DUMMYFUNCTION("""COMPUTED_VALUE"""),"Y")</f>
        <v>Y</v>
      </c>
      <c r="L348" s="3" t="str">
        <f>IFERROR(__xludf.DUMMYFUNCTION("""COMPUTED_VALUE"""),"Group 4")</f>
        <v>Group 4</v>
      </c>
      <c r="M348" s="3"/>
      <c r="N348" s="5" t="str">
        <f>IFERROR(__xludf.DUMMYFUNCTION("""COMPUTED_VALUE"""),"Y")</f>
        <v>Y</v>
      </c>
      <c r="O348" s="5"/>
    </row>
    <row r="349">
      <c r="A349" s="2" t="str">
        <f>IFERROR(__xludf.DUMMYFUNCTION("""COMPUTED_VALUE"""),"0470")</f>
        <v>0470</v>
      </c>
      <c r="B349" s="2" t="str">
        <f>IFERROR(__xludf.DUMMYFUNCTION("""COMPUTED_VALUE"""),"ST VRAIN VALLEY RE-1J")</f>
        <v>ST VRAIN VALLEY RE-1J</v>
      </c>
      <c r="C349" s="2" t="str">
        <f>IFERROR(__xludf.DUMMYFUNCTION("""COMPUTED_VALUE"""),"05181")</f>
        <v>05181</v>
      </c>
      <c r="D349" s="2" t="str">
        <f>IFERROR(__xludf.DUMMYFUNCTION("""COMPUTED_VALUE"""),"Red Hawk Elementary")</f>
        <v>Red Hawk Elementary</v>
      </c>
      <c r="E349" s="3" t="str">
        <f>IFERROR(__xludf.DUMMYFUNCTION("""COMPUTED_VALUE"""),"Y")</f>
        <v>Y</v>
      </c>
      <c r="F349" s="3" t="str">
        <f>IFERROR(__xludf.DUMMYFUNCTION("""COMPUTED_VALUE"""),"Y")</f>
        <v>Y</v>
      </c>
      <c r="G349" s="3" t="str">
        <f>IFERROR(__xludf.DUMMYFUNCTION("""COMPUTED_VALUE"""),"Y")</f>
        <v>Y</v>
      </c>
      <c r="H349" s="3"/>
      <c r="I349" s="3" t="str">
        <f>IFERROR(__xludf.DUMMYFUNCTION("""COMPUTED_VALUE""")," ")</f>
        <v> </v>
      </c>
      <c r="J349" s="3" t="str">
        <f>IFERROR(__xludf.DUMMYFUNCTION("""COMPUTED_VALUE""")," ")</f>
        <v> </v>
      </c>
      <c r="K349" s="3" t="str">
        <f>IFERROR(__xludf.DUMMYFUNCTION("""COMPUTED_VALUE"""),"Y")</f>
        <v>Y</v>
      </c>
      <c r="L349" s="3" t="str">
        <f>IFERROR(__xludf.DUMMYFUNCTION("""COMPUTED_VALUE"""),"Group 8")</f>
        <v>Group 8</v>
      </c>
      <c r="M349" s="3"/>
      <c r="N349" s="5" t="str">
        <f>IFERROR(__xludf.DUMMYFUNCTION("""COMPUTED_VALUE""")," ")</f>
        <v> </v>
      </c>
      <c r="O349" s="5"/>
    </row>
    <row r="350">
      <c r="A350" s="2" t="str">
        <f>IFERROR(__xludf.DUMMYFUNCTION("""COMPUTED_VALUE"""),"0470")</f>
        <v>0470</v>
      </c>
      <c r="B350" s="2" t="str">
        <f>IFERROR(__xludf.DUMMYFUNCTION("""COMPUTED_VALUE"""),"ST VRAIN VALLEY RE-1J")</f>
        <v>ST VRAIN VALLEY RE-1J</v>
      </c>
      <c r="C350" s="2" t="str">
        <f>IFERROR(__xludf.DUMMYFUNCTION("""COMPUTED_VALUE"""),"05282")</f>
        <v>05282</v>
      </c>
      <c r="D350" s="2" t="str">
        <f>IFERROR(__xludf.DUMMYFUNCTION("""COMPUTED_VALUE"""),"LONGMONT HIGH SCHOOL")</f>
        <v>LONGMONT HIGH SCHOOL</v>
      </c>
      <c r="E350" s="3" t="str">
        <f>IFERROR(__xludf.DUMMYFUNCTION("""COMPUTED_VALUE"""),"Y")</f>
        <v>Y</v>
      </c>
      <c r="F350" s="3" t="str">
        <f>IFERROR(__xludf.DUMMYFUNCTION("""COMPUTED_VALUE"""),"Y")</f>
        <v>Y</v>
      </c>
      <c r="G350" s="3"/>
      <c r="H350" s="3"/>
      <c r="I350" s="3" t="str">
        <f>IFERROR(__xludf.DUMMYFUNCTION("""COMPUTED_VALUE""")," ")</f>
        <v> </v>
      </c>
      <c r="J350" s="3" t="str">
        <f>IFERROR(__xludf.DUMMYFUNCTION("""COMPUTED_VALUE""")," ")</f>
        <v> </v>
      </c>
      <c r="K350" s="3" t="str">
        <f>IFERROR(__xludf.DUMMYFUNCTION("""COMPUTED_VALUE"""),"Y")</f>
        <v>Y</v>
      </c>
      <c r="L350" s="3" t="str">
        <f>IFERROR(__xludf.DUMMYFUNCTION("""COMPUTED_VALUE"""),"Group 11")</f>
        <v>Group 11</v>
      </c>
      <c r="M350" s="3"/>
      <c r="N350" s="5" t="str">
        <f>IFERROR(__xludf.DUMMYFUNCTION("""COMPUTED_VALUE"""),"Y")</f>
        <v>Y</v>
      </c>
      <c r="O350" s="5"/>
    </row>
    <row r="351">
      <c r="A351" s="2" t="str">
        <f>IFERROR(__xludf.DUMMYFUNCTION("""COMPUTED_VALUE"""),"0470")</f>
        <v>0470</v>
      </c>
      <c r="B351" s="2" t="str">
        <f>IFERROR(__xludf.DUMMYFUNCTION("""COMPUTED_VALUE"""),"ST VRAIN VALLEY RE-1J")</f>
        <v>ST VRAIN VALLEY RE-1J</v>
      </c>
      <c r="C351" s="2" t="str">
        <f>IFERROR(__xludf.DUMMYFUNCTION("""COMPUTED_VALUE"""),"05284")</f>
        <v>05284</v>
      </c>
      <c r="D351" s="2" t="str">
        <f>IFERROR(__xludf.DUMMYFUNCTION("""COMPUTED_VALUE"""),"LONGMONT ESTATES ELEMENTARY SCHOOL")</f>
        <v>LONGMONT ESTATES ELEMENTARY SCHOOL</v>
      </c>
      <c r="E351" s="3" t="str">
        <f>IFERROR(__xludf.DUMMYFUNCTION("""COMPUTED_VALUE"""),"Y")</f>
        <v>Y</v>
      </c>
      <c r="F351" s="3" t="str">
        <f>IFERROR(__xludf.DUMMYFUNCTION("""COMPUTED_VALUE"""),"Y")</f>
        <v>Y</v>
      </c>
      <c r="G351" s="3" t="str">
        <f>IFERROR(__xludf.DUMMYFUNCTION("""COMPUTED_VALUE"""),"Y")</f>
        <v>Y</v>
      </c>
      <c r="H351" s="3"/>
      <c r="I351" s="3" t="str">
        <f>IFERROR(__xludf.DUMMYFUNCTION("""COMPUTED_VALUE""")," ")</f>
        <v> </v>
      </c>
      <c r="J351" s="3" t="str">
        <f>IFERROR(__xludf.DUMMYFUNCTION("""COMPUTED_VALUE""")," ")</f>
        <v> </v>
      </c>
      <c r="K351" s="3" t="str">
        <f>IFERROR(__xludf.DUMMYFUNCTION("""COMPUTED_VALUE"""),"Y")</f>
        <v>Y</v>
      </c>
      <c r="L351" s="3" t="str">
        <f>IFERROR(__xludf.DUMMYFUNCTION("""COMPUTED_VALUE"""),"Group 3")</f>
        <v>Group 3</v>
      </c>
      <c r="M351" s="3"/>
      <c r="N351" s="5" t="str">
        <f>IFERROR(__xludf.DUMMYFUNCTION("""COMPUTED_VALUE""")," ")</f>
        <v> </v>
      </c>
      <c r="O351" s="5"/>
    </row>
    <row r="352">
      <c r="A352" s="2" t="str">
        <f>IFERROR(__xludf.DUMMYFUNCTION("""COMPUTED_VALUE"""),"0470")</f>
        <v>0470</v>
      </c>
      <c r="B352" s="2" t="str">
        <f>IFERROR(__xludf.DUMMYFUNCTION("""COMPUTED_VALUE"""),"ST VRAIN VALLEY RE-1J")</f>
        <v>ST VRAIN VALLEY RE-1J</v>
      </c>
      <c r="C352" s="2" t="str">
        <f>IFERROR(__xludf.DUMMYFUNCTION("""COMPUTED_VALUE"""),"05286")</f>
        <v>05286</v>
      </c>
      <c r="D352" s="2" t="str">
        <f>IFERROR(__xludf.DUMMYFUNCTION("""COMPUTED_VALUE"""),"SUNSET MIDDLE SCHOOL")</f>
        <v>SUNSET MIDDLE SCHOOL</v>
      </c>
      <c r="E352" s="3" t="str">
        <f>IFERROR(__xludf.DUMMYFUNCTION("""COMPUTED_VALUE"""),"Y")</f>
        <v>Y</v>
      </c>
      <c r="F352" s="3" t="str">
        <f>IFERROR(__xludf.DUMMYFUNCTION("""COMPUTED_VALUE"""),"Y")</f>
        <v>Y</v>
      </c>
      <c r="G352" s="3" t="str">
        <f>IFERROR(__xludf.DUMMYFUNCTION("""COMPUTED_VALUE"""),"Y")</f>
        <v>Y</v>
      </c>
      <c r="H352" s="3"/>
      <c r="I352" s="3" t="str">
        <f>IFERROR(__xludf.DUMMYFUNCTION("""COMPUTED_VALUE""")," ")</f>
        <v> </v>
      </c>
      <c r="J352" s="3" t="str">
        <f>IFERROR(__xludf.DUMMYFUNCTION("""COMPUTED_VALUE""")," ")</f>
        <v> </v>
      </c>
      <c r="K352" s="3" t="str">
        <f>IFERROR(__xludf.DUMMYFUNCTION("""COMPUTED_VALUE"""),"Y")</f>
        <v>Y</v>
      </c>
      <c r="L352" s="3" t="str">
        <f>IFERROR(__xludf.DUMMYFUNCTION("""COMPUTED_VALUE"""),"Group 1")</f>
        <v>Group 1</v>
      </c>
      <c r="M352" s="3"/>
      <c r="N352" s="5" t="str">
        <f>IFERROR(__xludf.DUMMYFUNCTION("""COMPUTED_VALUE"""),"Y")</f>
        <v>Y</v>
      </c>
      <c r="O352" s="5"/>
    </row>
    <row r="353">
      <c r="A353" s="2" t="str">
        <f>IFERROR(__xludf.DUMMYFUNCTION("""COMPUTED_VALUE"""),"0470")</f>
        <v>0470</v>
      </c>
      <c r="B353" s="2" t="str">
        <f>IFERROR(__xludf.DUMMYFUNCTION("""COMPUTED_VALUE"""),"ST VRAIN VALLEY RE-1J")</f>
        <v>ST VRAIN VALLEY RE-1J</v>
      </c>
      <c r="C353" s="2" t="str">
        <f>IFERROR(__xludf.DUMMYFUNCTION("""COMPUTED_VALUE"""),"05288")</f>
        <v>05288</v>
      </c>
      <c r="D353" s="2" t="str">
        <f>IFERROR(__xludf.DUMMYFUNCTION("""COMPUTED_VALUE"""),"LONGS PEAK MIDDLE SCHOOL")</f>
        <v>LONGS PEAK MIDDLE SCHOOL</v>
      </c>
      <c r="E353" s="3" t="str">
        <f>IFERROR(__xludf.DUMMYFUNCTION("""COMPUTED_VALUE"""),"Y")</f>
        <v>Y</v>
      </c>
      <c r="F353" s="3" t="str">
        <f>IFERROR(__xludf.DUMMYFUNCTION("""COMPUTED_VALUE"""),"Y")</f>
        <v>Y</v>
      </c>
      <c r="G353" s="3" t="str">
        <f>IFERROR(__xludf.DUMMYFUNCTION("""COMPUTED_VALUE"""),"Y")</f>
        <v>Y</v>
      </c>
      <c r="H353" s="3"/>
      <c r="I353" s="3" t="str">
        <f>IFERROR(__xludf.DUMMYFUNCTION("""COMPUTED_VALUE""")," ")</f>
        <v> </v>
      </c>
      <c r="J353" s="3" t="str">
        <f>IFERROR(__xludf.DUMMYFUNCTION("""COMPUTED_VALUE"""),"Y")</f>
        <v>Y</v>
      </c>
      <c r="K353" s="3" t="str">
        <f>IFERROR(__xludf.DUMMYFUNCTION("""COMPUTED_VALUE"""),"Y")</f>
        <v>Y</v>
      </c>
      <c r="L353" s="3" t="str">
        <f>IFERROR(__xludf.DUMMYFUNCTION("""COMPUTED_VALUE"""),"Group 5")</f>
        <v>Group 5</v>
      </c>
      <c r="M353" s="3"/>
      <c r="N353" s="5" t="str">
        <f>IFERROR(__xludf.DUMMYFUNCTION("""COMPUTED_VALUE"""),"Y")</f>
        <v>Y</v>
      </c>
      <c r="O353" s="5"/>
    </row>
    <row r="354">
      <c r="A354" s="2" t="str">
        <f>IFERROR(__xludf.DUMMYFUNCTION("""COMPUTED_VALUE"""),"0470")</f>
        <v>0470</v>
      </c>
      <c r="B354" s="2" t="str">
        <f>IFERROR(__xludf.DUMMYFUNCTION("""COMPUTED_VALUE"""),"ST VRAIN VALLEY RE-1J")</f>
        <v>ST VRAIN VALLEY RE-1J</v>
      </c>
      <c r="C354" s="2" t="str">
        <f>IFERROR(__xludf.DUMMYFUNCTION("""COMPUTED_VALUE"""),"05364")</f>
        <v>05364</v>
      </c>
      <c r="D354" s="2" t="str">
        <f>IFERROR(__xludf.DUMMYFUNCTION("""COMPUTED_VALUE"""),"LYONS ELEMENTARY SCHOOL")</f>
        <v>LYONS ELEMENTARY SCHOOL</v>
      </c>
      <c r="E354" s="3" t="str">
        <f>IFERROR(__xludf.DUMMYFUNCTION("""COMPUTED_VALUE"""),"Y")</f>
        <v>Y</v>
      </c>
      <c r="F354" s="3" t="str">
        <f>IFERROR(__xludf.DUMMYFUNCTION("""COMPUTED_VALUE"""),"Y")</f>
        <v>Y</v>
      </c>
      <c r="G354" s="3" t="str">
        <f>IFERROR(__xludf.DUMMYFUNCTION("""COMPUTED_VALUE"""),"Y")</f>
        <v>Y</v>
      </c>
      <c r="H354" s="3"/>
      <c r="I354" s="3" t="str">
        <f>IFERROR(__xludf.DUMMYFUNCTION("""COMPUTED_VALUE""")," ")</f>
        <v> </v>
      </c>
      <c r="J354" s="3" t="str">
        <f>IFERROR(__xludf.DUMMYFUNCTION("""COMPUTED_VALUE""")," ")</f>
        <v> </v>
      </c>
      <c r="K354" s="3" t="str">
        <f>IFERROR(__xludf.DUMMYFUNCTION("""COMPUTED_VALUE"""),"Y")</f>
        <v>Y</v>
      </c>
      <c r="L354" s="3" t="str">
        <f>IFERROR(__xludf.DUMMYFUNCTION("""COMPUTED_VALUE"""),"Group 11")</f>
        <v>Group 11</v>
      </c>
      <c r="M354" s="3"/>
      <c r="N354" s="5" t="str">
        <f>IFERROR(__xludf.DUMMYFUNCTION("""COMPUTED_VALUE""")," ")</f>
        <v> </v>
      </c>
      <c r="O354" s="5"/>
    </row>
    <row r="355">
      <c r="A355" s="2" t="str">
        <f>IFERROR(__xludf.DUMMYFUNCTION("""COMPUTED_VALUE"""),"0470")</f>
        <v>0470</v>
      </c>
      <c r="B355" s="2" t="str">
        <f>IFERROR(__xludf.DUMMYFUNCTION("""COMPUTED_VALUE"""),"ST VRAIN VALLEY RE-1J")</f>
        <v>ST VRAIN VALLEY RE-1J</v>
      </c>
      <c r="C355" s="2" t="str">
        <f>IFERROR(__xludf.DUMMYFUNCTION("""COMPUTED_VALUE"""),"05368")</f>
        <v>05368</v>
      </c>
      <c r="D355" s="2" t="str">
        <f>IFERROR(__xludf.DUMMYFUNCTION("""COMPUTED_VALUE"""),"LYONS MIDDLE/SENIOR HIGH SCHOOL")</f>
        <v>LYONS MIDDLE/SENIOR HIGH SCHOOL</v>
      </c>
      <c r="E355" s="3" t="str">
        <f>IFERROR(__xludf.DUMMYFUNCTION("""COMPUTED_VALUE"""),"Y")</f>
        <v>Y</v>
      </c>
      <c r="F355" s="3" t="str">
        <f>IFERROR(__xludf.DUMMYFUNCTION("""COMPUTED_VALUE"""),"Y")</f>
        <v>Y</v>
      </c>
      <c r="G355" s="3" t="str">
        <f>IFERROR(__xludf.DUMMYFUNCTION("""COMPUTED_VALUE"""),"Y")</f>
        <v>Y</v>
      </c>
      <c r="H355" s="3"/>
      <c r="I355" s="3" t="str">
        <f>IFERROR(__xludf.DUMMYFUNCTION("""COMPUTED_VALUE""")," ")</f>
        <v> </v>
      </c>
      <c r="J355" s="3" t="str">
        <f>IFERROR(__xludf.DUMMYFUNCTION("""COMPUTED_VALUE""")," ")</f>
        <v> </v>
      </c>
      <c r="K355" s="3" t="str">
        <f>IFERROR(__xludf.DUMMYFUNCTION("""COMPUTED_VALUE"""),"Y")</f>
        <v>Y</v>
      </c>
      <c r="L355" s="3" t="str">
        <f>IFERROR(__xludf.DUMMYFUNCTION("""COMPUTED_VALUE""")," ")</f>
        <v> </v>
      </c>
      <c r="M355" s="3"/>
      <c r="N355" s="5" t="str">
        <f>IFERROR(__xludf.DUMMYFUNCTION("""COMPUTED_VALUE""")," ")</f>
        <v> </v>
      </c>
      <c r="O355" s="5"/>
    </row>
    <row r="356">
      <c r="A356" s="2" t="str">
        <f>IFERROR(__xludf.DUMMYFUNCTION("""COMPUTED_VALUE"""),"0470")</f>
        <v>0470</v>
      </c>
      <c r="B356" s="2" t="str">
        <f>IFERROR(__xludf.DUMMYFUNCTION("""COMPUTED_VALUE"""),"ST VRAIN VALLEY RE-1J")</f>
        <v>ST VRAIN VALLEY RE-1J</v>
      </c>
      <c r="C356" s="2" t="str">
        <f>IFERROR(__xludf.DUMMYFUNCTION("""COMPUTED_VALUE"""),"05722")</f>
        <v>05722</v>
      </c>
      <c r="D356" s="2" t="str">
        <f>IFERROR(__xludf.DUMMYFUNCTION("""COMPUTED_VALUE"""),"MEAD HIGH SCHOOL")</f>
        <v>MEAD HIGH SCHOOL</v>
      </c>
      <c r="E356" s="3" t="str">
        <f>IFERROR(__xludf.DUMMYFUNCTION("""COMPUTED_VALUE"""),"Y")</f>
        <v>Y</v>
      </c>
      <c r="F356" s="3" t="str">
        <f>IFERROR(__xludf.DUMMYFUNCTION("""COMPUTED_VALUE"""),"Y")</f>
        <v>Y</v>
      </c>
      <c r="G356" s="3"/>
      <c r="H356" s="3"/>
      <c r="I356" s="3" t="str">
        <f>IFERROR(__xludf.DUMMYFUNCTION("""COMPUTED_VALUE""")," ")</f>
        <v> </v>
      </c>
      <c r="J356" s="3" t="str">
        <f>IFERROR(__xludf.DUMMYFUNCTION("""COMPUTED_VALUE""")," ")</f>
        <v> </v>
      </c>
      <c r="K356" s="3" t="str">
        <f>IFERROR(__xludf.DUMMYFUNCTION("""COMPUTED_VALUE"""),"Y")</f>
        <v>Y</v>
      </c>
      <c r="L356" s="3" t="str">
        <f>IFERROR(__xludf.DUMMYFUNCTION("""COMPUTED_VALUE"""),"Group 11")</f>
        <v>Group 11</v>
      </c>
      <c r="M356" s="3"/>
      <c r="N356" s="5" t="str">
        <f>IFERROR(__xludf.DUMMYFUNCTION("""COMPUTED_VALUE""")," ")</f>
        <v> </v>
      </c>
      <c r="O356" s="5"/>
    </row>
    <row r="357">
      <c r="A357" s="2" t="str">
        <f>IFERROR(__xludf.DUMMYFUNCTION("""COMPUTED_VALUE"""),"0470")</f>
        <v>0470</v>
      </c>
      <c r="B357" s="2" t="str">
        <f>IFERROR(__xludf.DUMMYFUNCTION("""COMPUTED_VALUE"""),"ST VRAIN VALLEY RE-1J")</f>
        <v>ST VRAIN VALLEY RE-1J</v>
      </c>
      <c r="C357" s="2" t="str">
        <f>IFERROR(__xludf.DUMMYFUNCTION("""COMPUTED_VALUE"""),"05726")</f>
        <v>05726</v>
      </c>
      <c r="D357" s="2" t="str">
        <f>IFERROR(__xludf.DUMMYFUNCTION("""COMPUTED_VALUE"""),"MEAD ELEMENTARY SCHOOL")</f>
        <v>MEAD ELEMENTARY SCHOOL</v>
      </c>
      <c r="E357" s="3" t="str">
        <f>IFERROR(__xludf.DUMMYFUNCTION("""COMPUTED_VALUE"""),"Y")</f>
        <v>Y</v>
      </c>
      <c r="F357" s="3" t="str">
        <f>IFERROR(__xludf.DUMMYFUNCTION("""COMPUTED_VALUE"""),"Y")</f>
        <v>Y</v>
      </c>
      <c r="G357" s="3" t="str">
        <f>IFERROR(__xludf.DUMMYFUNCTION("""COMPUTED_VALUE"""),"Y")</f>
        <v>Y</v>
      </c>
      <c r="H357" s="3"/>
      <c r="I357" s="3" t="str">
        <f>IFERROR(__xludf.DUMMYFUNCTION("""COMPUTED_VALUE""")," ")</f>
        <v> </v>
      </c>
      <c r="J357" s="3" t="str">
        <f>IFERROR(__xludf.DUMMYFUNCTION("""COMPUTED_VALUE""")," ")</f>
        <v> </v>
      </c>
      <c r="K357" s="3" t="str">
        <f>IFERROR(__xludf.DUMMYFUNCTION("""COMPUTED_VALUE"""),"Y")</f>
        <v>Y</v>
      </c>
      <c r="L357" s="3" t="str">
        <f>IFERROR(__xludf.DUMMYFUNCTION("""COMPUTED_VALUE"""),"Group 11")</f>
        <v>Group 11</v>
      </c>
      <c r="M357" s="3"/>
      <c r="N357" s="5" t="str">
        <f>IFERROR(__xludf.DUMMYFUNCTION("""COMPUTED_VALUE""")," ")</f>
        <v> </v>
      </c>
      <c r="O357" s="5"/>
    </row>
    <row r="358">
      <c r="A358" s="2" t="str">
        <f>IFERROR(__xludf.DUMMYFUNCTION("""COMPUTED_VALUE"""),"0470")</f>
        <v>0470</v>
      </c>
      <c r="B358" s="2" t="str">
        <f>IFERROR(__xludf.DUMMYFUNCTION("""COMPUTED_VALUE"""),"ST VRAIN VALLEY RE-1J")</f>
        <v>ST VRAIN VALLEY RE-1J</v>
      </c>
      <c r="C358" s="2" t="str">
        <f>IFERROR(__xludf.DUMMYFUNCTION("""COMPUTED_VALUE"""),"05730")</f>
        <v>05730</v>
      </c>
      <c r="D358" s="2" t="str">
        <f>IFERROR(__xludf.DUMMYFUNCTION("""COMPUTED_VALUE"""),"MEAD MIDDLE SCHOOL")</f>
        <v>MEAD MIDDLE SCHOOL</v>
      </c>
      <c r="E358" s="3" t="str">
        <f>IFERROR(__xludf.DUMMYFUNCTION("""COMPUTED_VALUE"""),"Y")</f>
        <v>Y</v>
      </c>
      <c r="F358" s="3" t="str">
        <f>IFERROR(__xludf.DUMMYFUNCTION("""COMPUTED_VALUE"""),"Y")</f>
        <v>Y</v>
      </c>
      <c r="G358" s="3" t="str">
        <f>IFERROR(__xludf.DUMMYFUNCTION("""COMPUTED_VALUE"""),"Y")</f>
        <v>Y</v>
      </c>
      <c r="H358" s="3"/>
      <c r="I358" s="3" t="str">
        <f>IFERROR(__xludf.DUMMYFUNCTION("""COMPUTED_VALUE""")," ")</f>
        <v> </v>
      </c>
      <c r="J358" s="3" t="str">
        <f>IFERROR(__xludf.DUMMYFUNCTION("""COMPUTED_VALUE""")," ")</f>
        <v> </v>
      </c>
      <c r="K358" s="3" t="str">
        <f>IFERROR(__xludf.DUMMYFUNCTION("""COMPUTED_VALUE"""),"Y")</f>
        <v>Y</v>
      </c>
      <c r="L358" s="3" t="str">
        <f>IFERROR(__xludf.DUMMYFUNCTION("""COMPUTED_VALUE"""),"Group 1")</f>
        <v>Group 1</v>
      </c>
      <c r="M358" s="3"/>
      <c r="N358" s="5" t="str">
        <f>IFERROR(__xludf.DUMMYFUNCTION("""COMPUTED_VALUE""")," ")</f>
        <v> </v>
      </c>
      <c r="O358" s="5"/>
    </row>
    <row r="359">
      <c r="A359" s="2" t="str">
        <f>IFERROR(__xludf.DUMMYFUNCTION("""COMPUTED_VALUE"""),"0470")</f>
        <v>0470</v>
      </c>
      <c r="B359" s="2" t="str">
        <f>IFERROR(__xludf.DUMMYFUNCTION("""COMPUTED_VALUE"""),"ST VRAIN VALLEY RE-1J")</f>
        <v>ST VRAIN VALLEY RE-1J</v>
      </c>
      <c r="C359" s="2" t="str">
        <f>IFERROR(__xludf.DUMMYFUNCTION("""COMPUTED_VALUE"""),"06010")</f>
        <v>06010</v>
      </c>
      <c r="D359" s="2" t="str">
        <f>IFERROR(__xludf.DUMMYFUNCTION("""COMPUTED_VALUE"""),"Timberline PK-8")</f>
        <v>Timberline PK-8</v>
      </c>
      <c r="E359" s="3" t="str">
        <f>IFERROR(__xludf.DUMMYFUNCTION("""COMPUTED_VALUE"""),"Y")</f>
        <v>Y</v>
      </c>
      <c r="F359" s="3" t="str">
        <f>IFERROR(__xludf.DUMMYFUNCTION("""COMPUTED_VALUE"""),"Y")</f>
        <v>Y</v>
      </c>
      <c r="G359" s="3" t="str">
        <f>IFERROR(__xludf.DUMMYFUNCTION("""COMPUTED_VALUE"""),"Y")</f>
        <v>Y</v>
      </c>
      <c r="H359" s="3"/>
      <c r="I359" s="3" t="str">
        <f>IFERROR(__xludf.DUMMYFUNCTION("""COMPUTED_VALUE""")," ")</f>
        <v> </v>
      </c>
      <c r="J359" s="3" t="str">
        <f>IFERROR(__xludf.DUMMYFUNCTION("""COMPUTED_VALUE"""),"Y")</f>
        <v>Y</v>
      </c>
      <c r="K359" s="3" t="str">
        <f>IFERROR(__xludf.DUMMYFUNCTION("""COMPUTED_VALUE"""),"Y")</f>
        <v>Y</v>
      </c>
      <c r="L359" s="3" t="str">
        <f>IFERROR(__xludf.DUMMYFUNCTION("""COMPUTED_VALUE"""),"Group 9")</f>
        <v>Group 9</v>
      </c>
      <c r="M359" s="3"/>
      <c r="N359" s="5" t="str">
        <f>IFERROR(__xludf.DUMMYFUNCTION("""COMPUTED_VALUE"""),"Y")</f>
        <v>Y</v>
      </c>
      <c r="O359" s="5"/>
    </row>
    <row r="360">
      <c r="A360" s="2" t="str">
        <f>IFERROR(__xludf.DUMMYFUNCTION("""COMPUTED_VALUE"""),"0470")</f>
        <v>0470</v>
      </c>
      <c r="B360" s="2" t="str">
        <f>IFERROR(__xludf.DUMMYFUNCTION("""COMPUTED_VALUE"""),"ST VRAIN VALLEY RE-1J")</f>
        <v>ST VRAIN VALLEY RE-1J</v>
      </c>
      <c r="C360" s="2" t="str">
        <f>IFERROR(__xludf.DUMMYFUNCTION("""COMPUTED_VALUE"""),"06156")</f>
        <v>06156</v>
      </c>
      <c r="D360" s="2" t="str">
        <f>IFERROR(__xludf.DUMMYFUNCTION("""COMPUTED_VALUE"""),"MOUNTAIN VIEW ELEMENTARY SCHOOL")</f>
        <v>MOUNTAIN VIEW ELEMENTARY SCHOOL</v>
      </c>
      <c r="E360" s="3" t="str">
        <f>IFERROR(__xludf.DUMMYFUNCTION("""COMPUTED_VALUE"""),"Y")</f>
        <v>Y</v>
      </c>
      <c r="F360" s="3" t="str">
        <f>IFERROR(__xludf.DUMMYFUNCTION("""COMPUTED_VALUE"""),"Y")</f>
        <v>Y</v>
      </c>
      <c r="G360" s="3" t="str">
        <f>IFERROR(__xludf.DUMMYFUNCTION("""COMPUTED_VALUE"""),"Y")</f>
        <v>Y</v>
      </c>
      <c r="H360" s="3"/>
      <c r="I360" s="3" t="str">
        <f>IFERROR(__xludf.DUMMYFUNCTION("""COMPUTED_VALUE""")," ")</f>
        <v> </v>
      </c>
      <c r="J360" s="3" t="str">
        <f>IFERROR(__xludf.DUMMYFUNCTION("""COMPUTED_VALUE"""),"Y")</f>
        <v>Y</v>
      </c>
      <c r="K360" s="3" t="str">
        <f>IFERROR(__xludf.DUMMYFUNCTION("""COMPUTED_VALUE"""),"Y")</f>
        <v>Y</v>
      </c>
      <c r="L360" s="3" t="str">
        <f>IFERROR(__xludf.DUMMYFUNCTION("""COMPUTED_VALUE"""),"Group 2")</f>
        <v>Group 2</v>
      </c>
      <c r="M360" s="3"/>
      <c r="N360" s="5" t="str">
        <f>IFERROR(__xludf.DUMMYFUNCTION("""COMPUTED_VALUE"""),"Y")</f>
        <v>Y</v>
      </c>
      <c r="O360" s="5"/>
    </row>
    <row r="361">
      <c r="A361" s="2" t="str">
        <f>IFERROR(__xludf.DUMMYFUNCTION("""COMPUTED_VALUE"""),"0470")</f>
        <v>0470</v>
      </c>
      <c r="B361" s="2" t="str">
        <f>IFERROR(__xludf.DUMMYFUNCTION("""COMPUTED_VALUE"""),"ST VRAIN VALLEY RE-1J")</f>
        <v>ST VRAIN VALLEY RE-1J</v>
      </c>
      <c r="C361" s="2" t="str">
        <f>IFERROR(__xludf.DUMMYFUNCTION("""COMPUTED_VALUE"""),"06274")</f>
        <v>06274</v>
      </c>
      <c r="D361" s="2" t="str">
        <f>IFERROR(__xludf.DUMMYFUNCTION("""COMPUTED_VALUE"""),"NIWOT ELEMENTARY SCHOOL")</f>
        <v>NIWOT ELEMENTARY SCHOOL</v>
      </c>
      <c r="E361" s="3" t="str">
        <f>IFERROR(__xludf.DUMMYFUNCTION("""COMPUTED_VALUE"""),"Y")</f>
        <v>Y</v>
      </c>
      <c r="F361" s="3" t="str">
        <f>IFERROR(__xludf.DUMMYFUNCTION("""COMPUTED_VALUE"""),"Y")</f>
        <v>Y</v>
      </c>
      <c r="G361" s="3" t="str">
        <f>IFERROR(__xludf.DUMMYFUNCTION("""COMPUTED_VALUE"""),"Y")</f>
        <v>Y</v>
      </c>
      <c r="H361" s="3"/>
      <c r="I361" s="3" t="str">
        <f>IFERROR(__xludf.DUMMYFUNCTION("""COMPUTED_VALUE""")," ")</f>
        <v> </v>
      </c>
      <c r="J361" s="3" t="str">
        <f>IFERROR(__xludf.DUMMYFUNCTION("""COMPUTED_VALUE""")," ")</f>
        <v> </v>
      </c>
      <c r="K361" s="3" t="str">
        <f>IFERROR(__xludf.DUMMYFUNCTION("""COMPUTED_VALUE"""),"Y")</f>
        <v>Y</v>
      </c>
      <c r="L361" s="3" t="str">
        <f>IFERROR(__xludf.DUMMYFUNCTION("""COMPUTED_VALUE"""),"Group 11")</f>
        <v>Group 11</v>
      </c>
      <c r="M361" s="3"/>
      <c r="N361" s="5" t="str">
        <f>IFERROR(__xludf.DUMMYFUNCTION("""COMPUTED_VALUE""")," ")</f>
        <v> </v>
      </c>
      <c r="O361" s="5"/>
    </row>
    <row r="362">
      <c r="A362" s="2" t="str">
        <f>IFERROR(__xludf.DUMMYFUNCTION("""COMPUTED_VALUE"""),"0470")</f>
        <v>0470</v>
      </c>
      <c r="B362" s="2" t="str">
        <f>IFERROR(__xludf.DUMMYFUNCTION("""COMPUTED_VALUE"""),"ST VRAIN VALLEY RE-1J")</f>
        <v>ST VRAIN VALLEY RE-1J</v>
      </c>
      <c r="C362" s="2" t="str">
        <f>IFERROR(__xludf.DUMMYFUNCTION("""COMPUTED_VALUE"""),"06276")</f>
        <v>06276</v>
      </c>
      <c r="D362" s="2" t="str">
        <f>IFERROR(__xludf.DUMMYFUNCTION("""COMPUTED_VALUE"""),"NIWOT HIGH SCHOOL")</f>
        <v>NIWOT HIGH SCHOOL</v>
      </c>
      <c r="E362" s="3" t="str">
        <f>IFERROR(__xludf.DUMMYFUNCTION("""COMPUTED_VALUE"""),"Y")</f>
        <v>Y</v>
      </c>
      <c r="F362" s="3" t="str">
        <f>IFERROR(__xludf.DUMMYFUNCTION("""COMPUTED_VALUE"""),"Y")</f>
        <v>Y</v>
      </c>
      <c r="G362" s="3"/>
      <c r="H362" s="3"/>
      <c r="I362" s="3" t="str">
        <f>IFERROR(__xludf.DUMMYFUNCTION("""COMPUTED_VALUE""")," ")</f>
        <v> </v>
      </c>
      <c r="J362" s="3" t="str">
        <f>IFERROR(__xludf.DUMMYFUNCTION("""COMPUTED_VALUE""")," ")</f>
        <v> </v>
      </c>
      <c r="K362" s="3" t="str">
        <f>IFERROR(__xludf.DUMMYFUNCTION("""COMPUTED_VALUE"""),"Y")</f>
        <v>Y</v>
      </c>
      <c r="L362" s="3" t="str">
        <f>IFERROR(__xludf.DUMMYFUNCTION("""COMPUTED_VALUE""")," ")</f>
        <v> </v>
      </c>
      <c r="M362" s="3"/>
      <c r="N362" s="5" t="str">
        <f>IFERROR(__xludf.DUMMYFUNCTION("""COMPUTED_VALUE"""),"Y")</f>
        <v>Y</v>
      </c>
      <c r="O362" s="5"/>
    </row>
    <row r="363">
      <c r="A363" s="2" t="str">
        <f>IFERROR(__xludf.DUMMYFUNCTION("""COMPUTED_VALUE"""),"0470")</f>
        <v>0470</v>
      </c>
      <c r="B363" s="2" t="str">
        <f>IFERROR(__xludf.DUMMYFUNCTION("""COMPUTED_VALUE"""),"ST VRAIN VALLEY RE-1J")</f>
        <v>ST VRAIN VALLEY RE-1J</v>
      </c>
      <c r="C363" s="2" t="str">
        <f>IFERROR(__xludf.DUMMYFUNCTION("""COMPUTED_VALUE"""),"06404")</f>
        <v>06404</v>
      </c>
      <c r="D363" s="2" t="str">
        <f>IFERROR(__xludf.DUMMYFUNCTION("""COMPUTED_VALUE"""),"NORTHRIDGE ELEMENTARY SCHOOL")</f>
        <v>NORTHRIDGE ELEMENTARY SCHOOL</v>
      </c>
      <c r="E363" s="3" t="str">
        <f>IFERROR(__xludf.DUMMYFUNCTION("""COMPUTED_VALUE"""),"Y")</f>
        <v>Y</v>
      </c>
      <c r="F363" s="3" t="str">
        <f>IFERROR(__xludf.DUMMYFUNCTION("""COMPUTED_VALUE"""),"Y")</f>
        <v>Y</v>
      </c>
      <c r="G363" s="3" t="str">
        <f>IFERROR(__xludf.DUMMYFUNCTION("""COMPUTED_VALUE"""),"Y")</f>
        <v>Y</v>
      </c>
      <c r="H363" s="3"/>
      <c r="I363" s="3" t="str">
        <f>IFERROR(__xludf.DUMMYFUNCTION("""COMPUTED_VALUE""")," ")</f>
        <v> </v>
      </c>
      <c r="J363" s="3" t="str">
        <f>IFERROR(__xludf.DUMMYFUNCTION("""COMPUTED_VALUE"""),"Y")</f>
        <v>Y</v>
      </c>
      <c r="K363" s="3" t="str">
        <f>IFERROR(__xludf.DUMMYFUNCTION("""COMPUTED_VALUE"""),"Y")</f>
        <v>Y</v>
      </c>
      <c r="L363" s="3" t="str">
        <f>IFERROR(__xludf.DUMMYFUNCTION("""COMPUTED_VALUE"""),"Group 2")</f>
        <v>Group 2</v>
      </c>
      <c r="M363" s="3"/>
      <c r="N363" s="5" t="str">
        <f>IFERROR(__xludf.DUMMYFUNCTION("""COMPUTED_VALUE"""),"Y")</f>
        <v>Y</v>
      </c>
      <c r="O363" s="5"/>
    </row>
    <row r="364">
      <c r="A364" s="2" t="str">
        <f>IFERROR(__xludf.DUMMYFUNCTION("""COMPUTED_VALUE"""),"0470")</f>
        <v>0470</v>
      </c>
      <c r="B364" s="2" t="str">
        <f>IFERROR(__xludf.DUMMYFUNCTION("""COMPUTED_VALUE"""),"ST VRAIN VALLEY RE-1J")</f>
        <v>ST VRAIN VALLEY RE-1J</v>
      </c>
      <c r="C364" s="2" t="str">
        <f>IFERROR(__xludf.DUMMYFUNCTION("""COMPUTED_VALUE"""),"06421")</f>
        <v>06421</v>
      </c>
      <c r="D364" s="2" t="str">
        <f>IFERROR(__xludf.DUMMYFUNCTION("""COMPUTED_VALUE"""),"Highlands Elementary")</f>
        <v>Highlands Elementary</v>
      </c>
      <c r="E364" s="3" t="str">
        <f>IFERROR(__xludf.DUMMYFUNCTION("""COMPUTED_VALUE"""),"Y")</f>
        <v>Y</v>
      </c>
      <c r="F364" s="3" t="str">
        <f>IFERROR(__xludf.DUMMYFUNCTION("""COMPUTED_VALUE"""),"Y")</f>
        <v>Y</v>
      </c>
      <c r="G364" s="3" t="str">
        <f>IFERROR(__xludf.DUMMYFUNCTION("""COMPUTED_VALUE"""),"Y")</f>
        <v>Y</v>
      </c>
      <c r="H364" s="3"/>
      <c r="I364" s="3" t="str">
        <f>IFERROR(__xludf.DUMMYFUNCTION("""COMPUTED_VALUE""")," ")</f>
        <v> </v>
      </c>
      <c r="J364" s="3" t="str">
        <f>IFERROR(__xludf.DUMMYFUNCTION("""COMPUTED_VALUE""")," ")</f>
        <v> </v>
      </c>
      <c r="K364" s="3" t="str">
        <f>IFERROR(__xludf.DUMMYFUNCTION("""COMPUTED_VALUE"""),"Y")</f>
        <v>Y</v>
      </c>
      <c r="L364" s="3" t="str">
        <f>IFERROR(__xludf.DUMMYFUNCTION("""COMPUTED_VALUE"""),"Group 1")</f>
        <v>Group 1</v>
      </c>
      <c r="M364" s="3"/>
      <c r="N364" s="5" t="str">
        <f>IFERROR(__xludf.DUMMYFUNCTION("""COMPUTED_VALUE""")," ")</f>
        <v> </v>
      </c>
      <c r="O364" s="5"/>
    </row>
    <row r="365">
      <c r="A365" s="2" t="str">
        <f>IFERROR(__xludf.DUMMYFUNCTION("""COMPUTED_VALUE"""),"0470")</f>
        <v>0470</v>
      </c>
      <c r="B365" s="2" t="str">
        <f>IFERROR(__xludf.DUMMYFUNCTION("""COMPUTED_VALUE"""),"ST VRAIN VALLEY RE-1J")</f>
        <v>ST VRAIN VALLEY RE-1J</v>
      </c>
      <c r="C365" s="2" t="str">
        <f>IFERROR(__xludf.DUMMYFUNCTION("""COMPUTED_VALUE"""),"06498")</f>
        <v>06498</v>
      </c>
      <c r="D365" s="2" t="str">
        <f>IFERROR(__xludf.DUMMYFUNCTION("""COMPUTED_VALUE"""),"New Meridian High School")</f>
        <v>New Meridian High School</v>
      </c>
      <c r="E365" s="3" t="str">
        <f>IFERROR(__xludf.DUMMYFUNCTION("""COMPUTED_VALUE"""),"Y")</f>
        <v>Y</v>
      </c>
      <c r="F365" s="3" t="str">
        <f>IFERROR(__xludf.DUMMYFUNCTION("""COMPUTED_VALUE"""),"Y")</f>
        <v>Y</v>
      </c>
      <c r="G365" s="3"/>
      <c r="H365" s="3"/>
      <c r="I365" s="3" t="str">
        <f>IFERROR(__xludf.DUMMYFUNCTION("""COMPUTED_VALUE""")," ")</f>
        <v> </v>
      </c>
      <c r="J365" s="3" t="str">
        <f>IFERROR(__xludf.DUMMYFUNCTION("""COMPUTED_VALUE""")," ")</f>
        <v> </v>
      </c>
      <c r="K365" s="3" t="str">
        <f>IFERROR(__xludf.DUMMYFUNCTION("""COMPUTED_VALUE"""),"Y")</f>
        <v>Y</v>
      </c>
      <c r="L365" s="3" t="str">
        <f>IFERROR(__xludf.DUMMYFUNCTION("""COMPUTED_VALUE"""),"Group 11")</f>
        <v>Group 11</v>
      </c>
      <c r="M365" s="3"/>
      <c r="N365" s="5" t="str">
        <f>IFERROR(__xludf.DUMMYFUNCTION("""COMPUTED_VALUE"""),"Y")</f>
        <v>Y</v>
      </c>
      <c r="O365" s="5"/>
    </row>
    <row r="366">
      <c r="A366" s="2" t="str">
        <f>IFERROR(__xludf.DUMMYFUNCTION("""COMPUTED_VALUE"""),"0470")</f>
        <v>0470</v>
      </c>
      <c r="B366" s="2" t="str">
        <f>IFERROR(__xludf.DUMMYFUNCTION("""COMPUTED_VALUE"""),"ST VRAIN VALLEY RE-1J")</f>
        <v>ST VRAIN VALLEY RE-1J</v>
      </c>
      <c r="C366" s="2" t="str">
        <f>IFERROR(__xludf.DUMMYFUNCTION("""COMPUTED_VALUE"""),"07157")</f>
        <v>07157</v>
      </c>
      <c r="D366" s="2" t="str">
        <f>IFERROR(__xludf.DUMMYFUNCTION("""COMPUTED_VALUE"""),"PRAIRIE RIDGE ELEMENTARY SCHOOL")</f>
        <v>PRAIRIE RIDGE ELEMENTARY SCHOOL</v>
      </c>
      <c r="E366" s="3" t="str">
        <f>IFERROR(__xludf.DUMMYFUNCTION("""COMPUTED_VALUE"""),"Y")</f>
        <v>Y</v>
      </c>
      <c r="F366" s="3" t="str">
        <f>IFERROR(__xludf.DUMMYFUNCTION("""COMPUTED_VALUE"""),"Y")</f>
        <v>Y</v>
      </c>
      <c r="G366" s="3" t="str">
        <f>IFERROR(__xludf.DUMMYFUNCTION("""COMPUTED_VALUE"""),"Y")</f>
        <v>Y</v>
      </c>
      <c r="H366" s="3"/>
      <c r="I366" s="3" t="str">
        <f>IFERROR(__xludf.DUMMYFUNCTION("""COMPUTED_VALUE""")," ")</f>
        <v> </v>
      </c>
      <c r="J366" s="3" t="str">
        <f>IFERROR(__xludf.DUMMYFUNCTION("""COMPUTED_VALUE""")," ")</f>
        <v> </v>
      </c>
      <c r="K366" s="3" t="str">
        <f>IFERROR(__xludf.DUMMYFUNCTION("""COMPUTED_VALUE"""),"Y")</f>
        <v>Y</v>
      </c>
      <c r="L366" s="3" t="str">
        <f>IFERROR(__xludf.DUMMYFUNCTION("""COMPUTED_VALUE"""),"Group 3")</f>
        <v>Group 3</v>
      </c>
      <c r="M366" s="3"/>
      <c r="N366" s="5" t="str">
        <f>IFERROR(__xludf.DUMMYFUNCTION("""COMPUTED_VALUE""")," ")</f>
        <v> </v>
      </c>
      <c r="O366" s="5"/>
    </row>
    <row r="367">
      <c r="A367" s="2" t="str">
        <f>IFERROR(__xludf.DUMMYFUNCTION("""COMPUTED_VALUE"""),"0470")</f>
        <v>0470</v>
      </c>
      <c r="B367" s="2" t="str">
        <f>IFERROR(__xludf.DUMMYFUNCTION("""COMPUTED_VALUE"""),"ST VRAIN VALLEY RE-1J")</f>
        <v>ST VRAIN VALLEY RE-1J</v>
      </c>
      <c r="C367" s="2" t="str">
        <f>IFERROR(__xludf.DUMMYFUNCTION("""COMPUTED_VALUE"""),"07464")</f>
        <v>07464</v>
      </c>
      <c r="D367" s="2" t="str">
        <f>IFERROR(__xludf.DUMMYFUNCTION("""COMPUTED_VALUE"""),"ROCKY MOUNTAIN ELEMENTARY SCHOOL")</f>
        <v>ROCKY MOUNTAIN ELEMENTARY SCHOOL</v>
      </c>
      <c r="E367" s="3" t="str">
        <f>IFERROR(__xludf.DUMMYFUNCTION("""COMPUTED_VALUE"""),"Y")</f>
        <v>Y</v>
      </c>
      <c r="F367" s="3" t="str">
        <f>IFERROR(__xludf.DUMMYFUNCTION("""COMPUTED_VALUE"""),"Y")</f>
        <v>Y</v>
      </c>
      <c r="G367" s="3" t="str">
        <f>IFERROR(__xludf.DUMMYFUNCTION("""COMPUTED_VALUE"""),"Y")</f>
        <v>Y</v>
      </c>
      <c r="H367" s="3"/>
      <c r="I367" s="3" t="str">
        <f>IFERROR(__xludf.DUMMYFUNCTION("""COMPUTED_VALUE""")," ")</f>
        <v> </v>
      </c>
      <c r="J367" s="3" t="str">
        <f>IFERROR(__xludf.DUMMYFUNCTION("""COMPUTED_VALUE"""),"Y")</f>
        <v>Y</v>
      </c>
      <c r="K367" s="3" t="str">
        <f>IFERROR(__xludf.DUMMYFUNCTION("""COMPUTED_VALUE"""),"Y")</f>
        <v>Y</v>
      </c>
      <c r="L367" s="3" t="str">
        <f>IFERROR(__xludf.DUMMYFUNCTION("""COMPUTED_VALUE"""),"Group 2")</f>
        <v>Group 2</v>
      </c>
      <c r="M367" s="3"/>
      <c r="N367" s="5" t="str">
        <f>IFERROR(__xludf.DUMMYFUNCTION("""COMPUTED_VALUE"""),"Y")</f>
        <v>Y</v>
      </c>
      <c r="O367" s="5"/>
    </row>
    <row r="368">
      <c r="A368" s="2" t="str">
        <f>IFERROR(__xludf.DUMMYFUNCTION("""COMPUTED_VALUE"""),"0470")</f>
        <v>0470</v>
      </c>
      <c r="B368" s="2" t="str">
        <f>IFERROR(__xludf.DUMMYFUNCTION("""COMPUTED_VALUE"""),"ST VRAIN VALLEY RE-1J")</f>
        <v>ST VRAIN VALLEY RE-1J</v>
      </c>
      <c r="C368" s="2" t="str">
        <f>IFERROR(__xludf.DUMMYFUNCTION("""COMPUTED_VALUE"""),"07561")</f>
        <v>07561</v>
      </c>
      <c r="D368" s="2" t="str">
        <f>IFERROR(__xludf.DUMMYFUNCTION("""COMPUTED_VALUE"""),"SPARK! Discovery Preschool")</f>
        <v>SPARK! Discovery Preschool</v>
      </c>
      <c r="E368" s="3" t="str">
        <f>IFERROR(__xludf.DUMMYFUNCTION("""COMPUTED_VALUE"""),"Y")</f>
        <v>Y</v>
      </c>
      <c r="F368" s="3" t="str">
        <f>IFERROR(__xludf.DUMMYFUNCTION("""COMPUTED_VALUE"""),"Y")</f>
        <v>Y</v>
      </c>
      <c r="G368" s="3" t="str">
        <f>IFERROR(__xludf.DUMMYFUNCTION("""COMPUTED_VALUE"""),"Y")</f>
        <v>Y</v>
      </c>
      <c r="H368" s="3"/>
      <c r="I368" s="3" t="str">
        <f>IFERROR(__xludf.DUMMYFUNCTION("""COMPUTED_VALUE""")," ")</f>
        <v> </v>
      </c>
      <c r="J368" s="3" t="str">
        <f>IFERROR(__xludf.DUMMYFUNCTION("""COMPUTED_VALUE""")," ")</f>
        <v> </v>
      </c>
      <c r="K368" s="3" t="str">
        <f>IFERROR(__xludf.DUMMYFUNCTION("""COMPUTED_VALUE"""),"Y")</f>
        <v>Y</v>
      </c>
      <c r="L368" s="3" t="str">
        <f>IFERROR(__xludf.DUMMYFUNCTION("""COMPUTED_VALUE"""),"Group 1")</f>
        <v>Group 1</v>
      </c>
      <c r="M368" s="3"/>
      <c r="N368" s="5" t="str">
        <f>IFERROR(__xludf.DUMMYFUNCTION("""COMPUTED_VALUE""")," ")</f>
        <v> </v>
      </c>
      <c r="O368" s="5"/>
    </row>
    <row r="369">
      <c r="A369" s="2" t="str">
        <f>IFERROR(__xludf.DUMMYFUNCTION("""COMPUTED_VALUE"""),"0470")</f>
        <v>0470</v>
      </c>
      <c r="B369" s="2" t="str">
        <f>IFERROR(__xludf.DUMMYFUNCTION("""COMPUTED_VALUE"""),"ST VRAIN VALLEY RE-1J")</f>
        <v>ST VRAIN VALLEY RE-1J</v>
      </c>
      <c r="C369" s="2" t="str">
        <f>IFERROR(__xludf.DUMMYFUNCTION("""COMPUTED_VALUE"""),"07565")</f>
        <v>07565</v>
      </c>
      <c r="D369" s="2" t="str">
        <f>IFERROR(__xludf.DUMMYFUNCTION("""COMPUTED_VALUE"""),"ST. VRAIN COMMUNITY MONTESSORI SCHOOL")</f>
        <v>ST. VRAIN COMMUNITY MONTESSORI SCHOOL</v>
      </c>
      <c r="E369" s="3"/>
      <c r="F369" s="3" t="str">
        <f>IFERROR(__xludf.DUMMYFUNCTION("""COMPUTED_VALUE"""),"Y")</f>
        <v>Y</v>
      </c>
      <c r="G369" s="3"/>
      <c r="H369" s="3"/>
      <c r="I369" s="3" t="str">
        <f>IFERROR(__xludf.DUMMYFUNCTION("""COMPUTED_VALUE""")," ")</f>
        <v> </v>
      </c>
      <c r="J369" s="3" t="str">
        <f>IFERROR(__xludf.DUMMYFUNCTION("""COMPUTED_VALUE""")," ")</f>
        <v> </v>
      </c>
      <c r="K369" s="3" t="str">
        <f>IFERROR(__xludf.DUMMYFUNCTION("""COMPUTED_VALUE"""),"Y")</f>
        <v>Y</v>
      </c>
      <c r="L369" s="3" t="str">
        <f>IFERROR(__xludf.DUMMYFUNCTION("""COMPUTED_VALUE""")," ")</f>
        <v> </v>
      </c>
      <c r="M369" s="3"/>
      <c r="N369" s="5" t="str">
        <f>IFERROR(__xludf.DUMMYFUNCTION("""COMPUTED_VALUE""")," ")</f>
        <v> </v>
      </c>
      <c r="O369" s="5"/>
    </row>
    <row r="370">
      <c r="A370" s="2" t="str">
        <f>IFERROR(__xludf.DUMMYFUNCTION("""COMPUTED_VALUE"""),"0470")</f>
        <v>0470</v>
      </c>
      <c r="B370" s="2" t="str">
        <f>IFERROR(__xludf.DUMMYFUNCTION("""COMPUTED_VALUE"""),"ST VRAIN VALLEY RE-1J")</f>
        <v>ST VRAIN VALLEY RE-1J</v>
      </c>
      <c r="C370" s="2" t="str">
        <f>IFERROR(__xludf.DUMMYFUNCTION("""COMPUTED_VALUE"""),"07584")</f>
        <v>07584</v>
      </c>
      <c r="D370" s="2" t="str">
        <f>IFERROR(__xludf.DUMMYFUNCTION("""COMPUTED_VALUE"""),"SANBORN ELEMENTARY SCHOOL")</f>
        <v>SANBORN ELEMENTARY SCHOOL</v>
      </c>
      <c r="E370" s="3" t="str">
        <f>IFERROR(__xludf.DUMMYFUNCTION("""COMPUTED_VALUE"""),"Y")</f>
        <v>Y</v>
      </c>
      <c r="F370" s="3" t="str">
        <f>IFERROR(__xludf.DUMMYFUNCTION("""COMPUTED_VALUE"""),"Y")</f>
        <v>Y</v>
      </c>
      <c r="G370" s="3" t="str">
        <f>IFERROR(__xludf.DUMMYFUNCTION("""COMPUTED_VALUE"""),"Y")</f>
        <v>Y</v>
      </c>
      <c r="H370" s="3"/>
      <c r="I370" s="3" t="str">
        <f>IFERROR(__xludf.DUMMYFUNCTION("""COMPUTED_VALUE""")," ")</f>
        <v> </v>
      </c>
      <c r="J370" s="3" t="str">
        <f>IFERROR(__xludf.DUMMYFUNCTION("""COMPUTED_VALUE""")," ")</f>
        <v> </v>
      </c>
      <c r="K370" s="3" t="str">
        <f>IFERROR(__xludf.DUMMYFUNCTION("""COMPUTED_VALUE"""),"Y")</f>
        <v>Y</v>
      </c>
      <c r="L370" s="3" t="str">
        <f>IFERROR(__xludf.DUMMYFUNCTION("""COMPUTED_VALUE"""),"Group 4")</f>
        <v>Group 4</v>
      </c>
      <c r="M370" s="3"/>
      <c r="N370" s="5" t="str">
        <f>IFERROR(__xludf.DUMMYFUNCTION("""COMPUTED_VALUE"""),"Y")</f>
        <v>Y</v>
      </c>
      <c r="O370" s="5"/>
    </row>
    <row r="371">
      <c r="A371" s="2" t="str">
        <f>IFERROR(__xludf.DUMMYFUNCTION("""COMPUTED_VALUE"""),"0470")</f>
        <v>0470</v>
      </c>
      <c r="B371" s="2" t="str">
        <f>IFERROR(__xludf.DUMMYFUNCTION("""COMPUTED_VALUE"""),"ST VRAIN VALLEY RE-1J")</f>
        <v>ST VRAIN VALLEY RE-1J</v>
      </c>
      <c r="C371" s="2" t="str">
        <f>IFERROR(__xludf.DUMMYFUNCTION("""COMPUTED_VALUE"""),"07789")</f>
        <v>07789</v>
      </c>
      <c r="D371" s="2" t="str">
        <f>IFERROR(__xludf.DUMMYFUNCTION("""COMPUTED_VALUE"""),"SILVER CREEK HIGH SCHOOL")</f>
        <v>SILVER CREEK HIGH SCHOOL</v>
      </c>
      <c r="E371" s="3" t="str">
        <f>IFERROR(__xludf.DUMMYFUNCTION("""COMPUTED_VALUE"""),"Y")</f>
        <v>Y</v>
      </c>
      <c r="F371" s="3" t="str">
        <f>IFERROR(__xludf.DUMMYFUNCTION("""COMPUTED_VALUE"""),"Y")</f>
        <v>Y</v>
      </c>
      <c r="G371" s="3" t="str">
        <f>IFERROR(__xludf.DUMMYFUNCTION("""COMPUTED_VALUE"""),"Y")</f>
        <v>Y</v>
      </c>
      <c r="H371" s="3"/>
      <c r="I371" s="3" t="str">
        <f>IFERROR(__xludf.DUMMYFUNCTION("""COMPUTED_VALUE""")," ")</f>
        <v> </v>
      </c>
      <c r="J371" s="3" t="str">
        <f>IFERROR(__xludf.DUMMYFUNCTION("""COMPUTED_VALUE""")," ")</f>
        <v> </v>
      </c>
      <c r="K371" s="3" t="str">
        <f>IFERROR(__xludf.DUMMYFUNCTION("""COMPUTED_VALUE"""),"Y")</f>
        <v>Y</v>
      </c>
      <c r="L371" s="3" t="str">
        <f>IFERROR(__xludf.DUMMYFUNCTION("""COMPUTED_VALUE""")," ")</f>
        <v> </v>
      </c>
      <c r="M371" s="3"/>
      <c r="N371" s="5" t="str">
        <f>IFERROR(__xludf.DUMMYFUNCTION("""COMPUTED_VALUE""")," ")</f>
        <v> </v>
      </c>
      <c r="O371" s="5"/>
    </row>
    <row r="372">
      <c r="A372" s="2" t="str">
        <f>IFERROR(__xludf.DUMMYFUNCTION("""COMPUTED_VALUE"""),"0470")</f>
        <v>0470</v>
      </c>
      <c r="B372" s="2" t="str">
        <f>IFERROR(__xludf.DUMMYFUNCTION("""COMPUTED_VALUE"""),"ST VRAIN VALLEY RE-1J")</f>
        <v>ST VRAIN VALLEY RE-1J</v>
      </c>
      <c r="C372" s="2" t="str">
        <f>IFERROR(__xludf.DUMMYFUNCTION("""COMPUTED_VALUE"""),"07839")</f>
        <v>07839</v>
      </c>
      <c r="D372" s="2" t="str">
        <f>IFERROR(__xludf.DUMMYFUNCTION("""COMPUTED_VALUE"""),"St. Vrain Virtual High School")</f>
        <v>St. Vrain Virtual High School</v>
      </c>
      <c r="E372" s="3" t="str">
        <f>IFERROR(__xludf.DUMMYFUNCTION("""COMPUTED_VALUE"""),"Y")</f>
        <v>Y</v>
      </c>
      <c r="F372" s="3" t="str">
        <f>IFERROR(__xludf.DUMMYFUNCTION("""COMPUTED_VALUE"""),"Y")</f>
        <v>Y</v>
      </c>
      <c r="G372" s="3"/>
      <c r="H372" s="3"/>
      <c r="I372" s="3" t="str">
        <f>IFERROR(__xludf.DUMMYFUNCTION("""COMPUTED_VALUE""")," ")</f>
        <v> </v>
      </c>
      <c r="J372" s="3" t="str">
        <f>IFERROR(__xludf.DUMMYFUNCTION("""COMPUTED_VALUE""")," ")</f>
        <v> </v>
      </c>
      <c r="K372" s="3" t="str">
        <f>IFERROR(__xludf.DUMMYFUNCTION("""COMPUTED_VALUE"""),"Y")</f>
        <v>Y</v>
      </c>
      <c r="L372" s="3" t="str">
        <f>IFERROR(__xludf.DUMMYFUNCTION("""COMPUTED_VALUE""")," ")</f>
        <v> </v>
      </c>
      <c r="M372" s="3"/>
      <c r="N372" s="5" t="str">
        <f>IFERROR(__xludf.DUMMYFUNCTION("""COMPUTED_VALUE""")," ")</f>
        <v> </v>
      </c>
      <c r="O372" s="5"/>
    </row>
    <row r="373">
      <c r="A373" s="2" t="str">
        <f>IFERROR(__xludf.DUMMYFUNCTION("""COMPUTED_VALUE"""),"0470")</f>
        <v>0470</v>
      </c>
      <c r="B373" s="2" t="str">
        <f>IFERROR(__xludf.DUMMYFUNCTION("""COMPUTED_VALUE"""),"ST VRAIN VALLEY RE-1J")</f>
        <v>ST VRAIN VALLEY RE-1J</v>
      </c>
      <c r="C373" s="2" t="str">
        <f>IFERROR(__xludf.DUMMYFUNCTION("""COMPUTED_VALUE"""),"07954")</f>
        <v>07954</v>
      </c>
      <c r="D373" s="2" t="str">
        <f>IFERROR(__xludf.DUMMYFUNCTION("""COMPUTED_VALUE"""),"SKYLINE HIGH SCHOOL")</f>
        <v>SKYLINE HIGH SCHOOL</v>
      </c>
      <c r="E373" s="3" t="str">
        <f>IFERROR(__xludf.DUMMYFUNCTION("""COMPUTED_VALUE"""),"Y")</f>
        <v>Y</v>
      </c>
      <c r="F373" s="3" t="str">
        <f>IFERROR(__xludf.DUMMYFUNCTION("""COMPUTED_VALUE"""),"Y")</f>
        <v>Y</v>
      </c>
      <c r="G373" s="3" t="str">
        <f>IFERROR(__xludf.DUMMYFUNCTION("""COMPUTED_VALUE"""),"Y")</f>
        <v>Y</v>
      </c>
      <c r="H373" s="3"/>
      <c r="I373" s="3" t="str">
        <f>IFERROR(__xludf.DUMMYFUNCTION("""COMPUTED_VALUE""")," ")</f>
        <v> </v>
      </c>
      <c r="J373" s="3" t="str">
        <f>IFERROR(__xludf.DUMMYFUNCTION("""COMPUTED_VALUE""")," ")</f>
        <v> </v>
      </c>
      <c r="K373" s="3" t="str">
        <f>IFERROR(__xludf.DUMMYFUNCTION("""COMPUTED_VALUE"""),"Y")</f>
        <v>Y</v>
      </c>
      <c r="L373" s="3" t="str">
        <f>IFERROR(__xludf.DUMMYFUNCTION("""COMPUTED_VALUE"""),"Group 11")</f>
        <v>Group 11</v>
      </c>
      <c r="M373" s="3"/>
      <c r="N373" s="5" t="str">
        <f>IFERROR(__xludf.DUMMYFUNCTION("""COMPUTED_VALUE"""),"Y")</f>
        <v>Y</v>
      </c>
      <c r="O373" s="5"/>
    </row>
    <row r="374">
      <c r="A374" s="2" t="str">
        <f>IFERROR(__xludf.DUMMYFUNCTION("""COMPUTED_VALUE"""),"0470")</f>
        <v>0470</v>
      </c>
      <c r="B374" s="2" t="str">
        <f>IFERROR(__xludf.DUMMYFUNCTION("""COMPUTED_VALUE"""),"ST VRAIN VALLEY RE-1J")</f>
        <v>ST VRAIN VALLEY RE-1J</v>
      </c>
      <c r="C374" s="2" t="str">
        <f>IFERROR(__xludf.DUMMYFUNCTION("""COMPUTED_VALUE"""),"08055")</f>
        <v>08055</v>
      </c>
      <c r="D374" s="2" t="str">
        <f>IFERROR(__xludf.DUMMYFUNCTION("""COMPUTED_VALUE"""),"Soaring Heights")</f>
        <v>Soaring Heights</v>
      </c>
      <c r="E374" s="3" t="str">
        <f>IFERROR(__xludf.DUMMYFUNCTION("""COMPUTED_VALUE"""),"Y")</f>
        <v>Y</v>
      </c>
      <c r="F374" s="3" t="str">
        <f>IFERROR(__xludf.DUMMYFUNCTION("""COMPUTED_VALUE"""),"Y")</f>
        <v>Y</v>
      </c>
      <c r="G374" s="3" t="str">
        <f>IFERROR(__xludf.DUMMYFUNCTION("""COMPUTED_VALUE"""),"Y")</f>
        <v>Y</v>
      </c>
      <c r="H374" s="3"/>
      <c r="I374" s="3" t="str">
        <f>IFERROR(__xludf.DUMMYFUNCTION("""COMPUTED_VALUE""")," ")</f>
        <v> </v>
      </c>
      <c r="J374" s="3" t="str">
        <f>IFERROR(__xludf.DUMMYFUNCTION("""COMPUTED_VALUE""")," ")</f>
        <v> </v>
      </c>
      <c r="K374" s="3" t="str">
        <f>IFERROR(__xludf.DUMMYFUNCTION("""COMPUTED_VALUE"""),"Y")</f>
        <v>Y</v>
      </c>
      <c r="L374" s="3" t="str">
        <f>IFERROR(__xludf.DUMMYFUNCTION("""COMPUTED_VALUE"""),"Group 11")</f>
        <v>Group 11</v>
      </c>
      <c r="M374" s="3"/>
      <c r="N374" s="5" t="str">
        <f>IFERROR(__xludf.DUMMYFUNCTION("""COMPUTED_VALUE""")," ")</f>
        <v> </v>
      </c>
      <c r="O374" s="5"/>
    </row>
    <row r="375">
      <c r="A375" s="2" t="str">
        <f>IFERROR(__xludf.DUMMYFUNCTION("""COMPUTED_VALUE"""),"0470")</f>
        <v>0470</v>
      </c>
      <c r="B375" s="2" t="str">
        <f>IFERROR(__xludf.DUMMYFUNCTION("""COMPUTED_VALUE"""),"ST VRAIN VALLEY RE-1J")</f>
        <v>ST VRAIN VALLEY RE-1J</v>
      </c>
      <c r="C375" s="2" t="str">
        <f>IFERROR(__xludf.DUMMYFUNCTION("""COMPUTED_VALUE"""),"08903")</f>
        <v>08903</v>
      </c>
      <c r="D375" s="2" t="str">
        <f>IFERROR(__xludf.DUMMYFUNCTION("""COMPUTED_VALUE"""),"TRAIL RIDGE MIDDLE SCHOOL")</f>
        <v>TRAIL RIDGE MIDDLE SCHOOL</v>
      </c>
      <c r="E375" s="3" t="str">
        <f>IFERROR(__xludf.DUMMYFUNCTION("""COMPUTED_VALUE"""),"Y")</f>
        <v>Y</v>
      </c>
      <c r="F375" s="3" t="str">
        <f>IFERROR(__xludf.DUMMYFUNCTION("""COMPUTED_VALUE"""),"Y")</f>
        <v>Y</v>
      </c>
      <c r="G375" s="3" t="str">
        <f>IFERROR(__xludf.DUMMYFUNCTION("""COMPUTED_VALUE"""),"Y")</f>
        <v>Y</v>
      </c>
      <c r="H375" s="3"/>
      <c r="I375" s="3" t="str">
        <f>IFERROR(__xludf.DUMMYFUNCTION("""COMPUTED_VALUE""")," ")</f>
        <v> </v>
      </c>
      <c r="J375" s="3" t="str">
        <f>IFERROR(__xludf.DUMMYFUNCTION("""COMPUTED_VALUE""")," ")</f>
        <v> </v>
      </c>
      <c r="K375" s="3" t="str">
        <f>IFERROR(__xludf.DUMMYFUNCTION("""COMPUTED_VALUE"""),"Y")</f>
        <v>Y</v>
      </c>
      <c r="L375" s="3" t="str">
        <f>IFERROR(__xludf.DUMMYFUNCTION("""COMPUTED_VALUE"""),"Group 1")</f>
        <v>Group 1</v>
      </c>
      <c r="M375" s="3"/>
      <c r="N375" s="5" t="str">
        <f>IFERROR(__xludf.DUMMYFUNCTION("""COMPUTED_VALUE"""),"Y")</f>
        <v>Y</v>
      </c>
      <c r="O375" s="5"/>
    </row>
    <row r="376">
      <c r="A376" s="2" t="str">
        <f>IFERROR(__xludf.DUMMYFUNCTION("""COMPUTED_VALUE"""),"0470")</f>
        <v>0470</v>
      </c>
      <c r="B376" s="2" t="str">
        <f>IFERROR(__xludf.DUMMYFUNCTION("""COMPUTED_VALUE"""),"ST VRAIN VALLEY RE-1J")</f>
        <v>ST VRAIN VALLEY RE-1J</v>
      </c>
      <c r="C376" s="2" t="str">
        <f>IFERROR(__xludf.DUMMYFUNCTION("""COMPUTED_VALUE"""),"08927")</f>
        <v>08927</v>
      </c>
      <c r="D376" s="2" t="str">
        <f>IFERROR(__xludf.DUMMYFUNCTION("""COMPUTED_VALUE"""),"TWIN PEAKS CLASSICAL ACADEMY")</f>
        <v>TWIN PEAKS CLASSICAL ACADEMY</v>
      </c>
      <c r="E376" s="3" t="str">
        <f>IFERROR(__xludf.DUMMYFUNCTION("""COMPUTED_VALUE"""),"Y")</f>
        <v>Y</v>
      </c>
      <c r="F376" s="3" t="str">
        <f>IFERROR(__xludf.DUMMYFUNCTION("""COMPUTED_VALUE"""),"Y")</f>
        <v>Y</v>
      </c>
      <c r="G376" s="3"/>
      <c r="H376" s="3"/>
      <c r="I376" s="3" t="str">
        <f>IFERROR(__xludf.DUMMYFUNCTION("""COMPUTED_VALUE""")," ")</f>
        <v> </v>
      </c>
      <c r="J376" s="3" t="str">
        <f>IFERROR(__xludf.DUMMYFUNCTION("""COMPUTED_VALUE""")," ")</f>
        <v> </v>
      </c>
      <c r="K376" s="3" t="str">
        <f>IFERROR(__xludf.DUMMYFUNCTION("""COMPUTED_VALUE"""),"Y")</f>
        <v>Y</v>
      </c>
      <c r="L376" s="3" t="str">
        <f>IFERROR(__xludf.DUMMYFUNCTION("""COMPUTED_VALUE"""),"Group 8")</f>
        <v>Group 8</v>
      </c>
      <c r="M376" s="3"/>
      <c r="N376" s="5" t="str">
        <f>IFERROR(__xludf.DUMMYFUNCTION("""COMPUTED_VALUE""")," ")</f>
        <v> </v>
      </c>
      <c r="O376" s="5"/>
    </row>
    <row r="377">
      <c r="A377" s="2" t="str">
        <f>IFERROR(__xludf.DUMMYFUNCTION("""COMPUTED_VALUE"""),"0470")</f>
        <v>0470</v>
      </c>
      <c r="B377" s="2" t="str">
        <f>IFERROR(__xludf.DUMMYFUNCTION("""COMPUTED_VALUE"""),"ST VRAIN VALLEY RE-1J")</f>
        <v>ST VRAIN VALLEY RE-1J</v>
      </c>
      <c r="C377" s="2" t="str">
        <f>IFERROR(__xludf.DUMMYFUNCTION("""COMPUTED_VALUE"""),"09430")</f>
        <v>09430</v>
      </c>
      <c r="D377" s="2" t="str">
        <f>IFERROR(__xludf.DUMMYFUNCTION("""COMPUTED_VALUE"""),"WESTVIEW MIDDLE SCHOOL")</f>
        <v>WESTVIEW MIDDLE SCHOOL</v>
      </c>
      <c r="E377" s="3" t="str">
        <f>IFERROR(__xludf.DUMMYFUNCTION("""COMPUTED_VALUE"""),"Y")</f>
        <v>Y</v>
      </c>
      <c r="F377" s="3" t="str">
        <f>IFERROR(__xludf.DUMMYFUNCTION("""COMPUTED_VALUE"""),"Y")</f>
        <v>Y</v>
      </c>
      <c r="G377" s="3"/>
      <c r="H377" s="3"/>
      <c r="I377" s="3" t="str">
        <f>IFERROR(__xludf.DUMMYFUNCTION("""COMPUTED_VALUE""")," ")</f>
        <v> </v>
      </c>
      <c r="J377" s="3" t="str">
        <f>IFERROR(__xludf.DUMMYFUNCTION("""COMPUTED_VALUE""")," ")</f>
        <v> </v>
      </c>
      <c r="K377" s="3" t="str">
        <f>IFERROR(__xludf.DUMMYFUNCTION("""COMPUTED_VALUE"""),"Y")</f>
        <v>Y</v>
      </c>
      <c r="L377" s="3" t="str">
        <f>IFERROR(__xludf.DUMMYFUNCTION("""COMPUTED_VALUE"""),"Group 6")</f>
        <v>Group 6</v>
      </c>
      <c r="M377" s="3"/>
      <c r="N377" s="5" t="str">
        <f>IFERROR(__xludf.DUMMYFUNCTION("""COMPUTED_VALUE"""),"Y")</f>
        <v>Y</v>
      </c>
      <c r="O377" s="5"/>
    </row>
    <row r="378">
      <c r="A378" s="2" t="str">
        <f>IFERROR(__xludf.DUMMYFUNCTION("""COMPUTED_VALUE"""),"0480")</f>
        <v>0480</v>
      </c>
      <c r="B378" s="2" t="str">
        <f>IFERROR(__xludf.DUMMYFUNCTION("""COMPUTED_VALUE"""),"BOULDER VALLEY RE 2")</f>
        <v>BOULDER VALLEY RE 2</v>
      </c>
      <c r="C378" s="2" t="str">
        <f>IFERROR(__xludf.DUMMYFUNCTION("""COMPUTED_VALUE"""),"00125")</f>
        <v>00125</v>
      </c>
      <c r="D378" s="2" t="str">
        <f>IFERROR(__xludf.DUMMYFUNCTION("""COMPUTED_VALUE"""),"ARAPAHOE RIDGE HIGH SCHOOL")</f>
        <v>ARAPAHOE RIDGE HIGH SCHOOL</v>
      </c>
      <c r="E378" s="3" t="str">
        <f>IFERROR(__xludf.DUMMYFUNCTION("""COMPUTED_VALUE"""),"Y")</f>
        <v>Y</v>
      </c>
      <c r="F378" s="3" t="str">
        <f>IFERROR(__xludf.DUMMYFUNCTION("""COMPUTED_VALUE"""),"Y")</f>
        <v>Y</v>
      </c>
      <c r="G378" s="3"/>
      <c r="H378" s="3"/>
      <c r="I378" s="3" t="str">
        <f>IFERROR(__xludf.DUMMYFUNCTION("""COMPUTED_VALUE""")," ")</f>
        <v> </v>
      </c>
      <c r="J378" s="3" t="str">
        <f>IFERROR(__xludf.DUMMYFUNCTION("""COMPUTED_VALUE""")," ")</f>
        <v> </v>
      </c>
      <c r="K378" s="3" t="str">
        <f>IFERROR(__xludf.DUMMYFUNCTION("""COMPUTED_VALUE"""),"Y")</f>
        <v>Y</v>
      </c>
      <c r="L378" s="3" t="str">
        <f>IFERROR(__xludf.DUMMYFUNCTION("""COMPUTED_VALUE"""),"Group 8")</f>
        <v>Group 8</v>
      </c>
      <c r="M378" s="3"/>
      <c r="N378" s="5" t="str">
        <f>IFERROR(__xludf.DUMMYFUNCTION("""COMPUTED_VALUE""")," ")</f>
        <v> </v>
      </c>
      <c r="O378" s="5"/>
    </row>
    <row r="379">
      <c r="A379" s="2" t="str">
        <f>IFERROR(__xludf.DUMMYFUNCTION("""COMPUTED_VALUE"""),"0480")</f>
        <v>0480</v>
      </c>
      <c r="B379" s="2" t="str">
        <f>IFERROR(__xludf.DUMMYFUNCTION("""COMPUTED_VALUE"""),"BOULDER VALLEY RE 2")</f>
        <v>BOULDER VALLEY RE 2</v>
      </c>
      <c r="C379" s="2" t="str">
        <f>IFERROR(__xludf.DUMMYFUNCTION("""COMPUTED_VALUE"""),"00441")</f>
        <v>00441</v>
      </c>
      <c r="D379" s="2" t="str">
        <f>IFERROR(__xludf.DUMMYFUNCTION("""COMPUTED_VALUE"""),"ASPEN CREEK K-8 SCHOOL")</f>
        <v>ASPEN CREEK K-8 SCHOOL</v>
      </c>
      <c r="E379" s="3" t="str">
        <f>IFERROR(__xludf.DUMMYFUNCTION("""COMPUTED_VALUE"""),"Y")</f>
        <v>Y</v>
      </c>
      <c r="F379" s="3" t="str">
        <f>IFERROR(__xludf.DUMMYFUNCTION("""COMPUTED_VALUE"""),"Y")</f>
        <v>Y</v>
      </c>
      <c r="G379" s="3" t="str">
        <f>IFERROR(__xludf.DUMMYFUNCTION("""COMPUTED_VALUE"""),"Y")</f>
        <v>Y</v>
      </c>
      <c r="H379" s="3"/>
      <c r="I379" s="3" t="str">
        <f>IFERROR(__xludf.DUMMYFUNCTION("""COMPUTED_VALUE""")," ")</f>
        <v> </v>
      </c>
      <c r="J379" s="3" t="str">
        <f>IFERROR(__xludf.DUMMYFUNCTION("""COMPUTED_VALUE""")," ")</f>
        <v> </v>
      </c>
      <c r="K379" s="3" t="str">
        <f>IFERROR(__xludf.DUMMYFUNCTION("""COMPUTED_VALUE"""),"Y")</f>
        <v>Y</v>
      </c>
      <c r="L379" s="3" t="str">
        <f>IFERROR(__xludf.DUMMYFUNCTION("""COMPUTED_VALUE"""),"Group 14")</f>
        <v>Group 14</v>
      </c>
      <c r="M379" s="3"/>
      <c r="N379" s="5" t="str">
        <f>IFERROR(__xludf.DUMMYFUNCTION("""COMPUTED_VALUE""")," ")</f>
        <v> </v>
      </c>
      <c r="O379" s="5"/>
    </row>
    <row r="380">
      <c r="A380" s="2" t="str">
        <f>IFERROR(__xludf.DUMMYFUNCTION("""COMPUTED_VALUE"""),"0480")</f>
        <v>0480</v>
      </c>
      <c r="B380" s="2" t="str">
        <f>IFERROR(__xludf.DUMMYFUNCTION("""COMPUTED_VALUE"""),"BOULDER VALLEY RE 2")</f>
        <v>BOULDER VALLEY RE 2</v>
      </c>
      <c r="C380" s="2" t="str">
        <f>IFERROR(__xludf.DUMMYFUNCTION("""COMPUTED_VALUE"""),"00652")</f>
        <v>00652</v>
      </c>
      <c r="D380" s="2" t="str">
        <f>IFERROR(__xludf.DUMMYFUNCTION("""COMPUTED_VALUE"""),"BEAR CREEK ELEMENTARY SCHOOL")</f>
        <v>BEAR CREEK ELEMENTARY SCHOOL</v>
      </c>
      <c r="E380" s="3" t="str">
        <f>IFERROR(__xludf.DUMMYFUNCTION("""COMPUTED_VALUE"""),"Y")</f>
        <v>Y</v>
      </c>
      <c r="F380" s="3" t="str">
        <f>IFERROR(__xludf.DUMMYFUNCTION("""COMPUTED_VALUE"""),"Y")</f>
        <v>Y</v>
      </c>
      <c r="G380" s="3" t="str">
        <f>IFERROR(__xludf.DUMMYFUNCTION("""COMPUTED_VALUE"""),"Y")</f>
        <v>Y</v>
      </c>
      <c r="H380" s="3"/>
      <c r="I380" s="3" t="str">
        <f>IFERROR(__xludf.DUMMYFUNCTION("""COMPUTED_VALUE""")," ")</f>
        <v> </v>
      </c>
      <c r="J380" s="3" t="str">
        <f>IFERROR(__xludf.DUMMYFUNCTION("""COMPUTED_VALUE""")," ")</f>
        <v> </v>
      </c>
      <c r="K380" s="3" t="str">
        <f>IFERROR(__xludf.DUMMYFUNCTION("""COMPUTED_VALUE"""),"Y")</f>
        <v>Y</v>
      </c>
      <c r="L380" s="3" t="str">
        <f>IFERROR(__xludf.DUMMYFUNCTION("""COMPUTED_VALUE""")," ")</f>
        <v> </v>
      </c>
      <c r="M380" s="3"/>
      <c r="N380" s="5" t="str">
        <f>IFERROR(__xludf.DUMMYFUNCTION("""COMPUTED_VALUE""")," ")</f>
        <v> </v>
      </c>
      <c r="O380" s="5"/>
    </row>
    <row r="381">
      <c r="A381" s="2" t="str">
        <f>IFERROR(__xludf.DUMMYFUNCTION("""COMPUTED_VALUE"""),"0480")</f>
        <v>0480</v>
      </c>
      <c r="B381" s="2" t="str">
        <f>IFERROR(__xludf.DUMMYFUNCTION("""COMPUTED_VALUE"""),"BOULDER VALLEY RE 2")</f>
        <v>BOULDER VALLEY RE 2</v>
      </c>
      <c r="C381" s="2" t="str">
        <f>IFERROR(__xludf.DUMMYFUNCTION("""COMPUTED_VALUE"""),"00872")</f>
        <v>00872</v>
      </c>
      <c r="D381" s="2" t="str">
        <f>IFERROR(__xludf.DUMMYFUNCTION("""COMPUTED_VALUE"""),"BIRCH ELEMENTARY SCHOOL")</f>
        <v>BIRCH ELEMENTARY SCHOOL</v>
      </c>
      <c r="E381" s="3" t="str">
        <f>IFERROR(__xludf.DUMMYFUNCTION("""COMPUTED_VALUE"""),"Y")</f>
        <v>Y</v>
      </c>
      <c r="F381" s="3" t="str">
        <f>IFERROR(__xludf.DUMMYFUNCTION("""COMPUTED_VALUE"""),"Y")</f>
        <v>Y</v>
      </c>
      <c r="G381" s="3" t="str">
        <f>IFERROR(__xludf.DUMMYFUNCTION("""COMPUTED_VALUE"""),"Y")</f>
        <v>Y</v>
      </c>
      <c r="H381" s="3"/>
      <c r="I381" s="3" t="str">
        <f>IFERROR(__xludf.DUMMYFUNCTION("""COMPUTED_VALUE""")," ")</f>
        <v> </v>
      </c>
      <c r="J381" s="3" t="str">
        <f>IFERROR(__xludf.DUMMYFUNCTION("""COMPUTED_VALUE""")," ")</f>
        <v> </v>
      </c>
      <c r="K381" s="3" t="str">
        <f>IFERROR(__xludf.DUMMYFUNCTION("""COMPUTED_VALUE"""),"Y")</f>
        <v>Y</v>
      </c>
      <c r="L381" s="3" t="str">
        <f>IFERROR(__xludf.DUMMYFUNCTION("""COMPUTED_VALUE"""),"Group 10")</f>
        <v>Group 10</v>
      </c>
      <c r="M381" s="3"/>
      <c r="N381" s="5" t="str">
        <f>IFERROR(__xludf.DUMMYFUNCTION("""COMPUTED_VALUE""")," ")</f>
        <v> </v>
      </c>
      <c r="O381" s="5"/>
    </row>
    <row r="382">
      <c r="A382" s="2" t="str">
        <f>IFERROR(__xludf.DUMMYFUNCTION("""COMPUTED_VALUE"""),"0480")</f>
        <v>0480</v>
      </c>
      <c r="B382" s="2" t="str">
        <f>IFERROR(__xludf.DUMMYFUNCTION("""COMPUTED_VALUE"""),"BOULDER VALLEY RE 2")</f>
        <v>BOULDER VALLEY RE 2</v>
      </c>
      <c r="C382" s="2" t="str">
        <f>IFERROR(__xludf.DUMMYFUNCTION("""COMPUTED_VALUE"""),"00924")</f>
        <v>00924</v>
      </c>
      <c r="D382" s="2" t="str">
        <f>IFERROR(__xludf.DUMMYFUNCTION("""COMPUTED_VALUE"""),"BOULDER HIGH SCHOOL")</f>
        <v>BOULDER HIGH SCHOOL</v>
      </c>
      <c r="E382" s="3" t="str">
        <f>IFERROR(__xludf.DUMMYFUNCTION("""COMPUTED_VALUE"""),"Y")</f>
        <v>Y</v>
      </c>
      <c r="F382" s="3" t="str">
        <f>IFERROR(__xludf.DUMMYFUNCTION("""COMPUTED_VALUE"""),"Y")</f>
        <v>Y</v>
      </c>
      <c r="G382" s="3" t="str">
        <f>IFERROR(__xludf.DUMMYFUNCTION("""COMPUTED_VALUE"""),"Y")</f>
        <v>Y</v>
      </c>
      <c r="H382" s="3"/>
      <c r="I382" s="3" t="str">
        <f>IFERROR(__xludf.DUMMYFUNCTION("""COMPUTED_VALUE""")," ")</f>
        <v> </v>
      </c>
      <c r="J382" s="3" t="str">
        <f>IFERROR(__xludf.DUMMYFUNCTION("""COMPUTED_VALUE""")," ")</f>
        <v> </v>
      </c>
      <c r="K382" s="3" t="str">
        <f>IFERROR(__xludf.DUMMYFUNCTION("""COMPUTED_VALUE"""),"Y")</f>
        <v>Y</v>
      </c>
      <c r="L382" s="3" t="str">
        <f>IFERROR(__xludf.DUMMYFUNCTION("""COMPUTED_VALUE"""),"Group 3")</f>
        <v>Group 3</v>
      </c>
      <c r="M382" s="3"/>
      <c r="N382" s="5" t="str">
        <f>IFERROR(__xludf.DUMMYFUNCTION("""COMPUTED_VALUE""")," ")</f>
        <v> </v>
      </c>
      <c r="O382" s="5"/>
    </row>
    <row r="383">
      <c r="A383" s="2" t="str">
        <f>IFERROR(__xludf.DUMMYFUNCTION("""COMPUTED_VALUE"""),"0480")</f>
        <v>0480</v>
      </c>
      <c r="B383" s="2" t="str">
        <f>IFERROR(__xludf.DUMMYFUNCTION("""COMPUTED_VALUE"""),"BOULDER VALLEY RE 2")</f>
        <v>BOULDER VALLEY RE 2</v>
      </c>
      <c r="C383" s="2" t="str">
        <f>IFERROR(__xludf.DUMMYFUNCTION("""COMPUTED_VALUE"""),"01066")</f>
        <v>01066</v>
      </c>
      <c r="D383" s="2" t="str">
        <f>IFERROR(__xludf.DUMMYFUNCTION("""COMPUTED_VALUE"""),"BROOMFIELD HEIGHTS MIDDLE SCHOOL")</f>
        <v>BROOMFIELD HEIGHTS MIDDLE SCHOOL</v>
      </c>
      <c r="E383" s="3" t="str">
        <f>IFERROR(__xludf.DUMMYFUNCTION("""COMPUTED_VALUE"""),"Y")</f>
        <v>Y</v>
      </c>
      <c r="F383" s="3" t="str">
        <f>IFERROR(__xludf.DUMMYFUNCTION("""COMPUTED_VALUE"""),"Y")</f>
        <v>Y</v>
      </c>
      <c r="G383" s="3"/>
      <c r="H383" s="3"/>
      <c r="I383" s="3" t="str">
        <f>IFERROR(__xludf.DUMMYFUNCTION("""COMPUTED_VALUE""")," ")</f>
        <v> </v>
      </c>
      <c r="J383" s="3" t="str">
        <f>IFERROR(__xludf.DUMMYFUNCTION("""COMPUTED_VALUE""")," ")</f>
        <v> </v>
      </c>
      <c r="K383" s="3" t="str">
        <f>IFERROR(__xludf.DUMMYFUNCTION("""COMPUTED_VALUE"""),"Y")</f>
        <v>Y</v>
      </c>
      <c r="L383" s="3" t="str">
        <f>IFERROR(__xludf.DUMMYFUNCTION("""COMPUTED_VALUE"""),"Group 14")</f>
        <v>Group 14</v>
      </c>
      <c r="M383" s="3"/>
      <c r="N383" s="5" t="str">
        <f>IFERROR(__xludf.DUMMYFUNCTION("""COMPUTED_VALUE""")," ")</f>
        <v> </v>
      </c>
      <c r="O383" s="5"/>
    </row>
    <row r="384">
      <c r="A384" s="2" t="str">
        <f>IFERROR(__xludf.DUMMYFUNCTION("""COMPUTED_VALUE"""),"0480")</f>
        <v>0480</v>
      </c>
      <c r="B384" s="2" t="str">
        <f>IFERROR(__xludf.DUMMYFUNCTION("""COMPUTED_VALUE"""),"BOULDER VALLEY RE 2")</f>
        <v>BOULDER VALLEY RE 2</v>
      </c>
      <c r="C384" s="2" t="str">
        <f>IFERROR(__xludf.DUMMYFUNCTION("""COMPUTED_VALUE"""),"01070")</f>
        <v>01070</v>
      </c>
      <c r="D384" s="2" t="str">
        <f>IFERROR(__xludf.DUMMYFUNCTION("""COMPUTED_VALUE"""),"BROOMFIELD HIGH SCHOOL")</f>
        <v>BROOMFIELD HIGH SCHOOL</v>
      </c>
      <c r="E384" s="3" t="str">
        <f>IFERROR(__xludf.DUMMYFUNCTION("""COMPUTED_VALUE"""),"Y")</f>
        <v>Y</v>
      </c>
      <c r="F384" s="3" t="str">
        <f>IFERROR(__xludf.DUMMYFUNCTION("""COMPUTED_VALUE"""),"Y")</f>
        <v>Y</v>
      </c>
      <c r="G384" s="3"/>
      <c r="H384" s="3"/>
      <c r="I384" s="3" t="str">
        <f>IFERROR(__xludf.DUMMYFUNCTION("""COMPUTED_VALUE""")," ")</f>
        <v> </v>
      </c>
      <c r="J384" s="3" t="str">
        <f>IFERROR(__xludf.DUMMYFUNCTION("""COMPUTED_VALUE""")," ")</f>
        <v> </v>
      </c>
      <c r="K384" s="3" t="str">
        <f>IFERROR(__xludf.DUMMYFUNCTION("""COMPUTED_VALUE"""),"Y")</f>
        <v>Y</v>
      </c>
      <c r="L384" s="3" t="str">
        <f>IFERROR(__xludf.DUMMYFUNCTION("""COMPUTED_VALUE""")," ")</f>
        <v> </v>
      </c>
      <c r="M384" s="3"/>
      <c r="N384" s="5" t="str">
        <f>IFERROR(__xludf.DUMMYFUNCTION("""COMPUTED_VALUE""")," ")</f>
        <v> </v>
      </c>
      <c r="O384" s="5"/>
    </row>
    <row r="385">
      <c r="A385" s="2" t="str">
        <f>IFERROR(__xludf.DUMMYFUNCTION("""COMPUTED_VALUE"""),"0480")</f>
        <v>0480</v>
      </c>
      <c r="B385" s="2" t="str">
        <f>IFERROR(__xludf.DUMMYFUNCTION("""COMPUTED_VALUE"""),"BOULDER VALLEY RE 2")</f>
        <v>BOULDER VALLEY RE 2</v>
      </c>
      <c r="C385" s="2" t="str">
        <f>IFERROR(__xludf.DUMMYFUNCTION("""COMPUTED_VALUE"""),"01136")</f>
        <v>01136</v>
      </c>
      <c r="D385" s="2" t="str">
        <f>IFERROR(__xludf.DUMMYFUNCTION("""COMPUTED_VALUE"""),"MANHATTAN MIDDLE SCHOOL OF THE ARTS AND ACADEMICS")</f>
        <v>MANHATTAN MIDDLE SCHOOL OF THE ARTS AND ACADEMICS</v>
      </c>
      <c r="E385" s="3" t="str">
        <f>IFERROR(__xludf.DUMMYFUNCTION("""COMPUTED_VALUE"""),"Y")</f>
        <v>Y</v>
      </c>
      <c r="F385" s="3" t="str">
        <f>IFERROR(__xludf.DUMMYFUNCTION("""COMPUTED_VALUE"""),"Y")</f>
        <v>Y</v>
      </c>
      <c r="G385" s="3"/>
      <c r="H385" s="3"/>
      <c r="I385" s="3" t="str">
        <f>IFERROR(__xludf.DUMMYFUNCTION("""COMPUTED_VALUE""")," ")</f>
        <v> </v>
      </c>
      <c r="J385" s="3" t="str">
        <f>IFERROR(__xludf.DUMMYFUNCTION("""COMPUTED_VALUE""")," ")</f>
        <v> </v>
      </c>
      <c r="K385" s="3" t="str">
        <f>IFERROR(__xludf.DUMMYFUNCTION("""COMPUTED_VALUE"""),"Y")</f>
        <v>Y</v>
      </c>
      <c r="L385" s="3" t="str">
        <f>IFERROR(__xludf.DUMMYFUNCTION("""COMPUTED_VALUE"""),"Group 14")</f>
        <v>Group 14</v>
      </c>
      <c r="M385" s="3"/>
      <c r="N385" s="5" t="str">
        <f>IFERROR(__xludf.DUMMYFUNCTION("""COMPUTED_VALUE""")," ")</f>
        <v> </v>
      </c>
      <c r="O385" s="5"/>
    </row>
    <row r="386">
      <c r="A386" s="2" t="str">
        <f>IFERROR(__xludf.DUMMYFUNCTION("""COMPUTED_VALUE"""),"0480")</f>
        <v>0480</v>
      </c>
      <c r="B386" s="2" t="str">
        <f>IFERROR(__xludf.DUMMYFUNCTION("""COMPUTED_VALUE"""),"BOULDER VALLEY RE 2")</f>
        <v>BOULDER VALLEY RE 2</v>
      </c>
      <c r="C386" s="2" t="str">
        <f>IFERROR(__xludf.DUMMYFUNCTION("""COMPUTED_VALUE"""),"01352")</f>
        <v>01352</v>
      </c>
      <c r="D386" s="2" t="str">
        <f>IFERROR(__xludf.DUMMYFUNCTION("""COMPUTED_VALUE"""),"CASEY MIDDLE SCHOOL")</f>
        <v>CASEY MIDDLE SCHOOL</v>
      </c>
      <c r="E386" s="3" t="str">
        <f>IFERROR(__xludf.DUMMYFUNCTION("""COMPUTED_VALUE"""),"Y")</f>
        <v>Y</v>
      </c>
      <c r="F386" s="3" t="str">
        <f>IFERROR(__xludf.DUMMYFUNCTION("""COMPUTED_VALUE"""),"Y")</f>
        <v>Y</v>
      </c>
      <c r="G386" s="3" t="str">
        <f>IFERROR(__xludf.DUMMYFUNCTION("""COMPUTED_VALUE"""),"Y")</f>
        <v>Y</v>
      </c>
      <c r="H386" s="3"/>
      <c r="I386" s="3" t="str">
        <f>IFERROR(__xludf.DUMMYFUNCTION("""COMPUTED_VALUE""")," ")</f>
        <v> </v>
      </c>
      <c r="J386" s="3" t="str">
        <f>IFERROR(__xludf.DUMMYFUNCTION("""COMPUTED_VALUE""")," ")</f>
        <v> </v>
      </c>
      <c r="K386" s="3" t="str">
        <f>IFERROR(__xludf.DUMMYFUNCTION("""COMPUTED_VALUE"""),"Y")</f>
        <v>Y</v>
      </c>
      <c r="L386" s="3" t="str">
        <f>IFERROR(__xludf.DUMMYFUNCTION("""COMPUTED_VALUE"""),"Group 14")</f>
        <v>Group 14</v>
      </c>
      <c r="M386" s="3"/>
      <c r="N386" s="5" t="str">
        <f>IFERROR(__xludf.DUMMYFUNCTION("""COMPUTED_VALUE"""),"Y")</f>
        <v>Y</v>
      </c>
      <c r="O386" s="5"/>
    </row>
    <row r="387">
      <c r="A387" s="2" t="str">
        <f>IFERROR(__xludf.DUMMYFUNCTION("""COMPUTED_VALUE"""),"0480")</f>
        <v>0480</v>
      </c>
      <c r="B387" s="2" t="str">
        <f>IFERROR(__xludf.DUMMYFUNCTION("""COMPUTED_VALUE"""),"BOULDER VALLEY RE 2")</f>
        <v>BOULDER VALLEY RE 2</v>
      </c>
      <c r="C387" s="2" t="str">
        <f>IFERROR(__xludf.DUMMYFUNCTION("""COMPUTED_VALUE"""),"01380")</f>
        <v>01380</v>
      </c>
      <c r="D387" s="2" t="str">
        <f>IFERROR(__xludf.DUMMYFUNCTION("""COMPUTED_VALUE"""),"CENTAURUS HIGH SCHOOL")</f>
        <v>CENTAURUS HIGH SCHOOL</v>
      </c>
      <c r="E387" s="3" t="str">
        <f>IFERROR(__xludf.DUMMYFUNCTION("""COMPUTED_VALUE"""),"Y")</f>
        <v>Y</v>
      </c>
      <c r="F387" s="3" t="str">
        <f>IFERROR(__xludf.DUMMYFUNCTION("""COMPUTED_VALUE"""),"Y")</f>
        <v>Y</v>
      </c>
      <c r="G387" s="3"/>
      <c r="H387" s="3"/>
      <c r="I387" s="3" t="str">
        <f>IFERROR(__xludf.DUMMYFUNCTION("""COMPUTED_VALUE""")," ")</f>
        <v> </v>
      </c>
      <c r="J387" s="3" t="str">
        <f>IFERROR(__xludf.DUMMYFUNCTION("""COMPUTED_VALUE""")," ")</f>
        <v> </v>
      </c>
      <c r="K387" s="3" t="str">
        <f>IFERROR(__xludf.DUMMYFUNCTION("""COMPUTED_VALUE"""),"Y")</f>
        <v>Y</v>
      </c>
      <c r="L387" s="3" t="str">
        <f>IFERROR(__xludf.DUMMYFUNCTION("""COMPUTED_VALUE"""),"Group 2")</f>
        <v>Group 2</v>
      </c>
      <c r="M387" s="3"/>
      <c r="N387" s="5" t="str">
        <f>IFERROR(__xludf.DUMMYFUNCTION("""COMPUTED_VALUE""")," ")</f>
        <v> </v>
      </c>
      <c r="O387" s="5"/>
    </row>
    <row r="388">
      <c r="A388" s="2" t="str">
        <f>IFERROR(__xludf.DUMMYFUNCTION("""COMPUTED_VALUE"""),"0480")</f>
        <v>0480</v>
      </c>
      <c r="B388" s="2" t="str">
        <f>IFERROR(__xludf.DUMMYFUNCTION("""COMPUTED_VALUE"""),"BOULDER VALLEY RE 2")</f>
        <v>BOULDER VALLEY RE 2</v>
      </c>
      <c r="C388" s="2" t="str">
        <f>IFERROR(__xludf.DUMMYFUNCTION("""COMPUTED_VALUE"""),"01390")</f>
        <v>01390</v>
      </c>
      <c r="D388" s="2" t="str">
        <f>IFERROR(__xludf.DUMMYFUNCTION("""COMPUTED_VALUE"""),"CENTENNIAL MIDDLE SCHOOL")</f>
        <v>CENTENNIAL MIDDLE SCHOOL</v>
      </c>
      <c r="E388" s="3" t="str">
        <f>IFERROR(__xludf.DUMMYFUNCTION("""COMPUTED_VALUE"""),"Y")</f>
        <v>Y</v>
      </c>
      <c r="F388" s="3" t="str">
        <f>IFERROR(__xludf.DUMMYFUNCTION("""COMPUTED_VALUE"""),"Y")</f>
        <v>Y</v>
      </c>
      <c r="G388" s="3"/>
      <c r="H388" s="3"/>
      <c r="I388" s="3" t="str">
        <f>IFERROR(__xludf.DUMMYFUNCTION("""COMPUTED_VALUE""")," ")</f>
        <v> </v>
      </c>
      <c r="J388" s="3" t="str">
        <f>IFERROR(__xludf.DUMMYFUNCTION("""COMPUTED_VALUE""")," ")</f>
        <v> </v>
      </c>
      <c r="K388" s="3" t="str">
        <f>IFERROR(__xludf.DUMMYFUNCTION("""COMPUTED_VALUE"""),"Y")</f>
        <v>Y</v>
      </c>
      <c r="L388" s="3" t="str">
        <f>IFERROR(__xludf.DUMMYFUNCTION("""COMPUTED_VALUE"""),"Group 5")</f>
        <v>Group 5</v>
      </c>
      <c r="M388" s="3"/>
      <c r="N388" s="5" t="str">
        <f>IFERROR(__xludf.DUMMYFUNCTION("""COMPUTED_VALUE""")," ")</f>
        <v> </v>
      </c>
      <c r="O388" s="5"/>
    </row>
    <row r="389">
      <c r="A389" s="2" t="str">
        <f>IFERROR(__xludf.DUMMYFUNCTION("""COMPUTED_VALUE"""),"0480")</f>
        <v>0480</v>
      </c>
      <c r="B389" s="2" t="str">
        <f>IFERROR(__xludf.DUMMYFUNCTION("""COMPUTED_VALUE"""),"BOULDER VALLEY RE 2")</f>
        <v>BOULDER VALLEY RE 2</v>
      </c>
      <c r="C389" s="2" t="str">
        <f>IFERROR(__xludf.DUMMYFUNCTION("""COMPUTED_VALUE"""),"01725")</f>
        <v>01725</v>
      </c>
      <c r="D389" s="2" t="str">
        <f>IFERROR(__xludf.DUMMYFUNCTION("""COMPUTED_VALUE"""),"COAL CREEK ELEMENTARY SCHOOL")</f>
        <v>COAL CREEK ELEMENTARY SCHOOL</v>
      </c>
      <c r="E389" s="3" t="str">
        <f>IFERROR(__xludf.DUMMYFUNCTION("""COMPUTED_VALUE"""),"Y")</f>
        <v>Y</v>
      </c>
      <c r="F389" s="3" t="str">
        <f>IFERROR(__xludf.DUMMYFUNCTION("""COMPUTED_VALUE"""),"Y")</f>
        <v>Y</v>
      </c>
      <c r="G389" s="3" t="str">
        <f>IFERROR(__xludf.DUMMYFUNCTION("""COMPUTED_VALUE"""),"Y")</f>
        <v>Y</v>
      </c>
      <c r="H389" s="3"/>
      <c r="I389" s="3" t="str">
        <f>IFERROR(__xludf.DUMMYFUNCTION("""COMPUTED_VALUE""")," ")</f>
        <v> </v>
      </c>
      <c r="J389" s="3" t="str">
        <f>IFERROR(__xludf.DUMMYFUNCTION("""COMPUTED_VALUE""")," ")</f>
        <v> </v>
      </c>
      <c r="K389" s="3" t="str">
        <f>IFERROR(__xludf.DUMMYFUNCTION("""COMPUTED_VALUE"""),"Y")</f>
        <v>Y</v>
      </c>
      <c r="L389" s="3" t="str">
        <f>IFERROR(__xludf.DUMMYFUNCTION("""COMPUTED_VALUE"""),"Group 14")</f>
        <v>Group 14</v>
      </c>
      <c r="M389" s="3"/>
      <c r="N389" s="5" t="str">
        <f>IFERROR(__xludf.DUMMYFUNCTION("""COMPUTED_VALUE""")," ")</f>
        <v> </v>
      </c>
      <c r="O389" s="5"/>
    </row>
    <row r="390">
      <c r="A390" s="2" t="str">
        <f>IFERROR(__xludf.DUMMYFUNCTION("""COMPUTED_VALUE"""),"0480")</f>
        <v>0480</v>
      </c>
      <c r="B390" s="2" t="str">
        <f>IFERROR(__xludf.DUMMYFUNCTION("""COMPUTED_VALUE"""),"BOULDER VALLEY RE 2")</f>
        <v>BOULDER VALLEY RE 2</v>
      </c>
      <c r="C390" s="2" t="str">
        <f>IFERROR(__xludf.DUMMYFUNCTION("""COMPUTED_VALUE"""),"01842")</f>
        <v>01842</v>
      </c>
      <c r="D390" s="2" t="str">
        <f>IFERROR(__xludf.DUMMYFUNCTION("""COMPUTED_VALUE"""),"COLUMBINE ELEMENTARY SCHOOL")</f>
        <v>COLUMBINE ELEMENTARY SCHOOL</v>
      </c>
      <c r="E390" s="3" t="str">
        <f>IFERROR(__xludf.DUMMYFUNCTION("""COMPUTED_VALUE"""),"Y")</f>
        <v>Y</v>
      </c>
      <c r="F390" s="3" t="str">
        <f>IFERROR(__xludf.DUMMYFUNCTION("""COMPUTED_VALUE"""),"Y")</f>
        <v>Y</v>
      </c>
      <c r="G390" s="3" t="str">
        <f>IFERROR(__xludf.DUMMYFUNCTION("""COMPUTED_VALUE"""),"Y")</f>
        <v>Y</v>
      </c>
      <c r="H390" s="3"/>
      <c r="I390" s="3" t="str">
        <f>IFERROR(__xludf.DUMMYFUNCTION("""COMPUTED_VALUE"""),"Y")</f>
        <v>Y</v>
      </c>
      <c r="J390" s="3" t="str">
        <f>IFERROR(__xludf.DUMMYFUNCTION("""COMPUTED_VALUE""")," ")</f>
        <v> </v>
      </c>
      <c r="K390" s="3" t="str">
        <f>IFERROR(__xludf.DUMMYFUNCTION("""COMPUTED_VALUE"""),"Y")</f>
        <v>Y</v>
      </c>
      <c r="L390" s="3" t="str">
        <f>IFERROR(__xludf.DUMMYFUNCTION("""COMPUTED_VALUE"""),"Group 1")</f>
        <v>Group 1</v>
      </c>
      <c r="M390" s="3"/>
      <c r="N390" s="5" t="str">
        <f>IFERROR(__xludf.DUMMYFUNCTION("""COMPUTED_VALUE""")," ")</f>
        <v> </v>
      </c>
      <c r="O390" s="5"/>
    </row>
    <row r="391">
      <c r="A391" s="2" t="str">
        <f>IFERROR(__xludf.DUMMYFUNCTION("""COMPUTED_VALUE"""),"0480")</f>
        <v>0480</v>
      </c>
      <c r="B391" s="2" t="str">
        <f>IFERROR(__xludf.DUMMYFUNCTION("""COMPUTED_VALUE"""),"BOULDER VALLEY RE 2")</f>
        <v>BOULDER VALLEY RE 2</v>
      </c>
      <c r="C391" s="2" t="str">
        <f>IFERROR(__xludf.DUMMYFUNCTION("""COMPUTED_VALUE"""),"01883")</f>
        <v>01883</v>
      </c>
      <c r="D391" s="2" t="str">
        <f>IFERROR(__xludf.DUMMYFUNCTION("""COMPUTED_VALUE"""),"COMMUNITY MONTESSORI SCHOOL")</f>
        <v>COMMUNITY MONTESSORI SCHOOL</v>
      </c>
      <c r="E391" s="3" t="str">
        <f>IFERROR(__xludf.DUMMYFUNCTION("""COMPUTED_VALUE"""),"Y")</f>
        <v>Y</v>
      </c>
      <c r="F391" s="3" t="str">
        <f>IFERROR(__xludf.DUMMYFUNCTION("""COMPUTED_VALUE"""),"Y")</f>
        <v>Y</v>
      </c>
      <c r="G391" s="3" t="str">
        <f>IFERROR(__xludf.DUMMYFUNCTION("""COMPUTED_VALUE"""),"Y")</f>
        <v>Y</v>
      </c>
      <c r="H391" s="3"/>
      <c r="I391" s="3" t="str">
        <f>IFERROR(__xludf.DUMMYFUNCTION("""COMPUTED_VALUE""")," ")</f>
        <v> </v>
      </c>
      <c r="J391" s="3" t="str">
        <f>IFERROR(__xludf.DUMMYFUNCTION("""COMPUTED_VALUE""")," ")</f>
        <v> </v>
      </c>
      <c r="K391" s="3" t="str">
        <f>IFERROR(__xludf.DUMMYFUNCTION("""COMPUTED_VALUE"""),"Y")</f>
        <v>Y</v>
      </c>
      <c r="L391" s="3" t="str">
        <f>IFERROR(__xludf.DUMMYFUNCTION("""COMPUTED_VALUE"""),"Group 12")</f>
        <v>Group 12</v>
      </c>
      <c r="M391" s="3"/>
      <c r="N391" s="5" t="str">
        <f>IFERROR(__xludf.DUMMYFUNCTION("""COMPUTED_VALUE""")," ")</f>
        <v> </v>
      </c>
      <c r="O391" s="5"/>
    </row>
    <row r="392">
      <c r="A392" s="2" t="str">
        <f>IFERROR(__xludf.DUMMYFUNCTION("""COMPUTED_VALUE"""),"0480")</f>
        <v>0480</v>
      </c>
      <c r="B392" s="2" t="str">
        <f>IFERROR(__xludf.DUMMYFUNCTION("""COMPUTED_VALUE"""),"BOULDER VALLEY RE 2")</f>
        <v>BOULDER VALLEY RE 2</v>
      </c>
      <c r="C392" s="2" t="str">
        <f>IFERROR(__xludf.DUMMYFUNCTION("""COMPUTED_VALUE"""),"01996")</f>
        <v>01996</v>
      </c>
      <c r="D392" s="2" t="str">
        <f>IFERROR(__xludf.DUMMYFUNCTION("""COMPUTED_VALUE"""),"CREST VIEW ELEMENTARY SCHOOL")</f>
        <v>CREST VIEW ELEMENTARY SCHOOL</v>
      </c>
      <c r="E392" s="3" t="str">
        <f>IFERROR(__xludf.DUMMYFUNCTION("""COMPUTED_VALUE"""),"Y")</f>
        <v>Y</v>
      </c>
      <c r="F392" s="3" t="str">
        <f>IFERROR(__xludf.DUMMYFUNCTION("""COMPUTED_VALUE"""),"Y")</f>
        <v>Y</v>
      </c>
      <c r="G392" s="3" t="str">
        <f>IFERROR(__xludf.DUMMYFUNCTION("""COMPUTED_VALUE"""),"Y")</f>
        <v>Y</v>
      </c>
      <c r="H392" s="3"/>
      <c r="I392" s="3" t="str">
        <f>IFERROR(__xludf.DUMMYFUNCTION("""COMPUTED_VALUE""")," ")</f>
        <v> </v>
      </c>
      <c r="J392" s="3" t="str">
        <f>IFERROR(__xludf.DUMMYFUNCTION("""COMPUTED_VALUE""")," ")</f>
        <v> </v>
      </c>
      <c r="K392" s="3" t="str">
        <f>IFERROR(__xludf.DUMMYFUNCTION("""COMPUTED_VALUE"""),"Y")</f>
        <v>Y</v>
      </c>
      <c r="L392" s="3" t="str">
        <f>IFERROR(__xludf.DUMMYFUNCTION("""COMPUTED_VALUE"""),"Group 8")</f>
        <v>Group 8</v>
      </c>
      <c r="M392" s="3"/>
      <c r="N392" s="5" t="str">
        <f>IFERROR(__xludf.DUMMYFUNCTION("""COMPUTED_VALUE"""),"Y")</f>
        <v>Y</v>
      </c>
      <c r="O392" s="5"/>
    </row>
    <row r="393">
      <c r="A393" s="2" t="str">
        <f>IFERROR(__xludf.DUMMYFUNCTION("""COMPUTED_VALUE"""),"0480")</f>
        <v>0480</v>
      </c>
      <c r="B393" s="2" t="str">
        <f>IFERROR(__xludf.DUMMYFUNCTION("""COMPUTED_VALUE"""),"BOULDER VALLEY RE 2")</f>
        <v>BOULDER VALLEY RE 2</v>
      </c>
      <c r="C393" s="2" t="str">
        <f>IFERROR(__xludf.DUMMYFUNCTION("""COMPUTED_VALUE"""),"02240")</f>
        <v>02240</v>
      </c>
      <c r="D393" s="2" t="str">
        <f>IFERROR(__xludf.DUMMYFUNCTION("""COMPUTED_VALUE"""),"DOUGLASS ELEMENTARY SCHOOL")</f>
        <v>DOUGLASS ELEMENTARY SCHOOL</v>
      </c>
      <c r="E393" s="3" t="str">
        <f>IFERROR(__xludf.DUMMYFUNCTION("""COMPUTED_VALUE"""),"Y")</f>
        <v>Y</v>
      </c>
      <c r="F393" s="3" t="str">
        <f>IFERROR(__xludf.DUMMYFUNCTION("""COMPUTED_VALUE"""),"Y")</f>
        <v>Y</v>
      </c>
      <c r="G393" s="3" t="str">
        <f>IFERROR(__xludf.DUMMYFUNCTION("""COMPUTED_VALUE"""),"Y")</f>
        <v>Y</v>
      </c>
      <c r="H393" s="3"/>
      <c r="I393" s="3" t="str">
        <f>IFERROR(__xludf.DUMMYFUNCTION("""COMPUTED_VALUE""")," ")</f>
        <v> </v>
      </c>
      <c r="J393" s="3" t="str">
        <f>IFERROR(__xludf.DUMMYFUNCTION("""COMPUTED_VALUE""")," ")</f>
        <v> </v>
      </c>
      <c r="K393" s="3" t="str">
        <f>IFERROR(__xludf.DUMMYFUNCTION("""COMPUTED_VALUE"""),"Y")</f>
        <v>Y</v>
      </c>
      <c r="L393" s="3" t="str">
        <f>IFERROR(__xludf.DUMMYFUNCTION("""COMPUTED_VALUE""")," ")</f>
        <v> </v>
      </c>
      <c r="M393" s="3"/>
      <c r="N393" s="5" t="str">
        <f>IFERROR(__xludf.DUMMYFUNCTION("""COMPUTED_VALUE""")," ")</f>
        <v> </v>
      </c>
      <c r="O393" s="5"/>
    </row>
    <row r="394">
      <c r="A394" s="2" t="str">
        <f>IFERROR(__xludf.DUMMYFUNCTION("""COMPUTED_VALUE"""),"0480")</f>
        <v>0480</v>
      </c>
      <c r="B394" s="2" t="str">
        <f>IFERROR(__xludf.DUMMYFUNCTION("""COMPUTED_VALUE"""),"BOULDER VALLEY RE 2")</f>
        <v>BOULDER VALLEY RE 2</v>
      </c>
      <c r="C394" s="2" t="str">
        <f>IFERROR(__xludf.DUMMYFUNCTION("""COMPUTED_VALUE"""),"02552")</f>
        <v>02552</v>
      </c>
      <c r="D394" s="2" t="str">
        <f>IFERROR(__xludf.DUMMYFUNCTION("""COMPUTED_VALUE"""),"EISENHOWER ELEMENTARY SCHOOL")</f>
        <v>EISENHOWER ELEMENTARY SCHOOL</v>
      </c>
      <c r="E394" s="3" t="str">
        <f>IFERROR(__xludf.DUMMYFUNCTION("""COMPUTED_VALUE"""),"Y")</f>
        <v>Y</v>
      </c>
      <c r="F394" s="3" t="str">
        <f>IFERROR(__xludf.DUMMYFUNCTION("""COMPUTED_VALUE"""),"Y")</f>
        <v>Y</v>
      </c>
      <c r="G394" s="3" t="str">
        <f>IFERROR(__xludf.DUMMYFUNCTION("""COMPUTED_VALUE"""),"Y")</f>
        <v>Y</v>
      </c>
      <c r="H394" s="3"/>
      <c r="I394" s="3" t="str">
        <f>IFERROR(__xludf.DUMMYFUNCTION("""COMPUTED_VALUE""")," ")</f>
        <v> </v>
      </c>
      <c r="J394" s="3" t="str">
        <f>IFERROR(__xludf.DUMMYFUNCTION("""COMPUTED_VALUE""")," ")</f>
        <v> </v>
      </c>
      <c r="K394" s="3" t="str">
        <f>IFERROR(__xludf.DUMMYFUNCTION("""COMPUTED_VALUE"""),"Y")</f>
        <v>Y</v>
      </c>
      <c r="L394" s="3" t="str">
        <f>IFERROR(__xludf.DUMMYFUNCTION("""COMPUTED_VALUE"""),"Group 3")</f>
        <v>Group 3</v>
      </c>
      <c r="M394" s="3"/>
      <c r="N394" s="5" t="str">
        <f>IFERROR(__xludf.DUMMYFUNCTION("""COMPUTED_VALUE""")," ")</f>
        <v> </v>
      </c>
      <c r="O394" s="5"/>
    </row>
    <row r="395">
      <c r="A395" s="2" t="str">
        <f>IFERROR(__xludf.DUMMYFUNCTION("""COMPUTED_VALUE"""),"0480")</f>
        <v>0480</v>
      </c>
      <c r="B395" s="2" t="str">
        <f>IFERROR(__xludf.DUMMYFUNCTION("""COMPUTED_VALUE"""),"BOULDER VALLEY RE 2")</f>
        <v>BOULDER VALLEY RE 2</v>
      </c>
      <c r="C395" s="2" t="str">
        <f>IFERROR(__xludf.DUMMYFUNCTION("""COMPUTED_VALUE"""),"02589")</f>
        <v>02589</v>
      </c>
      <c r="D395" s="2" t="str">
        <f>IFERROR(__xludf.DUMMYFUNCTION("""COMPUTED_VALUE"""),"ELDORADO K-8 ELEMENTARY SCHOOL")</f>
        <v>ELDORADO K-8 ELEMENTARY SCHOOL</v>
      </c>
      <c r="E395" s="3" t="str">
        <f>IFERROR(__xludf.DUMMYFUNCTION("""COMPUTED_VALUE"""),"Y")</f>
        <v>Y</v>
      </c>
      <c r="F395" s="3" t="str">
        <f>IFERROR(__xludf.DUMMYFUNCTION("""COMPUTED_VALUE"""),"Y")</f>
        <v>Y</v>
      </c>
      <c r="G395" s="3" t="str">
        <f>IFERROR(__xludf.DUMMYFUNCTION("""COMPUTED_VALUE"""),"Y")</f>
        <v>Y</v>
      </c>
      <c r="H395" s="3"/>
      <c r="I395" s="3" t="str">
        <f>IFERROR(__xludf.DUMMYFUNCTION("""COMPUTED_VALUE""")," ")</f>
        <v> </v>
      </c>
      <c r="J395" s="3" t="str">
        <f>IFERROR(__xludf.DUMMYFUNCTION("""COMPUTED_VALUE""")," ")</f>
        <v> </v>
      </c>
      <c r="K395" s="3" t="str">
        <f>IFERROR(__xludf.DUMMYFUNCTION("""COMPUTED_VALUE"""),"Y")</f>
        <v>Y</v>
      </c>
      <c r="L395" s="3" t="str">
        <f>IFERROR(__xludf.DUMMYFUNCTION("""COMPUTED_VALUE""")," ")</f>
        <v> </v>
      </c>
      <c r="M395" s="3"/>
      <c r="N395" s="5" t="str">
        <f>IFERROR(__xludf.DUMMYFUNCTION("""COMPUTED_VALUE""")," ")</f>
        <v> </v>
      </c>
      <c r="O395" s="5"/>
    </row>
    <row r="396">
      <c r="A396" s="2" t="str">
        <f>IFERROR(__xludf.DUMMYFUNCTION("""COMPUTED_VALUE"""),"0480")</f>
        <v>0480</v>
      </c>
      <c r="B396" s="2" t="str">
        <f>IFERROR(__xludf.DUMMYFUNCTION("""COMPUTED_VALUE"""),"BOULDER VALLEY RE 2")</f>
        <v>BOULDER VALLEY RE 2</v>
      </c>
      <c r="C396" s="2" t="str">
        <f>IFERROR(__xludf.DUMMYFUNCTION("""COMPUTED_VALUE"""),"02639")</f>
        <v>02639</v>
      </c>
      <c r="D396" s="2" t="str">
        <f>IFERROR(__xludf.DUMMYFUNCTION("""COMPUTED_VALUE"""),"MEADOWLARK SCHOOL")</f>
        <v>MEADOWLARK SCHOOL</v>
      </c>
      <c r="E396" s="3" t="str">
        <f>IFERROR(__xludf.DUMMYFUNCTION("""COMPUTED_VALUE"""),"Y")</f>
        <v>Y</v>
      </c>
      <c r="F396" s="3" t="str">
        <f>IFERROR(__xludf.DUMMYFUNCTION("""COMPUTED_VALUE"""),"Y")</f>
        <v>Y</v>
      </c>
      <c r="G396" s="3" t="str">
        <f>IFERROR(__xludf.DUMMYFUNCTION("""COMPUTED_VALUE"""),"Y")</f>
        <v>Y</v>
      </c>
      <c r="H396" s="3"/>
      <c r="I396" s="3" t="str">
        <f>IFERROR(__xludf.DUMMYFUNCTION("""COMPUTED_VALUE""")," ")</f>
        <v> </v>
      </c>
      <c r="J396" s="3" t="str">
        <f>IFERROR(__xludf.DUMMYFUNCTION("""COMPUTED_VALUE""")," ")</f>
        <v> </v>
      </c>
      <c r="K396" s="3" t="str">
        <f>IFERROR(__xludf.DUMMYFUNCTION("""COMPUTED_VALUE"""),"Y")</f>
        <v>Y</v>
      </c>
      <c r="L396" s="3" t="str">
        <f>IFERROR(__xludf.DUMMYFUNCTION("""COMPUTED_VALUE""")," ")</f>
        <v> </v>
      </c>
      <c r="M396" s="3"/>
      <c r="N396" s="5" t="str">
        <f>IFERROR(__xludf.DUMMYFUNCTION("""COMPUTED_VALUE""")," ")</f>
        <v> </v>
      </c>
      <c r="O396" s="5"/>
    </row>
    <row r="397">
      <c r="A397" s="2" t="str">
        <f>IFERROR(__xludf.DUMMYFUNCTION("""COMPUTED_VALUE"""),"0480")</f>
        <v>0480</v>
      </c>
      <c r="B397" s="2" t="str">
        <f>IFERROR(__xludf.DUMMYFUNCTION("""COMPUTED_VALUE"""),"BOULDER VALLEY RE 2")</f>
        <v>BOULDER VALLEY RE 2</v>
      </c>
      <c r="C397" s="2" t="str">
        <f>IFERROR(__xludf.DUMMYFUNCTION("""COMPUTED_VALUE"""),"02702")</f>
        <v>02702</v>
      </c>
      <c r="D397" s="2" t="str">
        <f>IFERROR(__xludf.DUMMYFUNCTION("""COMPUTED_VALUE"""),"EMERALD ELEMENTARY SCHOOL")</f>
        <v>EMERALD ELEMENTARY SCHOOL</v>
      </c>
      <c r="E397" s="3" t="str">
        <f>IFERROR(__xludf.DUMMYFUNCTION("""COMPUTED_VALUE"""),"Y")</f>
        <v>Y</v>
      </c>
      <c r="F397" s="3" t="str">
        <f>IFERROR(__xludf.DUMMYFUNCTION("""COMPUTED_VALUE"""),"Y")</f>
        <v>Y</v>
      </c>
      <c r="G397" s="3" t="str">
        <f>IFERROR(__xludf.DUMMYFUNCTION("""COMPUTED_VALUE"""),"Y")</f>
        <v>Y</v>
      </c>
      <c r="H397" s="3"/>
      <c r="I397" s="3" t="str">
        <f>IFERROR(__xludf.DUMMYFUNCTION("""COMPUTED_VALUE"""),"Y")</f>
        <v>Y</v>
      </c>
      <c r="J397" s="3" t="str">
        <f>IFERROR(__xludf.DUMMYFUNCTION("""COMPUTED_VALUE""")," ")</f>
        <v> </v>
      </c>
      <c r="K397" s="3" t="str">
        <f>IFERROR(__xludf.DUMMYFUNCTION("""COMPUTED_VALUE"""),"Y")</f>
        <v>Y</v>
      </c>
      <c r="L397" s="3" t="str">
        <f>IFERROR(__xludf.DUMMYFUNCTION("""COMPUTED_VALUE"""),"Group 11")</f>
        <v>Group 11</v>
      </c>
      <c r="M397" s="3"/>
      <c r="N397" s="5" t="str">
        <f>IFERROR(__xludf.DUMMYFUNCTION("""COMPUTED_VALUE"""),"Y")</f>
        <v>Y</v>
      </c>
      <c r="O397" s="5"/>
    </row>
    <row r="398">
      <c r="A398" s="2" t="str">
        <f>IFERROR(__xludf.DUMMYFUNCTION("""COMPUTED_VALUE"""),"0480")</f>
        <v>0480</v>
      </c>
      <c r="B398" s="2" t="str">
        <f>IFERROR(__xludf.DUMMYFUNCTION("""COMPUTED_VALUE"""),"BOULDER VALLEY RE 2")</f>
        <v>BOULDER VALLEY RE 2</v>
      </c>
      <c r="C398" s="2" t="str">
        <f>IFERROR(__xludf.DUMMYFUNCTION("""COMPUTED_VALUE"""),"02892")</f>
        <v>02892</v>
      </c>
      <c r="D398" s="2" t="str">
        <f>IFERROR(__xludf.DUMMYFUNCTION("""COMPUTED_VALUE"""),"FAIRVIEW HIGH SCHOOL")</f>
        <v>FAIRVIEW HIGH SCHOOL</v>
      </c>
      <c r="E398" s="3" t="str">
        <f>IFERROR(__xludf.DUMMYFUNCTION("""COMPUTED_VALUE"""),"Y")</f>
        <v>Y</v>
      </c>
      <c r="F398" s="3" t="str">
        <f>IFERROR(__xludf.DUMMYFUNCTION("""COMPUTED_VALUE"""),"Y")</f>
        <v>Y</v>
      </c>
      <c r="G398" s="3"/>
      <c r="H398" s="3"/>
      <c r="I398" s="3" t="str">
        <f>IFERROR(__xludf.DUMMYFUNCTION("""COMPUTED_VALUE""")," ")</f>
        <v> </v>
      </c>
      <c r="J398" s="3" t="str">
        <f>IFERROR(__xludf.DUMMYFUNCTION("""COMPUTED_VALUE""")," ")</f>
        <v> </v>
      </c>
      <c r="K398" s="3" t="str">
        <f>IFERROR(__xludf.DUMMYFUNCTION("""COMPUTED_VALUE"""),"Y")</f>
        <v>Y</v>
      </c>
      <c r="L398" s="3" t="str">
        <f>IFERROR(__xludf.DUMMYFUNCTION("""COMPUTED_VALUE""")," ")</f>
        <v> </v>
      </c>
      <c r="M398" s="3"/>
      <c r="N398" s="5" t="str">
        <f>IFERROR(__xludf.DUMMYFUNCTION("""COMPUTED_VALUE""")," ")</f>
        <v> </v>
      </c>
      <c r="O398" s="5"/>
    </row>
    <row r="399">
      <c r="A399" s="2" t="str">
        <f>IFERROR(__xludf.DUMMYFUNCTION("""COMPUTED_VALUE"""),"0480")</f>
        <v>0480</v>
      </c>
      <c r="B399" s="2" t="str">
        <f>IFERROR(__xludf.DUMMYFUNCTION("""COMPUTED_VALUE"""),"BOULDER VALLEY RE 2")</f>
        <v>BOULDER VALLEY RE 2</v>
      </c>
      <c r="C399" s="2" t="str">
        <f>IFERROR(__xludf.DUMMYFUNCTION("""COMPUTED_VALUE"""),"02940")</f>
        <v>02940</v>
      </c>
      <c r="D399" s="2" t="str">
        <f>IFERROR(__xludf.DUMMYFUNCTION("""COMPUTED_VALUE"""),"FIRESIDE ELEMENTARY SCHOOL")</f>
        <v>FIRESIDE ELEMENTARY SCHOOL</v>
      </c>
      <c r="E399" s="3" t="str">
        <f>IFERROR(__xludf.DUMMYFUNCTION("""COMPUTED_VALUE"""),"Y")</f>
        <v>Y</v>
      </c>
      <c r="F399" s="3" t="str">
        <f>IFERROR(__xludf.DUMMYFUNCTION("""COMPUTED_VALUE"""),"Y")</f>
        <v>Y</v>
      </c>
      <c r="G399" s="3" t="str">
        <f>IFERROR(__xludf.DUMMYFUNCTION("""COMPUTED_VALUE"""),"Y")</f>
        <v>Y</v>
      </c>
      <c r="H399" s="3"/>
      <c r="I399" s="3" t="str">
        <f>IFERROR(__xludf.DUMMYFUNCTION("""COMPUTED_VALUE""")," ")</f>
        <v> </v>
      </c>
      <c r="J399" s="3" t="str">
        <f>IFERROR(__xludf.DUMMYFUNCTION("""COMPUTED_VALUE""")," ")</f>
        <v> </v>
      </c>
      <c r="K399" s="3" t="str">
        <f>IFERROR(__xludf.DUMMYFUNCTION("""COMPUTED_VALUE"""),"Y")</f>
        <v>Y</v>
      </c>
      <c r="L399" s="3" t="str">
        <f>IFERROR(__xludf.DUMMYFUNCTION("""COMPUTED_VALUE"""),"Group 14")</f>
        <v>Group 14</v>
      </c>
      <c r="M399" s="3"/>
      <c r="N399" s="5" t="str">
        <f>IFERROR(__xludf.DUMMYFUNCTION("""COMPUTED_VALUE""")," ")</f>
        <v> </v>
      </c>
      <c r="O399" s="5"/>
    </row>
    <row r="400">
      <c r="A400" s="2" t="str">
        <f>IFERROR(__xludf.DUMMYFUNCTION("""COMPUTED_VALUE"""),"0480")</f>
        <v>0480</v>
      </c>
      <c r="B400" s="2" t="str">
        <f>IFERROR(__xludf.DUMMYFUNCTION("""COMPUTED_VALUE"""),"BOULDER VALLEY RE 2")</f>
        <v>BOULDER VALLEY RE 2</v>
      </c>
      <c r="C400" s="2" t="str">
        <f>IFERROR(__xludf.DUMMYFUNCTION("""COMPUTED_VALUE"""),"02970")</f>
        <v>02970</v>
      </c>
      <c r="D400" s="2" t="str">
        <f>IFERROR(__xludf.DUMMYFUNCTION("""COMPUTED_VALUE"""),"FLATIRONS ELEMENTARY SCHOOL")</f>
        <v>FLATIRONS ELEMENTARY SCHOOL</v>
      </c>
      <c r="E400" s="3" t="str">
        <f>IFERROR(__xludf.DUMMYFUNCTION("""COMPUTED_VALUE"""),"Y")</f>
        <v>Y</v>
      </c>
      <c r="F400" s="3" t="str">
        <f>IFERROR(__xludf.DUMMYFUNCTION("""COMPUTED_VALUE"""),"Y")</f>
        <v>Y</v>
      </c>
      <c r="G400" s="3" t="str">
        <f>IFERROR(__xludf.DUMMYFUNCTION("""COMPUTED_VALUE"""),"Y")</f>
        <v>Y</v>
      </c>
      <c r="H400" s="3"/>
      <c r="I400" s="3" t="str">
        <f>IFERROR(__xludf.DUMMYFUNCTION("""COMPUTED_VALUE""")," ")</f>
        <v> </v>
      </c>
      <c r="J400" s="3" t="str">
        <f>IFERROR(__xludf.DUMMYFUNCTION("""COMPUTED_VALUE""")," ")</f>
        <v> </v>
      </c>
      <c r="K400" s="3" t="str">
        <f>IFERROR(__xludf.DUMMYFUNCTION("""COMPUTED_VALUE"""),"Y")</f>
        <v>Y</v>
      </c>
      <c r="L400" s="3" t="str">
        <f>IFERROR(__xludf.DUMMYFUNCTION("""COMPUTED_VALUE"""),"Group 8")</f>
        <v>Group 8</v>
      </c>
      <c r="M400" s="3"/>
      <c r="N400" s="5" t="str">
        <f>IFERROR(__xludf.DUMMYFUNCTION("""COMPUTED_VALUE""")," ")</f>
        <v> </v>
      </c>
      <c r="O400" s="5"/>
    </row>
    <row r="401">
      <c r="A401" s="2" t="str">
        <f>IFERROR(__xludf.DUMMYFUNCTION("""COMPUTED_VALUE"""),"0480")</f>
        <v>0480</v>
      </c>
      <c r="B401" s="2" t="str">
        <f>IFERROR(__xludf.DUMMYFUNCTION("""COMPUTED_VALUE"""),"BOULDER VALLEY RE 2")</f>
        <v>BOULDER VALLEY RE 2</v>
      </c>
      <c r="C401" s="2" t="str">
        <f>IFERROR(__xludf.DUMMYFUNCTION("""COMPUTED_VALUE"""),"03022")</f>
        <v>03022</v>
      </c>
      <c r="D401" s="2" t="str">
        <f>IFERROR(__xludf.DUMMYFUNCTION("""COMPUTED_VALUE"""),"FOOTHILL ELEMENTARY SCHOOL")</f>
        <v>FOOTHILL ELEMENTARY SCHOOL</v>
      </c>
      <c r="E401" s="3" t="str">
        <f>IFERROR(__xludf.DUMMYFUNCTION("""COMPUTED_VALUE"""),"Y")</f>
        <v>Y</v>
      </c>
      <c r="F401" s="3" t="str">
        <f>IFERROR(__xludf.DUMMYFUNCTION("""COMPUTED_VALUE"""),"Y")</f>
        <v>Y</v>
      </c>
      <c r="G401" s="3" t="str">
        <f>IFERROR(__xludf.DUMMYFUNCTION("""COMPUTED_VALUE"""),"Y")</f>
        <v>Y</v>
      </c>
      <c r="H401" s="3"/>
      <c r="I401" s="3" t="str">
        <f>IFERROR(__xludf.DUMMYFUNCTION("""COMPUTED_VALUE""")," ")</f>
        <v> </v>
      </c>
      <c r="J401" s="3" t="str">
        <f>IFERROR(__xludf.DUMMYFUNCTION("""COMPUTED_VALUE""")," ")</f>
        <v> </v>
      </c>
      <c r="K401" s="3" t="str">
        <f>IFERROR(__xludf.DUMMYFUNCTION("""COMPUTED_VALUE"""),"Y")</f>
        <v>Y</v>
      </c>
      <c r="L401" s="3" t="str">
        <f>IFERROR(__xludf.DUMMYFUNCTION("""COMPUTED_VALUE""")," ")</f>
        <v> </v>
      </c>
      <c r="M401" s="3"/>
      <c r="N401" s="5" t="str">
        <f>IFERROR(__xludf.DUMMYFUNCTION("""COMPUTED_VALUE""")," ")</f>
        <v> </v>
      </c>
      <c r="O401" s="5"/>
    </row>
    <row r="402">
      <c r="A402" s="2" t="str">
        <f>IFERROR(__xludf.DUMMYFUNCTION("""COMPUTED_VALUE"""),"0480")</f>
        <v>0480</v>
      </c>
      <c r="B402" s="2" t="str">
        <f>IFERROR(__xludf.DUMMYFUNCTION("""COMPUTED_VALUE"""),"BOULDER VALLEY RE 2")</f>
        <v>BOULDER VALLEY RE 2</v>
      </c>
      <c r="C402" s="2" t="str">
        <f>IFERROR(__xludf.DUMMYFUNCTION("""COMPUTED_VALUE"""),"03499")</f>
        <v>03499</v>
      </c>
      <c r="D402" s="2" t="str">
        <f>IFERROR(__xludf.DUMMYFUNCTION("""COMPUTED_VALUE"""),"HALCYON SCHOOL")</f>
        <v>HALCYON SCHOOL</v>
      </c>
      <c r="E402" s="3" t="str">
        <f>IFERROR(__xludf.DUMMYFUNCTION("""COMPUTED_VALUE"""),"Y")</f>
        <v>Y</v>
      </c>
      <c r="F402" s="3" t="str">
        <f>IFERROR(__xludf.DUMMYFUNCTION("""COMPUTED_VALUE"""),"Y")</f>
        <v>Y</v>
      </c>
      <c r="G402" s="3"/>
      <c r="H402" s="3"/>
      <c r="I402" s="3" t="str">
        <f>IFERROR(__xludf.DUMMYFUNCTION("""COMPUTED_VALUE""")," ")</f>
        <v> </v>
      </c>
      <c r="J402" s="3" t="str">
        <f>IFERROR(__xludf.DUMMYFUNCTION("""COMPUTED_VALUE"""),"Y")</f>
        <v>Y</v>
      </c>
      <c r="K402" s="3" t="str">
        <f>IFERROR(__xludf.DUMMYFUNCTION("""COMPUTED_VALUE"""),"Y")</f>
        <v>Y</v>
      </c>
      <c r="L402" s="3" t="str">
        <f>IFERROR(__xludf.DUMMYFUNCTION("""COMPUTED_VALUE"""),"Group 6")</f>
        <v>Group 6</v>
      </c>
      <c r="M402" s="3"/>
      <c r="N402" s="5" t="str">
        <f>IFERROR(__xludf.DUMMYFUNCTION("""COMPUTED_VALUE"""),"Y")</f>
        <v>Y</v>
      </c>
      <c r="O402" s="5"/>
    </row>
    <row r="403">
      <c r="A403" s="2" t="str">
        <f>IFERROR(__xludf.DUMMYFUNCTION("""COMPUTED_VALUE"""),"0480")</f>
        <v>0480</v>
      </c>
      <c r="B403" s="2" t="str">
        <f>IFERROR(__xludf.DUMMYFUNCTION("""COMPUTED_VALUE"""),"BOULDER VALLEY RE 2")</f>
        <v>BOULDER VALLEY RE 2</v>
      </c>
      <c r="C403" s="2" t="str">
        <f>IFERROR(__xludf.DUMMYFUNCTION("""COMPUTED_VALUE"""),"03882")</f>
        <v>03882</v>
      </c>
      <c r="D403" s="2" t="str">
        <f>IFERROR(__xludf.DUMMYFUNCTION("""COMPUTED_VALUE"""),"HEATHERWOOD ELEMENTARY SCHOOL")</f>
        <v>HEATHERWOOD ELEMENTARY SCHOOL</v>
      </c>
      <c r="E403" s="3" t="str">
        <f>IFERROR(__xludf.DUMMYFUNCTION("""COMPUTED_VALUE"""),"Y")</f>
        <v>Y</v>
      </c>
      <c r="F403" s="3" t="str">
        <f>IFERROR(__xludf.DUMMYFUNCTION("""COMPUTED_VALUE"""),"Y")</f>
        <v>Y</v>
      </c>
      <c r="G403" s="3" t="str">
        <f>IFERROR(__xludf.DUMMYFUNCTION("""COMPUTED_VALUE"""),"Y")</f>
        <v>Y</v>
      </c>
      <c r="H403" s="3"/>
      <c r="I403" s="3" t="str">
        <f>IFERROR(__xludf.DUMMYFUNCTION("""COMPUTED_VALUE""")," ")</f>
        <v> </v>
      </c>
      <c r="J403" s="3" t="str">
        <f>IFERROR(__xludf.DUMMYFUNCTION("""COMPUTED_VALUE""")," ")</f>
        <v> </v>
      </c>
      <c r="K403" s="3" t="str">
        <f>IFERROR(__xludf.DUMMYFUNCTION("""COMPUTED_VALUE"""),"Y")</f>
        <v>Y</v>
      </c>
      <c r="L403" s="3" t="str">
        <f>IFERROR(__xludf.DUMMYFUNCTION("""COMPUTED_VALUE"""),"Group 14")</f>
        <v>Group 14</v>
      </c>
      <c r="M403" s="3"/>
      <c r="N403" s="5" t="str">
        <f>IFERROR(__xludf.DUMMYFUNCTION("""COMPUTED_VALUE""")," ")</f>
        <v> </v>
      </c>
      <c r="O403" s="5"/>
    </row>
    <row r="404">
      <c r="A404" s="2" t="str">
        <f>IFERROR(__xludf.DUMMYFUNCTION("""COMPUTED_VALUE"""),"0480")</f>
        <v>0480</v>
      </c>
      <c r="B404" s="2" t="str">
        <f>IFERROR(__xludf.DUMMYFUNCTION("""COMPUTED_VALUE"""),"BOULDER VALLEY RE 2")</f>
        <v>BOULDER VALLEY RE 2</v>
      </c>
      <c r="C404" s="2" t="str">
        <f>IFERROR(__xludf.DUMMYFUNCTION("""COMPUTED_VALUE"""),"03940")</f>
        <v>03940</v>
      </c>
      <c r="D404" s="2" t="str">
        <f>IFERROR(__xludf.DUMMYFUNCTION("""COMPUTED_VALUE"""),"HIGH PEAKS ELEMENTARY SCHOOL")</f>
        <v>HIGH PEAKS ELEMENTARY SCHOOL</v>
      </c>
      <c r="E404" s="3" t="str">
        <f>IFERROR(__xludf.DUMMYFUNCTION("""COMPUTED_VALUE"""),"Y")</f>
        <v>Y</v>
      </c>
      <c r="F404" s="3" t="str">
        <f>IFERROR(__xludf.DUMMYFUNCTION("""COMPUTED_VALUE"""),"Y")</f>
        <v>Y</v>
      </c>
      <c r="G404" s="3" t="str">
        <f>IFERROR(__xludf.DUMMYFUNCTION("""COMPUTED_VALUE"""),"Y")</f>
        <v>Y</v>
      </c>
      <c r="H404" s="3"/>
      <c r="I404" s="3" t="str">
        <f>IFERROR(__xludf.DUMMYFUNCTION("""COMPUTED_VALUE""")," ")</f>
        <v> </v>
      </c>
      <c r="J404" s="3" t="str">
        <f>IFERROR(__xludf.DUMMYFUNCTION("""COMPUTED_VALUE""")," ")</f>
        <v> </v>
      </c>
      <c r="K404" s="3" t="str">
        <f>IFERROR(__xludf.DUMMYFUNCTION("""COMPUTED_VALUE"""),"Y")</f>
        <v>Y</v>
      </c>
      <c r="L404" s="3" t="str">
        <f>IFERROR(__xludf.DUMMYFUNCTION("""COMPUTED_VALUE""")," ")</f>
        <v> </v>
      </c>
      <c r="M404" s="3"/>
      <c r="N404" s="5" t="str">
        <f>IFERROR(__xludf.DUMMYFUNCTION("""COMPUTED_VALUE""")," ")</f>
        <v> </v>
      </c>
      <c r="O404" s="5"/>
    </row>
    <row r="405">
      <c r="A405" s="2" t="str">
        <f>IFERROR(__xludf.DUMMYFUNCTION("""COMPUTED_VALUE"""),"0480")</f>
        <v>0480</v>
      </c>
      <c r="B405" s="2" t="str">
        <f>IFERROR(__xludf.DUMMYFUNCTION("""COMPUTED_VALUE"""),"BOULDER VALLEY RE 2")</f>
        <v>BOULDER VALLEY RE 2</v>
      </c>
      <c r="C405" s="2" t="str">
        <f>IFERROR(__xludf.DUMMYFUNCTION("""COMPUTED_VALUE"""),"04496")</f>
        <v>04496</v>
      </c>
      <c r="D405" s="2" t="str">
        <f>IFERROR(__xludf.DUMMYFUNCTION("""COMPUTED_VALUE"""),"JUSTICE HIGH CHARTER SCHOOL")</f>
        <v>JUSTICE HIGH CHARTER SCHOOL</v>
      </c>
      <c r="E405" s="3" t="str">
        <f>IFERROR(__xludf.DUMMYFUNCTION("""COMPUTED_VALUE"""),"Y")</f>
        <v>Y</v>
      </c>
      <c r="F405" s="3" t="str">
        <f>IFERROR(__xludf.DUMMYFUNCTION("""COMPUTED_VALUE"""),"Y")</f>
        <v>Y</v>
      </c>
      <c r="G405" s="3"/>
      <c r="H405" s="3"/>
      <c r="I405" s="3" t="str">
        <f>IFERROR(__xludf.DUMMYFUNCTION("""COMPUTED_VALUE""")," ")</f>
        <v> </v>
      </c>
      <c r="J405" s="3" t="str">
        <f>IFERROR(__xludf.DUMMYFUNCTION("""COMPUTED_VALUE"""),"Y")</f>
        <v>Y</v>
      </c>
      <c r="K405" s="3" t="str">
        <f>IFERROR(__xludf.DUMMYFUNCTION("""COMPUTED_VALUE"""),"Y")</f>
        <v>Y</v>
      </c>
      <c r="L405" s="3" t="str">
        <f>IFERROR(__xludf.DUMMYFUNCTION("""COMPUTED_VALUE"""),"Group 13")</f>
        <v>Group 13</v>
      </c>
      <c r="M405" s="3"/>
      <c r="N405" s="5" t="str">
        <f>IFERROR(__xludf.DUMMYFUNCTION("""COMPUTED_VALUE"""),"Y")</f>
        <v>Y</v>
      </c>
      <c r="O405" s="5"/>
    </row>
    <row r="406">
      <c r="A406" s="2" t="str">
        <f>IFERROR(__xludf.DUMMYFUNCTION("""COMPUTED_VALUE"""),"0480")</f>
        <v>0480</v>
      </c>
      <c r="B406" s="2" t="str">
        <f>IFERROR(__xludf.DUMMYFUNCTION("""COMPUTED_VALUE"""),"BOULDER VALLEY RE 2")</f>
        <v>BOULDER VALLEY RE 2</v>
      </c>
      <c r="C406" s="2" t="str">
        <f>IFERROR(__xludf.DUMMYFUNCTION("""COMPUTED_VALUE"""),"04792")</f>
        <v>04792</v>
      </c>
      <c r="D406" s="2" t="str">
        <f>IFERROR(__xludf.DUMMYFUNCTION("""COMPUTED_VALUE"""),"KOHL ELEMENTARY SCHOOL")</f>
        <v>KOHL ELEMENTARY SCHOOL</v>
      </c>
      <c r="E406" s="3" t="str">
        <f>IFERROR(__xludf.DUMMYFUNCTION("""COMPUTED_VALUE"""),"Y")</f>
        <v>Y</v>
      </c>
      <c r="F406" s="3" t="str">
        <f>IFERROR(__xludf.DUMMYFUNCTION("""COMPUTED_VALUE"""),"Y")</f>
        <v>Y</v>
      </c>
      <c r="G406" s="3" t="str">
        <f>IFERROR(__xludf.DUMMYFUNCTION("""COMPUTED_VALUE"""),"Y")</f>
        <v>Y</v>
      </c>
      <c r="H406" s="3"/>
      <c r="I406" s="3" t="str">
        <f>IFERROR(__xludf.DUMMYFUNCTION("""COMPUTED_VALUE""")," ")</f>
        <v> </v>
      </c>
      <c r="J406" s="3" t="str">
        <f>IFERROR(__xludf.DUMMYFUNCTION("""COMPUTED_VALUE""")," ")</f>
        <v> </v>
      </c>
      <c r="K406" s="3" t="str">
        <f>IFERROR(__xludf.DUMMYFUNCTION("""COMPUTED_VALUE"""),"Y")</f>
        <v>Y</v>
      </c>
      <c r="L406" s="3" t="str">
        <f>IFERROR(__xludf.DUMMYFUNCTION("""COMPUTED_VALUE"""),"Group 9")</f>
        <v>Group 9</v>
      </c>
      <c r="M406" s="3"/>
      <c r="N406" s="5" t="str">
        <f>IFERROR(__xludf.DUMMYFUNCTION("""COMPUTED_VALUE""")," ")</f>
        <v> </v>
      </c>
      <c r="O406" s="5"/>
    </row>
    <row r="407">
      <c r="A407" s="2" t="str">
        <f>IFERROR(__xludf.DUMMYFUNCTION("""COMPUTED_VALUE"""),"0480")</f>
        <v>0480</v>
      </c>
      <c r="B407" s="2" t="str">
        <f>IFERROR(__xludf.DUMMYFUNCTION("""COMPUTED_VALUE"""),"BOULDER VALLEY RE 2")</f>
        <v>BOULDER VALLEY RE 2</v>
      </c>
      <c r="C407" s="2" t="str">
        <f>IFERROR(__xludf.DUMMYFUNCTION("""COMPUTED_VALUE"""),"04874")</f>
        <v>04874</v>
      </c>
      <c r="D407" s="2" t="str">
        <f>IFERROR(__xludf.DUMMYFUNCTION("""COMPUTED_VALUE"""),"LAFAYETTE ELEMENTARY SCHOOL")</f>
        <v>LAFAYETTE ELEMENTARY SCHOOL</v>
      </c>
      <c r="E407" s="3" t="str">
        <f>IFERROR(__xludf.DUMMYFUNCTION("""COMPUTED_VALUE"""),"Y")</f>
        <v>Y</v>
      </c>
      <c r="F407" s="3" t="str">
        <f>IFERROR(__xludf.DUMMYFUNCTION("""COMPUTED_VALUE"""),"Y")</f>
        <v>Y</v>
      </c>
      <c r="G407" s="3" t="str">
        <f>IFERROR(__xludf.DUMMYFUNCTION("""COMPUTED_VALUE"""),"Y")</f>
        <v>Y</v>
      </c>
      <c r="H407" s="3"/>
      <c r="I407" s="3" t="str">
        <f>IFERROR(__xludf.DUMMYFUNCTION("""COMPUTED_VALUE""")," ")</f>
        <v> </v>
      </c>
      <c r="J407" s="3" t="str">
        <f>IFERROR(__xludf.DUMMYFUNCTION("""COMPUTED_VALUE""")," ")</f>
        <v> </v>
      </c>
      <c r="K407" s="3" t="str">
        <f>IFERROR(__xludf.DUMMYFUNCTION("""COMPUTED_VALUE"""),"Y")</f>
        <v>Y</v>
      </c>
      <c r="L407" s="3" t="str">
        <f>IFERROR(__xludf.DUMMYFUNCTION("""COMPUTED_VALUE"""),"Group 14")</f>
        <v>Group 14</v>
      </c>
      <c r="M407" s="3"/>
      <c r="N407" s="5" t="str">
        <f>IFERROR(__xludf.DUMMYFUNCTION("""COMPUTED_VALUE""")," ")</f>
        <v> </v>
      </c>
      <c r="O407" s="5"/>
    </row>
    <row r="408">
      <c r="A408" s="2" t="str">
        <f>IFERROR(__xludf.DUMMYFUNCTION("""COMPUTED_VALUE"""),"0480")</f>
        <v>0480</v>
      </c>
      <c r="B408" s="2" t="str">
        <f>IFERROR(__xludf.DUMMYFUNCTION("""COMPUTED_VALUE"""),"BOULDER VALLEY RE 2")</f>
        <v>BOULDER VALLEY RE 2</v>
      </c>
      <c r="C408" s="2" t="str">
        <f>IFERROR(__xludf.DUMMYFUNCTION("""COMPUTED_VALUE"""),"04878")</f>
        <v>04878</v>
      </c>
      <c r="D408" s="2" t="str">
        <f>IFERROR(__xludf.DUMMYFUNCTION("""COMPUTED_VALUE"""),"ANGEVINE MIDDLE SCHOOL")</f>
        <v>ANGEVINE MIDDLE SCHOOL</v>
      </c>
      <c r="E408" s="3" t="str">
        <f>IFERROR(__xludf.DUMMYFUNCTION("""COMPUTED_VALUE"""),"Y")</f>
        <v>Y</v>
      </c>
      <c r="F408" s="3" t="str">
        <f>IFERROR(__xludf.DUMMYFUNCTION("""COMPUTED_VALUE"""),"Y")</f>
        <v>Y</v>
      </c>
      <c r="G408" s="3" t="str">
        <f>IFERROR(__xludf.DUMMYFUNCTION("""COMPUTED_VALUE"""),"Y")</f>
        <v>Y</v>
      </c>
      <c r="H408" s="3"/>
      <c r="I408" s="3" t="str">
        <f>IFERROR(__xludf.DUMMYFUNCTION("""COMPUTED_VALUE""")," ")</f>
        <v> </v>
      </c>
      <c r="J408" s="3" t="str">
        <f>IFERROR(__xludf.DUMMYFUNCTION("""COMPUTED_VALUE""")," ")</f>
        <v> </v>
      </c>
      <c r="K408" s="3" t="str">
        <f>IFERROR(__xludf.DUMMYFUNCTION("""COMPUTED_VALUE"""),"Y")</f>
        <v>Y</v>
      </c>
      <c r="L408" s="3" t="str">
        <f>IFERROR(__xludf.DUMMYFUNCTION("""COMPUTED_VALUE"""),"Group 9")</f>
        <v>Group 9</v>
      </c>
      <c r="M408" s="3"/>
      <c r="N408" s="5" t="str">
        <f>IFERROR(__xludf.DUMMYFUNCTION("""COMPUTED_VALUE""")," ")</f>
        <v> </v>
      </c>
      <c r="O408" s="5"/>
    </row>
    <row r="409">
      <c r="A409" s="2" t="str">
        <f>IFERROR(__xludf.DUMMYFUNCTION("""COMPUTED_VALUE"""),"0480")</f>
        <v>0480</v>
      </c>
      <c r="B409" s="2" t="str">
        <f>IFERROR(__xludf.DUMMYFUNCTION("""COMPUTED_VALUE"""),"BOULDER VALLEY RE 2")</f>
        <v>BOULDER VALLEY RE 2</v>
      </c>
      <c r="C409" s="2" t="str">
        <f>IFERROR(__xludf.DUMMYFUNCTION("""COMPUTED_VALUE"""),"05302")</f>
        <v>05302</v>
      </c>
      <c r="D409" s="2" t="str">
        <f>IFERROR(__xludf.DUMMYFUNCTION("""COMPUTED_VALUE"""),"LOUISVILLE ELEMENTARY SCHOOL")</f>
        <v>LOUISVILLE ELEMENTARY SCHOOL</v>
      </c>
      <c r="E409" s="3" t="str">
        <f>IFERROR(__xludf.DUMMYFUNCTION("""COMPUTED_VALUE"""),"Y")</f>
        <v>Y</v>
      </c>
      <c r="F409" s="3" t="str">
        <f>IFERROR(__xludf.DUMMYFUNCTION("""COMPUTED_VALUE"""),"Y")</f>
        <v>Y</v>
      </c>
      <c r="G409" s="3" t="str">
        <f>IFERROR(__xludf.DUMMYFUNCTION("""COMPUTED_VALUE"""),"Y")</f>
        <v>Y</v>
      </c>
      <c r="H409" s="3"/>
      <c r="I409" s="3" t="str">
        <f>IFERROR(__xludf.DUMMYFUNCTION("""COMPUTED_VALUE""")," ")</f>
        <v> </v>
      </c>
      <c r="J409" s="3" t="str">
        <f>IFERROR(__xludf.DUMMYFUNCTION("""COMPUTED_VALUE""")," ")</f>
        <v> </v>
      </c>
      <c r="K409" s="3" t="str">
        <f>IFERROR(__xludf.DUMMYFUNCTION("""COMPUTED_VALUE"""),"Y")</f>
        <v>Y</v>
      </c>
      <c r="L409" s="3" t="str">
        <f>IFERROR(__xludf.DUMMYFUNCTION("""COMPUTED_VALUE"""),"Group 5")</f>
        <v>Group 5</v>
      </c>
      <c r="M409" s="3"/>
      <c r="N409" s="5" t="str">
        <f>IFERROR(__xludf.DUMMYFUNCTION("""COMPUTED_VALUE""")," ")</f>
        <v> </v>
      </c>
      <c r="O409" s="5"/>
    </row>
    <row r="410">
      <c r="A410" s="2" t="str">
        <f>IFERROR(__xludf.DUMMYFUNCTION("""COMPUTED_VALUE"""),"0480")</f>
        <v>0480</v>
      </c>
      <c r="B410" s="2" t="str">
        <f>IFERROR(__xludf.DUMMYFUNCTION("""COMPUTED_VALUE"""),"BOULDER VALLEY RE 2")</f>
        <v>BOULDER VALLEY RE 2</v>
      </c>
      <c r="C410" s="2" t="str">
        <f>IFERROR(__xludf.DUMMYFUNCTION("""COMPUTED_VALUE"""),"05306")</f>
        <v>05306</v>
      </c>
      <c r="D410" s="2" t="str">
        <f>IFERROR(__xludf.DUMMYFUNCTION("""COMPUTED_VALUE"""),"LOUISVILLE MIDDLE SCHOOL")</f>
        <v>LOUISVILLE MIDDLE SCHOOL</v>
      </c>
      <c r="E410" s="3" t="str">
        <f>IFERROR(__xludf.DUMMYFUNCTION("""COMPUTED_VALUE"""),"Y")</f>
        <v>Y</v>
      </c>
      <c r="F410" s="3" t="str">
        <f>IFERROR(__xludf.DUMMYFUNCTION("""COMPUTED_VALUE"""),"Y")</f>
        <v>Y</v>
      </c>
      <c r="G410" s="3"/>
      <c r="H410" s="3"/>
      <c r="I410" s="3" t="str">
        <f>IFERROR(__xludf.DUMMYFUNCTION("""COMPUTED_VALUE""")," ")</f>
        <v> </v>
      </c>
      <c r="J410" s="3" t="str">
        <f>IFERROR(__xludf.DUMMYFUNCTION("""COMPUTED_VALUE""")," ")</f>
        <v> </v>
      </c>
      <c r="K410" s="3" t="str">
        <f>IFERROR(__xludf.DUMMYFUNCTION("""COMPUTED_VALUE"""),"Y")</f>
        <v>Y</v>
      </c>
      <c r="L410" s="3" t="str">
        <f>IFERROR(__xludf.DUMMYFUNCTION("""COMPUTED_VALUE""")," ")</f>
        <v> </v>
      </c>
      <c r="M410" s="3"/>
      <c r="N410" s="5" t="str">
        <f>IFERROR(__xludf.DUMMYFUNCTION("""COMPUTED_VALUE"""),"Y")</f>
        <v>Y</v>
      </c>
      <c r="O410" s="5"/>
    </row>
    <row r="411">
      <c r="A411" s="2" t="str">
        <f>IFERROR(__xludf.DUMMYFUNCTION("""COMPUTED_VALUE"""),"0480")</f>
        <v>0480</v>
      </c>
      <c r="B411" s="2" t="str">
        <f>IFERROR(__xludf.DUMMYFUNCTION("""COMPUTED_VALUE"""),"BOULDER VALLEY RE 2")</f>
        <v>BOULDER VALLEY RE 2</v>
      </c>
      <c r="C411" s="2" t="str">
        <f>IFERROR(__xludf.DUMMYFUNCTION("""COMPUTED_VALUE"""),"05606")</f>
        <v>05606</v>
      </c>
      <c r="D411" s="2" t="str">
        <f>IFERROR(__xludf.DUMMYFUNCTION("""COMPUTED_VALUE"""),"CREEKSIDE ELEMENTARY SCHOOL AT MARTIN PARK")</f>
        <v>CREEKSIDE ELEMENTARY SCHOOL AT MARTIN PARK</v>
      </c>
      <c r="E411" s="3" t="str">
        <f>IFERROR(__xludf.DUMMYFUNCTION("""COMPUTED_VALUE"""),"Y")</f>
        <v>Y</v>
      </c>
      <c r="F411" s="3" t="str">
        <f>IFERROR(__xludf.DUMMYFUNCTION("""COMPUTED_VALUE"""),"Y")</f>
        <v>Y</v>
      </c>
      <c r="G411" s="3" t="str">
        <f>IFERROR(__xludf.DUMMYFUNCTION("""COMPUTED_VALUE"""),"Y")</f>
        <v>Y</v>
      </c>
      <c r="H411" s="3"/>
      <c r="I411" s="3" t="str">
        <f>IFERROR(__xludf.DUMMYFUNCTION("""COMPUTED_VALUE""")," ")</f>
        <v> </v>
      </c>
      <c r="J411" s="3" t="str">
        <f>IFERROR(__xludf.DUMMYFUNCTION("""COMPUTED_VALUE""")," ")</f>
        <v> </v>
      </c>
      <c r="K411" s="3" t="str">
        <f>IFERROR(__xludf.DUMMYFUNCTION("""COMPUTED_VALUE"""),"Y")</f>
        <v>Y</v>
      </c>
      <c r="L411" s="3" t="str">
        <f>IFERROR(__xludf.DUMMYFUNCTION("""COMPUTED_VALUE"""),"Group 14")</f>
        <v>Group 14</v>
      </c>
      <c r="M411" s="3"/>
      <c r="N411" s="5" t="str">
        <f>IFERROR(__xludf.DUMMYFUNCTION("""COMPUTED_VALUE""")," ")</f>
        <v> </v>
      </c>
      <c r="O411" s="5"/>
    </row>
    <row r="412">
      <c r="A412" s="2" t="str">
        <f>IFERROR(__xludf.DUMMYFUNCTION("""COMPUTED_VALUE"""),"0480")</f>
        <v>0480</v>
      </c>
      <c r="B412" s="2" t="str">
        <f>IFERROR(__xludf.DUMMYFUNCTION("""COMPUTED_VALUE"""),"BOULDER VALLEY RE 2")</f>
        <v>BOULDER VALLEY RE 2</v>
      </c>
      <c r="C412" s="2" t="str">
        <f>IFERROR(__xludf.DUMMYFUNCTION("""COMPUTED_VALUE"""),"05617")</f>
        <v>05617</v>
      </c>
      <c r="D412" s="2" t="str">
        <f>IFERROR(__xludf.DUMMYFUNCTION("""COMPUTED_VALUE"""),"Mapleton Early Childhood Center")</f>
        <v>Mapleton Early Childhood Center</v>
      </c>
      <c r="E412" s="3" t="str">
        <f>IFERROR(__xludf.DUMMYFUNCTION("""COMPUTED_VALUE"""),"Y")</f>
        <v>Y</v>
      </c>
      <c r="F412" s="3" t="str">
        <f>IFERROR(__xludf.DUMMYFUNCTION("""COMPUTED_VALUE"""),"Y")</f>
        <v>Y</v>
      </c>
      <c r="G412" s="3"/>
      <c r="H412" s="3"/>
      <c r="I412" s="3" t="str">
        <f>IFERROR(__xludf.DUMMYFUNCTION("""COMPUTED_VALUE""")," ")</f>
        <v> </v>
      </c>
      <c r="J412" s="3" t="str">
        <f>IFERROR(__xludf.DUMMYFUNCTION("""COMPUTED_VALUE""")," ")</f>
        <v> </v>
      </c>
      <c r="K412" s="3" t="str">
        <f>IFERROR(__xludf.DUMMYFUNCTION("""COMPUTED_VALUE"""),"Y")</f>
        <v>Y</v>
      </c>
      <c r="L412" s="3" t="str">
        <f>IFERROR(__xludf.DUMMYFUNCTION("""COMPUTED_VALUE"""),"Group 9")</f>
        <v>Group 9</v>
      </c>
      <c r="M412" s="3"/>
      <c r="N412" s="5" t="str">
        <f>IFERROR(__xludf.DUMMYFUNCTION("""COMPUTED_VALUE""")," ")</f>
        <v> </v>
      </c>
      <c r="O412" s="5"/>
    </row>
    <row r="413">
      <c r="A413" s="2" t="str">
        <f>IFERROR(__xludf.DUMMYFUNCTION("""COMPUTED_VALUE"""),"0480")</f>
        <v>0480</v>
      </c>
      <c r="B413" s="2" t="str">
        <f>IFERROR(__xludf.DUMMYFUNCTION("""COMPUTED_VALUE"""),"BOULDER VALLEY RE 2")</f>
        <v>BOULDER VALLEY RE 2</v>
      </c>
      <c r="C413" s="2" t="str">
        <f>IFERROR(__xludf.DUMMYFUNCTION("""COMPUTED_VALUE"""),"05838")</f>
        <v>05838</v>
      </c>
      <c r="D413" s="2" t="str">
        <f>IFERROR(__xludf.DUMMYFUNCTION("""COMPUTED_VALUE"""),"MESA ELEMENTARY SCHOOL")</f>
        <v>MESA ELEMENTARY SCHOOL</v>
      </c>
      <c r="E413" s="3" t="str">
        <f>IFERROR(__xludf.DUMMYFUNCTION("""COMPUTED_VALUE"""),"Y")</f>
        <v>Y</v>
      </c>
      <c r="F413" s="3" t="str">
        <f>IFERROR(__xludf.DUMMYFUNCTION("""COMPUTED_VALUE"""),"Y")</f>
        <v>Y</v>
      </c>
      <c r="G413" s="3" t="str">
        <f>IFERROR(__xludf.DUMMYFUNCTION("""COMPUTED_VALUE"""),"Y")</f>
        <v>Y</v>
      </c>
      <c r="H413" s="3"/>
      <c r="I413" s="3" t="str">
        <f>IFERROR(__xludf.DUMMYFUNCTION("""COMPUTED_VALUE""")," ")</f>
        <v> </v>
      </c>
      <c r="J413" s="3" t="str">
        <f>IFERROR(__xludf.DUMMYFUNCTION("""COMPUTED_VALUE""")," ")</f>
        <v> </v>
      </c>
      <c r="K413" s="3" t="str">
        <f>IFERROR(__xludf.DUMMYFUNCTION("""COMPUTED_VALUE"""),"Y")</f>
        <v>Y</v>
      </c>
      <c r="L413" s="3" t="str">
        <f>IFERROR(__xludf.DUMMYFUNCTION("""COMPUTED_VALUE"""),"Group 9")</f>
        <v>Group 9</v>
      </c>
      <c r="M413" s="3"/>
      <c r="N413" s="5" t="str">
        <f>IFERROR(__xludf.DUMMYFUNCTION("""COMPUTED_VALUE""")," ")</f>
        <v> </v>
      </c>
      <c r="O413" s="5"/>
    </row>
    <row r="414">
      <c r="A414" s="2" t="str">
        <f>IFERROR(__xludf.DUMMYFUNCTION("""COMPUTED_VALUE"""),"0480")</f>
        <v>0480</v>
      </c>
      <c r="B414" s="2" t="str">
        <f>IFERROR(__xludf.DUMMYFUNCTION("""COMPUTED_VALUE"""),"BOULDER VALLEY RE 2")</f>
        <v>BOULDER VALLEY RE 2</v>
      </c>
      <c r="C414" s="2" t="str">
        <f>IFERROR(__xludf.DUMMYFUNCTION("""COMPUTED_VALUE"""),"05999")</f>
        <v>05999</v>
      </c>
      <c r="D414" s="2" t="str">
        <f>IFERROR(__xludf.DUMMYFUNCTION("""COMPUTED_VALUE"""),"MONARCH HIGH SCHOOL")</f>
        <v>MONARCH HIGH SCHOOL</v>
      </c>
      <c r="E414" s="3" t="str">
        <f>IFERROR(__xludf.DUMMYFUNCTION("""COMPUTED_VALUE"""),"Y")</f>
        <v>Y</v>
      </c>
      <c r="F414" s="3" t="str">
        <f>IFERROR(__xludf.DUMMYFUNCTION("""COMPUTED_VALUE"""),"Y")</f>
        <v>Y</v>
      </c>
      <c r="G414" s="3"/>
      <c r="H414" s="3"/>
      <c r="I414" s="3" t="str">
        <f>IFERROR(__xludf.DUMMYFUNCTION("""COMPUTED_VALUE""")," ")</f>
        <v> </v>
      </c>
      <c r="J414" s="3" t="str">
        <f>IFERROR(__xludf.DUMMYFUNCTION("""COMPUTED_VALUE""")," ")</f>
        <v> </v>
      </c>
      <c r="K414" s="3" t="str">
        <f>IFERROR(__xludf.DUMMYFUNCTION("""COMPUTED_VALUE"""),"Y")</f>
        <v>Y</v>
      </c>
      <c r="L414" s="3" t="str">
        <f>IFERROR(__xludf.DUMMYFUNCTION("""COMPUTED_VALUE""")," ")</f>
        <v> </v>
      </c>
      <c r="M414" s="3"/>
      <c r="N414" s="5" t="str">
        <f>IFERROR(__xludf.DUMMYFUNCTION("""COMPUTED_VALUE""")," ")</f>
        <v> </v>
      </c>
      <c r="O414" s="5"/>
    </row>
    <row r="415">
      <c r="A415" s="2" t="str">
        <f>IFERROR(__xludf.DUMMYFUNCTION("""COMPUTED_VALUE"""),"0480")</f>
        <v>0480</v>
      </c>
      <c r="B415" s="2" t="str">
        <f>IFERROR(__xludf.DUMMYFUNCTION("""COMPUTED_VALUE"""),"BOULDER VALLEY RE 2")</f>
        <v>BOULDER VALLEY RE 2</v>
      </c>
      <c r="C415" s="2" t="str">
        <f>IFERROR(__xludf.DUMMYFUNCTION("""COMPUTED_VALUE"""),"06000")</f>
        <v>06000</v>
      </c>
      <c r="D415" s="2" t="str">
        <f>IFERROR(__xludf.DUMMYFUNCTION("""COMPUTED_VALUE"""),"MONARCH K-8 SCHOOL")</f>
        <v>MONARCH K-8 SCHOOL</v>
      </c>
      <c r="E415" s="3" t="str">
        <f>IFERROR(__xludf.DUMMYFUNCTION("""COMPUTED_VALUE"""),"Y")</f>
        <v>Y</v>
      </c>
      <c r="F415" s="3" t="str">
        <f>IFERROR(__xludf.DUMMYFUNCTION("""COMPUTED_VALUE"""),"Y")</f>
        <v>Y</v>
      </c>
      <c r="G415" s="3" t="str">
        <f>IFERROR(__xludf.DUMMYFUNCTION("""COMPUTED_VALUE"""),"Y")</f>
        <v>Y</v>
      </c>
      <c r="H415" s="3"/>
      <c r="I415" s="3" t="str">
        <f>IFERROR(__xludf.DUMMYFUNCTION("""COMPUTED_VALUE""")," ")</f>
        <v> </v>
      </c>
      <c r="J415" s="3" t="str">
        <f>IFERROR(__xludf.DUMMYFUNCTION("""COMPUTED_VALUE""")," ")</f>
        <v> </v>
      </c>
      <c r="K415" s="3" t="str">
        <f>IFERROR(__xludf.DUMMYFUNCTION("""COMPUTED_VALUE"""),"Y")</f>
        <v>Y</v>
      </c>
      <c r="L415" s="3" t="str">
        <f>IFERROR(__xludf.DUMMYFUNCTION("""COMPUTED_VALUE"""),"Group 14")</f>
        <v>Group 14</v>
      </c>
      <c r="M415" s="3"/>
      <c r="N415" s="5" t="str">
        <f>IFERROR(__xludf.DUMMYFUNCTION("""COMPUTED_VALUE""")," ")</f>
        <v> </v>
      </c>
      <c r="O415" s="5"/>
    </row>
    <row r="416">
      <c r="A416" s="2" t="str">
        <f>IFERROR(__xludf.DUMMYFUNCTION("""COMPUTED_VALUE"""),"0480")</f>
        <v>0480</v>
      </c>
      <c r="B416" s="2" t="str">
        <f>IFERROR(__xludf.DUMMYFUNCTION("""COMPUTED_VALUE"""),"BOULDER VALLEY RE 2")</f>
        <v>BOULDER VALLEY RE 2</v>
      </c>
      <c r="C416" s="2" t="str">
        <f>IFERROR(__xludf.DUMMYFUNCTION("""COMPUTED_VALUE"""),"06195")</f>
        <v>06195</v>
      </c>
      <c r="D416" s="2" t="str">
        <f>IFERROR(__xludf.DUMMYFUNCTION("""COMPUTED_VALUE"""),"NEW VISTA HIGH SCHOOL")</f>
        <v>NEW VISTA HIGH SCHOOL</v>
      </c>
      <c r="E416" s="3" t="str">
        <f>IFERROR(__xludf.DUMMYFUNCTION("""COMPUTED_VALUE"""),"Y")</f>
        <v>Y</v>
      </c>
      <c r="F416" s="3" t="str">
        <f>IFERROR(__xludf.DUMMYFUNCTION("""COMPUTED_VALUE"""),"Y")</f>
        <v>Y</v>
      </c>
      <c r="G416" s="3"/>
      <c r="H416" s="3"/>
      <c r="I416" s="3" t="str">
        <f>IFERROR(__xludf.DUMMYFUNCTION("""COMPUTED_VALUE""")," ")</f>
        <v> </v>
      </c>
      <c r="J416" s="3" t="str">
        <f>IFERROR(__xludf.DUMMYFUNCTION("""COMPUTED_VALUE""")," ")</f>
        <v> </v>
      </c>
      <c r="K416" s="3" t="str">
        <f>IFERROR(__xludf.DUMMYFUNCTION("""COMPUTED_VALUE"""),"Y")</f>
        <v>Y</v>
      </c>
      <c r="L416" s="3" t="str">
        <f>IFERROR(__xludf.DUMMYFUNCTION("""COMPUTED_VALUE"""),"Group 3")</f>
        <v>Group 3</v>
      </c>
      <c r="M416" s="3"/>
      <c r="N416" s="5" t="str">
        <f>IFERROR(__xludf.DUMMYFUNCTION("""COMPUTED_VALUE""")," ")</f>
        <v> </v>
      </c>
      <c r="O416" s="5"/>
    </row>
    <row r="417">
      <c r="A417" s="2" t="str">
        <f>IFERROR(__xludf.DUMMYFUNCTION("""COMPUTED_VALUE"""),"0480")</f>
        <v>0480</v>
      </c>
      <c r="B417" s="2" t="str">
        <f>IFERROR(__xludf.DUMMYFUNCTION("""COMPUTED_VALUE"""),"BOULDER VALLEY RE 2")</f>
        <v>BOULDER VALLEY RE 2</v>
      </c>
      <c r="C417" s="2" t="str">
        <f>IFERROR(__xludf.DUMMYFUNCTION("""COMPUTED_VALUE"""),"06208")</f>
        <v>06208</v>
      </c>
      <c r="D417" s="2" t="str">
        <f>IFERROR(__xludf.DUMMYFUNCTION("""COMPUTED_VALUE"""),"NEDERLAND ELEMENTARY SCHOOL")</f>
        <v>NEDERLAND ELEMENTARY SCHOOL</v>
      </c>
      <c r="E417" s="3" t="str">
        <f>IFERROR(__xludf.DUMMYFUNCTION("""COMPUTED_VALUE"""),"Y")</f>
        <v>Y</v>
      </c>
      <c r="F417" s="3" t="str">
        <f>IFERROR(__xludf.DUMMYFUNCTION("""COMPUTED_VALUE"""),"Y")</f>
        <v>Y</v>
      </c>
      <c r="G417" s="3"/>
      <c r="H417" s="3"/>
      <c r="I417" s="3" t="str">
        <f>IFERROR(__xludf.DUMMYFUNCTION("""COMPUTED_VALUE""")," ")</f>
        <v> </v>
      </c>
      <c r="J417" s="3" t="str">
        <f>IFERROR(__xludf.DUMMYFUNCTION("""COMPUTED_VALUE""")," ")</f>
        <v> </v>
      </c>
      <c r="K417" s="3" t="str">
        <f>IFERROR(__xludf.DUMMYFUNCTION("""COMPUTED_VALUE"""),"Y")</f>
        <v>Y</v>
      </c>
      <c r="L417" s="3" t="str">
        <f>IFERROR(__xludf.DUMMYFUNCTION("""COMPUTED_VALUE"""),"Group 4")</f>
        <v>Group 4</v>
      </c>
      <c r="M417" s="3"/>
      <c r="N417" s="5" t="str">
        <f>IFERROR(__xludf.DUMMYFUNCTION("""COMPUTED_VALUE""")," ")</f>
        <v> </v>
      </c>
      <c r="O417" s="5"/>
    </row>
    <row r="418">
      <c r="A418" s="2" t="str">
        <f>IFERROR(__xludf.DUMMYFUNCTION("""COMPUTED_VALUE"""),"0480")</f>
        <v>0480</v>
      </c>
      <c r="B418" s="2" t="str">
        <f>IFERROR(__xludf.DUMMYFUNCTION("""COMPUTED_VALUE"""),"BOULDER VALLEY RE 2")</f>
        <v>BOULDER VALLEY RE 2</v>
      </c>
      <c r="C418" s="2" t="str">
        <f>IFERROR(__xludf.DUMMYFUNCTION("""COMPUTED_VALUE"""),"06212")</f>
        <v>06212</v>
      </c>
      <c r="D418" s="2" t="str">
        <f>IFERROR(__xludf.DUMMYFUNCTION("""COMPUTED_VALUE"""),"NEDERLAND MIDDLE-SENIOR HIGH SCHOOL")</f>
        <v>NEDERLAND MIDDLE-SENIOR HIGH SCHOOL</v>
      </c>
      <c r="E418" s="3" t="str">
        <f>IFERROR(__xludf.DUMMYFUNCTION("""COMPUTED_VALUE"""),"Y")</f>
        <v>Y</v>
      </c>
      <c r="F418" s="3" t="str">
        <f>IFERROR(__xludf.DUMMYFUNCTION("""COMPUTED_VALUE"""),"Y")</f>
        <v>Y</v>
      </c>
      <c r="G418" s="3"/>
      <c r="H418" s="3"/>
      <c r="I418" s="3" t="str">
        <f>IFERROR(__xludf.DUMMYFUNCTION("""COMPUTED_VALUE""")," ")</f>
        <v> </v>
      </c>
      <c r="J418" s="3" t="str">
        <f>IFERROR(__xludf.DUMMYFUNCTION("""COMPUTED_VALUE""")," ")</f>
        <v> </v>
      </c>
      <c r="K418" s="3" t="str">
        <f>IFERROR(__xludf.DUMMYFUNCTION("""COMPUTED_VALUE"""),"Y")</f>
        <v>Y</v>
      </c>
      <c r="L418" s="3" t="str">
        <f>IFERROR(__xludf.DUMMYFUNCTION("""COMPUTED_VALUE"""),"Group 9")</f>
        <v>Group 9</v>
      </c>
      <c r="M418" s="3"/>
      <c r="N418" s="5" t="str">
        <f>IFERROR(__xludf.DUMMYFUNCTION("""COMPUTED_VALUE""")," ")</f>
        <v> </v>
      </c>
      <c r="O418" s="5"/>
    </row>
    <row r="419">
      <c r="A419" s="2" t="str">
        <f>IFERROR(__xludf.DUMMYFUNCTION("""COMPUTED_VALUE"""),"0480")</f>
        <v>0480</v>
      </c>
      <c r="B419" s="2" t="str">
        <f>IFERROR(__xludf.DUMMYFUNCTION("""COMPUTED_VALUE"""),"BOULDER VALLEY RE 2")</f>
        <v>BOULDER VALLEY RE 2</v>
      </c>
      <c r="C419" s="2" t="str">
        <f>IFERROR(__xludf.DUMMYFUNCTION("""COMPUTED_VALUE"""),"06224")</f>
        <v>06224</v>
      </c>
      <c r="D419" s="2" t="str">
        <f>IFERROR(__xludf.DUMMYFUNCTION("""COMPUTED_VALUE"""),"NEVIN PLATT MIDDLE SCHOOL")</f>
        <v>NEVIN PLATT MIDDLE SCHOOL</v>
      </c>
      <c r="E419" s="3" t="str">
        <f>IFERROR(__xludf.DUMMYFUNCTION("""COMPUTED_VALUE"""),"Y")</f>
        <v>Y</v>
      </c>
      <c r="F419" s="3" t="str">
        <f>IFERROR(__xludf.DUMMYFUNCTION("""COMPUTED_VALUE"""),"Y")</f>
        <v>Y</v>
      </c>
      <c r="G419" s="3"/>
      <c r="H419" s="3"/>
      <c r="I419" s="3" t="str">
        <f>IFERROR(__xludf.DUMMYFUNCTION("""COMPUTED_VALUE""")," ")</f>
        <v> </v>
      </c>
      <c r="J419" s="3" t="str">
        <f>IFERROR(__xludf.DUMMYFUNCTION("""COMPUTED_VALUE""")," ")</f>
        <v> </v>
      </c>
      <c r="K419" s="3" t="str">
        <f>IFERROR(__xludf.DUMMYFUNCTION("""COMPUTED_VALUE"""),"Y")</f>
        <v>Y</v>
      </c>
      <c r="L419" s="3" t="str">
        <f>IFERROR(__xludf.DUMMYFUNCTION("""COMPUTED_VALUE""")," ")</f>
        <v> </v>
      </c>
      <c r="M419" s="3"/>
      <c r="N419" s="5" t="str">
        <f>IFERROR(__xludf.DUMMYFUNCTION("""COMPUTED_VALUE""")," ")</f>
        <v> </v>
      </c>
      <c r="O419" s="5"/>
    </row>
    <row r="420">
      <c r="A420" s="2" t="str">
        <f>IFERROR(__xludf.DUMMYFUNCTION("""COMPUTED_VALUE"""),"0480")</f>
        <v>0480</v>
      </c>
      <c r="B420" s="2" t="str">
        <f>IFERROR(__xludf.DUMMYFUNCTION("""COMPUTED_VALUE"""),"BOULDER VALLEY RE 2")</f>
        <v>BOULDER VALLEY RE 2</v>
      </c>
      <c r="C420" s="2" t="str">
        <f>IFERROR(__xludf.DUMMYFUNCTION("""COMPUTED_VALUE"""),"06642")</f>
        <v>06642</v>
      </c>
      <c r="D420" s="2" t="str">
        <f>IFERROR(__xludf.DUMMYFUNCTION("""COMPUTED_VALUE"""),"HORIZONS K-8 SCHOOL")</f>
        <v>HORIZONS K-8 SCHOOL</v>
      </c>
      <c r="E420" s="3" t="str">
        <f>IFERROR(__xludf.DUMMYFUNCTION("""COMPUTED_VALUE"""),"Y")</f>
        <v>Y</v>
      </c>
      <c r="F420" s="3" t="str">
        <f>IFERROR(__xludf.DUMMYFUNCTION("""COMPUTED_VALUE"""),"Y")</f>
        <v>Y</v>
      </c>
      <c r="G420" s="3" t="str">
        <f>IFERROR(__xludf.DUMMYFUNCTION("""COMPUTED_VALUE"""),"Y")</f>
        <v>Y</v>
      </c>
      <c r="H420" s="3"/>
      <c r="I420" s="3" t="str">
        <f>IFERROR(__xludf.DUMMYFUNCTION("""COMPUTED_VALUE""")," ")</f>
        <v> </v>
      </c>
      <c r="J420" s="3" t="str">
        <f>IFERROR(__xludf.DUMMYFUNCTION("""COMPUTED_VALUE""")," ")</f>
        <v> </v>
      </c>
      <c r="K420" s="3" t="str">
        <f>IFERROR(__xludf.DUMMYFUNCTION("""COMPUTED_VALUE"""),"Y")</f>
        <v>Y</v>
      </c>
      <c r="L420" s="3" t="str">
        <f>IFERROR(__xludf.DUMMYFUNCTION("""COMPUTED_VALUE""")," ")</f>
        <v> </v>
      </c>
      <c r="M420" s="3"/>
      <c r="N420" s="5" t="str">
        <f>IFERROR(__xludf.DUMMYFUNCTION("""COMPUTED_VALUE""")," ")</f>
        <v> </v>
      </c>
      <c r="O420" s="5"/>
    </row>
    <row r="421">
      <c r="A421" s="2" t="str">
        <f>IFERROR(__xludf.DUMMYFUNCTION("""COMPUTED_VALUE"""),"0480")</f>
        <v>0480</v>
      </c>
      <c r="B421" s="2" t="str">
        <f>IFERROR(__xludf.DUMMYFUNCTION("""COMPUTED_VALUE"""),"BOULDER VALLEY RE 2")</f>
        <v>BOULDER VALLEY RE 2</v>
      </c>
      <c r="C421" s="2" t="str">
        <f>IFERROR(__xludf.DUMMYFUNCTION("""COMPUTED_VALUE"""),"06962")</f>
        <v>06962</v>
      </c>
      <c r="D421" s="2" t="str">
        <f>IFERROR(__xludf.DUMMYFUNCTION("""COMPUTED_VALUE"""),"PIONEER BILINGUAL ELEMENTARY SCHOOL")</f>
        <v>PIONEER BILINGUAL ELEMENTARY SCHOOL</v>
      </c>
      <c r="E421" s="3" t="str">
        <f>IFERROR(__xludf.DUMMYFUNCTION("""COMPUTED_VALUE"""),"Y")</f>
        <v>Y</v>
      </c>
      <c r="F421" s="3" t="str">
        <f>IFERROR(__xludf.DUMMYFUNCTION("""COMPUTED_VALUE"""),"Y")</f>
        <v>Y</v>
      </c>
      <c r="G421" s="3" t="str">
        <f>IFERROR(__xludf.DUMMYFUNCTION("""COMPUTED_VALUE"""),"Y")</f>
        <v>Y</v>
      </c>
      <c r="H421" s="3"/>
      <c r="I421" s="3" t="str">
        <f>IFERROR(__xludf.DUMMYFUNCTION("""COMPUTED_VALUE""")," ")</f>
        <v> </v>
      </c>
      <c r="J421" s="3" t="str">
        <f>IFERROR(__xludf.DUMMYFUNCTION("""COMPUTED_VALUE""")," ")</f>
        <v> </v>
      </c>
      <c r="K421" s="3" t="str">
        <f>IFERROR(__xludf.DUMMYFUNCTION("""COMPUTED_VALUE"""),"Y")</f>
        <v>Y</v>
      </c>
      <c r="L421" s="3" t="str">
        <f>IFERROR(__xludf.DUMMYFUNCTION("""COMPUTED_VALUE"""),"Group 1")</f>
        <v>Group 1</v>
      </c>
      <c r="M421" s="3"/>
      <c r="N421" s="5" t="str">
        <f>IFERROR(__xludf.DUMMYFUNCTION("""COMPUTED_VALUE""")," ")</f>
        <v> </v>
      </c>
      <c r="O421" s="5"/>
    </row>
    <row r="422">
      <c r="A422" s="2" t="str">
        <f>IFERROR(__xludf.DUMMYFUNCTION("""COMPUTED_VALUE"""),"0480")</f>
        <v>0480</v>
      </c>
      <c r="B422" s="2" t="str">
        <f>IFERROR(__xludf.DUMMYFUNCTION("""COMPUTED_VALUE"""),"BOULDER VALLEY RE 2")</f>
        <v>BOULDER VALLEY RE 2</v>
      </c>
      <c r="C422" s="2" t="str">
        <f>IFERROR(__xludf.DUMMYFUNCTION("""COMPUTED_VALUE"""),"07528")</f>
        <v>07528</v>
      </c>
      <c r="D422" s="2" t="str">
        <f>IFERROR(__xludf.DUMMYFUNCTION("""COMPUTED_VALUE"""),"RYAN ELEMENTARY SCHOOL")</f>
        <v>RYAN ELEMENTARY SCHOOL</v>
      </c>
      <c r="E422" s="3" t="str">
        <f>IFERROR(__xludf.DUMMYFUNCTION("""COMPUTED_VALUE"""),"Y")</f>
        <v>Y</v>
      </c>
      <c r="F422" s="3" t="str">
        <f>IFERROR(__xludf.DUMMYFUNCTION("""COMPUTED_VALUE"""),"Y")</f>
        <v>Y</v>
      </c>
      <c r="G422" s="3" t="str">
        <f>IFERROR(__xludf.DUMMYFUNCTION("""COMPUTED_VALUE"""),"Y")</f>
        <v>Y</v>
      </c>
      <c r="H422" s="3"/>
      <c r="I422" s="3" t="str">
        <f>IFERROR(__xludf.DUMMYFUNCTION("""COMPUTED_VALUE""")," ")</f>
        <v> </v>
      </c>
      <c r="J422" s="3" t="str">
        <f>IFERROR(__xludf.DUMMYFUNCTION("""COMPUTED_VALUE""")," ")</f>
        <v> </v>
      </c>
      <c r="K422" s="3" t="str">
        <f>IFERROR(__xludf.DUMMYFUNCTION("""COMPUTED_VALUE"""),"Y")</f>
        <v>Y</v>
      </c>
      <c r="L422" s="3" t="str">
        <f>IFERROR(__xludf.DUMMYFUNCTION("""COMPUTED_VALUE"""),"Group 7")</f>
        <v>Group 7</v>
      </c>
      <c r="M422" s="3"/>
      <c r="N422" s="5" t="str">
        <f>IFERROR(__xludf.DUMMYFUNCTION("""COMPUTED_VALUE"""),"Y")</f>
        <v>Y</v>
      </c>
      <c r="O422" s="5"/>
    </row>
    <row r="423">
      <c r="A423" s="2" t="str">
        <f>IFERROR(__xludf.DUMMYFUNCTION("""COMPUTED_VALUE"""),"0480")</f>
        <v>0480</v>
      </c>
      <c r="B423" s="2" t="str">
        <f>IFERROR(__xludf.DUMMYFUNCTION("""COMPUTED_VALUE"""),"BOULDER VALLEY RE 2")</f>
        <v>BOULDER VALLEY RE 2</v>
      </c>
      <c r="C423" s="2" t="str">
        <f>IFERROR(__xludf.DUMMYFUNCTION("""COMPUTED_VALUE"""),"07592")</f>
        <v>07592</v>
      </c>
      <c r="D423" s="2" t="str">
        <f>IFERROR(__xludf.DUMMYFUNCTION("""COMPUTED_VALUE"""),"SANCHEZ ELEMENTARY SCHOOL")</f>
        <v>SANCHEZ ELEMENTARY SCHOOL</v>
      </c>
      <c r="E423" s="3" t="str">
        <f>IFERROR(__xludf.DUMMYFUNCTION("""COMPUTED_VALUE"""),"Y")</f>
        <v>Y</v>
      </c>
      <c r="F423" s="3" t="str">
        <f>IFERROR(__xludf.DUMMYFUNCTION("""COMPUTED_VALUE"""),"Y")</f>
        <v>Y</v>
      </c>
      <c r="G423" s="3" t="str">
        <f>IFERROR(__xludf.DUMMYFUNCTION("""COMPUTED_VALUE"""),"Y")</f>
        <v>Y</v>
      </c>
      <c r="H423" s="3"/>
      <c r="I423" s="3" t="str">
        <f>IFERROR(__xludf.DUMMYFUNCTION("""COMPUTED_VALUE"""),"Y")</f>
        <v>Y</v>
      </c>
      <c r="J423" s="3" t="str">
        <f>IFERROR(__xludf.DUMMYFUNCTION("""COMPUTED_VALUE"""),"Y")</f>
        <v>Y</v>
      </c>
      <c r="K423" s="3" t="str">
        <f>IFERROR(__xludf.DUMMYFUNCTION("""COMPUTED_VALUE"""),"Y")</f>
        <v>Y</v>
      </c>
      <c r="L423" s="3" t="str">
        <f>IFERROR(__xludf.DUMMYFUNCTION("""COMPUTED_VALUE"""),"Group 1")</f>
        <v>Group 1</v>
      </c>
      <c r="M423" s="3"/>
      <c r="N423" s="5" t="str">
        <f>IFERROR(__xludf.DUMMYFUNCTION("""COMPUTED_VALUE"""),"Y")</f>
        <v>Y</v>
      </c>
      <c r="O423" s="5"/>
    </row>
    <row r="424">
      <c r="A424" s="2" t="str">
        <f>IFERROR(__xludf.DUMMYFUNCTION("""COMPUTED_VALUE"""),"0480")</f>
        <v>0480</v>
      </c>
      <c r="B424" s="2" t="str">
        <f>IFERROR(__xludf.DUMMYFUNCTION("""COMPUTED_VALUE"""),"BOULDER VALLEY RE 2")</f>
        <v>BOULDER VALLEY RE 2</v>
      </c>
      <c r="C424" s="2" t="str">
        <f>IFERROR(__xludf.DUMMYFUNCTION("""COMPUTED_VALUE"""),"08135")</f>
        <v>08135</v>
      </c>
      <c r="D424" s="2" t="str">
        <f>IFERROR(__xludf.DUMMYFUNCTION("""COMPUTED_VALUE"""),"SOUTHERN HILLS MIDDLE SCHOOL")</f>
        <v>SOUTHERN HILLS MIDDLE SCHOOL</v>
      </c>
      <c r="E424" s="3" t="str">
        <f>IFERROR(__xludf.DUMMYFUNCTION("""COMPUTED_VALUE"""),"Y")</f>
        <v>Y</v>
      </c>
      <c r="F424" s="3" t="str">
        <f>IFERROR(__xludf.DUMMYFUNCTION("""COMPUTED_VALUE"""),"Y")</f>
        <v>Y</v>
      </c>
      <c r="G424" s="3"/>
      <c r="H424" s="3"/>
      <c r="I424" s="3" t="str">
        <f>IFERROR(__xludf.DUMMYFUNCTION("""COMPUTED_VALUE""")," ")</f>
        <v> </v>
      </c>
      <c r="J424" s="3" t="str">
        <f>IFERROR(__xludf.DUMMYFUNCTION("""COMPUTED_VALUE""")," ")</f>
        <v> </v>
      </c>
      <c r="K424" s="3" t="str">
        <f>IFERROR(__xludf.DUMMYFUNCTION("""COMPUTED_VALUE"""),"Y")</f>
        <v>Y</v>
      </c>
      <c r="L424" s="3" t="str">
        <f>IFERROR(__xludf.DUMMYFUNCTION("""COMPUTED_VALUE""")," ")</f>
        <v> </v>
      </c>
      <c r="M424" s="3"/>
      <c r="N424" s="5" t="str">
        <f>IFERROR(__xludf.DUMMYFUNCTION("""COMPUTED_VALUE""")," ")</f>
        <v> </v>
      </c>
      <c r="O424" s="5"/>
    </row>
    <row r="425">
      <c r="A425" s="2" t="str">
        <f>IFERROR(__xludf.DUMMYFUNCTION("""COMPUTED_VALUE"""),"0480")</f>
        <v>0480</v>
      </c>
      <c r="B425" s="2" t="str">
        <f>IFERROR(__xludf.DUMMYFUNCTION("""COMPUTED_VALUE"""),"BOULDER VALLEY RE 2")</f>
        <v>BOULDER VALLEY RE 2</v>
      </c>
      <c r="C425" s="2" t="str">
        <f>IFERROR(__xludf.DUMMYFUNCTION("""COMPUTED_VALUE"""),"08387")</f>
        <v>08387</v>
      </c>
      <c r="D425" s="2" t="str">
        <f>IFERROR(__xludf.DUMMYFUNCTION("""COMPUTED_VALUE"""),"SUMMIT MIDDLE CHARTER SCHOOL")</f>
        <v>SUMMIT MIDDLE CHARTER SCHOOL</v>
      </c>
      <c r="E425" s="3" t="str">
        <f>IFERROR(__xludf.DUMMYFUNCTION("""COMPUTED_VALUE"""),"Y")</f>
        <v>Y</v>
      </c>
      <c r="F425" s="3" t="str">
        <f>IFERROR(__xludf.DUMMYFUNCTION("""COMPUTED_VALUE"""),"Y")</f>
        <v>Y</v>
      </c>
      <c r="G425" s="3"/>
      <c r="H425" s="3"/>
      <c r="I425" s="3" t="str">
        <f>IFERROR(__xludf.DUMMYFUNCTION("""COMPUTED_VALUE""")," ")</f>
        <v> </v>
      </c>
      <c r="J425" s="3" t="str">
        <f>IFERROR(__xludf.DUMMYFUNCTION("""COMPUTED_VALUE""")," ")</f>
        <v> </v>
      </c>
      <c r="K425" s="3" t="str">
        <f>IFERROR(__xludf.DUMMYFUNCTION("""COMPUTED_VALUE"""),"Y")</f>
        <v>Y</v>
      </c>
      <c r="L425" s="3" t="str">
        <f>IFERROR(__xludf.DUMMYFUNCTION("""COMPUTED_VALUE""")," ")</f>
        <v> </v>
      </c>
      <c r="M425" s="3"/>
      <c r="N425" s="5" t="str">
        <f>IFERROR(__xludf.DUMMYFUNCTION("""COMPUTED_VALUE""")," ")</f>
        <v> </v>
      </c>
      <c r="O425" s="5"/>
    </row>
    <row r="426">
      <c r="A426" s="2" t="str">
        <f>IFERROR(__xludf.DUMMYFUNCTION("""COMPUTED_VALUE"""),"0480")</f>
        <v>0480</v>
      </c>
      <c r="B426" s="2" t="str">
        <f>IFERROR(__xludf.DUMMYFUNCTION("""COMPUTED_VALUE"""),"BOULDER VALLEY RE 2")</f>
        <v>BOULDER VALLEY RE 2</v>
      </c>
      <c r="C426" s="2" t="str">
        <f>IFERROR(__xludf.DUMMYFUNCTION("""COMPUTED_VALUE"""),"08418")</f>
        <v>08418</v>
      </c>
      <c r="D426" s="2" t="str">
        <f>IFERROR(__xludf.DUMMYFUNCTION("""COMPUTED_VALUE"""),"SUPERIOR ELEMENTARY SCHOOL")</f>
        <v>SUPERIOR ELEMENTARY SCHOOL</v>
      </c>
      <c r="E426" s="3" t="str">
        <f>IFERROR(__xludf.DUMMYFUNCTION("""COMPUTED_VALUE"""),"Y")</f>
        <v>Y</v>
      </c>
      <c r="F426" s="3" t="str">
        <f>IFERROR(__xludf.DUMMYFUNCTION("""COMPUTED_VALUE"""),"Y")</f>
        <v>Y</v>
      </c>
      <c r="G426" s="3" t="str">
        <f>IFERROR(__xludf.DUMMYFUNCTION("""COMPUTED_VALUE"""),"Y")</f>
        <v>Y</v>
      </c>
      <c r="H426" s="3"/>
      <c r="I426" s="3" t="str">
        <f>IFERROR(__xludf.DUMMYFUNCTION("""COMPUTED_VALUE""")," ")</f>
        <v> </v>
      </c>
      <c r="J426" s="3" t="str">
        <f>IFERROR(__xludf.DUMMYFUNCTION("""COMPUTED_VALUE""")," ")</f>
        <v> </v>
      </c>
      <c r="K426" s="3" t="str">
        <f>IFERROR(__xludf.DUMMYFUNCTION("""COMPUTED_VALUE"""),"Y")</f>
        <v>Y</v>
      </c>
      <c r="L426" s="3" t="str">
        <f>IFERROR(__xludf.DUMMYFUNCTION("""COMPUTED_VALUE"""),"Group 9")</f>
        <v>Group 9</v>
      </c>
      <c r="M426" s="3"/>
      <c r="N426" s="5" t="str">
        <f>IFERROR(__xludf.DUMMYFUNCTION("""COMPUTED_VALUE""")," ")</f>
        <v> </v>
      </c>
      <c r="O426" s="5"/>
    </row>
    <row r="427">
      <c r="A427" s="2" t="str">
        <f>IFERROR(__xludf.DUMMYFUNCTION("""COMPUTED_VALUE"""),"0480")</f>
        <v>0480</v>
      </c>
      <c r="B427" s="2" t="str">
        <f>IFERROR(__xludf.DUMMYFUNCTION("""COMPUTED_VALUE"""),"BOULDER VALLEY RE 2")</f>
        <v>BOULDER VALLEY RE 2</v>
      </c>
      <c r="C427" s="2" t="str">
        <f>IFERROR(__xludf.DUMMYFUNCTION("""COMPUTED_VALUE"""),"08978")</f>
        <v>08978</v>
      </c>
      <c r="D427" s="2" t="str">
        <f>IFERROR(__xludf.DUMMYFUNCTION("""COMPUTED_VALUE"""),"UNIVERSITY HILL ELEMENTARY SCHOOL")</f>
        <v>UNIVERSITY HILL ELEMENTARY SCHOOL</v>
      </c>
      <c r="E427" s="3" t="str">
        <f>IFERROR(__xludf.DUMMYFUNCTION("""COMPUTED_VALUE"""),"Y")</f>
        <v>Y</v>
      </c>
      <c r="F427" s="3" t="str">
        <f>IFERROR(__xludf.DUMMYFUNCTION("""COMPUTED_VALUE"""),"Y")</f>
        <v>Y</v>
      </c>
      <c r="G427" s="3" t="str">
        <f>IFERROR(__xludf.DUMMYFUNCTION("""COMPUTED_VALUE"""),"Y")</f>
        <v>Y</v>
      </c>
      <c r="H427" s="3"/>
      <c r="I427" s="3" t="str">
        <f>IFERROR(__xludf.DUMMYFUNCTION("""COMPUTED_VALUE"""),"Y")</f>
        <v>Y</v>
      </c>
      <c r="J427" s="3" t="str">
        <f>IFERROR(__xludf.DUMMYFUNCTION("""COMPUTED_VALUE""")," ")</f>
        <v> </v>
      </c>
      <c r="K427" s="3" t="str">
        <f>IFERROR(__xludf.DUMMYFUNCTION("""COMPUTED_VALUE"""),"Y")</f>
        <v>Y</v>
      </c>
      <c r="L427" s="3" t="str">
        <f>IFERROR(__xludf.DUMMYFUNCTION("""COMPUTED_VALUE"""),"Group 13")</f>
        <v>Group 13</v>
      </c>
      <c r="M427" s="3"/>
      <c r="N427" s="5" t="str">
        <f>IFERROR(__xludf.DUMMYFUNCTION("""COMPUTED_VALUE""")," ")</f>
        <v> </v>
      </c>
      <c r="O427" s="5"/>
    </row>
    <row r="428">
      <c r="A428" s="2" t="str">
        <f>IFERROR(__xludf.DUMMYFUNCTION("""COMPUTED_VALUE"""),"0480")</f>
        <v>0480</v>
      </c>
      <c r="B428" s="2" t="str">
        <f>IFERROR(__xludf.DUMMYFUNCTION("""COMPUTED_VALUE"""),"BOULDER VALLEY RE 2")</f>
        <v>BOULDER VALLEY RE 2</v>
      </c>
      <c r="C428" s="2" t="str">
        <f>IFERROR(__xludf.DUMMYFUNCTION("""COMPUTED_VALUE"""),"09544")</f>
        <v>09544</v>
      </c>
      <c r="D428" s="2" t="str">
        <f>IFERROR(__xludf.DUMMYFUNCTION("""COMPUTED_VALUE"""),"WHITTIER ELEMENTARY SCHOOL")</f>
        <v>WHITTIER ELEMENTARY SCHOOL</v>
      </c>
      <c r="E428" s="3" t="str">
        <f>IFERROR(__xludf.DUMMYFUNCTION("""COMPUTED_VALUE"""),"Y")</f>
        <v>Y</v>
      </c>
      <c r="F428" s="3" t="str">
        <f>IFERROR(__xludf.DUMMYFUNCTION("""COMPUTED_VALUE"""),"Y")</f>
        <v>Y</v>
      </c>
      <c r="G428" s="3" t="str">
        <f>IFERROR(__xludf.DUMMYFUNCTION("""COMPUTED_VALUE"""),"Y")</f>
        <v>Y</v>
      </c>
      <c r="H428" s="3"/>
      <c r="I428" s="3" t="str">
        <f>IFERROR(__xludf.DUMMYFUNCTION("""COMPUTED_VALUE""")," ")</f>
        <v> </v>
      </c>
      <c r="J428" s="3" t="str">
        <f>IFERROR(__xludf.DUMMYFUNCTION("""COMPUTED_VALUE""")," ")</f>
        <v> </v>
      </c>
      <c r="K428" s="3" t="str">
        <f>IFERROR(__xludf.DUMMYFUNCTION("""COMPUTED_VALUE"""),"Y")</f>
        <v>Y</v>
      </c>
      <c r="L428" s="3" t="str">
        <f>IFERROR(__xludf.DUMMYFUNCTION("""COMPUTED_VALUE"""),"Group 12")</f>
        <v>Group 12</v>
      </c>
      <c r="M428" s="3"/>
      <c r="N428" s="5" t="str">
        <f>IFERROR(__xludf.DUMMYFUNCTION("""COMPUTED_VALUE""")," ")</f>
        <v> </v>
      </c>
      <c r="O428" s="5"/>
    </row>
    <row r="429">
      <c r="A429" s="2" t="str">
        <f>IFERROR(__xludf.DUMMYFUNCTION("""COMPUTED_VALUE"""),"0490")</f>
        <v>0490</v>
      </c>
      <c r="B429" s="2" t="str">
        <f>IFERROR(__xludf.DUMMYFUNCTION("""COMPUTED_VALUE"""),"BUENA VISTA R-31")</f>
        <v>BUENA VISTA R-31</v>
      </c>
      <c r="C429" s="2" t="str">
        <f>IFERROR(__xludf.DUMMYFUNCTION("""COMPUTED_VALUE"""),"00137")</f>
        <v>00137</v>
      </c>
      <c r="D429" s="2" t="str">
        <f>IFERROR(__xludf.DUMMYFUNCTION("""COMPUTED_VALUE"""),"The Grove, BVSD's Early Learning Program")</f>
        <v>The Grove, BVSD's Early Learning Program</v>
      </c>
      <c r="E429" s="3" t="str">
        <f>IFERROR(__xludf.DUMMYFUNCTION("""COMPUTED_VALUE"""),"Y")</f>
        <v>Y</v>
      </c>
      <c r="F429" s="3" t="str">
        <f>IFERROR(__xludf.DUMMYFUNCTION("""COMPUTED_VALUE"""),"Y")</f>
        <v>Y</v>
      </c>
      <c r="G429" s="3"/>
      <c r="H429" s="3"/>
      <c r="I429" s="3" t="str">
        <f>IFERROR(__xludf.DUMMYFUNCTION("""COMPUTED_VALUE""")," ")</f>
        <v> </v>
      </c>
      <c r="J429" s="3" t="str">
        <f>IFERROR(__xludf.DUMMYFUNCTION("""COMPUTED_VALUE""")," ")</f>
        <v> </v>
      </c>
      <c r="K429" s="3" t="str">
        <f>IFERROR(__xludf.DUMMYFUNCTION("""COMPUTED_VALUE"""),"Y")</f>
        <v>Y</v>
      </c>
      <c r="L429" s="3" t="str">
        <f>IFERROR(__xludf.DUMMYFUNCTION("""COMPUTED_VALUE"""),"Group 1")</f>
        <v>Group 1</v>
      </c>
      <c r="M429" s="3"/>
      <c r="N429" s="5" t="str">
        <f>IFERROR(__xludf.DUMMYFUNCTION("""COMPUTED_VALUE""")," ")</f>
        <v> </v>
      </c>
      <c r="O429" s="5"/>
    </row>
    <row r="430">
      <c r="A430" s="2" t="str">
        <f>IFERROR(__xludf.DUMMYFUNCTION("""COMPUTED_VALUE"""),"0490")</f>
        <v>0490</v>
      </c>
      <c r="B430" s="2" t="str">
        <f>IFERROR(__xludf.DUMMYFUNCTION("""COMPUTED_VALUE"""),"BUENA VISTA R-31")</f>
        <v>BUENA VISTA R-31</v>
      </c>
      <c r="C430" s="2" t="str">
        <f>IFERROR(__xludf.DUMMYFUNCTION("""COMPUTED_VALUE"""),"01130")</f>
        <v>01130</v>
      </c>
      <c r="D430" s="2" t="str">
        <f>IFERROR(__xludf.DUMMYFUNCTION("""COMPUTED_VALUE"""),"BUENA VISTA HIGH SCHOOL")</f>
        <v>BUENA VISTA HIGH SCHOOL</v>
      </c>
      <c r="E430" s="3" t="str">
        <f>IFERROR(__xludf.DUMMYFUNCTION("""COMPUTED_VALUE"""),"Y")</f>
        <v>Y</v>
      </c>
      <c r="F430" s="3" t="str">
        <f>IFERROR(__xludf.DUMMYFUNCTION("""COMPUTED_VALUE"""),"Y")</f>
        <v>Y</v>
      </c>
      <c r="G430" s="3"/>
      <c r="H430" s="3"/>
      <c r="I430" s="3" t="str">
        <f>IFERROR(__xludf.DUMMYFUNCTION("""COMPUTED_VALUE""")," ")</f>
        <v> </v>
      </c>
      <c r="J430" s="3" t="str">
        <f>IFERROR(__xludf.DUMMYFUNCTION("""COMPUTED_VALUE""")," ")</f>
        <v> </v>
      </c>
      <c r="K430" s="3" t="str">
        <f>IFERROR(__xludf.DUMMYFUNCTION("""COMPUTED_VALUE"""),"Y")</f>
        <v>Y</v>
      </c>
      <c r="L430" s="3" t="str">
        <f>IFERROR(__xludf.DUMMYFUNCTION("""COMPUTED_VALUE"""),"Group 3")</f>
        <v>Group 3</v>
      </c>
      <c r="M430" s="3"/>
      <c r="N430" s="5" t="str">
        <f>IFERROR(__xludf.DUMMYFUNCTION("""COMPUTED_VALUE""")," ")</f>
        <v> </v>
      </c>
      <c r="O430" s="5"/>
    </row>
    <row r="431">
      <c r="A431" s="2" t="str">
        <f>IFERROR(__xludf.DUMMYFUNCTION("""COMPUTED_VALUE"""),"0490")</f>
        <v>0490</v>
      </c>
      <c r="B431" s="2" t="str">
        <f>IFERROR(__xludf.DUMMYFUNCTION("""COMPUTED_VALUE"""),"BUENA VISTA R-31")</f>
        <v>BUENA VISTA R-31</v>
      </c>
      <c r="C431" s="2" t="str">
        <f>IFERROR(__xludf.DUMMYFUNCTION("""COMPUTED_VALUE"""),"01132")</f>
        <v>01132</v>
      </c>
      <c r="D431" s="2" t="str">
        <f>IFERROR(__xludf.DUMMYFUNCTION("""COMPUTED_VALUE"""),"Buena Vista Middle School")</f>
        <v>Buena Vista Middle School</v>
      </c>
      <c r="E431" s="3" t="str">
        <f>IFERROR(__xludf.DUMMYFUNCTION("""COMPUTED_VALUE"""),"Y")</f>
        <v>Y</v>
      </c>
      <c r="F431" s="3" t="str">
        <f>IFERROR(__xludf.DUMMYFUNCTION("""COMPUTED_VALUE"""),"Y")</f>
        <v>Y</v>
      </c>
      <c r="G431" s="3"/>
      <c r="H431" s="3"/>
      <c r="I431" s="3" t="str">
        <f>IFERROR(__xludf.DUMMYFUNCTION("""COMPUTED_VALUE""")," ")</f>
        <v> </v>
      </c>
      <c r="J431" s="3" t="str">
        <f>IFERROR(__xludf.DUMMYFUNCTION("""COMPUTED_VALUE""")," ")</f>
        <v> </v>
      </c>
      <c r="K431" s="3" t="str">
        <f>IFERROR(__xludf.DUMMYFUNCTION("""COMPUTED_VALUE"""),"Y")</f>
        <v>Y</v>
      </c>
      <c r="L431" s="3" t="str">
        <f>IFERROR(__xludf.DUMMYFUNCTION("""COMPUTED_VALUE"""),"Group 1")</f>
        <v>Group 1</v>
      </c>
      <c r="M431" s="3"/>
      <c r="N431" s="5" t="str">
        <f>IFERROR(__xludf.DUMMYFUNCTION("""COMPUTED_VALUE""")," ")</f>
        <v> </v>
      </c>
      <c r="O431" s="5"/>
    </row>
    <row r="432">
      <c r="A432" s="2" t="str">
        <f>IFERROR(__xludf.DUMMYFUNCTION("""COMPUTED_VALUE"""),"0490")</f>
        <v>0490</v>
      </c>
      <c r="B432" s="2" t="str">
        <f>IFERROR(__xludf.DUMMYFUNCTION("""COMPUTED_VALUE"""),"BUENA VISTA R-31")</f>
        <v>BUENA VISTA R-31</v>
      </c>
      <c r="C432" s="2" t="str">
        <f>IFERROR(__xludf.DUMMYFUNCTION("""COMPUTED_VALUE"""),"01508")</f>
        <v>01508</v>
      </c>
      <c r="D432" s="2" t="str">
        <f>IFERROR(__xludf.DUMMYFUNCTION("""COMPUTED_VALUE"""),"CHAFFEE COUNTY HIGH SCHOOL")</f>
        <v>CHAFFEE COUNTY HIGH SCHOOL</v>
      </c>
      <c r="E432" s="3" t="str">
        <f>IFERROR(__xludf.DUMMYFUNCTION("""COMPUTED_VALUE"""),"Y")</f>
        <v>Y</v>
      </c>
      <c r="F432" s="3" t="str">
        <f>IFERROR(__xludf.DUMMYFUNCTION("""COMPUTED_VALUE"""),"Y")</f>
        <v>Y</v>
      </c>
      <c r="G432" s="3"/>
      <c r="H432" s="3"/>
      <c r="I432" s="3" t="str">
        <f>IFERROR(__xludf.DUMMYFUNCTION("""COMPUTED_VALUE""")," ")</f>
        <v> </v>
      </c>
      <c r="J432" s="3" t="str">
        <f>IFERROR(__xludf.DUMMYFUNCTION("""COMPUTED_VALUE""")," ")</f>
        <v> </v>
      </c>
      <c r="K432" s="3" t="str">
        <f>IFERROR(__xludf.DUMMYFUNCTION("""COMPUTED_VALUE"""),"Y")</f>
        <v>Y</v>
      </c>
      <c r="L432" s="3" t="str">
        <f>IFERROR(__xludf.DUMMYFUNCTION("""COMPUTED_VALUE"""),"Group 1")</f>
        <v>Group 1</v>
      </c>
      <c r="M432" s="3"/>
      <c r="N432" s="5" t="str">
        <f>IFERROR(__xludf.DUMMYFUNCTION("""COMPUTED_VALUE""")," ")</f>
        <v> </v>
      </c>
      <c r="O432" s="5"/>
    </row>
    <row r="433">
      <c r="A433" s="2" t="str">
        <f>IFERROR(__xludf.DUMMYFUNCTION("""COMPUTED_VALUE"""),"0490")</f>
        <v>0490</v>
      </c>
      <c r="B433" s="2" t="str">
        <f>IFERROR(__xludf.DUMMYFUNCTION("""COMPUTED_VALUE"""),"BUENA VISTA R-31")</f>
        <v>BUENA VISTA R-31</v>
      </c>
      <c r="C433" s="2" t="str">
        <f>IFERROR(__xludf.DUMMYFUNCTION("""COMPUTED_VALUE"""),"04306")</f>
        <v>04306</v>
      </c>
      <c r="D433" s="2" t="str">
        <f>IFERROR(__xludf.DUMMYFUNCTION("""COMPUTED_VALUE"""),"AVERY/PARSONS ELEMENTARY SCHOOL")</f>
        <v>AVERY/PARSONS ELEMENTARY SCHOOL</v>
      </c>
      <c r="E433" s="3" t="str">
        <f>IFERROR(__xludf.DUMMYFUNCTION("""COMPUTED_VALUE"""),"Y")</f>
        <v>Y</v>
      </c>
      <c r="F433" s="3" t="str">
        <f>IFERROR(__xludf.DUMMYFUNCTION("""COMPUTED_VALUE"""),"Y")</f>
        <v>Y</v>
      </c>
      <c r="G433" s="3"/>
      <c r="H433" s="3"/>
      <c r="I433" s="3" t="str">
        <f>IFERROR(__xludf.DUMMYFUNCTION("""COMPUTED_VALUE""")," ")</f>
        <v> </v>
      </c>
      <c r="J433" s="3" t="str">
        <f>IFERROR(__xludf.DUMMYFUNCTION("""COMPUTED_VALUE""")," ")</f>
        <v> </v>
      </c>
      <c r="K433" s="3" t="str">
        <f>IFERROR(__xludf.DUMMYFUNCTION("""COMPUTED_VALUE"""),"Y")</f>
        <v>Y</v>
      </c>
      <c r="L433" s="3" t="str">
        <f>IFERROR(__xludf.DUMMYFUNCTION("""COMPUTED_VALUE"""),"Group 2")</f>
        <v>Group 2</v>
      </c>
      <c r="M433" s="3"/>
      <c r="N433" s="5" t="str">
        <f>IFERROR(__xludf.DUMMYFUNCTION("""COMPUTED_VALUE""")," ")</f>
        <v> </v>
      </c>
      <c r="O433" s="5"/>
    </row>
    <row r="434">
      <c r="A434" s="2" t="str">
        <f>IFERROR(__xludf.DUMMYFUNCTION("""COMPUTED_VALUE"""),"0500")</f>
        <v>0500</v>
      </c>
      <c r="B434" s="2" t="str">
        <f>IFERROR(__xludf.DUMMYFUNCTION("""COMPUTED_VALUE"""),"SALIDA R-32")</f>
        <v>SALIDA R-32</v>
      </c>
      <c r="C434" s="2" t="str">
        <f>IFERROR(__xludf.DUMMYFUNCTION("""COMPUTED_VALUE"""),"01554")</f>
        <v>01554</v>
      </c>
      <c r="D434" s="2" t="str">
        <f>IFERROR(__xludf.DUMMYFUNCTION("""COMPUTED_VALUE"""),"Crest Academy")</f>
        <v>Crest Academy</v>
      </c>
      <c r="E434" s="3" t="str">
        <f>IFERROR(__xludf.DUMMYFUNCTION("""COMPUTED_VALUE"""),"Y")</f>
        <v>Y</v>
      </c>
      <c r="F434" s="3" t="str">
        <f>IFERROR(__xludf.DUMMYFUNCTION("""COMPUTED_VALUE"""),"Y")</f>
        <v>Y</v>
      </c>
      <c r="G434" s="3"/>
      <c r="H434" s="3"/>
      <c r="I434" s="3" t="str">
        <f>IFERROR(__xludf.DUMMYFUNCTION("""COMPUTED_VALUE""")," ")</f>
        <v> </v>
      </c>
      <c r="J434" s="3" t="str">
        <f>IFERROR(__xludf.DUMMYFUNCTION("""COMPUTED_VALUE""")," ")</f>
        <v> </v>
      </c>
      <c r="K434" s="3" t="str">
        <f>IFERROR(__xludf.DUMMYFUNCTION("""COMPUTED_VALUE"""),"Y")</f>
        <v>Y</v>
      </c>
      <c r="L434" s="3" t="str">
        <f>IFERROR(__xludf.DUMMYFUNCTION("""COMPUTED_VALUE"""),"Group 1")</f>
        <v>Group 1</v>
      </c>
      <c r="M434" s="3"/>
      <c r="N434" s="5" t="str">
        <f>IFERROR(__xludf.DUMMYFUNCTION("""COMPUTED_VALUE""")," ")</f>
        <v> </v>
      </c>
      <c r="O434" s="5"/>
    </row>
    <row r="435">
      <c r="A435" s="2" t="str">
        <f>IFERROR(__xludf.DUMMYFUNCTION("""COMPUTED_VALUE"""),"0500")</f>
        <v>0500</v>
      </c>
      <c r="B435" s="2" t="str">
        <f>IFERROR(__xludf.DUMMYFUNCTION("""COMPUTED_VALUE"""),"SALIDA R-32")</f>
        <v>SALIDA R-32</v>
      </c>
      <c r="C435" s="2" t="str">
        <f>IFERROR(__xludf.DUMMYFUNCTION("""COMPUTED_VALUE"""),"04085")</f>
        <v>04085</v>
      </c>
      <c r="D435" s="2" t="str">
        <f>IFERROR(__xludf.DUMMYFUNCTION("""COMPUTED_VALUE"""),"HORIZONS EXPLORATORY ACADEMY")</f>
        <v>HORIZONS EXPLORATORY ACADEMY</v>
      </c>
      <c r="E435" s="3" t="str">
        <f>IFERROR(__xludf.DUMMYFUNCTION("""COMPUTED_VALUE"""),"Y")</f>
        <v>Y</v>
      </c>
      <c r="F435" s="3" t="str">
        <f>IFERROR(__xludf.DUMMYFUNCTION("""COMPUTED_VALUE"""),"Y")</f>
        <v>Y</v>
      </c>
      <c r="G435" s="3"/>
      <c r="H435" s="3"/>
      <c r="I435" s="3" t="str">
        <f>IFERROR(__xludf.DUMMYFUNCTION("""COMPUTED_VALUE""")," ")</f>
        <v> </v>
      </c>
      <c r="J435" s="3" t="str">
        <f>IFERROR(__xludf.DUMMYFUNCTION("""COMPUTED_VALUE""")," ")</f>
        <v> </v>
      </c>
      <c r="K435" s="3" t="str">
        <f>IFERROR(__xludf.DUMMYFUNCTION("""COMPUTED_VALUE"""),"Y")</f>
        <v>Y</v>
      </c>
      <c r="L435" s="3" t="str">
        <f>IFERROR(__xludf.DUMMYFUNCTION("""COMPUTED_VALUE"""),"Group 3")</f>
        <v>Group 3</v>
      </c>
      <c r="M435" s="3"/>
      <c r="N435" s="5" t="str">
        <f>IFERROR(__xludf.DUMMYFUNCTION("""COMPUTED_VALUE""")," ")</f>
        <v> </v>
      </c>
      <c r="O435" s="5"/>
    </row>
    <row r="436">
      <c r="A436" s="2" t="str">
        <f>IFERROR(__xludf.DUMMYFUNCTION("""COMPUTED_VALUE"""),"0500")</f>
        <v>0500</v>
      </c>
      <c r="B436" s="2" t="str">
        <f>IFERROR(__xludf.DUMMYFUNCTION("""COMPUTED_VALUE"""),"SALIDA R-32")</f>
        <v>SALIDA R-32</v>
      </c>
      <c r="C436" s="2" t="str">
        <f>IFERROR(__xludf.DUMMYFUNCTION("""COMPUTED_VALUE"""),"04680")</f>
        <v>04680</v>
      </c>
      <c r="D436" s="2" t="str">
        <f>IFERROR(__xludf.DUMMYFUNCTION("""COMPUTED_VALUE"""),"SALIDA MIDDLE SCHOOL")</f>
        <v>SALIDA MIDDLE SCHOOL</v>
      </c>
      <c r="E436" s="3" t="str">
        <f>IFERROR(__xludf.DUMMYFUNCTION("""COMPUTED_VALUE"""),"Y")</f>
        <v>Y</v>
      </c>
      <c r="F436" s="3" t="str">
        <f>IFERROR(__xludf.DUMMYFUNCTION("""COMPUTED_VALUE"""),"Y")</f>
        <v>Y</v>
      </c>
      <c r="G436" s="3"/>
      <c r="H436" s="3"/>
      <c r="I436" s="3" t="str">
        <f>IFERROR(__xludf.DUMMYFUNCTION("""COMPUTED_VALUE""")," ")</f>
        <v> </v>
      </c>
      <c r="J436" s="3" t="str">
        <f>IFERROR(__xludf.DUMMYFUNCTION("""COMPUTED_VALUE""")," ")</f>
        <v> </v>
      </c>
      <c r="K436" s="3" t="str">
        <f>IFERROR(__xludf.DUMMYFUNCTION("""COMPUTED_VALUE"""),"Y")</f>
        <v>Y</v>
      </c>
      <c r="L436" s="3" t="str">
        <f>IFERROR(__xludf.DUMMYFUNCTION("""COMPUTED_VALUE"""),"Group 2")</f>
        <v>Group 2</v>
      </c>
      <c r="M436" s="3"/>
      <c r="N436" s="5" t="str">
        <f>IFERROR(__xludf.DUMMYFUNCTION("""COMPUTED_VALUE""")," ")</f>
        <v> </v>
      </c>
      <c r="O436" s="5"/>
    </row>
    <row r="437">
      <c r="A437" s="2" t="str">
        <f>IFERROR(__xludf.DUMMYFUNCTION("""COMPUTED_VALUE"""),"0500")</f>
        <v>0500</v>
      </c>
      <c r="B437" s="2" t="str">
        <f>IFERROR(__xludf.DUMMYFUNCTION("""COMPUTED_VALUE"""),"SALIDA R-32")</f>
        <v>SALIDA R-32</v>
      </c>
      <c r="C437" s="2" t="str">
        <f>IFERROR(__xludf.DUMMYFUNCTION("""COMPUTED_VALUE"""),"05268")</f>
        <v>05268</v>
      </c>
      <c r="D437" s="2" t="str">
        <f>IFERROR(__xludf.DUMMYFUNCTION("""COMPUTED_VALUE"""),"LONGFELLOW ELEMENTARY SCHOOL")</f>
        <v>LONGFELLOW ELEMENTARY SCHOOL</v>
      </c>
      <c r="E437" s="3" t="str">
        <f>IFERROR(__xludf.DUMMYFUNCTION("""COMPUTED_VALUE"""),"Y")</f>
        <v>Y</v>
      </c>
      <c r="F437" s="3" t="str">
        <f>IFERROR(__xludf.DUMMYFUNCTION("""COMPUTED_VALUE"""),"Y")</f>
        <v>Y</v>
      </c>
      <c r="G437" s="3"/>
      <c r="H437" s="3"/>
      <c r="I437" s="3" t="str">
        <f>IFERROR(__xludf.DUMMYFUNCTION("""COMPUTED_VALUE""")," ")</f>
        <v> </v>
      </c>
      <c r="J437" s="3" t="str">
        <f>IFERROR(__xludf.DUMMYFUNCTION("""COMPUTED_VALUE""")," ")</f>
        <v> </v>
      </c>
      <c r="K437" s="3" t="str">
        <f>IFERROR(__xludf.DUMMYFUNCTION("""COMPUTED_VALUE"""),"Y")</f>
        <v>Y</v>
      </c>
      <c r="L437" s="3" t="str">
        <f>IFERROR(__xludf.DUMMYFUNCTION("""COMPUTED_VALUE"""),"Group 3")</f>
        <v>Group 3</v>
      </c>
      <c r="M437" s="3"/>
      <c r="N437" s="5" t="str">
        <f>IFERROR(__xludf.DUMMYFUNCTION("""COMPUTED_VALUE""")," ")</f>
        <v> </v>
      </c>
      <c r="O437" s="5"/>
    </row>
    <row r="438">
      <c r="A438" s="2" t="str">
        <f>IFERROR(__xludf.DUMMYFUNCTION("""COMPUTED_VALUE"""),"0500")</f>
        <v>0500</v>
      </c>
      <c r="B438" s="2" t="str">
        <f>IFERROR(__xludf.DUMMYFUNCTION("""COMPUTED_VALUE"""),"SALIDA R-32")</f>
        <v>SALIDA R-32</v>
      </c>
      <c r="C438" s="2" t="str">
        <f>IFERROR(__xludf.DUMMYFUNCTION("""COMPUTED_VALUE"""),"07568")</f>
        <v>07568</v>
      </c>
      <c r="D438" s="2" t="str">
        <f>IFERROR(__xludf.DUMMYFUNCTION("""COMPUTED_VALUE"""),"SALIDA HIGH SCHOOL")</f>
        <v>SALIDA HIGH SCHOOL</v>
      </c>
      <c r="E438" s="3" t="str">
        <f>IFERROR(__xludf.DUMMYFUNCTION("""COMPUTED_VALUE"""),"Y")</f>
        <v>Y</v>
      </c>
      <c r="F438" s="3" t="str">
        <f>IFERROR(__xludf.DUMMYFUNCTION("""COMPUTED_VALUE"""),"Y")</f>
        <v>Y</v>
      </c>
      <c r="G438" s="3"/>
      <c r="H438" s="3"/>
      <c r="I438" s="3" t="str">
        <f>IFERROR(__xludf.DUMMYFUNCTION("""COMPUTED_VALUE""")," ")</f>
        <v> </v>
      </c>
      <c r="J438" s="3" t="str">
        <f>IFERROR(__xludf.DUMMYFUNCTION("""COMPUTED_VALUE""")," ")</f>
        <v> </v>
      </c>
      <c r="K438" s="3" t="str">
        <f>IFERROR(__xludf.DUMMYFUNCTION("""COMPUTED_VALUE"""),"Y")</f>
        <v>Y</v>
      </c>
      <c r="L438" s="3" t="str">
        <f>IFERROR(__xludf.DUMMYFUNCTION("""COMPUTED_VALUE"""),"Group 1")</f>
        <v>Group 1</v>
      </c>
      <c r="M438" s="3"/>
      <c r="N438" s="5" t="str">
        <f>IFERROR(__xludf.DUMMYFUNCTION("""COMPUTED_VALUE""")," ")</f>
        <v> </v>
      </c>
      <c r="O438" s="5"/>
    </row>
    <row r="439">
      <c r="A439" s="2" t="str">
        <f>IFERROR(__xludf.DUMMYFUNCTION("""COMPUTED_VALUE"""),"0510")</f>
        <v>0510</v>
      </c>
      <c r="B439" s="2" t="str">
        <f>IFERROR(__xludf.DUMMYFUNCTION("""COMPUTED_VALUE"""),"KIT CARSON          R-1")</f>
        <v>KIT CARSON          R-1</v>
      </c>
      <c r="C439" s="2" t="str">
        <f>IFERROR(__xludf.DUMMYFUNCTION("""COMPUTED_VALUE"""),"04738")</f>
        <v>04738</v>
      </c>
      <c r="D439" s="2" t="str">
        <f>IFERROR(__xludf.DUMMYFUNCTION("""COMPUTED_VALUE"""),"KIT CARSON ELEMENTARY SCHOOL")</f>
        <v>KIT CARSON ELEMENTARY SCHOOL</v>
      </c>
      <c r="E439" s="3" t="str">
        <f>IFERROR(__xludf.DUMMYFUNCTION("""COMPUTED_VALUE"""),"Y")</f>
        <v>Y</v>
      </c>
      <c r="F439" s="3" t="str">
        <f>IFERROR(__xludf.DUMMYFUNCTION("""COMPUTED_VALUE"""),"Y")</f>
        <v>Y</v>
      </c>
      <c r="G439" s="3"/>
      <c r="H439" s="3"/>
      <c r="I439" s="3" t="str">
        <f>IFERROR(__xludf.DUMMYFUNCTION("""COMPUTED_VALUE""")," ")</f>
        <v> </v>
      </c>
      <c r="J439" s="3" t="str">
        <f>IFERROR(__xludf.DUMMYFUNCTION("""COMPUTED_VALUE""")," ")</f>
        <v> </v>
      </c>
      <c r="K439" s="3" t="str">
        <f>IFERROR(__xludf.DUMMYFUNCTION("""COMPUTED_VALUE"""),"Y")</f>
        <v>Y</v>
      </c>
      <c r="L439" s="3" t="str">
        <f>IFERROR(__xludf.DUMMYFUNCTION("""COMPUTED_VALUE"""),"Group 2")</f>
        <v>Group 2</v>
      </c>
      <c r="M439" s="3"/>
      <c r="N439" s="5" t="str">
        <f>IFERROR(__xludf.DUMMYFUNCTION("""COMPUTED_VALUE""")," ")</f>
        <v> </v>
      </c>
      <c r="O439" s="5"/>
    </row>
    <row r="440">
      <c r="A440" s="2" t="str">
        <f>IFERROR(__xludf.DUMMYFUNCTION("""COMPUTED_VALUE"""),"0510")</f>
        <v>0510</v>
      </c>
      <c r="B440" s="2" t="str">
        <f>IFERROR(__xludf.DUMMYFUNCTION("""COMPUTED_VALUE"""),"KIT CARSON          R-1")</f>
        <v>KIT CARSON          R-1</v>
      </c>
      <c r="C440" s="2" t="str">
        <f>IFERROR(__xludf.DUMMYFUNCTION("""COMPUTED_VALUE"""),"04742")</f>
        <v>04742</v>
      </c>
      <c r="D440" s="2" t="str">
        <f>IFERROR(__xludf.DUMMYFUNCTION("""COMPUTED_VALUE"""),"KIT CARSON JUNIOR-SENIOR HIGH SCHOOL")</f>
        <v>KIT CARSON JUNIOR-SENIOR HIGH SCHOOL</v>
      </c>
      <c r="E440" s="3" t="str">
        <f>IFERROR(__xludf.DUMMYFUNCTION("""COMPUTED_VALUE"""),"Y")</f>
        <v>Y</v>
      </c>
      <c r="F440" s="3" t="str">
        <f>IFERROR(__xludf.DUMMYFUNCTION("""COMPUTED_VALUE"""),"Y")</f>
        <v>Y</v>
      </c>
      <c r="G440" s="3"/>
      <c r="H440" s="3"/>
      <c r="I440" s="3" t="str">
        <f>IFERROR(__xludf.DUMMYFUNCTION("""COMPUTED_VALUE""")," ")</f>
        <v> </v>
      </c>
      <c r="J440" s="3" t="str">
        <f>IFERROR(__xludf.DUMMYFUNCTION("""COMPUTED_VALUE""")," ")</f>
        <v> </v>
      </c>
      <c r="K440" s="3" t="str">
        <f>IFERROR(__xludf.DUMMYFUNCTION("""COMPUTED_VALUE"""),"Y")</f>
        <v>Y</v>
      </c>
      <c r="L440" s="3" t="str">
        <f>IFERROR(__xludf.DUMMYFUNCTION("""COMPUTED_VALUE"""),"Group 1")</f>
        <v>Group 1</v>
      </c>
      <c r="M440" s="3"/>
      <c r="N440" s="5" t="str">
        <f>IFERROR(__xludf.DUMMYFUNCTION("""COMPUTED_VALUE""")," ")</f>
        <v> </v>
      </c>
      <c r="O440" s="5"/>
    </row>
    <row r="441">
      <c r="A441" s="2" t="str">
        <f>IFERROR(__xludf.DUMMYFUNCTION("""COMPUTED_VALUE"""),"0520")</f>
        <v>0520</v>
      </c>
      <c r="B441" s="2" t="str">
        <f>IFERROR(__xludf.DUMMYFUNCTION("""COMPUTED_VALUE"""),"CHEYENNE COUNTY     RE-5")</f>
        <v>CHEYENNE COUNTY     RE-5</v>
      </c>
      <c r="C441" s="2" t="str">
        <f>IFERROR(__xludf.DUMMYFUNCTION("""COMPUTED_VALUE"""),"01608")</f>
        <v>01608</v>
      </c>
      <c r="D441" s="2" t="str">
        <f>IFERROR(__xludf.DUMMYFUNCTION("""COMPUTED_VALUE"""),"CHEYENNE WELLS ELEMENTARY SCHOOL")</f>
        <v>CHEYENNE WELLS ELEMENTARY SCHOOL</v>
      </c>
      <c r="E441" s="3" t="str">
        <f>IFERROR(__xludf.DUMMYFUNCTION("""COMPUTED_VALUE"""),"Y")</f>
        <v>Y</v>
      </c>
      <c r="F441" s="3" t="str">
        <f>IFERROR(__xludf.DUMMYFUNCTION("""COMPUTED_VALUE"""),"Y")</f>
        <v>Y</v>
      </c>
      <c r="G441" s="3"/>
      <c r="H441" s="3"/>
      <c r="I441" s="3" t="str">
        <f>IFERROR(__xludf.DUMMYFUNCTION("""COMPUTED_VALUE""")," ")</f>
        <v> </v>
      </c>
      <c r="J441" s="3" t="str">
        <f>IFERROR(__xludf.DUMMYFUNCTION("""COMPUTED_VALUE""")," ")</f>
        <v> </v>
      </c>
      <c r="K441" s="3" t="str">
        <f>IFERROR(__xludf.DUMMYFUNCTION("""COMPUTED_VALUE"""),"Y")</f>
        <v>Y</v>
      </c>
      <c r="L441" s="3" t="str">
        <f>IFERROR(__xludf.DUMMYFUNCTION("""COMPUTED_VALUE"""),"Group 1")</f>
        <v>Group 1</v>
      </c>
      <c r="M441" s="3"/>
      <c r="N441" s="5" t="str">
        <f>IFERROR(__xludf.DUMMYFUNCTION("""COMPUTED_VALUE""")," ")</f>
        <v> </v>
      </c>
      <c r="O441" s="5"/>
    </row>
    <row r="442">
      <c r="A442" s="2" t="str">
        <f>IFERROR(__xludf.DUMMYFUNCTION("""COMPUTED_VALUE"""),"0520")</f>
        <v>0520</v>
      </c>
      <c r="B442" s="2" t="str">
        <f>IFERROR(__xludf.DUMMYFUNCTION("""COMPUTED_VALUE"""),"CHEYENNE COUNTY     RE-5")</f>
        <v>CHEYENNE COUNTY     RE-5</v>
      </c>
      <c r="C442" s="2" t="str">
        <f>IFERROR(__xludf.DUMMYFUNCTION("""COMPUTED_VALUE"""),"01612")</f>
        <v>01612</v>
      </c>
      <c r="D442" s="2" t="str">
        <f>IFERROR(__xludf.DUMMYFUNCTION("""COMPUTED_VALUE"""),"CHEYENNE WELLS JUNIOR/HIGH SCHOOL")</f>
        <v>CHEYENNE WELLS JUNIOR/HIGH SCHOOL</v>
      </c>
      <c r="E442" s="3" t="str">
        <f>IFERROR(__xludf.DUMMYFUNCTION("""COMPUTED_VALUE"""),"Y")</f>
        <v>Y</v>
      </c>
      <c r="F442" s="3" t="str">
        <f>IFERROR(__xludf.DUMMYFUNCTION("""COMPUTED_VALUE"""),"Y")</f>
        <v>Y</v>
      </c>
      <c r="G442" s="3"/>
      <c r="H442" s="3"/>
      <c r="I442" s="3" t="str">
        <f>IFERROR(__xludf.DUMMYFUNCTION("""COMPUTED_VALUE""")," ")</f>
        <v> </v>
      </c>
      <c r="J442" s="3" t="str">
        <f>IFERROR(__xludf.DUMMYFUNCTION("""COMPUTED_VALUE""")," ")</f>
        <v> </v>
      </c>
      <c r="K442" s="3" t="str">
        <f>IFERROR(__xludf.DUMMYFUNCTION("""COMPUTED_VALUE"""),"Y")</f>
        <v>Y</v>
      </c>
      <c r="L442" s="3" t="str">
        <f>IFERROR(__xludf.DUMMYFUNCTION("""COMPUTED_VALUE"""),"Group 2")</f>
        <v>Group 2</v>
      </c>
      <c r="M442" s="3"/>
      <c r="N442" s="5" t="str">
        <f>IFERROR(__xludf.DUMMYFUNCTION("""COMPUTED_VALUE""")," ")</f>
        <v> </v>
      </c>
      <c r="O442" s="5"/>
    </row>
    <row r="443">
      <c r="A443" s="2" t="str">
        <f>IFERROR(__xludf.DUMMYFUNCTION("""COMPUTED_VALUE"""),"0540")</f>
        <v>0540</v>
      </c>
      <c r="B443" s="2" t="str">
        <f>IFERROR(__xludf.DUMMYFUNCTION("""COMPUTED_VALUE"""),"CLEAR CREEK         RE-1")</f>
        <v>CLEAR CREEK         RE-1</v>
      </c>
      <c r="C443" s="2" t="str">
        <f>IFERROR(__xludf.DUMMYFUNCTION("""COMPUTED_VALUE"""),"01660")</f>
        <v>01660</v>
      </c>
      <c r="D443" s="2" t="str">
        <f>IFERROR(__xludf.DUMMYFUNCTION("""COMPUTED_VALUE"""),"CLEAR CREEK MIDDLE SCHOOL")</f>
        <v>CLEAR CREEK MIDDLE SCHOOL</v>
      </c>
      <c r="E443" s="3" t="str">
        <f>IFERROR(__xludf.DUMMYFUNCTION("""COMPUTED_VALUE"""),"Y")</f>
        <v>Y</v>
      </c>
      <c r="F443" s="3" t="str">
        <f>IFERROR(__xludf.DUMMYFUNCTION("""COMPUTED_VALUE"""),"Y")</f>
        <v>Y</v>
      </c>
      <c r="G443" s="3" t="str">
        <f>IFERROR(__xludf.DUMMYFUNCTION("""COMPUTED_VALUE"""),"Y")</f>
        <v>Y</v>
      </c>
      <c r="H443" s="3"/>
      <c r="I443" s="3" t="str">
        <f>IFERROR(__xludf.DUMMYFUNCTION("""COMPUTED_VALUE""")," ")</f>
        <v> </v>
      </c>
      <c r="J443" s="3" t="str">
        <f>IFERROR(__xludf.DUMMYFUNCTION("""COMPUTED_VALUE""")," ")</f>
        <v> </v>
      </c>
      <c r="K443" s="3" t="str">
        <f>IFERROR(__xludf.DUMMYFUNCTION("""COMPUTED_VALUE"""),"Y")</f>
        <v>Y</v>
      </c>
      <c r="L443" s="3" t="str">
        <f>IFERROR(__xludf.DUMMYFUNCTION("""COMPUTED_VALUE"""),"Group 1")</f>
        <v>Group 1</v>
      </c>
      <c r="M443" s="3"/>
      <c r="N443" s="5" t="str">
        <f>IFERROR(__xludf.DUMMYFUNCTION("""COMPUTED_VALUE""")," ")</f>
        <v> </v>
      </c>
      <c r="O443" s="5"/>
    </row>
    <row r="444">
      <c r="A444" s="2" t="str">
        <f>IFERROR(__xludf.DUMMYFUNCTION("""COMPUTED_VALUE"""),"0540")</f>
        <v>0540</v>
      </c>
      <c r="B444" s="2" t="str">
        <f>IFERROR(__xludf.DUMMYFUNCTION("""COMPUTED_VALUE"""),"CLEAR CREEK         RE-1")</f>
        <v>CLEAR CREEK         RE-1</v>
      </c>
      <c r="C444" s="2" t="str">
        <f>IFERROR(__xludf.DUMMYFUNCTION("""COMPUTED_VALUE"""),"03385")</f>
        <v>03385</v>
      </c>
      <c r="D444" s="2" t="str">
        <f>IFERROR(__xludf.DUMMYFUNCTION("""COMPUTED_VALUE"""),"GEORGETOWN COMMUNITY SCHOOL")</f>
        <v>GEORGETOWN COMMUNITY SCHOOL</v>
      </c>
      <c r="E444" s="3" t="str">
        <f>IFERROR(__xludf.DUMMYFUNCTION("""COMPUTED_VALUE"""),"Y")</f>
        <v>Y</v>
      </c>
      <c r="F444" s="3" t="str">
        <f>IFERROR(__xludf.DUMMYFUNCTION("""COMPUTED_VALUE"""),"Y")</f>
        <v>Y</v>
      </c>
      <c r="G444" s="3"/>
      <c r="H444" s="3"/>
      <c r="I444" s="3" t="str">
        <f>IFERROR(__xludf.DUMMYFUNCTION("""COMPUTED_VALUE""")," ")</f>
        <v> </v>
      </c>
      <c r="J444" s="3" t="str">
        <f>IFERROR(__xludf.DUMMYFUNCTION("""COMPUTED_VALUE""")," ")</f>
        <v> </v>
      </c>
      <c r="K444" s="3" t="str">
        <f>IFERROR(__xludf.DUMMYFUNCTION("""COMPUTED_VALUE"""),"Y")</f>
        <v>Y</v>
      </c>
      <c r="L444" s="3" t="str">
        <f>IFERROR(__xludf.DUMMYFUNCTION("""COMPUTED_VALUE"""),"Group 1")</f>
        <v>Group 1</v>
      </c>
      <c r="M444" s="3"/>
      <c r="N444" s="5" t="str">
        <f>IFERROR(__xludf.DUMMYFUNCTION("""COMPUTED_VALUE""")," ")</f>
        <v> </v>
      </c>
      <c r="O444" s="5"/>
    </row>
    <row r="445">
      <c r="A445" s="2" t="str">
        <f>IFERROR(__xludf.DUMMYFUNCTION("""COMPUTED_VALUE"""),"0540")</f>
        <v>0540</v>
      </c>
      <c r="B445" s="2" t="str">
        <f>IFERROR(__xludf.DUMMYFUNCTION("""COMPUTED_VALUE"""),"CLEAR CREEK         RE-1")</f>
        <v>CLEAR CREEK         RE-1</v>
      </c>
      <c r="C445" s="2" t="str">
        <f>IFERROR(__xludf.DUMMYFUNCTION("""COMPUTED_VALUE"""),"04212")</f>
        <v>04212</v>
      </c>
      <c r="D445" s="2" t="str">
        <f>IFERROR(__xludf.DUMMYFUNCTION("""COMPUTED_VALUE"""),"CARLSON ELEMENTARY SCHOOL")</f>
        <v>CARLSON ELEMENTARY SCHOOL</v>
      </c>
      <c r="E445" s="3" t="str">
        <f>IFERROR(__xludf.DUMMYFUNCTION("""COMPUTED_VALUE"""),"Y")</f>
        <v>Y</v>
      </c>
      <c r="F445" s="3" t="str">
        <f>IFERROR(__xludf.DUMMYFUNCTION("""COMPUTED_VALUE"""),"Y")</f>
        <v>Y</v>
      </c>
      <c r="G445" s="3" t="str">
        <f>IFERROR(__xludf.DUMMYFUNCTION("""COMPUTED_VALUE"""),"Y")</f>
        <v>Y</v>
      </c>
      <c r="H445" s="3"/>
      <c r="I445" s="3" t="str">
        <f>IFERROR(__xludf.DUMMYFUNCTION("""COMPUTED_VALUE""")," ")</f>
        <v> </v>
      </c>
      <c r="J445" s="3" t="str">
        <f>IFERROR(__xludf.DUMMYFUNCTION("""COMPUTED_VALUE""")," ")</f>
        <v> </v>
      </c>
      <c r="K445" s="3" t="str">
        <f>IFERROR(__xludf.DUMMYFUNCTION("""COMPUTED_VALUE"""),"Y")</f>
        <v>Y</v>
      </c>
      <c r="L445" s="3" t="str">
        <f>IFERROR(__xludf.DUMMYFUNCTION("""COMPUTED_VALUE"""),"Group 1")</f>
        <v>Group 1</v>
      </c>
      <c r="M445" s="3"/>
      <c r="N445" s="5" t="str">
        <f>IFERROR(__xludf.DUMMYFUNCTION("""COMPUTED_VALUE""")," ")</f>
        <v> </v>
      </c>
      <c r="O445" s="5"/>
    </row>
    <row r="446">
      <c r="A446" s="2" t="str">
        <f>IFERROR(__xludf.DUMMYFUNCTION("""COMPUTED_VALUE"""),"0540")</f>
        <v>0540</v>
      </c>
      <c r="B446" s="2" t="str">
        <f>IFERROR(__xludf.DUMMYFUNCTION("""COMPUTED_VALUE"""),"CLEAR CREEK         RE-1")</f>
        <v>CLEAR CREEK         RE-1</v>
      </c>
      <c r="C446" s="2" t="str">
        <f>IFERROR(__xludf.DUMMYFUNCTION("""COMPUTED_VALUE"""),"04216")</f>
        <v>04216</v>
      </c>
      <c r="D446" s="2" t="str">
        <f>IFERROR(__xludf.DUMMYFUNCTION("""COMPUTED_VALUE"""),"CLEAR CREEK HIGH SCHOOL")</f>
        <v>CLEAR CREEK HIGH SCHOOL</v>
      </c>
      <c r="E446" s="3" t="str">
        <f>IFERROR(__xludf.DUMMYFUNCTION("""COMPUTED_VALUE"""),"Y")</f>
        <v>Y</v>
      </c>
      <c r="F446" s="3" t="str">
        <f>IFERROR(__xludf.DUMMYFUNCTION("""COMPUTED_VALUE"""),"Y")</f>
        <v>Y</v>
      </c>
      <c r="G446" s="3" t="str">
        <f>IFERROR(__xludf.DUMMYFUNCTION("""COMPUTED_VALUE"""),"Y")</f>
        <v>Y</v>
      </c>
      <c r="H446" s="3"/>
      <c r="I446" s="3" t="str">
        <f>IFERROR(__xludf.DUMMYFUNCTION("""COMPUTED_VALUE""")," ")</f>
        <v> </v>
      </c>
      <c r="J446" s="3" t="str">
        <f>IFERROR(__xludf.DUMMYFUNCTION("""COMPUTED_VALUE""")," ")</f>
        <v> </v>
      </c>
      <c r="K446" s="3" t="str">
        <f>IFERROR(__xludf.DUMMYFUNCTION("""COMPUTED_VALUE"""),"Y")</f>
        <v>Y</v>
      </c>
      <c r="L446" s="3" t="str">
        <f>IFERROR(__xludf.DUMMYFUNCTION("""COMPUTED_VALUE""")," ")</f>
        <v> </v>
      </c>
      <c r="M446" s="3"/>
      <c r="N446" s="5" t="str">
        <f>IFERROR(__xludf.DUMMYFUNCTION("""COMPUTED_VALUE""")," ")</f>
        <v> </v>
      </c>
      <c r="O446" s="5"/>
    </row>
    <row r="447">
      <c r="A447" s="2" t="str">
        <f>IFERROR(__xludf.DUMMYFUNCTION("""COMPUTED_VALUE"""),"0540")</f>
        <v>0540</v>
      </c>
      <c r="B447" s="2" t="str">
        <f>IFERROR(__xludf.DUMMYFUNCTION("""COMPUTED_VALUE"""),"CLEAR CREEK         RE-1")</f>
        <v>CLEAR CREEK         RE-1</v>
      </c>
      <c r="C447" s="2" t="str">
        <f>IFERROR(__xludf.DUMMYFUNCTION("""COMPUTED_VALUE"""),"04700")</f>
        <v>04700</v>
      </c>
      <c r="D447" s="2" t="str">
        <f>IFERROR(__xludf.DUMMYFUNCTION("""COMPUTED_VALUE"""),"KING-MURPHY ELEMENTARY SCHOOL")</f>
        <v>KING-MURPHY ELEMENTARY SCHOOL</v>
      </c>
      <c r="E447" s="3" t="str">
        <f>IFERROR(__xludf.DUMMYFUNCTION("""COMPUTED_VALUE"""),"Y")</f>
        <v>Y</v>
      </c>
      <c r="F447" s="3" t="str">
        <f>IFERROR(__xludf.DUMMYFUNCTION("""COMPUTED_VALUE"""),"Y")</f>
        <v>Y</v>
      </c>
      <c r="G447" s="3" t="str">
        <f>IFERROR(__xludf.DUMMYFUNCTION("""COMPUTED_VALUE"""),"Y")</f>
        <v>Y</v>
      </c>
      <c r="H447" s="3"/>
      <c r="I447" s="3" t="str">
        <f>IFERROR(__xludf.DUMMYFUNCTION("""COMPUTED_VALUE""")," ")</f>
        <v> </v>
      </c>
      <c r="J447" s="3" t="str">
        <f>IFERROR(__xludf.DUMMYFUNCTION("""COMPUTED_VALUE""")," ")</f>
        <v> </v>
      </c>
      <c r="K447" s="3" t="str">
        <f>IFERROR(__xludf.DUMMYFUNCTION("""COMPUTED_VALUE"""),"Y")</f>
        <v>Y</v>
      </c>
      <c r="L447" s="3" t="str">
        <f>IFERROR(__xludf.DUMMYFUNCTION("""COMPUTED_VALUE""")," ")</f>
        <v> </v>
      </c>
      <c r="M447" s="3"/>
      <c r="N447" s="5" t="str">
        <f>IFERROR(__xludf.DUMMYFUNCTION("""COMPUTED_VALUE""")," ")</f>
        <v> </v>
      </c>
      <c r="O447" s="5"/>
    </row>
    <row r="448">
      <c r="A448" s="2" t="str">
        <f>IFERROR(__xludf.DUMMYFUNCTION("""COMPUTED_VALUE"""),"0550")</f>
        <v>0550</v>
      </c>
      <c r="B448" s="2" t="str">
        <f>IFERROR(__xludf.DUMMYFUNCTION("""COMPUTED_VALUE"""),"NORTH CONEJOS       RE-1J")</f>
        <v>NORTH CONEJOS       RE-1J</v>
      </c>
      <c r="C448" s="2" t="str">
        <f>IFERROR(__xludf.DUMMYFUNCTION("""COMPUTED_VALUE"""),"01276")</f>
        <v>01276</v>
      </c>
      <c r="D448" s="2" t="str">
        <f>IFERROR(__xludf.DUMMYFUNCTION("""COMPUTED_VALUE"""),"CENTAURI MIDDLE SCHOOL")</f>
        <v>CENTAURI MIDDLE SCHOOL</v>
      </c>
      <c r="E448" s="3" t="str">
        <f>IFERROR(__xludf.DUMMYFUNCTION("""COMPUTED_VALUE"""),"Y")</f>
        <v>Y</v>
      </c>
      <c r="F448" s="3" t="str">
        <f>IFERROR(__xludf.DUMMYFUNCTION("""COMPUTED_VALUE"""),"Y")</f>
        <v>Y</v>
      </c>
      <c r="G448" s="3"/>
      <c r="H448" s="3"/>
      <c r="I448" s="3" t="str">
        <f>IFERROR(__xludf.DUMMYFUNCTION("""COMPUTED_VALUE""")," ")</f>
        <v> </v>
      </c>
      <c r="J448" s="3" t="str">
        <f>IFERROR(__xludf.DUMMYFUNCTION("""COMPUTED_VALUE""")," ")</f>
        <v> </v>
      </c>
      <c r="K448" s="3" t="str">
        <f>IFERROR(__xludf.DUMMYFUNCTION("""COMPUTED_VALUE"""),"Y")</f>
        <v>Y</v>
      </c>
      <c r="L448" s="3" t="str">
        <f>IFERROR(__xludf.DUMMYFUNCTION("""COMPUTED_VALUE"""),"Group 4")</f>
        <v>Group 4</v>
      </c>
      <c r="M448" s="3"/>
      <c r="N448" s="5" t="str">
        <f>IFERROR(__xludf.DUMMYFUNCTION("""COMPUTED_VALUE""")," ")</f>
        <v> </v>
      </c>
      <c r="O448" s="5"/>
    </row>
    <row r="449">
      <c r="A449" s="2" t="str">
        <f>IFERROR(__xludf.DUMMYFUNCTION("""COMPUTED_VALUE"""),"0550")</f>
        <v>0550</v>
      </c>
      <c r="B449" s="2" t="str">
        <f>IFERROR(__xludf.DUMMYFUNCTION("""COMPUTED_VALUE"""),"NORTH CONEJOS       RE-1J")</f>
        <v>NORTH CONEJOS       RE-1J</v>
      </c>
      <c r="C449" s="2" t="str">
        <f>IFERROR(__xludf.DUMMYFUNCTION("""COMPUTED_VALUE"""),"01378")</f>
        <v>01378</v>
      </c>
      <c r="D449" s="2" t="str">
        <f>IFERROR(__xludf.DUMMYFUNCTION("""COMPUTED_VALUE"""),"CENTAURI HIGH SCHOOL")</f>
        <v>CENTAURI HIGH SCHOOL</v>
      </c>
      <c r="E449" s="3" t="str">
        <f>IFERROR(__xludf.DUMMYFUNCTION("""COMPUTED_VALUE"""),"Y")</f>
        <v>Y</v>
      </c>
      <c r="F449" s="3" t="str">
        <f>IFERROR(__xludf.DUMMYFUNCTION("""COMPUTED_VALUE"""),"Y")</f>
        <v>Y</v>
      </c>
      <c r="G449" s="3"/>
      <c r="H449" s="3"/>
      <c r="I449" s="3" t="str">
        <f>IFERROR(__xludf.DUMMYFUNCTION("""COMPUTED_VALUE""")," ")</f>
        <v> </v>
      </c>
      <c r="J449" s="3" t="str">
        <f>IFERROR(__xludf.DUMMYFUNCTION("""COMPUTED_VALUE""")," ")</f>
        <v> </v>
      </c>
      <c r="K449" s="3" t="str">
        <f>IFERROR(__xludf.DUMMYFUNCTION("""COMPUTED_VALUE"""),"Y")</f>
        <v>Y</v>
      </c>
      <c r="L449" s="3" t="str">
        <f>IFERROR(__xludf.DUMMYFUNCTION("""COMPUTED_VALUE"""),"Group 3")</f>
        <v>Group 3</v>
      </c>
      <c r="M449" s="3"/>
      <c r="N449" s="5" t="str">
        <f>IFERROR(__xludf.DUMMYFUNCTION("""COMPUTED_VALUE""")," ")</f>
        <v> </v>
      </c>
      <c r="O449" s="5"/>
    </row>
    <row r="450">
      <c r="A450" s="2" t="str">
        <f>IFERROR(__xludf.DUMMYFUNCTION("""COMPUTED_VALUE"""),"0550")</f>
        <v>0550</v>
      </c>
      <c r="B450" s="2" t="str">
        <f>IFERROR(__xludf.DUMMYFUNCTION("""COMPUTED_VALUE"""),"NORTH CONEJOS       RE-1J")</f>
        <v>NORTH CONEJOS       RE-1J</v>
      </c>
      <c r="C450" s="2" t="str">
        <f>IFERROR(__xludf.DUMMYFUNCTION("""COMPUTED_VALUE"""),"04836")</f>
        <v>04836</v>
      </c>
      <c r="D450" s="2" t="str">
        <f>IFERROR(__xludf.DUMMYFUNCTION("""COMPUTED_VALUE"""),"LA JARA ELEMENTARY SCHOOL")</f>
        <v>LA JARA ELEMENTARY SCHOOL</v>
      </c>
      <c r="E450" s="3" t="str">
        <f>IFERROR(__xludf.DUMMYFUNCTION("""COMPUTED_VALUE"""),"Y")</f>
        <v>Y</v>
      </c>
      <c r="F450" s="3" t="str">
        <f>IFERROR(__xludf.DUMMYFUNCTION("""COMPUTED_VALUE"""),"Y")</f>
        <v>Y</v>
      </c>
      <c r="G450" s="3"/>
      <c r="H450" s="3"/>
      <c r="I450" s="3" t="str">
        <f>IFERROR(__xludf.DUMMYFUNCTION("""COMPUTED_VALUE""")," ")</f>
        <v> </v>
      </c>
      <c r="J450" s="3" t="str">
        <f>IFERROR(__xludf.DUMMYFUNCTION("""COMPUTED_VALUE""")," ")</f>
        <v> </v>
      </c>
      <c r="K450" s="3" t="str">
        <f>IFERROR(__xludf.DUMMYFUNCTION("""COMPUTED_VALUE"""),"Y")</f>
        <v>Y</v>
      </c>
      <c r="L450" s="3" t="str">
        <f>IFERROR(__xludf.DUMMYFUNCTION("""COMPUTED_VALUE"""),"Group 4")</f>
        <v>Group 4</v>
      </c>
      <c r="M450" s="3"/>
      <c r="N450" s="5" t="str">
        <f>IFERROR(__xludf.DUMMYFUNCTION("""COMPUTED_VALUE""")," ")</f>
        <v> </v>
      </c>
      <c r="O450" s="5"/>
    </row>
    <row r="451">
      <c r="A451" s="2" t="str">
        <f>IFERROR(__xludf.DUMMYFUNCTION("""COMPUTED_VALUE"""),"0550")</f>
        <v>0550</v>
      </c>
      <c r="B451" s="2" t="str">
        <f>IFERROR(__xludf.DUMMYFUNCTION("""COMPUTED_VALUE"""),"NORTH CONEJOS       RE-1J")</f>
        <v>NORTH CONEJOS       RE-1J</v>
      </c>
      <c r="C451" s="2" t="str">
        <f>IFERROR(__xludf.DUMMYFUNCTION("""COMPUTED_VALUE"""),"05422")</f>
        <v>05422</v>
      </c>
      <c r="D451" s="2" t="str">
        <f>IFERROR(__xludf.DUMMYFUNCTION("""COMPUTED_VALUE"""),"MANASSA ELEMENTARY SCHOOL")</f>
        <v>MANASSA ELEMENTARY SCHOOL</v>
      </c>
      <c r="E451" s="3" t="str">
        <f>IFERROR(__xludf.DUMMYFUNCTION("""COMPUTED_VALUE"""),"Y")</f>
        <v>Y</v>
      </c>
      <c r="F451" s="3" t="str">
        <f>IFERROR(__xludf.DUMMYFUNCTION("""COMPUTED_VALUE"""),"Y")</f>
        <v>Y</v>
      </c>
      <c r="G451" s="3"/>
      <c r="H451" s="3"/>
      <c r="I451" s="3" t="str">
        <f>IFERROR(__xludf.DUMMYFUNCTION("""COMPUTED_VALUE""")," ")</f>
        <v> </v>
      </c>
      <c r="J451" s="3" t="str">
        <f>IFERROR(__xludf.DUMMYFUNCTION("""COMPUTED_VALUE""")," ")</f>
        <v> </v>
      </c>
      <c r="K451" s="3" t="str">
        <f>IFERROR(__xludf.DUMMYFUNCTION("""COMPUTED_VALUE"""),"Y")</f>
        <v>Y</v>
      </c>
      <c r="L451" s="3" t="str">
        <f>IFERROR(__xludf.DUMMYFUNCTION("""COMPUTED_VALUE"""),"Group 2")</f>
        <v>Group 2</v>
      </c>
      <c r="M451" s="3"/>
      <c r="N451" s="5" t="str">
        <f>IFERROR(__xludf.DUMMYFUNCTION("""COMPUTED_VALUE""")," ")</f>
        <v> </v>
      </c>
      <c r="O451" s="5"/>
    </row>
    <row r="452">
      <c r="A452" s="2" t="str">
        <f>IFERROR(__xludf.DUMMYFUNCTION("""COMPUTED_VALUE"""),"0550")</f>
        <v>0550</v>
      </c>
      <c r="B452" s="2" t="str">
        <f>IFERROR(__xludf.DUMMYFUNCTION("""COMPUTED_VALUE"""),"NORTH CONEJOS       RE-1J")</f>
        <v>NORTH CONEJOS       RE-1J</v>
      </c>
      <c r="C452" s="2" t="str">
        <f>IFERROR(__xludf.DUMMYFUNCTION("""COMPUTED_VALUE"""),"06339")</f>
        <v>06339</v>
      </c>
      <c r="D452" s="2" t="str">
        <f>IFERROR(__xludf.DUMMYFUNCTION("""COMPUTED_VALUE"""),"NORTH CONEJOS ALTERNATIVE PROGRAM")</f>
        <v>NORTH CONEJOS ALTERNATIVE PROGRAM</v>
      </c>
      <c r="E452" s="3" t="str">
        <f>IFERROR(__xludf.DUMMYFUNCTION("""COMPUTED_VALUE"""),"Y")</f>
        <v>Y</v>
      </c>
      <c r="F452" s="3" t="str">
        <f>IFERROR(__xludf.DUMMYFUNCTION("""COMPUTED_VALUE"""),"Y")</f>
        <v>Y</v>
      </c>
      <c r="G452" s="3"/>
      <c r="H452" s="3"/>
      <c r="I452" s="3" t="str">
        <f>IFERROR(__xludf.DUMMYFUNCTION("""COMPUTED_VALUE""")," ")</f>
        <v> </v>
      </c>
      <c r="J452" s="3" t="str">
        <f>IFERROR(__xludf.DUMMYFUNCTION("""COMPUTED_VALUE""")," ")</f>
        <v> </v>
      </c>
      <c r="K452" s="3" t="str">
        <f>IFERROR(__xludf.DUMMYFUNCTION("""COMPUTED_VALUE"""),"Y")</f>
        <v>Y</v>
      </c>
      <c r="L452" s="3" t="str">
        <f>IFERROR(__xludf.DUMMYFUNCTION("""COMPUTED_VALUE"""),"Group 1")</f>
        <v>Group 1</v>
      </c>
      <c r="M452" s="3"/>
      <c r="N452" s="5" t="str">
        <f>IFERROR(__xludf.DUMMYFUNCTION("""COMPUTED_VALUE""")," ")</f>
        <v> </v>
      </c>
      <c r="O452" s="5"/>
    </row>
    <row r="453">
      <c r="A453" s="2" t="str">
        <f>IFERROR(__xludf.DUMMYFUNCTION("""COMPUTED_VALUE"""),"0560")</f>
        <v>0560</v>
      </c>
      <c r="B453" s="2" t="str">
        <f>IFERROR(__xludf.DUMMYFUNCTION("""COMPUTED_VALUE"""),"SANFORD             6J")</f>
        <v>SANFORD             6J</v>
      </c>
      <c r="C453" s="2" t="str">
        <f>IFERROR(__xludf.DUMMYFUNCTION("""COMPUTED_VALUE"""),"07612")</f>
        <v>07612</v>
      </c>
      <c r="D453" s="2" t="str">
        <f>IFERROR(__xludf.DUMMYFUNCTION("""COMPUTED_VALUE"""),"SANFORD ELEMENTARY SCHOOL")</f>
        <v>SANFORD ELEMENTARY SCHOOL</v>
      </c>
      <c r="E453" s="3" t="str">
        <f>IFERROR(__xludf.DUMMYFUNCTION("""COMPUTED_VALUE"""),"Y")</f>
        <v>Y</v>
      </c>
      <c r="F453" s="3" t="str">
        <f>IFERROR(__xludf.DUMMYFUNCTION("""COMPUTED_VALUE"""),"Y")</f>
        <v>Y</v>
      </c>
      <c r="G453" s="3"/>
      <c r="H453" s="3" t="str">
        <f>IFERROR(__xludf.DUMMYFUNCTION("""COMPUTED_VALUE"""),"Y")</f>
        <v>Y</v>
      </c>
      <c r="I453" s="3" t="str">
        <f>IFERROR(__xludf.DUMMYFUNCTION("""COMPUTED_VALUE""")," ")</f>
        <v> </v>
      </c>
      <c r="J453" s="3" t="str">
        <f>IFERROR(__xludf.DUMMYFUNCTION("""COMPUTED_VALUE""")," ")</f>
        <v> </v>
      </c>
      <c r="K453" s="3" t="str">
        <f>IFERROR(__xludf.DUMMYFUNCTION("""COMPUTED_VALUE"""),"Y")</f>
        <v>Y</v>
      </c>
      <c r="L453" s="3" t="str">
        <f>IFERROR(__xludf.DUMMYFUNCTION("""COMPUTED_VALUE"""),"Group 2")</f>
        <v>Group 2</v>
      </c>
      <c r="M453" s="3"/>
      <c r="N453" s="5" t="str">
        <f>IFERROR(__xludf.DUMMYFUNCTION("""COMPUTED_VALUE""")," ")</f>
        <v> </v>
      </c>
      <c r="O453" s="5"/>
    </row>
    <row r="454">
      <c r="A454" s="2" t="str">
        <f>IFERROR(__xludf.DUMMYFUNCTION("""COMPUTED_VALUE"""),"0560")</f>
        <v>0560</v>
      </c>
      <c r="B454" s="2" t="str">
        <f>IFERROR(__xludf.DUMMYFUNCTION("""COMPUTED_VALUE"""),"SANFORD             6J")</f>
        <v>SANFORD             6J</v>
      </c>
      <c r="C454" s="2" t="str">
        <f>IFERROR(__xludf.DUMMYFUNCTION("""COMPUTED_VALUE"""),"07616")</f>
        <v>07616</v>
      </c>
      <c r="D454" s="2" t="str">
        <f>IFERROR(__xludf.DUMMYFUNCTION("""COMPUTED_VALUE"""),"SANFORD JUNIOR/SENIOR HIGH SCHOOL")</f>
        <v>SANFORD JUNIOR/SENIOR HIGH SCHOOL</v>
      </c>
      <c r="E454" s="3" t="str">
        <f>IFERROR(__xludf.DUMMYFUNCTION("""COMPUTED_VALUE"""),"Y")</f>
        <v>Y</v>
      </c>
      <c r="F454" s="3" t="str">
        <f>IFERROR(__xludf.DUMMYFUNCTION("""COMPUTED_VALUE"""),"Y")</f>
        <v>Y</v>
      </c>
      <c r="G454" s="3"/>
      <c r="H454" s="3"/>
      <c r="I454" s="3" t="str">
        <f>IFERROR(__xludf.DUMMYFUNCTION("""COMPUTED_VALUE""")," ")</f>
        <v> </v>
      </c>
      <c r="J454" s="3" t="str">
        <f>IFERROR(__xludf.DUMMYFUNCTION("""COMPUTED_VALUE""")," ")</f>
        <v> </v>
      </c>
      <c r="K454" s="3" t="str">
        <f>IFERROR(__xludf.DUMMYFUNCTION("""COMPUTED_VALUE"""),"Y")</f>
        <v>Y</v>
      </c>
      <c r="L454" s="3" t="str">
        <f>IFERROR(__xludf.DUMMYFUNCTION("""COMPUTED_VALUE"""),"Group 1")</f>
        <v>Group 1</v>
      </c>
      <c r="M454" s="3"/>
      <c r="N454" s="5" t="str">
        <f>IFERROR(__xludf.DUMMYFUNCTION("""COMPUTED_VALUE""")," ")</f>
        <v> </v>
      </c>
      <c r="O454" s="5"/>
    </row>
    <row r="455">
      <c r="A455" s="2" t="str">
        <f>IFERROR(__xludf.DUMMYFUNCTION("""COMPUTED_VALUE"""),"0580")</f>
        <v>0580</v>
      </c>
      <c r="B455" s="2" t="str">
        <f>IFERROR(__xludf.DUMMYFUNCTION("""COMPUTED_VALUE"""),"SOUTH CONEJOS       RE-10")</f>
        <v>SOUTH CONEJOS       RE-10</v>
      </c>
      <c r="C455" s="2" t="str">
        <f>IFERROR(__xludf.DUMMYFUNCTION("""COMPUTED_VALUE"""),"00248")</f>
        <v>00248</v>
      </c>
      <c r="D455" s="2" t="str">
        <f>IFERROR(__xludf.DUMMYFUNCTION("""COMPUTED_VALUE"""),"GUADALUPE ELEMENTARY SCHOOL")</f>
        <v>GUADALUPE ELEMENTARY SCHOOL</v>
      </c>
      <c r="E455" s="3" t="str">
        <f>IFERROR(__xludf.DUMMYFUNCTION("""COMPUTED_VALUE"""),"Y")</f>
        <v>Y</v>
      </c>
      <c r="F455" s="3" t="str">
        <f>IFERROR(__xludf.DUMMYFUNCTION("""COMPUTED_VALUE"""),"Y")</f>
        <v>Y</v>
      </c>
      <c r="G455" s="3" t="str">
        <f>IFERROR(__xludf.DUMMYFUNCTION("""COMPUTED_VALUE"""),"Y")</f>
        <v>Y</v>
      </c>
      <c r="H455" s="3"/>
      <c r="I455" s="3" t="str">
        <f>IFERROR(__xludf.DUMMYFUNCTION("""COMPUTED_VALUE"""),"Y")</f>
        <v>Y</v>
      </c>
      <c r="J455" s="3" t="str">
        <f>IFERROR(__xludf.DUMMYFUNCTION("""COMPUTED_VALUE""")," ")</f>
        <v> </v>
      </c>
      <c r="K455" s="3" t="str">
        <f>IFERROR(__xludf.DUMMYFUNCTION("""COMPUTED_VALUE"""),"Y")</f>
        <v>Y</v>
      </c>
      <c r="L455" s="3" t="str">
        <f>IFERROR(__xludf.DUMMYFUNCTION("""COMPUTED_VALUE"""),"Group 1")</f>
        <v>Group 1</v>
      </c>
      <c r="M455" s="3"/>
      <c r="N455" s="5" t="str">
        <f>IFERROR(__xludf.DUMMYFUNCTION("""COMPUTED_VALUE"""),"Y")</f>
        <v>Y</v>
      </c>
      <c r="O455" s="5"/>
    </row>
    <row r="456">
      <c r="A456" s="2" t="str">
        <f>IFERROR(__xludf.DUMMYFUNCTION("""COMPUTED_VALUE"""),"0580")</f>
        <v>0580</v>
      </c>
      <c r="B456" s="2" t="str">
        <f>IFERROR(__xludf.DUMMYFUNCTION("""COMPUTED_VALUE"""),"SOUTH CONEJOS       RE-10")</f>
        <v>SOUTH CONEJOS       RE-10</v>
      </c>
      <c r="C456" s="2" t="str">
        <f>IFERROR(__xludf.DUMMYFUNCTION("""COMPUTED_VALUE"""),"00250")</f>
        <v>00250</v>
      </c>
      <c r="D456" s="2" t="str">
        <f>IFERROR(__xludf.DUMMYFUNCTION("""COMPUTED_VALUE"""),"ANTONITO JUNIOR HIGH SCHOOL")</f>
        <v>ANTONITO JUNIOR HIGH SCHOOL</v>
      </c>
      <c r="E456" s="3" t="str">
        <f>IFERROR(__xludf.DUMMYFUNCTION("""COMPUTED_VALUE"""),"Y")</f>
        <v>Y</v>
      </c>
      <c r="F456" s="3" t="str">
        <f>IFERROR(__xludf.DUMMYFUNCTION("""COMPUTED_VALUE"""),"Y")</f>
        <v>Y</v>
      </c>
      <c r="G456" s="3" t="str">
        <f>IFERROR(__xludf.DUMMYFUNCTION("""COMPUTED_VALUE"""),"Y")</f>
        <v>Y</v>
      </c>
      <c r="H456" s="3"/>
      <c r="I456" s="3" t="str">
        <f>IFERROR(__xludf.DUMMYFUNCTION("""COMPUTED_VALUE""")," ")</f>
        <v> </v>
      </c>
      <c r="J456" s="3" t="str">
        <f>IFERROR(__xludf.DUMMYFUNCTION("""COMPUTED_VALUE""")," ")</f>
        <v> </v>
      </c>
      <c r="K456" s="3" t="str">
        <f>IFERROR(__xludf.DUMMYFUNCTION("""COMPUTED_VALUE"""),"Y")</f>
        <v>Y</v>
      </c>
      <c r="L456" s="3" t="str">
        <f>IFERROR(__xludf.DUMMYFUNCTION("""COMPUTED_VALUE""")," ")</f>
        <v> </v>
      </c>
      <c r="M456" s="3"/>
      <c r="N456" s="5" t="str">
        <f>IFERROR(__xludf.DUMMYFUNCTION("""COMPUTED_VALUE""")," ")</f>
        <v> </v>
      </c>
      <c r="O456" s="5"/>
    </row>
    <row r="457">
      <c r="A457" s="2" t="str">
        <f>IFERROR(__xludf.DUMMYFUNCTION("""COMPUTED_VALUE"""),"0580")</f>
        <v>0580</v>
      </c>
      <c r="B457" s="2" t="str">
        <f>IFERROR(__xludf.DUMMYFUNCTION("""COMPUTED_VALUE"""),"SOUTH CONEJOS       RE-10")</f>
        <v>SOUTH CONEJOS       RE-10</v>
      </c>
      <c r="C457" s="2" t="str">
        <f>IFERROR(__xludf.DUMMYFUNCTION("""COMPUTED_VALUE"""),"00252")</f>
        <v>00252</v>
      </c>
      <c r="D457" s="2" t="str">
        <f>IFERROR(__xludf.DUMMYFUNCTION("""COMPUTED_VALUE"""),"ANTONITO HIGH SCHOOL")</f>
        <v>ANTONITO HIGH SCHOOL</v>
      </c>
      <c r="E457" s="3" t="str">
        <f>IFERROR(__xludf.DUMMYFUNCTION("""COMPUTED_VALUE"""),"Y")</f>
        <v>Y</v>
      </c>
      <c r="F457" s="3" t="str">
        <f>IFERROR(__xludf.DUMMYFUNCTION("""COMPUTED_VALUE"""),"Y")</f>
        <v>Y</v>
      </c>
      <c r="G457" s="3" t="str">
        <f>IFERROR(__xludf.DUMMYFUNCTION("""COMPUTED_VALUE"""),"Y")</f>
        <v>Y</v>
      </c>
      <c r="H457" s="3"/>
      <c r="I457" s="3" t="str">
        <f>IFERROR(__xludf.DUMMYFUNCTION("""COMPUTED_VALUE""")," ")</f>
        <v> </v>
      </c>
      <c r="J457" s="3" t="str">
        <f>IFERROR(__xludf.DUMMYFUNCTION("""COMPUTED_VALUE""")," ")</f>
        <v> </v>
      </c>
      <c r="K457" s="3" t="str">
        <f>IFERROR(__xludf.DUMMYFUNCTION("""COMPUTED_VALUE"""),"Y")</f>
        <v>Y</v>
      </c>
      <c r="L457" s="3" t="str">
        <f>IFERROR(__xludf.DUMMYFUNCTION("""COMPUTED_VALUE"""),"Group 1")</f>
        <v>Group 1</v>
      </c>
      <c r="M457" s="3"/>
      <c r="N457" s="5" t="str">
        <f>IFERROR(__xludf.DUMMYFUNCTION("""COMPUTED_VALUE""")," ")</f>
        <v> </v>
      </c>
      <c r="O457" s="5"/>
    </row>
    <row r="458">
      <c r="A458" s="2" t="str">
        <f>IFERROR(__xludf.DUMMYFUNCTION("""COMPUTED_VALUE"""),"0640")</f>
        <v>0640</v>
      </c>
      <c r="B458" s="2" t="str">
        <f>IFERROR(__xludf.DUMMYFUNCTION("""COMPUTED_VALUE"""),"CENTENNIAL R-1")</f>
        <v>CENTENNIAL R-1</v>
      </c>
      <c r="C458" s="2" t="str">
        <f>IFERROR(__xludf.DUMMYFUNCTION("""COMPUTED_VALUE"""),"01398")</f>
        <v>01398</v>
      </c>
      <c r="D458" s="2" t="str">
        <f>IFERROR(__xludf.DUMMYFUNCTION("""COMPUTED_VALUE"""),"CENTENNIAL SCHOOL")</f>
        <v>CENTENNIAL SCHOOL</v>
      </c>
      <c r="E458" s="3" t="str">
        <f>IFERROR(__xludf.DUMMYFUNCTION("""COMPUTED_VALUE"""),"Y")</f>
        <v>Y</v>
      </c>
      <c r="F458" s="3" t="str">
        <f>IFERROR(__xludf.DUMMYFUNCTION("""COMPUTED_VALUE"""),"Y")</f>
        <v>Y</v>
      </c>
      <c r="G458" s="3" t="str">
        <f>IFERROR(__xludf.DUMMYFUNCTION("""COMPUTED_VALUE"""),"Y")</f>
        <v>Y</v>
      </c>
      <c r="H458" s="3"/>
      <c r="I458" s="3" t="str">
        <f>IFERROR(__xludf.DUMMYFUNCTION("""COMPUTED_VALUE"""),"Y")</f>
        <v>Y</v>
      </c>
      <c r="J458" s="3" t="str">
        <f>IFERROR(__xludf.DUMMYFUNCTION("""COMPUTED_VALUE""")," ")</f>
        <v> </v>
      </c>
      <c r="K458" s="3" t="str">
        <f>IFERROR(__xludf.DUMMYFUNCTION("""COMPUTED_VALUE"""),"Y")</f>
        <v>Y</v>
      </c>
      <c r="L458" s="3" t="str">
        <f>IFERROR(__xludf.DUMMYFUNCTION("""COMPUTED_VALUE"""),"Group 1")</f>
        <v>Group 1</v>
      </c>
      <c r="M458" s="3"/>
      <c r="N458" s="5" t="str">
        <f>IFERROR(__xludf.DUMMYFUNCTION("""COMPUTED_VALUE"""),"Y")</f>
        <v>Y</v>
      </c>
      <c r="O458" s="5"/>
    </row>
    <row r="459">
      <c r="A459" s="2" t="str">
        <f>IFERROR(__xludf.DUMMYFUNCTION("""COMPUTED_VALUE"""),"0740")</f>
        <v>0740</v>
      </c>
      <c r="B459" s="2" t="str">
        <f>IFERROR(__xludf.DUMMYFUNCTION("""COMPUTED_VALUE"""),"SIERRA GRANDE       R-30")</f>
        <v>SIERRA GRANDE       R-30</v>
      </c>
      <c r="C459" s="2" t="str">
        <f>IFERROR(__xludf.DUMMYFUNCTION("""COMPUTED_VALUE"""),"07880")</f>
        <v>07880</v>
      </c>
      <c r="D459" s="2" t="str">
        <f>IFERROR(__xludf.DUMMYFUNCTION("""COMPUTED_VALUE"""),"SIERRA GRANDE K-12 SCHOOL")</f>
        <v>SIERRA GRANDE K-12 SCHOOL</v>
      </c>
      <c r="E459" s="3" t="str">
        <f>IFERROR(__xludf.DUMMYFUNCTION("""COMPUTED_VALUE"""),"Y")</f>
        <v>Y</v>
      </c>
      <c r="F459" s="3" t="str">
        <f>IFERROR(__xludf.DUMMYFUNCTION("""COMPUTED_VALUE"""),"Y")</f>
        <v>Y</v>
      </c>
      <c r="G459" s="3"/>
      <c r="H459" s="3"/>
      <c r="I459" s="3" t="str">
        <f>IFERROR(__xludf.DUMMYFUNCTION("""COMPUTED_VALUE"""),"Y")</f>
        <v>Y</v>
      </c>
      <c r="J459" s="3" t="str">
        <f>IFERROR(__xludf.DUMMYFUNCTION("""COMPUTED_VALUE""")," ")</f>
        <v> </v>
      </c>
      <c r="K459" s="3" t="str">
        <f>IFERROR(__xludf.DUMMYFUNCTION("""COMPUTED_VALUE"""),"Y")</f>
        <v>Y</v>
      </c>
      <c r="L459" s="3" t="str">
        <f>IFERROR(__xludf.DUMMYFUNCTION("""COMPUTED_VALUE"""),"Group 1")</f>
        <v>Group 1</v>
      </c>
      <c r="M459" s="3"/>
      <c r="N459" s="5" t="str">
        <f>IFERROR(__xludf.DUMMYFUNCTION("""COMPUTED_VALUE""")," ")</f>
        <v> </v>
      </c>
      <c r="O459" s="5"/>
    </row>
    <row r="460">
      <c r="A460" s="2" t="str">
        <f>IFERROR(__xludf.DUMMYFUNCTION("""COMPUTED_VALUE"""),"0770")</f>
        <v>0770</v>
      </c>
      <c r="B460" s="2" t="str">
        <f>IFERROR(__xludf.DUMMYFUNCTION("""COMPUTED_VALUE"""),"Crowley County School District RE 1-J")</f>
        <v>Crowley County School District RE 1-J</v>
      </c>
      <c r="C460" s="2" t="str">
        <f>IFERROR(__xludf.DUMMYFUNCTION("""COMPUTED_VALUE"""),"02054")</f>
        <v>02054</v>
      </c>
      <c r="D460" s="2" t="str">
        <f>IFERROR(__xludf.DUMMYFUNCTION("""COMPUTED_VALUE"""),"CROWLEY COUNTY ELEMENTARY K-6")</f>
        <v>CROWLEY COUNTY ELEMENTARY K-6</v>
      </c>
      <c r="E460" s="3" t="str">
        <f>IFERROR(__xludf.DUMMYFUNCTION("""COMPUTED_VALUE"""),"Y")</f>
        <v>Y</v>
      </c>
      <c r="F460" s="3" t="str">
        <f>IFERROR(__xludf.DUMMYFUNCTION("""COMPUTED_VALUE"""),"Y")</f>
        <v>Y</v>
      </c>
      <c r="G460" s="3" t="str">
        <f>IFERROR(__xludf.DUMMYFUNCTION("""COMPUTED_VALUE"""),"Y")</f>
        <v>Y</v>
      </c>
      <c r="H460" s="3"/>
      <c r="I460" s="3" t="str">
        <f>IFERROR(__xludf.DUMMYFUNCTION("""COMPUTED_VALUE"""),"Y")</f>
        <v>Y</v>
      </c>
      <c r="J460" s="3" t="str">
        <f>IFERROR(__xludf.DUMMYFUNCTION("""COMPUTED_VALUE""")," ")</f>
        <v> </v>
      </c>
      <c r="K460" s="3" t="str">
        <f>IFERROR(__xludf.DUMMYFUNCTION("""COMPUTED_VALUE"""),"Y")</f>
        <v>Y</v>
      </c>
      <c r="L460" s="3" t="str">
        <f>IFERROR(__xludf.DUMMYFUNCTION("""COMPUTED_VALUE"""),"Individual")</f>
        <v>Individual</v>
      </c>
      <c r="M460" s="3"/>
      <c r="N460" s="5" t="str">
        <f>IFERROR(__xludf.DUMMYFUNCTION("""COMPUTED_VALUE"""),"Y")</f>
        <v>Y</v>
      </c>
      <c r="O460" s="5"/>
    </row>
    <row r="461">
      <c r="A461" s="2" t="str">
        <f>IFERROR(__xludf.DUMMYFUNCTION("""COMPUTED_VALUE"""),"0770")</f>
        <v>0770</v>
      </c>
      <c r="B461" s="2" t="str">
        <f>IFERROR(__xludf.DUMMYFUNCTION("""COMPUTED_VALUE"""),"Crowley County School District RE 1-J")</f>
        <v>Crowley County School District RE 1-J</v>
      </c>
      <c r="C461" s="2" t="str">
        <f>IFERROR(__xludf.DUMMYFUNCTION("""COMPUTED_VALUE"""),"02058")</f>
        <v>02058</v>
      </c>
      <c r="D461" s="2" t="str">
        <f>IFERROR(__xludf.DUMMYFUNCTION("""COMPUTED_VALUE"""),"CROWLEY COUNTY HIGH SCHOOL")</f>
        <v>CROWLEY COUNTY HIGH SCHOOL</v>
      </c>
      <c r="E461" s="3" t="str">
        <f>IFERROR(__xludf.DUMMYFUNCTION("""COMPUTED_VALUE"""),"Y")</f>
        <v>Y</v>
      </c>
      <c r="F461" s="3" t="str">
        <f>IFERROR(__xludf.DUMMYFUNCTION("""COMPUTED_VALUE"""),"Y")</f>
        <v>Y</v>
      </c>
      <c r="G461" s="3" t="str">
        <f>IFERROR(__xludf.DUMMYFUNCTION("""COMPUTED_VALUE"""),"Y")</f>
        <v>Y</v>
      </c>
      <c r="H461" s="3"/>
      <c r="I461" s="3" t="str">
        <f>IFERROR(__xludf.DUMMYFUNCTION("""COMPUTED_VALUE""")," ")</f>
        <v> </v>
      </c>
      <c r="J461" s="3" t="str">
        <f>IFERROR(__xludf.DUMMYFUNCTION("""COMPUTED_VALUE""")," ")</f>
        <v> </v>
      </c>
      <c r="K461" s="3" t="str">
        <f>IFERROR(__xludf.DUMMYFUNCTION("""COMPUTED_VALUE"""),"Y")</f>
        <v>Y</v>
      </c>
      <c r="L461" s="3" t="str">
        <f>IFERROR(__xludf.DUMMYFUNCTION("""COMPUTED_VALUE"""),"Individual")</f>
        <v>Individual</v>
      </c>
      <c r="M461" s="3"/>
      <c r="N461" s="5" t="str">
        <f>IFERROR(__xludf.DUMMYFUNCTION("""COMPUTED_VALUE""")," ")</f>
        <v> </v>
      </c>
      <c r="O461" s="5"/>
    </row>
    <row r="462">
      <c r="A462" s="2" t="str">
        <f>IFERROR(__xludf.DUMMYFUNCTION("""COMPUTED_VALUE"""),"0860")</f>
        <v>0860</v>
      </c>
      <c r="B462" s="2" t="str">
        <f>IFERROR(__xludf.DUMMYFUNCTION("""COMPUTED_VALUE"""),"CUSTER COUNTY SCHOOL DISTRICT C-1")</f>
        <v>CUSTER COUNTY SCHOOL DISTRICT C-1</v>
      </c>
      <c r="C462" s="2" t="str">
        <f>IFERROR(__xludf.DUMMYFUNCTION("""COMPUTED_VALUE"""),"02088")</f>
        <v>02088</v>
      </c>
      <c r="D462" s="2" t="str">
        <f>IFERROR(__xludf.DUMMYFUNCTION("""COMPUTED_VALUE"""),"CUSTER COUNTY ELEMENTARY SCHOOL")</f>
        <v>CUSTER COUNTY ELEMENTARY SCHOOL</v>
      </c>
      <c r="E462" s="3" t="str">
        <f>IFERROR(__xludf.DUMMYFUNCTION("""COMPUTED_VALUE"""),"Y")</f>
        <v>Y</v>
      </c>
      <c r="F462" s="3" t="str">
        <f>IFERROR(__xludf.DUMMYFUNCTION("""COMPUTED_VALUE"""),"Y")</f>
        <v>Y</v>
      </c>
      <c r="G462" s="3" t="str">
        <f>IFERROR(__xludf.DUMMYFUNCTION("""COMPUTED_VALUE"""),"Y")</f>
        <v>Y</v>
      </c>
      <c r="H462" s="3"/>
      <c r="I462" s="3" t="str">
        <f>IFERROR(__xludf.DUMMYFUNCTION("""COMPUTED_VALUE""")," ")</f>
        <v> </v>
      </c>
      <c r="J462" s="3" t="str">
        <f>IFERROR(__xludf.DUMMYFUNCTION("""COMPUTED_VALUE""")," ")</f>
        <v> </v>
      </c>
      <c r="K462" s="3" t="str">
        <f>IFERROR(__xludf.DUMMYFUNCTION("""COMPUTED_VALUE"""),"Y")</f>
        <v>Y</v>
      </c>
      <c r="L462" s="3" t="str">
        <f>IFERROR(__xludf.DUMMYFUNCTION("""COMPUTED_VALUE"""),"Group 2")</f>
        <v>Group 2</v>
      </c>
      <c r="M462" s="3"/>
      <c r="N462" s="5" t="str">
        <f>IFERROR(__xludf.DUMMYFUNCTION("""COMPUTED_VALUE""")," ")</f>
        <v> </v>
      </c>
      <c r="O462" s="5"/>
    </row>
    <row r="463">
      <c r="A463" s="2" t="str">
        <f>IFERROR(__xludf.DUMMYFUNCTION("""COMPUTED_VALUE"""),"0860")</f>
        <v>0860</v>
      </c>
      <c r="B463" s="2" t="str">
        <f>IFERROR(__xludf.DUMMYFUNCTION("""COMPUTED_VALUE"""),"CUSTER COUNTY SCHOOL DISTRICT C-1")</f>
        <v>CUSTER COUNTY SCHOOL DISTRICT C-1</v>
      </c>
      <c r="C463" s="2" t="str">
        <f>IFERROR(__xludf.DUMMYFUNCTION("""COMPUTED_VALUE"""),"02091")</f>
        <v>02091</v>
      </c>
      <c r="D463" s="2" t="str">
        <f>IFERROR(__xludf.DUMMYFUNCTION("""COMPUTED_VALUE"""),"CUSTER MIDDLE SCHOOL")</f>
        <v>CUSTER MIDDLE SCHOOL</v>
      </c>
      <c r="E463" s="3" t="str">
        <f>IFERROR(__xludf.DUMMYFUNCTION("""COMPUTED_VALUE"""),"Y")</f>
        <v>Y</v>
      </c>
      <c r="F463" s="3" t="str">
        <f>IFERROR(__xludf.DUMMYFUNCTION("""COMPUTED_VALUE"""),"Y")</f>
        <v>Y</v>
      </c>
      <c r="G463" s="3" t="str">
        <f>IFERROR(__xludf.DUMMYFUNCTION("""COMPUTED_VALUE"""),"Y")</f>
        <v>Y</v>
      </c>
      <c r="H463" s="3"/>
      <c r="I463" s="3" t="str">
        <f>IFERROR(__xludf.DUMMYFUNCTION("""COMPUTED_VALUE""")," ")</f>
        <v> </v>
      </c>
      <c r="J463" s="3" t="str">
        <f>IFERROR(__xludf.DUMMYFUNCTION("""COMPUTED_VALUE""")," ")</f>
        <v> </v>
      </c>
      <c r="K463" s="3" t="str">
        <f>IFERROR(__xludf.DUMMYFUNCTION("""COMPUTED_VALUE"""),"Y")</f>
        <v>Y</v>
      </c>
      <c r="L463" s="3" t="str">
        <f>IFERROR(__xludf.DUMMYFUNCTION("""COMPUTED_VALUE"""),"Group 2")</f>
        <v>Group 2</v>
      </c>
      <c r="M463" s="3"/>
      <c r="N463" s="5" t="str">
        <f>IFERROR(__xludf.DUMMYFUNCTION("""COMPUTED_VALUE""")," ")</f>
        <v> </v>
      </c>
      <c r="O463" s="5"/>
    </row>
    <row r="464">
      <c r="A464" s="2" t="str">
        <f>IFERROR(__xludf.DUMMYFUNCTION("""COMPUTED_VALUE"""),"0860")</f>
        <v>0860</v>
      </c>
      <c r="B464" s="2" t="str">
        <f>IFERROR(__xludf.DUMMYFUNCTION("""COMPUTED_VALUE"""),"CUSTER COUNTY SCHOOL DISTRICT C-1")</f>
        <v>CUSTER COUNTY SCHOOL DISTRICT C-1</v>
      </c>
      <c r="C464" s="2" t="str">
        <f>IFERROR(__xludf.DUMMYFUNCTION("""COMPUTED_VALUE"""),"02092")</f>
        <v>02092</v>
      </c>
      <c r="D464" s="2" t="str">
        <f>IFERROR(__xludf.DUMMYFUNCTION("""COMPUTED_VALUE"""),"CUSTER COUNTY HIGH SCHOOL")</f>
        <v>CUSTER COUNTY HIGH SCHOOL</v>
      </c>
      <c r="E464" s="3" t="str">
        <f>IFERROR(__xludf.DUMMYFUNCTION("""COMPUTED_VALUE"""),"Y")</f>
        <v>Y</v>
      </c>
      <c r="F464" s="3" t="str">
        <f>IFERROR(__xludf.DUMMYFUNCTION("""COMPUTED_VALUE"""),"Y")</f>
        <v>Y</v>
      </c>
      <c r="G464" s="3" t="str">
        <f>IFERROR(__xludf.DUMMYFUNCTION("""COMPUTED_VALUE"""),"Y")</f>
        <v>Y</v>
      </c>
      <c r="H464" s="3"/>
      <c r="I464" s="3" t="str">
        <f>IFERROR(__xludf.DUMMYFUNCTION("""COMPUTED_VALUE""")," ")</f>
        <v> </v>
      </c>
      <c r="J464" s="3" t="str">
        <f>IFERROR(__xludf.DUMMYFUNCTION("""COMPUTED_VALUE""")," ")</f>
        <v> </v>
      </c>
      <c r="K464" s="3" t="str">
        <f>IFERROR(__xludf.DUMMYFUNCTION("""COMPUTED_VALUE"""),"Y")</f>
        <v>Y</v>
      </c>
      <c r="L464" s="3" t="str">
        <f>IFERROR(__xludf.DUMMYFUNCTION("""COMPUTED_VALUE"""),"Group 1")</f>
        <v>Group 1</v>
      </c>
      <c r="M464" s="3"/>
      <c r="N464" s="5" t="str">
        <f>IFERROR(__xludf.DUMMYFUNCTION("""COMPUTED_VALUE""")," ")</f>
        <v> </v>
      </c>
      <c r="O464" s="5"/>
    </row>
    <row r="465">
      <c r="A465" s="2" t="str">
        <f>IFERROR(__xludf.DUMMYFUNCTION("""COMPUTED_VALUE"""),"0870")</f>
        <v>0870</v>
      </c>
      <c r="B465" s="2" t="str">
        <f>IFERROR(__xludf.DUMMYFUNCTION("""COMPUTED_VALUE"""),"DELTA COUNTY        50(J)")</f>
        <v>DELTA COUNTY        50(J)</v>
      </c>
      <c r="C465" s="2" t="str">
        <f>IFERROR(__xludf.DUMMYFUNCTION("""COMPUTED_VALUE"""),"00489")</f>
        <v>00489</v>
      </c>
      <c r="D465" s="2" t="str">
        <f>IFERROR(__xludf.DUMMYFUNCTION("""COMPUTED_VALUE"""),"BACKPACK EARLY LEARNING ACADEMY")</f>
        <v>BACKPACK EARLY LEARNING ACADEMY</v>
      </c>
      <c r="E465" s="3" t="str">
        <f>IFERROR(__xludf.DUMMYFUNCTION("""COMPUTED_VALUE"""),"Y")</f>
        <v>Y</v>
      </c>
      <c r="F465" s="3" t="str">
        <f>IFERROR(__xludf.DUMMYFUNCTION("""COMPUTED_VALUE"""),"Y")</f>
        <v>Y</v>
      </c>
      <c r="G465" s="3"/>
      <c r="H465" s="3"/>
      <c r="I465" s="3" t="str">
        <f>IFERROR(__xludf.DUMMYFUNCTION("""COMPUTED_VALUE""")," ")</f>
        <v> </v>
      </c>
      <c r="J465" s="3" t="str">
        <f>IFERROR(__xludf.DUMMYFUNCTION("""COMPUTED_VALUE"""),"Y")</f>
        <v>Y</v>
      </c>
      <c r="K465" s="3" t="str">
        <f>IFERROR(__xludf.DUMMYFUNCTION("""COMPUTED_VALUE"""),"Y")</f>
        <v>Y</v>
      </c>
      <c r="L465" s="3" t="str">
        <f>IFERROR(__xludf.DUMMYFUNCTION("""COMPUTED_VALUE"""),"Group 4")</f>
        <v>Group 4</v>
      </c>
      <c r="M465" s="3"/>
      <c r="N465" s="5" t="str">
        <f>IFERROR(__xludf.DUMMYFUNCTION("""COMPUTED_VALUE""")," ")</f>
        <v> </v>
      </c>
      <c r="O465" s="5"/>
    </row>
    <row r="466">
      <c r="A466" s="2" t="str">
        <f>IFERROR(__xludf.DUMMYFUNCTION("""COMPUTED_VALUE"""),"0870")</f>
        <v>0870</v>
      </c>
      <c r="B466" s="2" t="str">
        <f>IFERROR(__xludf.DUMMYFUNCTION("""COMPUTED_VALUE"""),"DELTA COUNTY        50(J)")</f>
        <v>DELTA COUNTY        50(J)</v>
      </c>
      <c r="C466" s="2" t="str">
        <f>IFERROR(__xludf.DUMMYFUNCTION("""COMPUTED_VALUE"""),"01372")</f>
        <v>01372</v>
      </c>
      <c r="D466" s="2" t="str">
        <f>IFERROR(__xludf.DUMMYFUNCTION("""COMPUTED_VALUE"""),"CEDAREDGE HIGH SCHOOL")</f>
        <v>CEDAREDGE HIGH SCHOOL</v>
      </c>
      <c r="E466" s="3" t="str">
        <f>IFERROR(__xludf.DUMMYFUNCTION("""COMPUTED_VALUE"""),"Y")</f>
        <v>Y</v>
      </c>
      <c r="F466" s="3" t="str">
        <f>IFERROR(__xludf.DUMMYFUNCTION("""COMPUTED_VALUE"""),"Y")</f>
        <v>Y</v>
      </c>
      <c r="G466" s="3"/>
      <c r="H466" s="3"/>
      <c r="I466" s="3" t="str">
        <f>IFERROR(__xludf.DUMMYFUNCTION("""COMPUTED_VALUE""")," ")</f>
        <v> </v>
      </c>
      <c r="J466" s="3" t="str">
        <f>IFERROR(__xludf.DUMMYFUNCTION("""COMPUTED_VALUE""")," ")</f>
        <v> </v>
      </c>
      <c r="K466" s="3" t="str">
        <f>IFERROR(__xludf.DUMMYFUNCTION("""COMPUTED_VALUE"""),"Y")</f>
        <v>Y</v>
      </c>
      <c r="L466" s="3" t="str">
        <f>IFERROR(__xludf.DUMMYFUNCTION("""COMPUTED_VALUE"""),"Group 3")</f>
        <v>Group 3</v>
      </c>
      <c r="M466" s="3"/>
      <c r="N466" s="5" t="str">
        <f>IFERROR(__xludf.DUMMYFUNCTION("""COMPUTED_VALUE""")," ")</f>
        <v> </v>
      </c>
      <c r="O466" s="5"/>
    </row>
    <row r="467">
      <c r="A467" s="2" t="str">
        <f>IFERROR(__xludf.DUMMYFUNCTION("""COMPUTED_VALUE"""),"0870")</f>
        <v>0870</v>
      </c>
      <c r="B467" s="2" t="str">
        <f>IFERROR(__xludf.DUMMYFUNCTION("""COMPUTED_VALUE"""),"DELTA COUNTY        50(J)")</f>
        <v>DELTA COUNTY        50(J)</v>
      </c>
      <c r="C467" s="2" t="str">
        <f>IFERROR(__xludf.DUMMYFUNCTION("""COMPUTED_VALUE"""),"01375")</f>
        <v>01375</v>
      </c>
      <c r="D467" s="2" t="str">
        <f>IFERROR(__xludf.DUMMYFUNCTION("""COMPUTED_VALUE"""),"CEDAREDGE MIDDLE SCHOOL")</f>
        <v>CEDAREDGE MIDDLE SCHOOL</v>
      </c>
      <c r="E467" s="3" t="str">
        <f>IFERROR(__xludf.DUMMYFUNCTION("""COMPUTED_VALUE"""),"Y")</f>
        <v>Y</v>
      </c>
      <c r="F467" s="3" t="str">
        <f>IFERROR(__xludf.DUMMYFUNCTION("""COMPUTED_VALUE"""),"Y")</f>
        <v>Y</v>
      </c>
      <c r="G467" s="3"/>
      <c r="H467" s="3"/>
      <c r="I467" s="3" t="str">
        <f>IFERROR(__xludf.DUMMYFUNCTION("""COMPUTED_VALUE""")," ")</f>
        <v> </v>
      </c>
      <c r="J467" s="3" t="str">
        <f>IFERROR(__xludf.DUMMYFUNCTION("""COMPUTED_VALUE""")," ")</f>
        <v> </v>
      </c>
      <c r="K467" s="3" t="str">
        <f>IFERROR(__xludf.DUMMYFUNCTION("""COMPUTED_VALUE"""),"Y")</f>
        <v>Y</v>
      </c>
      <c r="L467" s="3" t="str">
        <f>IFERROR(__xludf.DUMMYFUNCTION("""COMPUTED_VALUE"""),"Group 1")</f>
        <v>Group 1</v>
      </c>
      <c r="M467" s="3"/>
      <c r="N467" s="5" t="str">
        <f>IFERROR(__xludf.DUMMYFUNCTION("""COMPUTED_VALUE""")," ")</f>
        <v> </v>
      </c>
      <c r="O467" s="5"/>
    </row>
    <row r="468">
      <c r="A468" s="2" t="str">
        <f>IFERROR(__xludf.DUMMYFUNCTION("""COMPUTED_VALUE"""),"0870")</f>
        <v>0870</v>
      </c>
      <c r="B468" s="2" t="str">
        <f>IFERROR(__xludf.DUMMYFUNCTION("""COMPUTED_VALUE"""),"DELTA COUNTY        50(J)")</f>
        <v>DELTA COUNTY        50(J)</v>
      </c>
      <c r="C468" s="2" t="str">
        <f>IFERROR(__xludf.DUMMYFUNCTION("""COMPUTED_VALUE"""),"01952")</f>
        <v>01952</v>
      </c>
      <c r="D468" s="2" t="str">
        <f>IFERROR(__xludf.DUMMYFUNCTION("""COMPUTED_VALUE"""),"NORTH FORK MONTESSORI @ CRAWFORD")</f>
        <v>NORTH FORK MONTESSORI @ CRAWFORD</v>
      </c>
      <c r="E468" s="3" t="str">
        <f>IFERROR(__xludf.DUMMYFUNCTION("""COMPUTED_VALUE"""),"Y")</f>
        <v>Y</v>
      </c>
      <c r="F468" s="3" t="str">
        <f>IFERROR(__xludf.DUMMYFUNCTION("""COMPUTED_VALUE"""),"Y")</f>
        <v>Y</v>
      </c>
      <c r="G468" s="3"/>
      <c r="H468" s="3"/>
      <c r="I468" s="3" t="str">
        <f>IFERROR(__xludf.DUMMYFUNCTION("""COMPUTED_VALUE""")," ")</f>
        <v> </v>
      </c>
      <c r="J468" s="3" t="str">
        <f>IFERROR(__xludf.DUMMYFUNCTION("""COMPUTED_VALUE""")," ")</f>
        <v> </v>
      </c>
      <c r="K468" s="3" t="str">
        <f>IFERROR(__xludf.DUMMYFUNCTION("""COMPUTED_VALUE"""),"Y")</f>
        <v>Y</v>
      </c>
      <c r="L468" s="3" t="str">
        <f>IFERROR(__xludf.DUMMYFUNCTION("""COMPUTED_VALUE"""),"Group 5")</f>
        <v>Group 5</v>
      </c>
      <c r="M468" s="3"/>
      <c r="N468" s="5" t="str">
        <f>IFERROR(__xludf.DUMMYFUNCTION("""COMPUTED_VALUE""")," ")</f>
        <v> </v>
      </c>
      <c r="O468" s="5"/>
    </row>
    <row r="469">
      <c r="A469" s="2" t="str">
        <f>IFERROR(__xludf.DUMMYFUNCTION("""COMPUTED_VALUE"""),"0870")</f>
        <v>0870</v>
      </c>
      <c r="B469" s="2" t="str">
        <f>IFERROR(__xludf.DUMMYFUNCTION("""COMPUTED_VALUE"""),"DELTA COUNTY        50(J)")</f>
        <v>DELTA COUNTY        50(J)</v>
      </c>
      <c r="C469" s="2" t="str">
        <f>IFERROR(__xludf.DUMMYFUNCTION("""COMPUTED_VALUE"""),"02155")</f>
        <v>02155</v>
      </c>
      <c r="D469" s="2" t="str">
        <f>IFERROR(__xludf.DUMMYFUNCTION("""COMPUTED_VALUE"""),"Grand Mesa Choice Academy")</f>
        <v>Grand Mesa Choice Academy</v>
      </c>
      <c r="E469" s="3" t="str">
        <f>IFERROR(__xludf.DUMMYFUNCTION("""COMPUTED_VALUE"""),"Y")</f>
        <v>Y</v>
      </c>
      <c r="F469" s="3" t="str">
        <f>IFERROR(__xludf.DUMMYFUNCTION("""COMPUTED_VALUE"""),"Y")</f>
        <v>Y</v>
      </c>
      <c r="G469" s="3"/>
      <c r="H469" s="3"/>
      <c r="I469" s="3" t="str">
        <f>IFERROR(__xludf.DUMMYFUNCTION("""COMPUTED_VALUE""")," ")</f>
        <v> </v>
      </c>
      <c r="J469" s="3" t="str">
        <f>IFERROR(__xludf.DUMMYFUNCTION("""COMPUTED_VALUE"""),"Y")</f>
        <v>Y</v>
      </c>
      <c r="K469" s="3" t="str">
        <f>IFERROR(__xludf.DUMMYFUNCTION("""COMPUTED_VALUE"""),"Y")</f>
        <v>Y</v>
      </c>
      <c r="L469" s="3" t="str">
        <f>IFERROR(__xludf.DUMMYFUNCTION("""COMPUTED_VALUE"""),"Group 3")</f>
        <v>Group 3</v>
      </c>
      <c r="M469" s="3"/>
      <c r="N469" s="5" t="str">
        <f>IFERROR(__xludf.DUMMYFUNCTION("""COMPUTED_VALUE""")," ")</f>
        <v> </v>
      </c>
      <c r="O469" s="5"/>
    </row>
    <row r="470">
      <c r="A470" s="2" t="str">
        <f>IFERROR(__xludf.DUMMYFUNCTION("""COMPUTED_VALUE"""),"0870")</f>
        <v>0870</v>
      </c>
      <c r="B470" s="2" t="str">
        <f>IFERROR(__xludf.DUMMYFUNCTION("""COMPUTED_VALUE"""),"DELTA COUNTY        50(J)")</f>
        <v>DELTA COUNTY        50(J)</v>
      </c>
      <c r="C470" s="2" t="str">
        <f>IFERROR(__xludf.DUMMYFUNCTION("""COMPUTED_VALUE"""),"02160")</f>
        <v>02160</v>
      </c>
      <c r="D470" s="2" t="str">
        <f>IFERROR(__xludf.DUMMYFUNCTION("""COMPUTED_VALUE"""),"DELTA MIDDLE SCHOOL")</f>
        <v>DELTA MIDDLE SCHOOL</v>
      </c>
      <c r="E470" s="3" t="str">
        <f>IFERROR(__xludf.DUMMYFUNCTION("""COMPUTED_VALUE"""),"Y")</f>
        <v>Y</v>
      </c>
      <c r="F470" s="3" t="str">
        <f>IFERROR(__xludf.DUMMYFUNCTION("""COMPUTED_VALUE"""),"Y")</f>
        <v>Y</v>
      </c>
      <c r="G470" s="3"/>
      <c r="H470" s="3"/>
      <c r="I470" s="3" t="str">
        <f>IFERROR(__xludf.DUMMYFUNCTION("""COMPUTED_VALUE""")," ")</f>
        <v> </v>
      </c>
      <c r="J470" s="3" t="str">
        <f>IFERROR(__xludf.DUMMYFUNCTION("""COMPUTED_VALUE""")," ")</f>
        <v> </v>
      </c>
      <c r="K470" s="3" t="str">
        <f>IFERROR(__xludf.DUMMYFUNCTION("""COMPUTED_VALUE"""),"Y")</f>
        <v>Y</v>
      </c>
      <c r="L470" s="3" t="str">
        <f>IFERROR(__xludf.DUMMYFUNCTION("""COMPUTED_VALUE"""),"Group 2")</f>
        <v>Group 2</v>
      </c>
      <c r="M470" s="3"/>
      <c r="N470" s="5" t="str">
        <f>IFERROR(__xludf.DUMMYFUNCTION("""COMPUTED_VALUE"""),"Y")</f>
        <v>Y</v>
      </c>
      <c r="O470" s="5"/>
    </row>
    <row r="471">
      <c r="A471" s="2" t="str">
        <f>IFERROR(__xludf.DUMMYFUNCTION("""COMPUTED_VALUE"""),"0870")</f>
        <v>0870</v>
      </c>
      <c r="B471" s="2" t="str">
        <f>IFERROR(__xludf.DUMMYFUNCTION("""COMPUTED_VALUE"""),"DELTA COUNTY        50(J)")</f>
        <v>DELTA COUNTY        50(J)</v>
      </c>
      <c r="C471" s="2" t="str">
        <f>IFERROR(__xludf.DUMMYFUNCTION("""COMPUTED_VALUE"""),"02164")</f>
        <v>02164</v>
      </c>
      <c r="D471" s="2" t="str">
        <f>IFERROR(__xludf.DUMMYFUNCTION("""COMPUTED_VALUE"""),"DELTA HIGH SCHOOL")</f>
        <v>DELTA HIGH SCHOOL</v>
      </c>
      <c r="E471" s="3" t="str">
        <f>IFERROR(__xludf.DUMMYFUNCTION("""COMPUTED_VALUE"""),"Y")</f>
        <v>Y</v>
      </c>
      <c r="F471" s="3" t="str">
        <f>IFERROR(__xludf.DUMMYFUNCTION("""COMPUTED_VALUE"""),"Y")</f>
        <v>Y</v>
      </c>
      <c r="G471" s="3"/>
      <c r="H471" s="3"/>
      <c r="I471" s="3" t="str">
        <f>IFERROR(__xludf.DUMMYFUNCTION("""COMPUTED_VALUE""")," ")</f>
        <v> </v>
      </c>
      <c r="J471" s="3" t="str">
        <f>IFERROR(__xludf.DUMMYFUNCTION("""COMPUTED_VALUE""")," ")</f>
        <v> </v>
      </c>
      <c r="K471" s="3" t="str">
        <f>IFERROR(__xludf.DUMMYFUNCTION("""COMPUTED_VALUE"""),"Y")</f>
        <v>Y</v>
      </c>
      <c r="L471" s="3" t="str">
        <f>IFERROR(__xludf.DUMMYFUNCTION("""COMPUTED_VALUE"""),"Group 3")</f>
        <v>Group 3</v>
      </c>
      <c r="M471" s="3"/>
      <c r="N471" s="5" t="str">
        <f>IFERROR(__xludf.DUMMYFUNCTION("""COMPUTED_VALUE""")," ")</f>
        <v> </v>
      </c>
      <c r="O471" s="5"/>
    </row>
    <row r="472">
      <c r="A472" s="2" t="str">
        <f>IFERROR(__xludf.DUMMYFUNCTION("""COMPUTED_VALUE"""),"0870")</f>
        <v>0870</v>
      </c>
      <c r="B472" s="2" t="str">
        <f>IFERROR(__xludf.DUMMYFUNCTION("""COMPUTED_VALUE"""),"DELTA COUNTY        50(J)")</f>
        <v>DELTA COUNTY        50(J)</v>
      </c>
      <c r="C472" s="2" t="str">
        <f>IFERROR(__xludf.DUMMYFUNCTION("""COMPUTED_VALUE"""),"03330")</f>
        <v>03330</v>
      </c>
      <c r="D472" s="2" t="str">
        <f>IFERROR(__xludf.DUMMYFUNCTION("""COMPUTED_VALUE"""),"GARNET MESA ELEMENTARY SCHOOL")</f>
        <v>GARNET MESA ELEMENTARY SCHOOL</v>
      </c>
      <c r="E472" s="3" t="str">
        <f>IFERROR(__xludf.DUMMYFUNCTION("""COMPUTED_VALUE"""),"Y")</f>
        <v>Y</v>
      </c>
      <c r="F472" s="3" t="str">
        <f>IFERROR(__xludf.DUMMYFUNCTION("""COMPUTED_VALUE"""),"Y")</f>
        <v>Y</v>
      </c>
      <c r="G472" s="3"/>
      <c r="H472" s="3"/>
      <c r="I472" s="3" t="str">
        <f>IFERROR(__xludf.DUMMYFUNCTION("""COMPUTED_VALUE""")," ")</f>
        <v> </v>
      </c>
      <c r="J472" s="3" t="str">
        <f>IFERROR(__xludf.DUMMYFUNCTION("""COMPUTED_VALUE""")," ")</f>
        <v> </v>
      </c>
      <c r="K472" s="3" t="str">
        <f>IFERROR(__xludf.DUMMYFUNCTION("""COMPUTED_VALUE"""),"Y")</f>
        <v>Y</v>
      </c>
      <c r="L472" s="3" t="str">
        <f>IFERROR(__xludf.DUMMYFUNCTION("""COMPUTED_VALUE"""),"Group 1")</f>
        <v>Group 1</v>
      </c>
      <c r="M472" s="3"/>
      <c r="N472" s="5" t="str">
        <f>IFERROR(__xludf.DUMMYFUNCTION("""COMPUTED_VALUE""")," ")</f>
        <v> </v>
      </c>
      <c r="O472" s="5"/>
    </row>
    <row r="473">
      <c r="A473" s="2" t="str">
        <f>IFERROR(__xludf.DUMMYFUNCTION("""COMPUTED_VALUE"""),"0870")</f>
        <v>0870</v>
      </c>
      <c r="B473" s="2" t="str">
        <f>IFERROR(__xludf.DUMMYFUNCTION("""COMPUTED_VALUE"""),"DELTA COUNTY        50(J)")</f>
        <v>DELTA COUNTY        50(J)</v>
      </c>
      <c r="C473" s="2" t="str">
        <f>IFERROR(__xludf.DUMMYFUNCTION("""COMPUTED_VALUE"""),"04124")</f>
        <v>04124</v>
      </c>
      <c r="D473" s="2" t="str">
        <f>IFERROR(__xludf.DUMMYFUNCTION("""COMPUTED_VALUE"""),"HOTCHKISS ELEMENTARY SCHOOL")</f>
        <v>HOTCHKISS ELEMENTARY SCHOOL</v>
      </c>
      <c r="E473" s="3" t="str">
        <f>IFERROR(__xludf.DUMMYFUNCTION("""COMPUTED_VALUE"""),"Y")</f>
        <v>Y</v>
      </c>
      <c r="F473" s="3" t="str">
        <f>IFERROR(__xludf.DUMMYFUNCTION("""COMPUTED_VALUE"""),"Y")</f>
        <v>Y</v>
      </c>
      <c r="G473" s="3"/>
      <c r="H473" s="3"/>
      <c r="I473" s="3" t="str">
        <f>IFERROR(__xludf.DUMMYFUNCTION("""COMPUTED_VALUE""")," ")</f>
        <v> </v>
      </c>
      <c r="J473" s="3" t="str">
        <f>IFERROR(__xludf.DUMMYFUNCTION("""COMPUTED_VALUE""")," ")</f>
        <v> </v>
      </c>
      <c r="K473" s="3" t="str">
        <f>IFERROR(__xludf.DUMMYFUNCTION("""COMPUTED_VALUE"""),"Y")</f>
        <v>Y</v>
      </c>
      <c r="L473" s="3" t="str">
        <f>IFERROR(__xludf.DUMMYFUNCTION("""COMPUTED_VALUE"""),"Group 2")</f>
        <v>Group 2</v>
      </c>
      <c r="M473" s="3"/>
      <c r="N473" s="5" t="str">
        <f>IFERROR(__xludf.DUMMYFUNCTION("""COMPUTED_VALUE""")," ")</f>
        <v> </v>
      </c>
      <c r="O473" s="5"/>
    </row>
    <row r="474">
      <c r="A474" s="2" t="str">
        <f>IFERROR(__xludf.DUMMYFUNCTION("""COMPUTED_VALUE"""),"0870")</f>
        <v>0870</v>
      </c>
      <c r="B474" s="2" t="str">
        <f>IFERROR(__xludf.DUMMYFUNCTION("""COMPUTED_VALUE"""),"DELTA COUNTY        50(J)")</f>
        <v>DELTA COUNTY        50(J)</v>
      </c>
      <c r="C474" s="2" t="str">
        <f>IFERROR(__xludf.DUMMYFUNCTION("""COMPUTED_VALUE"""),"04128")</f>
        <v>04128</v>
      </c>
      <c r="D474" s="2" t="str">
        <f>IFERROR(__xludf.DUMMYFUNCTION("""COMPUTED_VALUE"""),"North Fork High School")</f>
        <v>North Fork High School</v>
      </c>
      <c r="E474" s="3" t="str">
        <f>IFERROR(__xludf.DUMMYFUNCTION("""COMPUTED_VALUE"""),"Y")</f>
        <v>Y</v>
      </c>
      <c r="F474" s="3" t="str">
        <f>IFERROR(__xludf.DUMMYFUNCTION("""COMPUTED_VALUE"""),"Y")</f>
        <v>Y</v>
      </c>
      <c r="G474" s="3"/>
      <c r="H474" s="3"/>
      <c r="I474" s="3" t="str">
        <f>IFERROR(__xludf.DUMMYFUNCTION("""COMPUTED_VALUE""")," ")</f>
        <v> </v>
      </c>
      <c r="J474" s="3" t="str">
        <f>IFERROR(__xludf.DUMMYFUNCTION("""COMPUTED_VALUE""")," ")</f>
        <v> </v>
      </c>
      <c r="K474" s="3" t="str">
        <f>IFERROR(__xludf.DUMMYFUNCTION("""COMPUTED_VALUE"""),"Y")</f>
        <v>Y</v>
      </c>
      <c r="L474" s="3" t="str">
        <f>IFERROR(__xludf.DUMMYFUNCTION("""COMPUTED_VALUE"""),"Group 3")</f>
        <v>Group 3</v>
      </c>
      <c r="M474" s="3"/>
      <c r="N474" s="5" t="str">
        <f>IFERROR(__xludf.DUMMYFUNCTION("""COMPUTED_VALUE""")," ")</f>
        <v> </v>
      </c>
      <c r="O474" s="5"/>
    </row>
    <row r="475">
      <c r="A475" s="2" t="str">
        <f>IFERROR(__xludf.DUMMYFUNCTION("""COMPUTED_VALUE"""),"0870")</f>
        <v>0870</v>
      </c>
      <c r="B475" s="2" t="str">
        <f>IFERROR(__xludf.DUMMYFUNCTION("""COMPUTED_VALUE"""),"DELTA COUNTY        50(J)")</f>
        <v>DELTA COUNTY        50(J)</v>
      </c>
      <c r="C475" s="2" t="str">
        <f>IFERROR(__xludf.DUMMYFUNCTION("""COMPUTED_VALUE"""),"04182")</f>
        <v>04182</v>
      </c>
      <c r="D475" s="2" t="str">
        <f>IFERROR(__xludf.DUMMYFUNCTION("""COMPUTED_VALUE"""),"CEDAREDGE ELEMENTARY SCHOOL")</f>
        <v>CEDAREDGE ELEMENTARY SCHOOL</v>
      </c>
      <c r="E475" s="3" t="str">
        <f>IFERROR(__xludf.DUMMYFUNCTION("""COMPUTED_VALUE"""),"Y")</f>
        <v>Y</v>
      </c>
      <c r="F475" s="3" t="str">
        <f>IFERROR(__xludf.DUMMYFUNCTION("""COMPUTED_VALUE"""),"Y")</f>
        <v>Y</v>
      </c>
      <c r="G475" s="3"/>
      <c r="H475" s="3"/>
      <c r="I475" s="3" t="str">
        <f>IFERROR(__xludf.DUMMYFUNCTION("""COMPUTED_VALUE""")," ")</f>
        <v> </v>
      </c>
      <c r="J475" s="3" t="str">
        <f>IFERROR(__xludf.DUMMYFUNCTION("""COMPUTED_VALUE""")," ")</f>
        <v> </v>
      </c>
      <c r="K475" s="3" t="str">
        <f>IFERROR(__xludf.DUMMYFUNCTION("""COMPUTED_VALUE"""),"Y")</f>
        <v>Y</v>
      </c>
      <c r="L475" s="3" t="str">
        <f>IFERROR(__xludf.DUMMYFUNCTION("""COMPUTED_VALUE"""),"Group 6")</f>
        <v>Group 6</v>
      </c>
      <c r="M475" s="3"/>
      <c r="N475" s="5" t="str">
        <f>IFERROR(__xludf.DUMMYFUNCTION("""COMPUTED_VALUE""")," ")</f>
        <v> </v>
      </c>
      <c r="O475" s="5"/>
    </row>
    <row r="476">
      <c r="A476" s="2" t="str">
        <f>IFERROR(__xludf.DUMMYFUNCTION("""COMPUTED_VALUE"""),"0870")</f>
        <v>0870</v>
      </c>
      <c r="B476" s="2" t="str">
        <f>IFERROR(__xludf.DUMMYFUNCTION("""COMPUTED_VALUE"""),"DELTA COUNTY        50(J)")</f>
        <v>DELTA COUNTY        50(J)</v>
      </c>
      <c r="C476" s="2" t="str">
        <f>IFERROR(__xludf.DUMMYFUNCTION("""COMPUTED_VALUE"""),"05154")</f>
        <v>05154</v>
      </c>
      <c r="D476" s="2" t="str">
        <f>IFERROR(__xludf.DUMMYFUNCTION("""COMPUTED_VALUE"""),"LINCOLN ELEMENTARY SCHOOL")</f>
        <v>LINCOLN ELEMENTARY SCHOOL</v>
      </c>
      <c r="E476" s="3" t="str">
        <f>IFERROR(__xludf.DUMMYFUNCTION("""COMPUTED_VALUE"""),"Y")</f>
        <v>Y</v>
      </c>
      <c r="F476" s="3" t="str">
        <f>IFERROR(__xludf.DUMMYFUNCTION("""COMPUTED_VALUE"""),"Y")</f>
        <v>Y</v>
      </c>
      <c r="G476" s="3"/>
      <c r="H476" s="3"/>
      <c r="I476" s="3" t="str">
        <f>IFERROR(__xludf.DUMMYFUNCTION("""COMPUTED_VALUE""")," ")</f>
        <v> </v>
      </c>
      <c r="J476" s="3" t="str">
        <f>IFERROR(__xludf.DUMMYFUNCTION("""COMPUTED_VALUE""")," ")</f>
        <v> </v>
      </c>
      <c r="K476" s="3" t="str">
        <f>IFERROR(__xludf.DUMMYFUNCTION("""COMPUTED_VALUE"""),"Y")</f>
        <v>Y</v>
      </c>
      <c r="L476" s="3" t="str">
        <f>IFERROR(__xludf.DUMMYFUNCTION("""COMPUTED_VALUE"""),"Group 6")</f>
        <v>Group 6</v>
      </c>
      <c r="M476" s="3"/>
      <c r="N476" s="5" t="str">
        <f>IFERROR(__xludf.DUMMYFUNCTION("""COMPUTED_VALUE""")," ")</f>
        <v> </v>
      </c>
      <c r="O476" s="5"/>
    </row>
    <row r="477">
      <c r="A477" s="2" t="str">
        <f>IFERROR(__xludf.DUMMYFUNCTION("""COMPUTED_VALUE"""),"0870")</f>
        <v>0870</v>
      </c>
      <c r="B477" s="2" t="str">
        <f>IFERROR(__xludf.DUMMYFUNCTION("""COMPUTED_VALUE"""),"DELTA COUNTY        50(J)")</f>
        <v>DELTA COUNTY        50(J)</v>
      </c>
      <c r="C477" s="2" t="str">
        <f>IFERROR(__xludf.DUMMYFUNCTION("""COMPUTED_VALUE"""),"06295")</f>
        <v>06295</v>
      </c>
      <c r="D477" s="2" t="str">
        <f>IFERROR(__xludf.DUMMYFUNCTION("""COMPUTED_VALUE"""),"North Fork School for Integrated Studies")</f>
        <v>North Fork School for Integrated Studies</v>
      </c>
      <c r="E477" s="3" t="str">
        <f>IFERROR(__xludf.DUMMYFUNCTION("""COMPUTED_VALUE"""),"Y")</f>
        <v>Y</v>
      </c>
      <c r="F477" s="3" t="str">
        <f>IFERROR(__xludf.DUMMYFUNCTION("""COMPUTED_VALUE"""),"Y")</f>
        <v>Y</v>
      </c>
      <c r="G477" s="3"/>
      <c r="H477" s="3"/>
      <c r="I477" s="3" t="str">
        <f>IFERROR(__xludf.DUMMYFUNCTION("""COMPUTED_VALUE""")," ")</f>
        <v> </v>
      </c>
      <c r="J477" s="3" t="str">
        <f>IFERROR(__xludf.DUMMYFUNCTION("""COMPUTED_VALUE"""),"Y")</f>
        <v>Y</v>
      </c>
      <c r="K477" s="3" t="str">
        <f>IFERROR(__xludf.DUMMYFUNCTION("""COMPUTED_VALUE"""),"Y")</f>
        <v>Y</v>
      </c>
      <c r="L477" s="3" t="str">
        <f>IFERROR(__xludf.DUMMYFUNCTION("""COMPUTED_VALUE"""),"Group 2")</f>
        <v>Group 2</v>
      </c>
      <c r="M477" s="3"/>
      <c r="N477" s="5" t="str">
        <f>IFERROR(__xludf.DUMMYFUNCTION("""COMPUTED_VALUE""")," ")</f>
        <v> </v>
      </c>
      <c r="O477" s="5"/>
    </row>
    <row r="478">
      <c r="A478" s="2" t="str">
        <f>IFERROR(__xludf.DUMMYFUNCTION("""COMPUTED_VALUE"""),"0870")</f>
        <v>0870</v>
      </c>
      <c r="B478" s="2" t="str">
        <f>IFERROR(__xludf.DUMMYFUNCTION("""COMPUTED_VALUE"""),"DELTA COUNTY        50(J)")</f>
        <v>DELTA COUNTY        50(J)</v>
      </c>
      <c r="C478" s="2" t="str">
        <f>IFERROR(__xludf.DUMMYFUNCTION("""COMPUTED_VALUE"""),"06700")</f>
        <v>06700</v>
      </c>
      <c r="D478" s="2" t="str">
        <f>IFERROR(__xludf.DUMMYFUNCTION("""COMPUTED_VALUE"""),"PAONIA K-8")</f>
        <v>PAONIA K-8</v>
      </c>
      <c r="E478" s="3" t="str">
        <f>IFERROR(__xludf.DUMMYFUNCTION("""COMPUTED_VALUE"""),"Y")</f>
        <v>Y</v>
      </c>
      <c r="F478" s="3" t="str">
        <f>IFERROR(__xludf.DUMMYFUNCTION("""COMPUTED_VALUE"""),"Y")</f>
        <v>Y</v>
      </c>
      <c r="G478" s="3"/>
      <c r="H478" s="3"/>
      <c r="I478" s="3" t="str">
        <f>IFERROR(__xludf.DUMMYFUNCTION("""COMPUTED_VALUE""")," ")</f>
        <v> </v>
      </c>
      <c r="J478" s="3" t="str">
        <f>IFERROR(__xludf.DUMMYFUNCTION("""COMPUTED_VALUE""")," ")</f>
        <v> </v>
      </c>
      <c r="K478" s="3" t="str">
        <f>IFERROR(__xludf.DUMMYFUNCTION("""COMPUTED_VALUE"""),"Y")</f>
        <v>Y</v>
      </c>
      <c r="L478" s="3" t="str">
        <f>IFERROR(__xludf.DUMMYFUNCTION("""COMPUTED_VALUE"""),"Group 4")</f>
        <v>Group 4</v>
      </c>
      <c r="M478" s="3"/>
      <c r="N478" s="5" t="str">
        <f>IFERROR(__xludf.DUMMYFUNCTION("""COMPUTED_VALUE""")," ")</f>
        <v> </v>
      </c>
      <c r="O478" s="5"/>
    </row>
    <row r="479">
      <c r="A479" s="2" t="str">
        <f>IFERROR(__xludf.DUMMYFUNCTION("""COMPUTED_VALUE"""),"0880")</f>
        <v>0880</v>
      </c>
      <c r="B479" s="2" t="str">
        <f>IFERROR(__xludf.DUMMYFUNCTION("""COMPUTED_VALUE"""),"DENVER COUNTY 1")</f>
        <v>DENVER COUNTY 1</v>
      </c>
      <c r="C479" s="2" t="str">
        <f>IFERROR(__xludf.DUMMYFUNCTION("""COMPUTED_VALUE"""),"00010")</f>
        <v>00010</v>
      </c>
      <c r="D479" s="2" t="str">
        <f>IFERROR(__xludf.DUMMYFUNCTION("""COMPUTED_VALUE"""),"ABRAHAM LINCOLN HIGH SCHOOL")</f>
        <v>ABRAHAM LINCOLN HIGH SCHOOL</v>
      </c>
      <c r="E479" s="3" t="str">
        <f>IFERROR(__xludf.DUMMYFUNCTION("""COMPUTED_VALUE"""),"Y")</f>
        <v>Y</v>
      </c>
      <c r="F479" s="3" t="str">
        <f>IFERROR(__xludf.DUMMYFUNCTION("""COMPUTED_VALUE"""),"Y")</f>
        <v>Y</v>
      </c>
      <c r="G479" s="3"/>
      <c r="H479" s="3"/>
      <c r="I479" s="3" t="str">
        <f>IFERROR(__xludf.DUMMYFUNCTION("""COMPUTED_VALUE""")," ")</f>
        <v> </v>
      </c>
      <c r="J479" s="3" t="str">
        <f>IFERROR(__xludf.DUMMYFUNCTION("""COMPUTED_VALUE"""),"Y")</f>
        <v>Y</v>
      </c>
      <c r="K479" s="3" t="str">
        <f>IFERROR(__xludf.DUMMYFUNCTION("""COMPUTED_VALUE"""),"Y")</f>
        <v>Y</v>
      </c>
      <c r="L479" s="3" t="str">
        <f>IFERROR(__xludf.DUMMYFUNCTION("""COMPUTED_VALUE"""),"Group 19")</f>
        <v>Group 19</v>
      </c>
      <c r="M479" s="3"/>
      <c r="N479" s="5" t="str">
        <f>IFERROR(__xludf.DUMMYFUNCTION("""COMPUTED_VALUE""")," ")</f>
        <v> </v>
      </c>
      <c r="O479" s="5"/>
    </row>
    <row r="480">
      <c r="A480" s="2" t="str">
        <f>IFERROR(__xludf.DUMMYFUNCTION("""COMPUTED_VALUE"""),"0880")</f>
        <v>0880</v>
      </c>
      <c r="B480" s="2" t="str">
        <f>IFERROR(__xludf.DUMMYFUNCTION("""COMPUTED_VALUE"""),"DENVER COUNTY 1")</f>
        <v>DENVER COUNTY 1</v>
      </c>
      <c r="C480" s="2" t="str">
        <f>IFERROR(__xludf.DUMMYFUNCTION("""COMPUTED_VALUE"""),"00047")</f>
        <v>00047</v>
      </c>
      <c r="D480" s="2" t="str">
        <f>IFERROR(__xludf.DUMMYFUNCTION("""COMPUTED_VALUE"""),"Next Steps at Fairview")</f>
        <v>Next Steps at Fairview</v>
      </c>
      <c r="E480" s="3" t="str">
        <f>IFERROR(__xludf.DUMMYFUNCTION("""COMPUTED_VALUE"""),"Y")</f>
        <v>Y</v>
      </c>
      <c r="F480" s="3" t="str">
        <f>IFERROR(__xludf.DUMMYFUNCTION("""COMPUTED_VALUE"""),"Y")</f>
        <v>Y</v>
      </c>
      <c r="G480" s="3"/>
      <c r="H480" s="3"/>
      <c r="I480" s="3" t="str">
        <f>IFERROR(__xludf.DUMMYFUNCTION("""COMPUTED_VALUE""")," ")</f>
        <v> </v>
      </c>
      <c r="J480" s="3" t="str">
        <f>IFERROR(__xludf.DUMMYFUNCTION("""COMPUTED_VALUE"""),"Y")</f>
        <v>Y</v>
      </c>
      <c r="K480" s="3" t="str">
        <f>IFERROR(__xludf.DUMMYFUNCTION("""COMPUTED_VALUE"""),"Y")</f>
        <v>Y</v>
      </c>
      <c r="L480" s="3" t="str">
        <f>IFERROR(__xludf.DUMMYFUNCTION("""COMPUTED_VALUE"""),"Group 1")</f>
        <v>Group 1</v>
      </c>
      <c r="M480" s="3"/>
      <c r="N480" s="5" t="str">
        <f>IFERROR(__xludf.DUMMYFUNCTION("""COMPUTED_VALUE""")," ")</f>
        <v> </v>
      </c>
      <c r="O480" s="5"/>
    </row>
    <row r="481">
      <c r="A481" s="2" t="str">
        <f>IFERROR(__xludf.DUMMYFUNCTION("""COMPUTED_VALUE"""),"0880")</f>
        <v>0880</v>
      </c>
      <c r="B481" s="2" t="str">
        <f>IFERROR(__xludf.DUMMYFUNCTION("""COMPUTED_VALUE"""),"DENVER COUNTY 1")</f>
        <v>DENVER COUNTY 1</v>
      </c>
      <c r="C481" s="2" t="str">
        <f>IFERROR(__xludf.DUMMYFUNCTION("""COMPUTED_VALUE"""),"00067")</f>
        <v>00067</v>
      </c>
      <c r="D481" s="2" t="str">
        <f>IFERROR(__xludf.DUMMYFUNCTION("""COMPUTED_VALUE"""),"AUL Denver")</f>
        <v>AUL Denver</v>
      </c>
      <c r="E481" s="3" t="str">
        <f>IFERROR(__xludf.DUMMYFUNCTION("""COMPUTED_VALUE"""),"Y")</f>
        <v>Y</v>
      </c>
      <c r="F481" s="3" t="str">
        <f>IFERROR(__xludf.DUMMYFUNCTION("""COMPUTED_VALUE"""),"Y")</f>
        <v>Y</v>
      </c>
      <c r="G481" s="3"/>
      <c r="H481" s="3"/>
      <c r="I481" s="3" t="str">
        <f>IFERROR(__xludf.DUMMYFUNCTION("""COMPUTED_VALUE""")," ")</f>
        <v> </v>
      </c>
      <c r="J481" s="3" t="str">
        <f>IFERROR(__xludf.DUMMYFUNCTION("""COMPUTED_VALUE"""),"Y")</f>
        <v>Y</v>
      </c>
      <c r="K481" s="3" t="str">
        <f>IFERROR(__xludf.DUMMYFUNCTION("""COMPUTED_VALUE"""),"Y")</f>
        <v>Y</v>
      </c>
      <c r="L481" s="3" t="str">
        <f>IFERROR(__xludf.DUMMYFUNCTION("""COMPUTED_VALUE"""),"Group 28")</f>
        <v>Group 28</v>
      </c>
      <c r="M481" s="3"/>
      <c r="N481" s="5" t="str">
        <f>IFERROR(__xludf.DUMMYFUNCTION("""COMPUTED_VALUE""")," ")</f>
        <v> </v>
      </c>
      <c r="O481" s="5"/>
    </row>
    <row r="482">
      <c r="A482" s="2" t="str">
        <f>IFERROR(__xludf.DUMMYFUNCTION("""COMPUTED_VALUE"""),"0880")</f>
        <v>0880</v>
      </c>
      <c r="B482" s="2" t="str">
        <f>IFERROR(__xludf.DUMMYFUNCTION("""COMPUTED_VALUE"""),"DENVER COUNTY 1")</f>
        <v>DENVER COUNTY 1</v>
      </c>
      <c r="C482" s="2" t="str">
        <f>IFERROR(__xludf.DUMMYFUNCTION("""COMPUTED_VALUE"""),"00099")</f>
        <v>00099</v>
      </c>
      <c r="D482" s="2" t="str">
        <f>IFERROR(__xludf.DUMMYFUNCTION("""COMPUTED_VALUE"""),"Academy 360")</f>
        <v>Academy 360</v>
      </c>
      <c r="E482" s="3" t="str">
        <f>IFERROR(__xludf.DUMMYFUNCTION("""COMPUTED_VALUE"""),"Y")</f>
        <v>Y</v>
      </c>
      <c r="F482" s="3" t="str">
        <f>IFERROR(__xludf.DUMMYFUNCTION("""COMPUTED_VALUE"""),"Y")</f>
        <v>Y</v>
      </c>
      <c r="G482" s="3"/>
      <c r="H482" s="3"/>
      <c r="I482" s="3" t="str">
        <f>IFERROR(__xludf.DUMMYFUNCTION("""COMPUTED_VALUE"""),"Y")</f>
        <v>Y</v>
      </c>
      <c r="J482" s="3" t="str">
        <f>IFERROR(__xludf.DUMMYFUNCTION("""COMPUTED_VALUE"""),"Y")</f>
        <v>Y</v>
      </c>
      <c r="K482" s="3" t="str">
        <f>IFERROR(__xludf.DUMMYFUNCTION("""COMPUTED_VALUE"""),"Y")</f>
        <v>Y</v>
      </c>
      <c r="L482" s="3" t="str">
        <f>IFERROR(__xludf.DUMMYFUNCTION("""COMPUTED_VALUE"""),"Group 1")</f>
        <v>Group 1</v>
      </c>
      <c r="M482" s="3"/>
      <c r="N482" s="5" t="str">
        <f>IFERROR(__xludf.DUMMYFUNCTION("""COMPUTED_VALUE"""),"Y")</f>
        <v>Y</v>
      </c>
      <c r="O482" s="5"/>
    </row>
    <row r="483">
      <c r="A483" s="2" t="str">
        <f>IFERROR(__xludf.DUMMYFUNCTION("""COMPUTED_VALUE"""),"0880")</f>
        <v>0880</v>
      </c>
      <c r="B483" s="2" t="str">
        <f>IFERROR(__xludf.DUMMYFUNCTION("""COMPUTED_VALUE"""),"DENVER COUNTY 1")</f>
        <v>DENVER COUNTY 1</v>
      </c>
      <c r="C483" s="2" t="str">
        <f>IFERROR(__xludf.DUMMYFUNCTION("""COMPUTED_VALUE"""),"00220")</f>
        <v>00220</v>
      </c>
      <c r="D483" s="2" t="str">
        <f>IFERROR(__xludf.DUMMYFUNCTION("""COMPUTED_VALUE"""),"John H. Amesse Elementary")</f>
        <v>John H. Amesse Elementary</v>
      </c>
      <c r="E483" s="3" t="str">
        <f>IFERROR(__xludf.DUMMYFUNCTION("""COMPUTED_VALUE"""),"Y")</f>
        <v>Y</v>
      </c>
      <c r="F483" s="3" t="str">
        <f>IFERROR(__xludf.DUMMYFUNCTION("""COMPUTED_VALUE"""),"Y")</f>
        <v>Y</v>
      </c>
      <c r="G483" s="3"/>
      <c r="H483" s="3"/>
      <c r="I483" s="3" t="str">
        <f>IFERROR(__xludf.DUMMYFUNCTION("""COMPUTED_VALUE"""),"Y")</f>
        <v>Y</v>
      </c>
      <c r="J483" s="3" t="str">
        <f>IFERROR(__xludf.DUMMYFUNCTION("""COMPUTED_VALUE"""),"Y")</f>
        <v>Y</v>
      </c>
      <c r="K483" s="3" t="str">
        <f>IFERROR(__xludf.DUMMYFUNCTION("""COMPUTED_VALUE"""),"Y")</f>
        <v>Y</v>
      </c>
      <c r="L483" s="3" t="str">
        <f>IFERROR(__xludf.DUMMYFUNCTION("""COMPUTED_VALUE"""),"Group 28")</f>
        <v>Group 28</v>
      </c>
      <c r="M483" s="3"/>
      <c r="N483" s="5" t="str">
        <f>IFERROR(__xludf.DUMMYFUNCTION("""COMPUTED_VALUE""")," ")</f>
        <v> </v>
      </c>
      <c r="O483" s="5"/>
    </row>
    <row r="484">
      <c r="A484" s="2" t="str">
        <f>IFERROR(__xludf.DUMMYFUNCTION("""COMPUTED_VALUE"""),"0880")</f>
        <v>0880</v>
      </c>
      <c r="B484" s="2" t="str">
        <f>IFERROR(__xludf.DUMMYFUNCTION("""COMPUTED_VALUE"""),"DENVER COUNTY 1")</f>
        <v>DENVER COUNTY 1</v>
      </c>
      <c r="C484" s="2" t="str">
        <f>IFERROR(__xludf.DUMMYFUNCTION("""COMPUTED_VALUE"""),"00388")</f>
        <v>00388</v>
      </c>
      <c r="D484" s="2" t="str">
        <f>IFERROR(__xludf.DUMMYFUNCTION("""COMPUTED_VALUE"""),"ASBURY ELEMENTARY SCHOOL")</f>
        <v>ASBURY ELEMENTARY SCHOOL</v>
      </c>
      <c r="E484" s="3" t="str">
        <f>IFERROR(__xludf.DUMMYFUNCTION("""COMPUTED_VALUE"""),"Y")</f>
        <v>Y</v>
      </c>
      <c r="F484" s="3" t="str">
        <f>IFERROR(__xludf.DUMMYFUNCTION("""COMPUTED_VALUE"""),"Y")</f>
        <v>Y</v>
      </c>
      <c r="G484" s="3"/>
      <c r="H484" s="3"/>
      <c r="I484" s="3" t="str">
        <f>IFERROR(__xludf.DUMMYFUNCTION("""COMPUTED_VALUE""")," ")</f>
        <v> </v>
      </c>
      <c r="J484" s="3" t="str">
        <f>IFERROR(__xludf.DUMMYFUNCTION("""COMPUTED_VALUE""")," ")</f>
        <v> </v>
      </c>
      <c r="K484" s="3" t="str">
        <f>IFERROR(__xludf.DUMMYFUNCTION("""COMPUTED_VALUE"""),"Y")</f>
        <v>Y</v>
      </c>
      <c r="L484" s="3" t="str">
        <f>IFERROR(__xludf.DUMMYFUNCTION("""COMPUTED_VALUE"""),"Group 7")</f>
        <v>Group 7</v>
      </c>
      <c r="M484" s="3"/>
      <c r="N484" s="5" t="str">
        <f>IFERROR(__xludf.DUMMYFUNCTION("""COMPUTED_VALUE""")," ")</f>
        <v> </v>
      </c>
      <c r="O484" s="5"/>
    </row>
    <row r="485">
      <c r="A485" s="2" t="str">
        <f>IFERROR(__xludf.DUMMYFUNCTION("""COMPUTED_VALUE"""),"0880")</f>
        <v>0880</v>
      </c>
      <c r="B485" s="2" t="str">
        <f>IFERROR(__xludf.DUMMYFUNCTION("""COMPUTED_VALUE"""),"DENVER COUNTY 1")</f>
        <v>DENVER COUNTY 1</v>
      </c>
      <c r="C485" s="2" t="str">
        <f>IFERROR(__xludf.DUMMYFUNCTION("""COMPUTED_VALUE"""),"00408")</f>
        <v>00408</v>
      </c>
      <c r="D485" s="2" t="str">
        <f>IFERROR(__xludf.DUMMYFUNCTION("""COMPUTED_VALUE"""),"VALDEZ ELEMENTARY SCHOOL")</f>
        <v>VALDEZ ELEMENTARY SCHOOL</v>
      </c>
      <c r="E485" s="3" t="str">
        <f>IFERROR(__xludf.DUMMYFUNCTION("""COMPUTED_VALUE"""),"Y")</f>
        <v>Y</v>
      </c>
      <c r="F485" s="3" t="str">
        <f>IFERROR(__xludf.DUMMYFUNCTION("""COMPUTED_VALUE"""),"Y")</f>
        <v>Y</v>
      </c>
      <c r="G485" s="3" t="str">
        <f>IFERROR(__xludf.DUMMYFUNCTION("""COMPUTED_VALUE"""),"Y")</f>
        <v>Y</v>
      </c>
      <c r="H485" s="3"/>
      <c r="I485" s="3" t="str">
        <f>IFERROR(__xludf.DUMMYFUNCTION("""COMPUTED_VALUE""")," ")</f>
        <v> </v>
      </c>
      <c r="J485" s="3" t="str">
        <f>IFERROR(__xludf.DUMMYFUNCTION("""COMPUTED_VALUE""")," ")</f>
        <v> </v>
      </c>
      <c r="K485" s="3" t="str">
        <f>IFERROR(__xludf.DUMMYFUNCTION("""COMPUTED_VALUE"""),"Y")</f>
        <v>Y</v>
      </c>
      <c r="L485" s="3" t="str">
        <f>IFERROR(__xludf.DUMMYFUNCTION("""COMPUTED_VALUE"""),"Group 5")</f>
        <v>Group 5</v>
      </c>
      <c r="M485" s="3"/>
      <c r="N485" s="5" t="str">
        <f>IFERROR(__xludf.DUMMYFUNCTION("""COMPUTED_VALUE"""),"Y")</f>
        <v>Y</v>
      </c>
      <c r="O485" s="5"/>
    </row>
    <row r="486">
      <c r="A486" s="2" t="str">
        <f>IFERROR(__xludf.DUMMYFUNCTION("""COMPUTED_VALUE"""),"0880")</f>
        <v>0880</v>
      </c>
      <c r="B486" s="2" t="str">
        <f>IFERROR(__xludf.DUMMYFUNCTION("""COMPUTED_VALUE"""),"DENVER COUNTY 1")</f>
        <v>DENVER COUNTY 1</v>
      </c>
      <c r="C486" s="2" t="str">
        <f>IFERROR(__xludf.DUMMYFUNCTION("""COMPUTED_VALUE"""),"00418")</f>
        <v>00418</v>
      </c>
      <c r="D486" s="2" t="str">
        <f>IFERROR(__xludf.DUMMYFUNCTION("""COMPUTED_VALUE"""),"ASHLEY ELEMENTARY SCHOOL")</f>
        <v>ASHLEY ELEMENTARY SCHOOL</v>
      </c>
      <c r="E486" s="3" t="str">
        <f>IFERROR(__xludf.DUMMYFUNCTION("""COMPUTED_VALUE"""),"Y")</f>
        <v>Y</v>
      </c>
      <c r="F486" s="3" t="str">
        <f>IFERROR(__xludf.DUMMYFUNCTION("""COMPUTED_VALUE"""),"Y")</f>
        <v>Y</v>
      </c>
      <c r="G486" s="3" t="str">
        <f>IFERROR(__xludf.DUMMYFUNCTION("""COMPUTED_VALUE"""),"Y")</f>
        <v>Y</v>
      </c>
      <c r="H486" s="3"/>
      <c r="I486" s="3" t="str">
        <f>IFERROR(__xludf.DUMMYFUNCTION("""COMPUTED_VALUE"""),"Y")</f>
        <v>Y</v>
      </c>
      <c r="J486" s="3" t="str">
        <f>IFERROR(__xludf.DUMMYFUNCTION("""COMPUTED_VALUE"""),"Y")</f>
        <v>Y</v>
      </c>
      <c r="K486" s="3" t="str">
        <f>IFERROR(__xludf.DUMMYFUNCTION("""COMPUTED_VALUE"""),"Y")</f>
        <v>Y</v>
      </c>
      <c r="L486" s="3" t="str">
        <f>IFERROR(__xludf.DUMMYFUNCTION("""COMPUTED_VALUE"""),"Group 22")</f>
        <v>Group 22</v>
      </c>
      <c r="M486" s="3"/>
      <c r="N486" s="5" t="str">
        <f>IFERROR(__xludf.DUMMYFUNCTION("""COMPUTED_VALUE"""),"Y")</f>
        <v>Y</v>
      </c>
      <c r="O486" s="5"/>
    </row>
    <row r="487">
      <c r="A487" s="2" t="str">
        <f>IFERROR(__xludf.DUMMYFUNCTION("""COMPUTED_VALUE"""),"0880")</f>
        <v>0880</v>
      </c>
      <c r="B487" s="2" t="str">
        <f>IFERROR(__xludf.DUMMYFUNCTION("""COMPUTED_VALUE"""),"DENVER COUNTY 1")</f>
        <v>DENVER COUNTY 1</v>
      </c>
      <c r="C487" s="2" t="str">
        <f>IFERROR(__xludf.DUMMYFUNCTION("""COMPUTED_VALUE"""),"00520")</f>
        <v>00520</v>
      </c>
      <c r="D487" s="2" t="str">
        <f>IFERROR(__xludf.DUMMYFUNCTION("""COMPUTED_VALUE"""),"BARNUM ELEMENTARY SCHOOL")</f>
        <v>BARNUM ELEMENTARY SCHOOL</v>
      </c>
      <c r="E487" s="3" t="str">
        <f>IFERROR(__xludf.DUMMYFUNCTION("""COMPUTED_VALUE"""),"Y")</f>
        <v>Y</v>
      </c>
      <c r="F487" s="3" t="str">
        <f>IFERROR(__xludf.DUMMYFUNCTION("""COMPUTED_VALUE"""),"Y")</f>
        <v>Y</v>
      </c>
      <c r="G487" s="3" t="str">
        <f>IFERROR(__xludf.DUMMYFUNCTION("""COMPUTED_VALUE"""),"Y")</f>
        <v>Y</v>
      </c>
      <c r="H487" s="3"/>
      <c r="I487" s="3" t="str">
        <f>IFERROR(__xludf.DUMMYFUNCTION("""COMPUTED_VALUE"""),"Y")</f>
        <v>Y</v>
      </c>
      <c r="J487" s="3" t="str">
        <f>IFERROR(__xludf.DUMMYFUNCTION("""COMPUTED_VALUE"""),"Y")</f>
        <v>Y</v>
      </c>
      <c r="K487" s="3" t="str">
        <f>IFERROR(__xludf.DUMMYFUNCTION("""COMPUTED_VALUE"""),"Y")</f>
        <v>Y</v>
      </c>
      <c r="L487" s="3" t="str">
        <f>IFERROR(__xludf.DUMMYFUNCTION("""COMPUTED_VALUE"""),"Group 28")</f>
        <v>Group 28</v>
      </c>
      <c r="M487" s="3"/>
      <c r="N487" s="5" t="str">
        <f>IFERROR(__xludf.DUMMYFUNCTION("""COMPUTED_VALUE"""),"Y")</f>
        <v>Y</v>
      </c>
      <c r="O487" s="5"/>
    </row>
    <row r="488">
      <c r="A488" s="2" t="str">
        <f>IFERROR(__xludf.DUMMYFUNCTION("""COMPUTED_VALUE"""),"0880")</f>
        <v>0880</v>
      </c>
      <c r="B488" s="2" t="str">
        <f>IFERROR(__xludf.DUMMYFUNCTION("""COMPUTED_VALUE"""),"DENVER COUNTY 1")</f>
        <v>DENVER COUNTY 1</v>
      </c>
      <c r="C488" s="2" t="str">
        <f>IFERROR(__xludf.DUMMYFUNCTION("""COMPUTED_VALUE"""),"00650")</f>
        <v>00650</v>
      </c>
      <c r="D488" s="2" t="str">
        <f>IFERROR(__xludf.DUMMYFUNCTION("""COMPUTED_VALUE"""),"BEACH COURT ELEMENTARY SCHOOL")</f>
        <v>BEACH COURT ELEMENTARY SCHOOL</v>
      </c>
      <c r="E488" s="3" t="str">
        <f>IFERROR(__xludf.DUMMYFUNCTION("""COMPUTED_VALUE"""),"Y")</f>
        <v>Y</v>
      </c>
      <c r="F488" s="3" t="str">
        <f>IFERROR(__xludf.DUMMYFUNCTION("""COMPUTED_VALUE"""),"Y")</f>
        <v>Y</v>
      </c>
      <c r="G488" s="3" t="str">
        <f>IFERROR(__xludf.DUMMYFUNCTION("""COMPUTED_VALUE"""),"Y")</f>
        <v>Y</v>
      </c>
      <c r="H488" s="3"/>
      <c r="I488" s="3" t="str">
        <f>IFERROR(__xludf.DUMMYFUNCTION("""COMPUTED_VALUE"""),"Y")</f>
        <v>Y</v>
      </c>
      <c r="J488" s="3" t="str">
        <f>IFERROR(__xludf.DUMMYFUNCTION("""COMPUTED_VALUE"""),"Y")</f>
        <v>Y</v>
      </c>
      <c r="K488" s="3" t="str">
        <f>IFERROR(__xludf.DUMMYFUNCTION("""COMPUTED_VALUE"""),"Y")</f>
        <v>Y</v>
      </c>
      <c r="L488" s="3" t="str">
        <f>IFERROR(__xludf.DUMMYFUNCTION("""COMPUTED_VALUE"""),"Group 28")</f>
        <v>Group 28</v>
      </c>
      <c r="M488" s="3"/>
      <c r="N488" s="5" t="str">
        <f>IFERROR(__xludf.DUMMYFUNCTION("""COMPUTED_VALUE"""),"Y")</f>
        <v>Y</v>
      </c>
      <c r="O488" s="5"/>
    </row>
    <row r="489">
      <c r="A489" s="2" t="str">
        <f>IFERROR(__xludf.DUMMYFUNCTION("""COMPUTED_VALUE"""),"0880")</f>
        <v>0880</v>
      </c>
      <c r="B489" s="2" t="str">
        <f>IFERROR(__xludf.DUMMYFUNCTION("""COMPUTED_VALUE"""),"DENVER COUNTY 1")</f>
        <v>DENVER COUNTY 1</v>
      </c>
      <c r="C489" s="2" t="str">
        <f>IFERROR(__xludf.DUMMYFUNCTION("""COMPUTED_VALUE"""),"00655")</f>
        <v>00655</v>
      </c>
      <c r="D489" s="2" t="str">
        <f>IFERROR(__xludf.DUMMYFUNCTION("""COMPUTED_VALUE"""),"High Point Academy")</f>
        <v>High Point Academy</v>
      </c>
      <c r="E489" s="3" t="str">
        <f>IFERROR(__xludf.DUMMYFUNCTION("""COMPUTED_VALUE"""),"Y")</f>
        <v>Y</v>
      </c>
      <c r="F489" s="3" t="str">
        <f>IFERROR(__xludf.DUMMYFUNCTION("""COMPUTED_VALUE"""),"Y")</f>
        <v>Y</v>
      </c>
      <c r="G489" s="3"/>
      <c r="H489" s="3"/>
      <c r="I489" s="3" t="str">
        <f>IFERROR(__xludf.DUMMYFUNCTION("""COMPUTED_VALUE"""),"Y")</f>
        <v>Y</v>
      </c>
      <c r="J489" s="3" t="str">
        <f>IFERROR(__xludf.DUMMYFUNCTION("""COMPUTED_VALUE""")," ")</f>
        <v> </v>
      </c>
      <c r="K489" s="3" t="str">
        <f>IFERROR(__xludf.DUMMYFUNCTION("""COMPUTED_VALUE"""),"Y")</f>
        <v>Y</v>
      </c>
      <c r="L489" s="3" t="str">
        <f>IFERROR(__xludf.DUMMYFUNCTION("""COMPUTED_VALUE"""),"Group 23")</f>
        <v>Group 23</v>
      </c>
      <c r="M489" s="3"/>
      <c r="N489" s="5" t="str">
        <f>IFERROR(__xludf.DUMMYFUNCTION("""COMPUTED_VALUE""")," ")</f>
        <v> </v>
      </c>
      <c r="O489" s="5"/>
    </row>
    <row r="490">
      <c r="A490" s="2" t="str">
        <f>IFERROR(__xludf.DUMMYFUNCTION("""COMPUTED_VALUE"""),"0880")</f>
        <v>0880</v>
      </c>
      <c r="B490" s="2" t="str">
        <f>IFERROR(__xludf.DUMMYFUNCTION("""COMPUTED_VALUE"""),"DENVER COUNTY 1")</f>
        <v>DENVER COUNTY 1</v>
      </c>
      <c r="C490" s="2" t="str">
        <f>IFERROR(__xludf.DUMMYFUNCTION("""COMPUTED_VALUE"""),"00964")</f>
        <v>00964</v>
      </c>
      <c r="D490" s="2" t="str">
        <f>IFERROR(__xludf.DUMMYFUNCTION("""COMPUTED_VALUE"""),"BRADLEY INTERNATIONAL SCHOOL")</f>
        <v>BRADLEY INTERNATIONAL SCHOOL</v>
      </c>
      <c r="E490" s="3" t="str">
        <f>IFERROR(__xludf.DUMMYFUNCTION("""COMPUTED_VALUE"""),"Y")</f>
        <v>Y</v>
      </c>
      <c r="F490" s="3" t="str">
        <f>IFERROR(__xludf.DUMMYFUNCTION("""COMPUTED_VALUE"""),"Y")</f>
        <v>Y</v>
      </c>
      <c r="G490" s="3"/>
      <c r="H490" s="3"/>
      <c r="I490" s="3" t="str">
        <f>IFERROR(__xludf.DUMMYFUNCTION("""COMPUTED_VALUE""")," ")</f>
        <v> </v>
      </c>
      <c r="J490" s="3" t="str">
        <f>IFERROR(__xludf.DUMMYFUNCTION("""COMPUTED_VALUE""")," ")</f>
        <v> </v>
      </c>
      <c r="K490" s="3" t="str">
        <f>IFERROR(__xludf.DUMMYFUNCTION("""COMPUTED_VALUE"""),"Y")</f>
        <v>Y</v>
      </c>
      <c r="L490" s="3" t="str">
        <f>IFERROR(__xludf.DUMMYFUNCTION("""COMPUTED_VALUE"""),"Group 9")</f>
        <v>Group 9</v>
      </c>
      <c r="M490" s="3"/>
      <c r="N490" s="5" t="str">
        <f>IFERROR(__xludf.DUMMYFUNCTION("""COMPUTED_VALUE""")," ")</f>
        <v> </v>
      </c>
      <c r="O490" s="5"/>
    </row>
    <row r="491">
      <c r="A491" s="2" t="str">
        <f>IFERROR(__xludf.DUMMYFUNCTION("""COMPUTED_VALUE"""),"0880")</f>
        <v>0880</v>
      </c>
      <c r="B491" s="2" t="str">
        <f>IFERROR(__xludf.DUMMYFUNCTION("""COMPUTED_VALUE"""),"DENVER COUNTY 1")</f>
        <v>DENVER COUNTY 1</v>
      </c>
      <c r="C491" s="2" t="str">
        <f>IFERROR(__xludf.DUMMYFUNCTION("""COMPUTED_VALUE"""),"01056")</f>
        <v>01056</v>
      </c>
      <c r="D491" s="2" t="str">
        <f>IFERROR(__xludf.DUMMYFUNCTION("""COMPUTED_VALUE"""),"BROMWELL ELEMENTARY SCHOOL")</f>
        <v>BROMWELL ELEMENTARY SCHOOL</v>
      </c>
      <c r="E491" s="3" t="str">
        <f>IFERROR(__xludf.DUMMYFUNCTION("""COMPUTED_VALUE"""),"Y")</f>
        <v>Y</v>
      </c>
      <c r="F491" s="3" t="str">
        <f>IFERROR(__xludf.DUMMYFUNCTION("""COMPUTED_VALUE"""),"Y")</f>
        <v>Y</v>
      </c>
      <c r="G491" s="3"/>
      <c r="H491" s="3"/>
      <c r="I491" s="3" t="str">
        <f>IFERROR(__xludf.DUMMYFUNCTION("""COMPUTED_VALUE""")," ")</f>
        <v> </v>
      </c>
      <c r="J491" s="3" t="str">
        <f>IFERROR(__xludf.DUMMYFUNCTION("""COMPUTED_VALUE""")," ")</f>
        <v> </v>
      </c>
      <c r="K491" s="3" t="str">
        <f>IFERROR(__xludf.DUMMYFUNCTION("""COMPUTED_VALUE"""),"Y")</f>
        <v>Y</v>
      </c>
      <c r="L491" s="3" t="str">
        <f>IFERROR(__xludf.DUMMYFUNCTION("""COMPUTED_VALUE"""),"Group 11")</f>
        <v>Group 11</v>
      </c>
      <c r="M491" s="3"/>
      <c r="N491" s="5" t="str">
        <f>IFERROR(__xludf.DUMMYFUNCTION("""COMPUTED_VALUE"""),"Y")</f>
        <v>Y</v>
      </c>
      <c r="O491" s="5"/>
    </row>
    <row r="492">
      <c r="A492" s="2" t="str">
        <f>IFERROR(__xludf.DUMMYFUNCTION("""COMPUTED_VALUE"""),"0880")</f>
        <v>0880</v>
      </c>
      <c r="B492" s="2" t="str">
        <f>IFERROR(__xludf.DUMMYFUNCTION("""COMPUTED_VALUE"""),"DENVER COUNTY 1")</f>
        <v>DENVER COUNTY 1</v>
      </c>
      <c r="C492" s="2" t="str">
        <f>IFERROR(__xludf.DUMMYFUNCTION("""COMPUTED_VALUE"""),"01076")</f>
        <v>01076</v>
      </c>
      <c r="D492" s="2" t="str">
        <f>IFERROR(__xludf.DUMMYFUNCTION("""COMPUTED_VALUE"""),"BROWN INTERNATIONAL ACADEMY")</f>
        <v>BROWN INTERNATIONAL ACADEMY</v>
      </c>
      <c r="E492" s="3" t="str">
        <f>IFERROR(__xludf.DUMMYFUNCTION("""COMPUTED_VALUE"""),"Y")</f>
        <v>Y</v>
      </c>
      <c r="F492" s="3" t="str">
        <f>IFERROR(__xludf.DUMMYFUNCTION("""COMPUTED_VALUE"""),"Y")</f>
        <v>Y</v>
      </c>
      <c r="G492" s="3"/>
      <c r="H492" s="3"/>
      <c r="I492" s="3" t="str">
        <f>IFERROR(__xludf.DUMMYFUNCTION("""COMPUTED_VALUE""")," ")</f>
        <v> </v>
      </c>
      <c r="J492" s="3" t="str">
        <f>IFERROR(__xludf.DUMMYFUNCTION("""COMPUTED_VALUE""")," ")</f>
        <v> </v>
      </c>
      <c r="K492" s="3" t="str">
        <f>IFERROR(__xludf.DUMMYFUNCTION("""COMPUTED_VALUE"""),"Y")</f>
        <v>Y</v>
      </c>
      <c r="L492" s="3" t="str">
        <f>IFERROR(__xludf.DUMMYFUNCTION("""COMPUTED_VALUE""")," ")</f>
        <v> </v>
      </c>
      <c r="M492" s="3"/>
      <c r="N492" s="5" t="str">
        <f>IFERROR(__xludf.DUMMYFUNCTION("""COMPUTED_VALUE""")," ")</f>
        <v> </v>
      </c>
      <c r="O492" s="5"/>
    </row>
    <row r="493">
      <c r="A493" s="2" t="str">
        <f>IFERROR(__xludf.DUMMYFUNCTION("""COMPUTED_VALUE"""),"0880")</f>
        <v>0880</v>
      </c>
      <c r="B493" s="2" t="str">
        <f>IFERROR(__xludf.DUMMYFUNCTION("""COMPUTED_VALUE"""),"DENVER COUNTY 1")</f>
        <v>DENVER COUNTY 1</v>
      </c>
      <c r="C493" s="2" t="str">
        <f>IFERROR(__xludf.DUMMYFUNCTION("""COMPUTED_VALUE"""),"01077")</f>
        <v>01077</v>
      </c>
      <c r="D493" s="2" t="str">
        <f>IFERROR(__xludf.DUMMYFUNCTION("""COMPUTED_VALUE"""),"Bear Valley International School")</f>
        <v>Bear Valley International School</v>
      </c>
      <c r="E493" s="3" t="str">
        <f>IFERROR(__xludf.DUMMYFUNCTION("""COMPUTED_VALUE"""),"Y")</f>
        <v>Y</v>
      </c>
      <c r="F493" s="3" t="str">
        <f>IFERROR(__xludf.DUMMYFUNCTION("""COMPUTED_VALUE"""),"Y")</f>
        <v>Y</v>
      </c>
      <c r="G493" s="3"/>
      <c r="H493" s="3"/>
      <c r="I493" s="3" t="str">
        <f>IFERROR(__xludf.DUMMYFUNCTION("""COMPUTED_VALUE""")," ")</f>
        <v> </v>
      </c>
      <c r="J493" s="3" t="str">
        <f>IFERROR(__xludf.DUMMYFUNCTION("""COMPUTED_VALUE"""),"Y")</f>
        <v>Y</v>
      </c>
      <c r="K493" s="3" t="str">
        <f>IFERROR(__xludf.DUMMYFUNCTION("""COMPUTED_VALUE"""),"Y")</f>
        <v>Y</v>
      </c>
      <c r="L493" s="3" t="str">
        <f>IFERROR(__xludf.DUMMYFUNCTION("""COMPUTED_VALUE"""),"Group 8")</f>
        <v>Group 8</v>
      </c>
      <c r="M493" s="3"/>
      <c r="N493" s="3" t="str">
        <f>IFERROR(__xludf.DUMMYFUNCTION("""COMPUTED_VALUE""")," ")</f>
        <v> </v>
      </c>
      <c r="O493" s="3"/>
    </row>
    <row r="494">
      <c r="A494" s="2" t="str">
        <f>IFERROR(__xludf.DUMMYFUNCTION("""COMPUTED_VALUE"""),"0880")</f>
        <v>0880</v>
      </c>
      <c r="B494" s="2" t="str">
        <f>IFERROR(__xludf.DUMMYFUNCTION("""COMPUTED_VALUE"""),"DENVER COUNTY 1")</f>
        <v>DENVER COUNTY 1</v>
      </c>
      <c r="C494" s="2" t="str">
        <f>IFERROR(__xludf.DUMMYFUNCTION("""COMPUTED_VALUE"""),"01106")</f>
        <v>01106</v>
      </c>
      <c r="D494" s="2" t="str">
        <f>IFERROR(__xludf.DUMMYFUNCTION("""COMPUTED_VALUE"""),"BRYANT WEBSTER DUAL LANGUAGE ECE-8 SCHOOL")</f>
        <v>BRYANT WEBSTER DUAL LANGUAGE ECE-8 SCHOOL</v>
      </c>
      <c r="E494" s="3" t="str">
        <f>IFERROR(__xludf.DUMMYFUNCTION("""COMPUTED_VALUE"""),"Y")</f>
        <v>Y</v>
      </c>
      <c r="F494" s="3" t="str">
        <f>IFERROR(__xludf.DUMMYFUNCTION("""COMPUTED_VALUE"""),"Y")</f>
        <v>Y</v>
      </c>
      <c r="G494" s="3"/>
      <c r="H494" s="3"/>
      <c r="I494" s="3" t="str">
        <f>IFERROR(__xludf.DUMMYFUNCTION("""COMPUTED_VALUE""")," ")</f>
        <v> </v>
      </c>
      <c r="J494" s="3" t="str">
        <f>IFERROR(__xludf.DUMMYFUNCTION("""COMPUTED_VALUE"""),"Y")</f>
        <v>Y</v>
      </c>
      <c r="K494" s="3" t="str">
        <f>IFERROR(__xludf.DUMMYFUNCTION("""COMPUTED_VALUE"""),"Y")</f>
        <v>Y</v>
      </c>
      <c r="L494" s="3" t="str">
        <f>IFERROR(__xludf.DUMMYFUNCTION("""COMPUTED_VALUE"""),"Group 8")</f>
        <v>Group 8</v>
      </c>
      <c r="M494" s="3"/>
      <c r="N494" s="3" t="str">
        <f>IFERROR(__xludf.DUMMYFUNCTION("""COMPUTED_VALUE""")," ")</f>
        <v> </v>
      </c>
      <c r="O494" s="3"/>
    </row>
    <row r="495">
      <c r="A495" s="2" t="str">
        <f>IFERROR(__xludf.DUMMYFUNCTION("""COMPUTED_VALUE"""),"0880")</f>
        <v>0880</v>
      </c>
      <c r="B495" s="2" t="str">
        <f>IFERROR(__xludf.DUMMYFUNCTION("""COMPUTED_VALUE"""),"DENVER COUNTY 1")</f>
        <v>DENVER COUNTY 1</v>
      </c>
      <c r="C495" s="2" t="str">
        <f>IFERROR(__xludf.DUMMYFUNCTION("""COMPUTED_VALUE"""),"01319")</f>
        <v>01319</v>
      </c>
      <c r="D495" s="2" t="str">
        <f>IFERROR(__xludf.DUMMYFUNCTION("""COMPUTED_VALUE"""),"CEC MIDDLE COLLEGE OF DENVER")</f>
        <v>CEC MIDDLE COLLEGE OF DENVER</v>
      </c>
      <c r="E495" s="3" t="str">
        <f>IFERROR(__xludf.DUMMYFUNCTION("""COMPUTED_VALUE"""),"Y")</f>
        <v>Y</v>
      </c>
      <c r="F495" s="3" t="str">
        <f>IFERROR(__xludf.DUMMYFUNCTION("""COMPUTED_VALUE"""),"Y")</f>
        <v>Y</v>
      </c>
      <c r="G495" s="3"/>
      <c r="H495" s="3"/>
      <c r="I495" s="3" t="str">
        <f>IFERROR(__xludf.DUMMYFUNCTION("""COMPUTED_VALUE""")," ")</f>
        <v> </v>
      </c>
      <c r="J495" s="3" t="str">
        <f>IFERROR(__xludf.DUMMYFUNCTION("""COMPUTED_VALUE"""),"Y")</f>
        <v>Y</v>
      </c>
      <c r="K495" s="3" t="str">
        <f>IFERROR(__xludf.DUMMYFUNCTION("""COMPUTED_VALUE"""),"Y")</f>
        <v>Y</v>
      </c>
      <c r="L495" s="3" t="str">
        <f>IFERROR(__xludf.DUMMYFUNCTION("""COMPUTED_VALUE"""),"Group 2")</f>
        <v>Group 2</v>
      </c>
      <c r="M495" s="3"/>
      <c r="N495" s="5" t="str">
        <f>IFERROR(__xludf.DUMMYFUNCTION("""COMPUTED_VALUE"""),"Y")</f>
        <v>Y</v>
      </c>
      <c r="O495" s="5"/>
    </row>
    <row r="496">
      <c r="A496" s="2" t="str">
        <f>IFERROR(__xludf.DUMMYFUNCTION("""COMPUTED_VALUE"""),"0880")</f>
        <v>0880</v>
      </c>
      <c r="B496" s="2" t="str">
        <f>IFERROR(__xludf.DUMMYFUNCTION("""COMPUTED_VALUE"""),"DENVER COUNTY 1")</f>
        <v>DENVER COUNTY 1</v>
      </c>
      <c r="C496" s="2" t="str">
        <f>IFERROR(__xludf.DUMMYFUNCTION("""COMPUTED_VALUE"""),"01324")</f>
        <v>01324</v>
      </c>
      <c r="D496" s="2" t="str">
        <f>IFERROR(__xludf.DUMMYFUNCTION("""COMPUTED_VALUE"""),"CARSON ELEMENTARY SCHOOL")</f>
        <v>CARSON ELEMENTARY SCHOOL</v>
      </c>
      <c r="E496" s="3" t="str">
        <f>IFERROR(__xludf.DUMMYFUNCTION("""COMPUTED_VALUE"""),"Y")</f>
        <v>Y</v>
      </c>
      <c r="F496" s="3" t="str">
        <f>IFERROR(__xludf.DUMMYFUNCTION("""COMPUTED_VALUE"""),"Y")</f>
        <v>Y</v>
      </c>
      <c r="G496" s="3"/>
      <c r="H496" s="3"/>
      <c r="I496" s="3" t="str">
        <f>IFERROR(__xludf.DUMMYFUNCTION("""COMPUTED_VALUE""")," ")</f>
        <v> </v>
      </c>
      <c r="J496" s="3" t="str">
        <f>IFERROR(__xludf.DUMMYFUNCTION("""COMPUTED_VALUE""")," ")</f>
        <v> </v>
      </c>
      <c r="K496" s="3" t="str">
        <f>IFERROR(__xludf.DUMMYFUNCTION("""COMPUTED_VALUE"""),"Y")</f>
        <v>Y</v>
      </c>
      <c r="L496" s="3" t="str">
        <f>IFERROR(__xludf.DUMMYFUNCTION("""COMPUTED_VALUE""")," ")</f>
        <v> </v>
      </c>
      <c r="M496" s="3"/>
      <c r="N496" s="5" t="str">
        <f>IFERROR(__xludf.DUMMYFUNCTION("""COMPUTED_VALUE""")," ")</f>
        <v> </v>
      </c>
      <c r="O496" s="5"/>
    </row>
    <row r="497">
      <c r="A497" s="2" t="str">
        <f>IFERROR(__xludf.DUMMYFUNCTION("""COMPUTED_VALUE"""),"0880")</f>
        <v>0880</v>
      </c>
      <c r="B497" s="2" t="str">
        <f>IFERROR(__xludf.DUMMYFUNCTION("""COMPUTED_VALUE"""),"DENVER COUNTY 1")</f>
        <v>DENVER COUNTY 1</v>
      </c>
      <c r="C497" s="2" t="str">
        <f>IFERROR(__xludf.DUMMYFUNCTION("""COMPUTED_VALUE"""),"01400")</f>
        <v>01400</v>
      </c>
      <c r="D497" s="2" t="str">
        <f>IFERROR(__xludf.DUMMYFUNCTION("""COMPUTED_VALUE"""),"CENTENNIAL A SCHOOL FOR EXPEDITIONARY LEARNING")</f>
        <v>CENTENNIAL A SCHOOL FOR EXPEDITIONARY LEARNING</v>
      </c>
      <c r="E497" s="3" t="str">
        <f>IFERROR(__xludf.DUMMYFUNCTION("""COMPUTED_VALUE"""),"Y")</f>
        <v>Y</v>
      </c>
      <c r="F497" s="3" t="str">
        <f>IFERROR(__xludf.DUMMYFUNCTION("""COMPUTED_VALUE"""),"Y")</f>
        <v>Y</v>
      </c>
      <c r="G497" s="3"/>
      <c r="H497" s="3"/>
      <c r="I497" s="3" t="str">
        <f>IFERROR(__xludf.DUMMYFUNCTION("""COMPUTED_VALUE""")," ")</f>
        <v> </v>
      </c>
      <c r="J497" s="3" t="str">
        <f>IFERROR(__xludf.DUMMYFUNCTION("""COMPUTED_VALUE""")," ")</f>
        <v> </v>
      </c>
      <c r="K497" s="3" t="str">
        <f>IFERROR(__xludf.DUMMYFUNCTION("""COMPUTED_VALUE"""),"Y")</f>
        <v>Y</v>
      </c>
      <c r="L497" s="3" t="str">
        <f>IFERROR(__xludf.DUMMYFUNCTION("""COMPUTED_VALUE""")," ")</f>
        <v> </v>
      </c>
      <c r="M497" s="3"/>
      <c r="N497" s="5" t="str">
        <f>IFERROR(__xludf.DUMMYFUNCTION("""COMPUTED_VALUE""")," ")</f>
        <v> </v>
      </c>
      <c r="O497" s="5"/>
    </row>
    <row r="498">
      <c r="A498" s="2" t="str">
        <f>IFERROR(__xludf.DUMMYFUNCTION("""COMPUTED_VALUE"""),"0880")</f>
        <v>0880</v>
      </c>
      <c r="B498" s="2" t="str">
        <f>IFERROR(__xludf.DUMMYFUNCTION("""COMPUTED_VALUE"""),"DENVER COUNTY 1")</f>
        <v>DENVER COUNTY 1</v>
      </c>
      <c r="C498" s="2" t="str">
        <f>IFERROR(__xludf.DUMMYFUNCTION("""COMPUTED_VALUE"""),"01451")</f>
        <v>01451</v>
      </c>
      <c r="D498" s="2" t="str">
        <f>IFERROR(__xludf.DUMMYFUNCTION("""COMPUTED_VALUE"""),"Addenbrooke Classical Academy")</f>
        <v>Addenbrooke Classical Academy</v>
      </c>
      <c r="E498" s="3"/>
      <c r="F498" s="3" t="str">
        <f>IFERROR(__xludf.DUMMYFUNCTION("""COMPUTED_VALUE"""),"Y")</f>
        <v>Y</v>
      </c>
      <c r="G498" s="3"/>
      <c r="H498" s="3"/>
      <c r="I498" s="3" t="str">
        <f>IFERROR(__xludf.DUMMYFUNCTION("""COMPUTED_VALUE""")," ")</f>
        <v> </v>
      </c>
      <c r="J498" s="3" t="str">
        <f>IFERROR(__xludf.DUMMYFUNCTION("""COMPUTED_VALUE""")," ")</f>
        <v> </v>
      </c>
      <c r="K498" s="3" t="str">
        <f>IFERROR(__xludf.DUMMYFUNCTION("""COMPUTED_VALUE"""),"Y")</f>
        <v>Y</v>
      </c>
      <c r="L498" s="3" t="str">
        <f>IFERROR(__xludf.DUMMYFUNCTION("""COMPUTED_VALUE""")," ")</f>
        <v> </v>
      </c>
      <c r="M498" s="3"/>
      <c r="N498" s="5" t="str">
        <f>IFERROR(__xludf.DUMMYFUNCTION("""COMPUTED_VALUE""")," ")</f>
        <v> </v>
      </c>
      <c r="O498" s="5"/>
    </row>
    <row r="499">
      <c r="A499" s="2" t="str">
        <f>IFERROR(__xludf.DUMMYFUNCTION("""COMPUTED_VALUE"""),"0880")</f>
        <v>0880</v>
      </c>
      <c r="B499" s="2" t="str">
        <f>IFERROR(__xludf.DUMMYFUNCTION("""COMPUTED_VALUE"""),"DENVER COUNTY 1")</f>
        <v>DENVER COUNTY 1</v>
      </c>
      <c r="C499" s="2" t="str">
        <f>IFERROR(__xludf.DUMMYFUNCTION("""COMPUTED_VALUE"""),"01489")</f>
        <v>01489</v>
      </c>
      <c r="D499" s="2" t="str">
        <f>IFERROR(__xludf.DUMMYFUNCTION("""COMPUTED_VALUE"""),"Compassion Road Academy")</f>
        <v>Compassion Road Academy</v>
      </c>
      <c r="E499" s="3" t="str">
        <f>IFERROR(__xludf.DUMMYFUNCTION("""COMPUTED_VALUE"""),"Y")</f>
        <v>Y</v>
      </c>
      <c r="F499" s="3" t="str">
        <f>IFERROR(__xludf.DUMMYFUNCTION("""COMPUTED_VALUE"""),"Y")</f>
        <v>Y</v>
      </c>
      <c r="G499" s="3"/>
      <c r="H499" s="3"/>
      <c r="I499" s="3" t="str">
        <f>IFERROR(__xludf.DUMMYFUNCTION("""COMPUTED_VALUE""")," ")</f>
        <v> </v>
      </c>
      <c r="J499" s="3" t="str">
        <f>IFERROR(__xludf.DUMMYFUNCTION("""COMPUTED_VALUE"""),"Y")</f>
        <v>Y</v>
      </c>
      <c r="K499" s="3" t="str">
        <f>IFERROR(__xludf.DUMMYFUNCTION("""COMPUTED_VALUE"""),"Y")</f>
        <v>Y</v>
      </c>
      <c r="L499" s="3" t="str">
        <f>IFERROR(__xludf.DUMMYFUNCTION("""COMPUTED_VALUE"""),"Group 15")</f>
        <v>Group 15</v>
      </c>
      <c r="M499" s="3"/>
      <c r="N499" s="5" t="str">
        <f>IFERROR(__xludf.DUMMYFUNCTION("""COMPUTED_VALUE"""),"Y")</f>
        <v>Y</v>
      </c>
      <c r="O499" s="5"/>
    </row>
    <row r="500">
      <c r="A500" s="2" t="str">
        <f>IFERROR(__xludf.DUMMYFUNCTION("""COMPUTED_VALUE"""),"0880")</f>
        <v>0880</v>
      </c>
      <c r="B500" s="2" t="str">
        <f>IFERROR(__xludf.DUMMYFUNCTION("""COMPUTED_VALUE"""),"DENVER COUNTY 1")</f>
        <v>DENVER COUNTY 1</v>
      </c>
      <c r="C500" s="2" t="str">
        <f>IFERROR(__xludf.DUMMYFUNCTION("""COMPUTED_VALUE"""),"01528")</f>
        <v>01528</v>
      </c>
      <c r="D500" s="2" t="str">
        <f>IFERROR(__xludf.DUMMYFUNCTION("""COMPUTED_VALUE"""),"CHELTENHAM ELEMENTARY SCHOOL")</f>
        <v>CHELTENHAM ELEMENTARY SCHOOL</v>
      </c>
      <c r="E500" s="3" t="str">
        <f>IFERROR(__xludf.DUMMYFUNCTION("""COMPUTED_VALUE"""),"Y")</f>
        <v>Y</v>
      </c>
      <c r="F500" s="3" t="str">
        <f>IFERROR(__xludf.DUMMYFUNCTION("""COMPUTED_VALUE"""),"Y")</f>
        <v>Y</v>
      </c>
      <c r="G500" s="3" t="str">
        <f>IFERROR(__xludf.DUMMYFUNCTION("""COMPUTED_VALUE"""),"Y")</f>
        <v>Y</v>
      </c>
      <c r="H500" s="3"/>
      <c r="I500" s="3" t="str">
        <f>IFERROR(__xludf.DUMMYFUNCTION("""COMPUTED_VALUE"""),"Y")</f>
        <v>Y</v>
      </c>
      <c r="J500" s="3" t="str">
        <f>IFERROR(__xludf.DUMMYFUNCTION("""COMPUTED_VALUE"""),"Y")</f>
        <v>Y</v>
      </c>
      <c r="K500" s="3" t="str">
        <f>IFERROR(__xludf.DUMMYFUNCTION("""COMPUTED_VALUE"""),"Y")</f>
        <v>Y</v>
      </c>
      <c r="L500" s="3" t="str">
        <f>IFERROR(__xludf.DUMMYFUNCTION("""COMPUTED_VALUE"""),"Group 23")</f>
        <v>Group 23</v>
      </c>
      <c r="M500" s="3"/>
      <c r="N500" s="5" t="str">
        <f>IFERROR(__xludf.DUMMYFUNCTION("""COMPUTED_VALUE""")," ")</f>
        <v> </v>
      </c>
      <c r="O500" s="5"/>
    </row>
    <row r="501">
      <c r="A501" s="2" t="str">
        <f>IFERROR(__xludf.DUMMYFUNCTION("""COMPUTED_VALUE"""),"0880")</f>
        <v>0880</v>
      </c>
      <c r="B501" s="2" t="str">
        <f>IFERROR(__xludf.DUMMYFUNCTION("""COMPUTED_VALUE"""),"DENVER COUNTY 1")</f>
        <v>DENVER COUNTY 1</v>
      </c>
      <c r="C501" s="2" t="str">
        <f>IFERROR(__xludf.DUMMYFUNCTION("""COMPUTED_VALUE"""),"01529")</f>
        <v>01529</v>
      </c>
      <c r="D501" s="2" t="str">
        <f>IFERROR(__xludf.DUMMYFUNCTION("""COMPUTED_VALUE"""),"DSST Conservatory Green HS                  ")</f>
        <v>DSST Conservatory Green HS                  </v>
      </c>
      <c r="E501" s="3" t="str">
        <f>IFERROR(__xludf.DUMMYFUNCTION("""COMPUTED_VALUE"""),"Y")</f>
        <v>Y</v>
      </c>
      <c r="F501" s="3" t="str">
        <f>IFERROR(__xludf.DUMMYFUNCTION("""COMPUTED_VALUE"""),"Y")</f>
        <v>Y</v>
      </c>
      <c r="G501" s="3"/>
      <c r="H501" s="3"/>
      <c r="I501" s="3" t="str">
        <f>IFERROR(__xludf.DUMMYFUNCTION("""COMPUTED_VALUE""")," ")</f>
        <v> </v>
      </c>
      <c r="J501" s="3" t="str">
        <f>IFERROR(__xludf.DUMMYFUNCTION("""COMPUTED_VALUE"""),"Y")</f>
        <v>Y</v>
      </c>
      <c r="K501" s="3" t="str">
        <f>IFERROR(__xludf.DUMMYFUNCTION("""COMPUTED_VALUE"""),"Y")</f>
        <v>Y</v>
      </c>
      <c r="L501" s="3" t="str">
        <f>IFERROR(__xludf.DUMMYFUNCTION("""COMPUTED_VALUE"""),"Group 13")</f>
        <v>Group 13</v>
      </c>
      <c r="M501" s="3"/>
      <c r="N501" s="5" t="str">
        <f>IFERROR(__xludf.DUMMYFUNCTION("""COMPUTED_VALUE""")," ")</f>
        <v> </v>
      </c>
      <c r="O501" s="5"/>
    </row>
    <row r="502">
      <c r="A502" s="2" t="str">
        <f>IFERROR(__xludf.DUMMYFUNCTION("""COMPUTED_VALUE"""),"0880")</f>
        <v>0880</v>
      </c>
      <c r="B502" s="2" t="str">
        <f>IFERROR(__xludf.DUMMYFUNCTION("""COMPUTED_VALUE"""),"DENVER COUNTY 1")</f>
        <v>DENVER COUNTY 1</v>
      </c>
      <c r="C502" s="2" t="str">
        <f>IFERROR(__xludf.DUMMYFUNCTION("""COMPUTED_VALUE"""),"01774")</f>
        <v>01774</v>
      </c>
      <c r="D502" s="2" t="str">
        <f>IFERROR(__xludf.DUMMYFUNCTION("""COMPUTED_VALUE"""),"COLFAX ELEMENTARY SCHOOL")</f>
        <v>COLFAX ELEMENTARY SCHOOL</v>
      </c>
      <c r="E502" s="3" t="str">
        <f>IFERROR(__xludf.DUMMYFUNCTION("""COMPUTED_VALUE"""),"Y")</f>
        <v>Y</v>
      </c>
      <c r="F502" s="3" t="str">
        <f>IFERROR(__xludf.DUMMYFUNCTION("""COMPUTED_VALUE"""),"Y")</f>
        <v>Y</v>
      </c>
      <c r="G502" s="3" t="str">
        <f>IFERROR(__xludf.DUMMYFUNCTION("""COMPUTED_VALUE"""),"Y")</f>
        <v>Y</v>
      </c>
      <c r="H502" s="3"/>
      <c r="I502" s="3" t="str">
        <f>IFERROR(__xludf.DUMMYFUNCTION("""COMPUTED_VALUE"""),"Y")</f>
        <v>Y</v>
      </c>
      <c r="J502" s="3" t="str">
        <f>IFERROR(__xludf.DUMMYFUNCTION("""COMPUTED_VALUE"""),"Y")</f>
        <v>Y</v>
      </c>
      <c r="K502" s="3" t="str">
        <f>IFERROR(__xludf.DUMMYFUNCTION("""COMPUTED_VALUE"""),"Y")</f>
        <v>Y</v>
      </c>
      <c r="L502" s="3" t="str">
        <f>IFERROR(__xludf.DUMMYFUNCTION("""COMPUTED_VALUE"""),"Group 1")</f>
        <v>Group 1</v>
      </c>
      <c r="M502" s="3"/>
      <c r="N502" s="5" t="str">
        <f>IFERROR(__xludf.DUMMYFUNCTION("""COMPUTED_VALUE""")," ")</f>
        <v> </v>
      </c>
      <c r="O502" s="5"/>
    </row>
    <row r="503">
      <c r="A503" s="2" t="str">
        <f>IFERROR(__xludf.DUMMYFUNCTION("""COMPUTED_VALUE"""),"0880")</f>
        <v>0880</v>
      </c>
      <c r="B503" s="2" t="str">
        <f>IFERROR(__xludf.DUMMYFUNCTION("""COMPUTED_VALUE"""),"DENVER COUNTY 1")</f>
        <v>DENVER COUNTY 1</v>
      </c>
      <c r="C503" s="2" t="str">
        <f>IFERROR(__xludf.DUMMYFUNCTION("""COMPUTED_VALUE"""),"01785")</f>
        <v>01785</v>
      </c>
      <c r="D503" s="2" t="str">
        <f>IFERROR(__xludf.DUMMYFUNCTION("""COMPUTED_VALUE"""),"COLE ARTS AND SCIENCE ACADEMY")</f>
        <v>COLE ARTS AND SCIENCE ACADEMY</v>
      </c>
      <c r="E503" s="3" t="str">
        <f>IFERROR(__xludf.DUMMYFUNCTION("""COMPUTED_VALUE"""),"Y")</f>
        <v>Y</v>
      </c>
      <c r="F503" s="3" t="str">
        <f>IFERROR(__xludf.DUMMYFUNCTION("""COMPUTED_VALUE"""),"Y")</f>
        <v>Y</v>
      </c>
      <c r="G503" s="3"/>
      <c r="H503" s="3"/>
      <c r="I503" s="3" t="str">
        <f>IFERROR(__xludf.DUMMYFUNCTION("""COMPUTED_VALUE"""),"Y")</f>
        <v>Y</v>
      </c>
      <c r="J503" s="3" t="str">
        <f>IFERROR(__xludf.DUMMYFUNCTION("""COMPUTED_VALUE"""),"Y")</f>
        <v>Y</v>
      </c>
      <c r="K503" s="3" t="str">
        <f>IFERROR(__xludf.DUMMYFUNCTION("""COMPUTED_VALUE"""),"Y")</f>
        <v>Y</v>
      </c>
      <c r="L503" s="3" t="str">
        <f>IFERROR(__xludf.DUMMYFUNCTION("""COMPUTED_VALUE"""),"Group 28")</f>
        <v>Group 28</v>
      </c>
      <c r="M503" s="3"/>
      <c r="N503" s="5" t="str">
        <f>IFERROR(__xludf.DUMMYFUNCTION("""COMPUTED_VALUE""")," ")</f>
        <v> </v>
      </c>
      <c r="O503" s="5"/>
    </row>
    <row r="504">
      <c r="A504" s="2" t="str">
        <f>IFERROR(__xludf.DUMMYFUNCTION("""COMPUTED_VALUE"""),"0880")</f>
        <v>0880</v>
      </c>
      <c r="B504" s="2" t="str">
        <f>IFERROR(__xludf.DUMMYFUNCTION("""COMPUTED_VALUE"""),"DENVER COUNTY 1")</f>
        <v>DENVER COUNTY 1</v>
      </c>
      <c r="C504" s="2" t="str">
        <f>IFERROR(__xludf.DUMMYFUNCTION("""COMPUTED_VALUE"""),"01788")</f>
        <v>01788</v>
      </c>
      <c r="D504" s="2" t="str">
        <f>IFERROR(__xludf.DUMMYFUNCTION("""COMPUTED_VALUE"""),"COLLEGE VIEW ELEMENTARY SCHOOL")</f>
        <v>COLLEGE VIEW ELEMENTARY SCHOOL</v>
      </c>
      <c r="E504" s="3" t="str">
        <f>IFERROR(__xludf.DUMMYFUNCTION("""COMPUTED_VALUE"""),"Y")</f>
        <v>Y</v>
      </c>
      <c r="F504" s="3" t="str">
        <f>IFERROR(__xludf.DUMMYFUNCTION("""COMPUTED_VALUE"""),"Y")</f>
        <v>Y</v>
      </c>
      <c r="G504" s="3" t="str">
        <f>IFERROR(__xludf.DUMMYFUNCTION("""COMPUTED_VALUE"""),"Y")</f>
        <v>Y</v>
      </c>
      <c r="H504" s="3"/>
      <c r="I504" s="3" t="str">
        <f>IFERROR(__xludf.DUMMYFUNCTION("""COMPUTED_VALUE"""),"Y")</f>
        <v>Y</v>
      </c>
      <c r="J504" s="3" t="str">
        <f>IFERROR(__xludf.DUMMYFUNCTION("""COMPUTED_VALUE"""),"Y")</f>
        <v>Y</v>
      </c>
      <c r="K504" s="3" t="str">
        <f>IFERROR(__xludf.DUMMYFUNCTION("""COMPUTED_VALUE"""),"Y")</f>
        <v>Y</v>
      </c>
      <c r="L504" s="3" t="str">
        <f>IFERROR(__xludf.DUMMYFUNCTION("""COMPUTED_VALUE"""),"Group 28")</f>
        <v>Group 28</v>
      </c>
      <c r="M504" s="3"/>
      <c r="N504" s="5" t="str">
        <f>IFERROR(__xludf.DUMMYFUNCTION("""COMPUTED_VALUE""")," ")</f>
        <v> </v>
      </c>
      <c r="O504" s="5"/>
    </row>
    <row r="505">
      <c r="A505" s="2" t="str">
        <f>IFERROR(__xludf.DUMMYFUNCTION("""COMPUTED_VALUE"""),"0880")</f>
        <v>0880</v>
      </c>
      <c r="B505" s="2" t="str">
        <f>IFERROR(__xludf.DUMMYFUNCTION("""COMPUTED_VALUE"""),"DENVER COUNTY 1")</f>
        <v>DENVER COUNTY 1</v>
      </c>
      <c r="C505" s="2" t="str">
        <f>IFERROR(__xludf.DUMMYFUNCTION("""COMPUTED_VALUE"""),"01816")</f>
        <v>01816</v>
      </c>
      <c r="D505" s="2" t="str">
        <f>IFERROR(__xludf.DUMMYFUNCTION("""COMPUTED_VALUE"""),"COLUMBIAN ELEMENTARY SCHOOL")</f>
        <v>COLUMBIAN ELEMENTARY SCHOOL</v>
      </c>
      <c r="E505" s="3" t="str">
        <f>IFERROR(__xludf.DUMMYFUNCTION("""COMPUTED_VALUE"""),"Y")</f>
        <v>Y</v>
      </c>
      <c r="F505" s="3" t="str">
        <f>IFERROR(__xludf.DUMMYFUNCTION("""COMPUTED_VALUE"""),"Y")</f>
        <v>Y</v>
      </c>
      <c r="G505" s="3" t="str">
        <f>IFERROR(__xludf.DUMMYFUNCTION("""COMPUTED_VALUE"""),"Y")</f>
        <v>Y</v>
      </c>
      <c r="H505" s="3"/>
      <c r="I505" s="3" t="str">
        <f>IFERROR(__xludf.DUMMYFUNCTION("""COMPUTED_VALUE"""),"Y")</f>
        <v>Y</v>
      </c>
      <c r="J505" s="3" t="str">
        <f>IFERROR(__xludf.DUMMYFUNCTION("""COMPUTED_VALUE"""),"Y")</f>
        <v>Y</v>
      </c>
      <c r="K505" s="3" t="str">
        <f>IFERROR(__xludf.DUMMYFUNCTION("""COMPUTED_VALUE"""),"Y")</f>
        <v>Y</v>
      </c>
      <c r="L505" s="3" t="str">
        <f>IFERROR(__xludf.DUMMYFUNCTION("""COMPUTED_VALUE"""),"Group 28")</f>
        <v>Group 28</v>
      </c>
      <c r="M505" s="3"/>
      <c r="N505" s="5" t="str">
        <f>IFERROR(__xludf.DUMMYFUNCTION("""COMPUTED_VALUE"""),"Y")</f>
        <v>Y</v>
      </c>
      <c r="O505" s="5"/>
    </row>
    <row r="506">
      <c r="A506" s="2" t="str">
        <f>IFERROR(__xludf.DUMMYFUNCTION("""COMPUTED_VALUE"""),"0880")</f>
        <v>0880</v>
      </c>
      <c r="B506" s="2" t="str">
        <f>IFERROR(__xludf.DUMMYFUNCTION("""COMPUTED_VALUE"""),"DENVER COUNTY 1")</f>
        <v>DENVER COUNTY 1</v>
      </c>
      <c r="C506" s="2" t="str">
        <f>IFERROR(__xludf.DUMMYFUNCTION("""COMPUTED_VALUE"""),"01846")</f>
        <v>01846</v>
      </c>
      <c r="D506" s="2" t="str">
        <f>IFERROR(__xludf.DUMMYFUNCTION("""COMPUTED_VALUE"""),"COLUMBINE ELEMENTARY SCHOOL")</f>
        <v>COLUMBINE ELEMENTARY SCHOOL</v>
      </c>
      <c r="E506" s="3" t="str">
        <f>IFERROR(__xludf.DUMMYFUNCTION("""COMPUTED_VALUE"""),"Y")</f>
        <v>Y</v>
      </c>
      <c r="F506" s="3" t="str">
        <f>IFERROR(__xludf.DUMMYFUNCTION("""COMPUTED_VALUE"""),"Y")</f>
        <v>Y</v>
      </c>
      <c r="G506" s="3"/>
      <c r="H506" s="3"/>
      <c r="I506" s="3" t="str">
        <f>IFERROR(__xludf.DUMMYFUNCTION("""COMPUTED_VALUE""")," ")</f>
        <v> </v>
      </c>
      <c r="J506" s="3" t="str">
        <f>IFERROR(__xludf.DUMMYFUNCTION("""COMPUTED_VALUE""")," ")</f>
        <v> </v>
      </c>
      <c r="K506" s="3" t="str">
        <f>IFERROR(__xludf.DUMMYFUNCTION("""COMPUTED_VALUE"""),"Y")</f>
        <v>Y</v>
      </c>
      <c r="L506" s="3" t="str">
        <f>IFERROR(__xludf.DUMMYFUNCTION("""COMPUTED_VALUE"""),"Group 23")</f>
        <v>Group 23</v>
      </c>
      <c r="M506" s="3"/>
      <c r="N506" s="5" t="str">
        <f>IFERROR(__xludf.DUMMYFUNCTION("""COMPUTED_VALUE"""),"Y")</f>
        <v>Y</v>
      </c>
      <c r="O506" s="5"/>
    </row>
    <row r="507">
      <c r="A507" s="2" t="str">
        <f>IFERROR(__xludf.DUMMYFUNCTION("""COMPUTED_VALUE"""),"0880")</f>
        <v>0880</v>
      </c>
      <c r="B507" s="2" t="str">
        <f>IFERROR(__xludf.DUMMYFUNCTION("""COMPUTED_VALUE"""),"DENVER COUNTY 1")</f>
        <v>DENVER COUNTY 1</v>
      </c>
      <c r="C507" s="2" t="str">
        <f>IFERROR(__xludf.DUMMYFUNCTION("""COMPUTED_VALUE"""),"01908")</f>
        <v>01908</v>
      </c>
      <c r="D507" s="2" t="str">
        <f>IFERROR(__xludf.DUMMYFUNCTION("""COMPUTED_VALUE"""),"CORY ELEMENTARY SCHOOL")</f>
        <v>CORY ELEMENTARY SCHOOL</v>
      </c>
      <c r="E507" s="3" t="str">
        <f>IFERROR(__xludf.DUMMYFUNCTION("""COMPUTED_VALUE"""),"Y")</f>
        <v>Y</v>
      </c>
      <c r="F507" s="3" t="str">
        <f>IFERROR(__xludf.DUMMYFUNCTION("""COMPUTED_VALUE"""),"Y")</f>
        <v>Y</v>
      </c>
      <c r="G507" s="3"/>
      <c r="H507" s="3"/>
      <c r="I507" s="3" t="str">
        <f>IFERROR(__xludf.DUMMYFUNCTION("""COMPUTED_VALUE""")," ")</f>
        <v> </v>
      </c>
      <c r="J507" s="3" t="str">
        <f>IFERROR(__xludf.DUMMYFUNCTION("""COMPUTED_VALUE""")," ")</f>
        <v> </v>
      </c>
      <c r="K507" s="3" t="str">
        <f>IFERROR(__xludf.DUMMYFUNCTION("""COMPUTED_VALUE"""),"Y")</f>
        <v>Y</v>
      </c>
      <c r="L507" s="3" t="str">
        <f>IFERROR(__xludf.DUMMYFUNCTION("""COMPUTED_VALUE""")," ")</f>
        <v> </v>
      </c>
      <c r="M507" s="3"/>
      <c r="N507" s="5" t="str">
        <f>IFERROR(__xludf.DUMMYFUNCTION("""COMPUTED_VALUE""")," ")</f>
        <v> </v>
      </c>
      <c r="O507" s="5"/>
    </row>
    <row r="508">
      <c r="A508" s="2" t="str">
        <f>IFERROR(__xludf.DUMMYFUNCTION("""COMPUTED_VALUE"""),"0880")</f>
        <v>0880</v>
      </c>
      <c r="B508" s="2" t="str">
        <f>IFERROR(__xludf.DUMMYFUNCTION("""COMPUTED_VALUE"""),"DENVER COUNTY 1")</f>
        <v>DENVER COUNTY 1</v>
      </c>
      <c r="C508" s="2" t="str">
        <f>IFERROR(__xludf.DUMMYFUNCTION("""COMPUTED_VALUE"""),"01928")</f>
        <v>01928</v>
      </c>
      <c r="D508" s="2" t="str">
        <f>IFERROR(__xludf.DUMMYFUNCTION("""COMPUTED_VALUE"""),"COWELL ELEMENTARY SCHOOL")</f>
        <v>COWELL ELEMENTARY SCHOOL</v>
      </c>
      <c r="E508" s="3" t="str">
        <f>IFERROR(__xludf.DUMMYFUNCTION("""COMPUTED_VALUE"""),"Y")</f>
        <v>Y</v>
      </c>
      <c r="F508" s="3" t="str">
        <f>IFERROR(__xludf.DUMMYFUNCTION("""COMPUTED_VALUE"""),"Y")</f>
        <v>Y</v>
      </c>
      <c r="G508" s="3" t="str">
        <f>IFERROR(__xludf.DUMMYFUNCTION("""COMPUTED_VALUE"""),"Y")</f>
        <v>Y</v>
      </c>
      <c r="H508" s="3"/>
      <c r="I508" s="3" t="str">
        <f>IFERROR(__xludf.DUMMYFUNCTION("""COMPUTED_VALUE"""),"Y")</f>
        <v>Y</v>
      </c>
      <c r="J508" s="3" t="str">
        <f>IFERROR(__xludf.DUMMYFUNCTION("""COMPUTED_VALUE"""),"Y")</f>
        <v>Y</v>
      </c>
      <c r="K508" s="3" t="str">
        <f>IFERROR(__xludf.DUMMYFUNCTION("""COMPUTED_VALUE"""),"Y")</f>
        <v>Y</v>
      </c>
      <c r="L508" s="3" t="str">
        <f>IFERROR(__xludf.DUMMYFUNCTION("""COMPUTED_VALUE"""),"Group 28")</f>
        <v>Group 28</v>
      </c>
      <c r="M508" s="3"/>
      <c r="N508" s="5" t="str">
        <f>IFERROR(__xludf.DUMMYFUNCTION("""COMPUTED_VALUE""")," ")</f>
        <v> </v>
      </c>
      <c r="O508" s="5"/>
    </row>
    <row r="509">
      <c r="A509" s="2" t="str">
        <f>IFERROR(__xludf.DUMMYFUNCTION("""COMPUTED_VALUE"""),"0880")</f>
        <v>0880</v>
      </c>
      <c r="B509" s="2" t="str">
        <f>IFERROR(__xludf.DUMMYFUNCTION("""COMPUTED_VALUE"""),"DENVER COUNTY 1")</f>
        <v>DENVER COUNTY 1</v>
      </c>
      <c r="C509" s="2" t="str">
        <f>IFERROR(__xludf.DUMMYFUNCTION("""COMPUTED_VALUE"""),"01939")</f>
        <v>01939</v>
      </c>
      <c r="D509" s="2" t="str">
        <f>IFERROR(__xludf.DUMMYFUNCTION("""COMPUTED_VALUE"""),"COMPASS ACADEMY")</f>
        <v>COMPASS ACADEMY</v>
      </c>
      <c r="E509" s="3" t="str">
        <f>IFERROR(__xludf.DUMMYFUNCTION("""COMPUTED_VALUE"""),"Y")</f>
        <v>Y</v>
      </c>
      <c r="F509" s="3" t="str">
        <f>IFERROR(__xludf.DUMMYFUNCTION("""COMPUTED_VALUE"""),"Y")</f>
        <v>Y</v>
      </c>
      <c r="G509" s="3"/>
      <c r="H509" s="3"/>
      <c r="I509" s="3" t="str">
        <f>IFERROR(__xludf.DUMMYFUNCTION("""COMPUTED_VALUE""")," ")</f>
        <v> </v>
      </c>
      <c r="J509" s="3" t="str">
        <f>IFERROR(__xludf.DUMMYFUNCTION("""COMPUTED_VALUE"""),"Y")</f>
        <v>Y</v>
      </c>
      <c r="K509" s="3" t="str">
        <f>IFERROR(__xludf.DUMMYFUNCTION("""COMPUTED_VALUE"""),"Y")</f>
        <v>Y</v>
      </c>
      <c r="L509" s="3" t="str">
        <f>IFERROR(__xludf.DUMMYFUNCTION("""COMPUTED_VALUE"""),"Group 4")</f>
        <v>Group 4</v>
      </c>
      <c r="M509" s="3"/>
      <c r="N509" s="5" t="str">
        <f>IFERROR(__xludf.DUMMYFUNCTION("""COMPUTED_VALUE""")," ")</f>
        <v> </v>
      </c>
      <c r="O509" s="5"/>
    </row>
    <row r="510">
      <c r="A510" s="2" t="str">
        <f>IFERROR(__xludf.DUMMYFUNCTION("""COMPUTED_VALUE"""),"0880")</f>
        <v>0880</v>
      </c>
      <c r="B510" s="2" t="str">
        <f>IFERROR(__xludf.DUMMYFUNCTION("""COMPUTED_VALUE"""),"DENVER COUNTY 1")</f>
        <v>DENVER COUNTY 1</v>
      </c>
      <c r="C510" s="2" t="str">
        <f>IFERROR(__xludf.DUMMYFUNCTION("""COMPUTED_VALUE"""),"01995")</f>
        <v>01995</v>
      </c>
      <c r="D510" s="2" t="str">
        <f>IFERROR(__xludf.DUMMYFUNCTION("""COMPUTED_VALUE"""),"French American School of Denver")</f>
        <v>French American School of Denver</v>
      </c>
      <c r="E510" s="3" t="str">
        <f>IFERROR(__xludf.DUMMYFUNCTION("""COMPUTED_VALUE"""),"Y")</f>
        <v>Y</v>
      </c>
      <c r="F510" s="3" t="str">
        <f>IFERROR(__xludf.DUMMYFUNCTION("""COMPUTED_VALUE"""),"Y")</f>
        <v>Y</v>
      </c>
      <c r="G510" s="3"/>
      <c r="H510" s="3"/>
      <c r="I510" s="3" t="str">
        <f>IFERROR(__xludf.DUMMYFUNCTION("""COMPUTED_VALUE""")," ")</f>
        <v> </v>
      </c>
      <c r="J510" s="3" t="str">
        <f>IFERROR(__xludf.DUMMYFUNCTION("""COMPUTED_VALUE""")," ")</f>
        <v> </v>
      </c>
      <c r="K510" s="3" t="str">
        <f>IFERROR(__xludf.DUMMYFUNCTION("""COMPUTED_VALUE"""),"Y")</f>
        <v>Y</v>
      </c>
      <c r="L510" s="3" t="str">
        <f>IFERROR(__xludf.DUMMYFUNCTION("""COMPUTED_VALUE""")," ")</f>
        <v> </v>
      </c>
      <c r="M510" s="3"/>
      <c r="N510" s="5" t="str">
        <f>IFERROR(__xludf.DUMMYFUNCTION("""COMPUTED_VALUE""")," ")</f>
        <v> </v>
      </c>
      <c r="O510" s="5"/>
    </row>
    <row r="511">
      <c r="A511" s="2" t="str">
        <f>IFERROR(__xludf.DUMMYFUNCTION("""COMPUTED_VALUE"""),"0880")</f>
        <v>0880</v>
      </c>
      <c r="B511" s="2" t="str">
        <f>IFERROR(__xludf.DUMMYFUNCTION("""COMPUTED_VALUE"""),"DENVER COUNTY 1")</f>
        <v>DENVER COUNTY 1</v>
      </c>
      <c r="C511" s="2" t="str">
        <f>IFERROR(__xludf.DUMMYFUNCTION("""COMPUTED_VALUE"""),"02025")</f>
        <v>02025</v>
      </c>
      <c r="D511" s="2" t="str">
        <f>IFERROR(__xludf.DUMMYFUNCTION("""COMPUTED_VALUE"""),"Robert F. Smith STEAM Academy")</f>
        <v>Robert F. Smith STEAM Academy</v>
      </c>
      <c r="E511" s="3" t="str">
        <f>IFERROR(__xludf.DUMMYFUNCTION("""COMPUTED_VALUE"""),"Y")</f>
        <v>Y</v>
      </c>
      <c r="F511" s="3" t="str">
        <f>IFERROR(__xludf.DUMMYFUNCTION("""COMPUTED_VALUE"""),"Y")</f>
        <v>Y</v>
      </c>
      <c r="G511" s="3"/>
      <c r="H511" s="3"/>
      <c r="I511" s="3" t="str">
        <f>IFERROR(__xludf.DUMMYFUNCTION("""COMPUTED_VALUE""")," ")</f>
        <v> </v>
      </c>
      <c r="J511" s="3" t="str">
        <f>IFERROR(__xludf.DUMMYFUNCTION("""COMPUTED_VALUE"""),"Y")</f>
        <v>Y</v>
      </c>
      <c r="K511" s="3" t="str">
        <f>IFERROR(__xludf.DUMMYFUNCTION("""COMPUTED_VALUE"""),"Y")</f>
        <v>Y</v>
      </c>
      <c r="L511" s="3" t="str">
        <f>IFERROR(__xludf.DUMMYFUNCTION("""COMPUTED_VALUE"""),"Group 17")</f>
        <v>Group 17</v>
      </c>
      <c r="M511" s="3"/>
      <c r="N511" s="5" t="str">
        <f>IFERROR(__xludf.DUMMYFUNCTION("""COMPUTED_VALUE""")," ")</f>
        <v> </v>
      </c>
      <c r="O511" s="5"/>
    </row>
    <row r="512">
      <c r="A512" s="2" t="str">
        <f>IFERROR(__xludf.DUMMYFUNCTION("""COMPUTED_VALUE"""),"0880")</f>
        <v>0880</v>
      </c>
      <c r="B512" s="2" t="str">
        <f>IFERROR(__xludf.DUMMYFUNCTION("""COMPUTED_VALUE"""),"DENVER COUNTY 1")</f>
        <v>DENVER COUNTY 1</v>
      </c>
      <c r="C512" s="2" t="str">
        <f>IFERROR(__xludf.DUMMYFUNCTION("""COMPUTED_VALUE"""),"02027")</f>
        <v>02027</v>
      </c>
      <c r="D512" s="2" t="str">
        <f>IFERROR(__xludf.DUMMYFUNCTION("""COMPUTED_VALUE"""),"POLARIS AT EBERT ELEMENTARY SCHOOL")</f>
        <v>POLARIS AT EBERT ELEMENTARY SCHOOL</v>
      </c>
      <c r="E512" s="3" t="str">
        <f>IFERROR(__xludf.DUMMYFUNCTION("""COMPUTED_VALUE"""),"Y")</f>
        <v>Y</v>
      </c>
      <c r="F512" s="3" t="str">
        <f>IFERROR(__xludf.DUMMYFUNCTION("""COMPUTED_VALUE"""),"Y")</f>
        <v>Y</v>
      </c>
      <c r="G512" s="3"/>
      <c r="H512" s="3"/>
      <c r="I512" s="3" t="str">
        <f>IFERROR(__xludf.DUMMYFUNCTION("""COMPUTED_VALUE""")," ")</f>
        <v> </v>
      </c>
      <c r="J512" s="3" t="str">
        <f>IFERROR(__xludf.DUMMYFUNCTION("""COMPUTED_VALUE""")," ")</f>
        <v> </v>
      </c>
      <c r="K512" s="3" t="str">
        <f>IFERROR(__xludf.DUMMYFUNCTION("""COMPUTED_VALUE"""),"Y")</f>
        <v>Y</v>
      </c>
      <c r="L512" s="3" t="str">
        <f>IFERROR(__xludf.DUMMYFUNCTION("""COMPUTED_VALUE""")," ")</f>
        <v> </v>
      </c>
      <c r="M512" s="3"/>
      <c r="N512" s="5" t="str">
        <f>IFERROR(__xludf.DUMMYFUNCTION("""COMPUTED_VALUE""")," ")</f>
        <v> </v>
      </c>
      <c r="O512" s="5"/>
    </row>
    <row r="513">
      <c r="A513" s="2" t="str">
        <f>IFERROR(__xludf.DUMMYFUNCTION("""COMPUTED_VALUE"""),"0880")</f>
        <v>0880</v>
      </c>
      <c r="B513" s="2" t="str">
        <f>IFERROR(__xludf.DUMMYFUNCTION("""COMPUTED_VALUE"""),"DENVER COUNTY 1")</f>
        <v>DENVER COUNTY 1</v>
      </c>
      <c r="C513" s="2" t="str">
        <f>IFERROR(__xludf.DUMMYFUNCTION("""COMPUTED_VALUE"""),"02032")</f>
        <v>02032</v>
      </c>
      <c r="D513" s="2" t="str">
        <f>IFERROR(__xludf.DUMMYFUNCTION("""COMPUTED_VALUE"""),"Early Excellence Program of Denver")</f>
        <v>Early Excellence Program of Denver</v>
      </c>
      <c r="E513" s="3" t="str">
        <f>IFERROR(__xludf.DUMMYFUNCTION("""COMPUTED_VALUE"""),"Y")</f>
        <v>Y</v>
      </c>
      <c r="F513" s="3" t="str">
        <f>IFERROR(__xludf.DUMMYFUNCTION("""COMPUTED_VALUE"""),"Y")</f>
        <v>Y</v>
      </c>
      <c r="G513" s="3"/>
      <c r="H513" s="3"/>
      <c r="I513" s="3" t="str">
        <f>IFERROR(__xludf.DUMMYFUNCTION("""COMPUTED_VALUE""")," ")</f>
        <v> </v>
      </c>
      <c r="J513" s="3" t="str">
        <f>IFERROR(__xludf.DUMMYFUNCTION("""COMPUTED_VALUE"""),"Y")</f>
        <v>Y</v>
      </c>
      <c r="K513" s="3" t="str">
        <f>IFERROR(__xludf.DUMMYFUNCTION("""COMPUTED_VALUE"""),"Y")</f>
        <v>Y</v>
      </c>
      <c r="L513" s="3" t="str">
        <f>IFERROR(__xludf.DUMMYFUNCTION("""COMPUTED_VALUE""")," ")</f>
        <v> </v>
      </c>
      <c r="M513" s="3"/>
      <c r="N513" s="5" t="str">
        <f>IFERROR(__xludf.DUMMYFUNCTION("""COMPUTED_VALUE"""),"Y")</f>
        <v>Y</v>
      </c>
      <c r="O513" s="5"/>
    </row>
    <row r="514">
      <c r="A514" s="2" t="str">
        <f>IFERROR(__xludf.DUMMYFUNCTION("""COMPUTED_VALUE"""),"0880")</f>
        <v>0880</v>
      </c>
      <c r="B514" s="2" t="str">
        <f>IFERROR(__xludf.DUMMYFUNCTION("""COMPUTED_VALUE"""),"DENVER COUNTY 1")</f>
        <v>DENVER COUNTY 1</v>
      </c>
      <c r="C514" s="2" t="str">
        <f>IFERROR(__xludf.DUMMYFUNCTION("""COMPUTED_VALUE"""),"02115")</f>
        <v>02115</v>
      </c>
      <c r="D514" s="2" t="str">
        <f>IFERROR(__xludf.DUMMYFUNCTION("""COMPUTED_VALUE"""),"DSST: MONTVIEW MIDDLE SCHOOL")</f>
        <v>DSST: MONTVIEW MIDDLE SCHOOL</v>
      </c>
      <c r="E514" s="3" t="str">
        <f>IFERROR(__xludf.DUMMYFUNCTION("""COMPUTED_VALUE"""),"Y")</f>
        <v>Y</v>
      </c>
      <c r="F514" s="3" t="str">
        <f>IFERROR(__xludf.DUMMYFUNCTION("""COMPUTED_VALUE"""),"Y")</f>
        <v>Y</v>
      </c>
      <c r="G514" s="3"/>
      <c r="H514" s="3"/>
      <c r="I514" s="3" t="str">
        <f>IFERROR(__xludf.DUMMYFUNCTION("""COMPUTED_VALUE""")," ")</f>
        <v> </v>
      </c>
      <c r="J514" s="3" t="str">
        <f>IFERROR(__xludf.DUMMYFUNCTION("""COMPUTED_VALUE"""),"Y")</f>
        <v>Y</v>
      </c>
      <c r="K514" s="3" t="str">
        <f>IFERROR(__xludf.DUMMYFUNCTION("""COMPUTED_VALUE"""),"Y")</f>
        <v>Y</v>
      </c>
      <c r="L514" s="3" t="str">
        <f>IFERROR(__xludf.DUMMYFUNCTION("""COMPUTED_VALUE"""),"Group 3")</f>
        <v>Group 3</v>
      </c>
      <c r="M514" s="3"/>
      <c r="N514" s="5"/>
      <c r="O514" s="5"/>
    </row>
    <row r="515">
      <c r="A515" s="2" t="str">
        <f>IFERROR(__xludf.DUMMYFUNCTION("""COMPUTED_VALUE"""),"0880")</f>
        <v>0880</v>
      </c>
      <c r="B515" s="2" t="str">
        <f>IFERROR(__xludf.DUMMYFUNCTION("""COMPUTED_VALUE"""),"DENVER COUNTY 1")</f>
        <v>DENVER COUNTY 1</v>
      </c>
      <c r="C515" s="2" t="str">
        <f>IFERROR(__xludf.DUMMYFUNCTION("""COMPUTED_VALUE"""),"02125")</f>
        <v>02125</v>
      </c>
      <c r="D515" s="2" t="str">
        <f>IFERROR(__xludf.DUMMYFUNCTION("""COMPUTED_VALUE"""),"DENVER GREEN SCHOOL SOUTHEAST")</f>
        <v>DENVER GREEN SCHOOL SOUTHEAST</v>
      </c>
      <c r="E515" s="3" t="str">
        <f>IFERROR(__xludf.DUMMYFUNCTION("""COMPUTED_VALUE"""),"Y")</f>
        <v>Y</v>
      </c>
      <c r="F515" s="3" t="str">
        <f>IFERROR(__xludf.DUMMYFUNCTION("""COMPUTED_VALUE"""),"Y")</f>
        <v>Y</v>
      </c>
      <c r="G515" s="3"/>
      <c r="H515" s="3"/>
      <c r="I515" s="3" t="str">
        <f>IFERROR(__xludf.DUMMYFUNCTION("""COMPUTED_VALUE"""),"Y")</f>
        <v>Y</v>
      </c>
      <c r="J515" s="3" t="str">
        <f>IFERROR(__xludf.DUMMYFUNCTION("""COMPUTED_VALUE"""),"Y")</f>
        <v>Y</v>
      </c>
      <c r="K515" s="3" t="str">
        <f>IFERROR(__xludf.DUMMYFUNCTION("""COMPUTED_VALUE"""),"Y")</f>
        <v>Y</v>
      </c>
      <c r="L515" s="3" t="str">
        <f>IFERROR(__xludf.DUMMYFUNCTION("""COMPUTED_VALUE"""),"Group 21")</f>
        <v>Group 21</v>
      </c>
      <c r="M515" s="3"/>
      <c r="N515" s="5" t="str">
        <f>IFERROR(__xludf.DUMMYFUNCTION("""COMPUTED_VALUE""")," ")</f>
        <v> </v>
      </c>
      <c r="O515" s="5"/>
    </row>
    <row r="516">
      <c r="A516" s="2" t="str">
        <f>IFERROR(__xludf.DUMMYFUNCTION("""COMPUTED_VALUE"""),"0880")</f>
        <v>0880</v>
      </c>
      <c r="B516" s="2" t="str">
        <f>IFERROR(__xludf.DUMMYFUNCTION("""COMPUTED_VALUE"""),"DENVER COUNTY 1")</f>
        <v>DENVER COUNTY 1</v>
      </c>
      <c r="C516" s="2" t="str">
        <f>IFERROR(__xludf.DUMMYFUNCTION("""COMPUTED_VALUE"""),"02127")</f>
        <v>02127</v>
      </c>
      <c r="D516" s="2" t="str">
        <f>IFERROR(__xludf.DUMMYFUNCTION("""COMPUTED_VALUE"""),"DENVER LANGUAGE")</f>
        <v>DENVER LANGUAGE</v>
      </c>
      <c r="E516" s="3" t="str">
        <f>IFERROR(__xludf.DUMMYFUNCTION("""COMPUTED_VALUE"""),"Y")</f>
        <v>Y</v>
      </c>
      <c r="F516" s="3" t="str">
        <f>IFERROR(__xludf.DUMMYFUNCTION("""COMPUTED_VALUE"""),"Y")</f>
        <v>Y</v>
      </c>
      <c r="G516" s="3"/>
      <c r="H516" s="3"/>
      <c r="I516" s="3" t="str">
        <f>IFERROR(__xludf.DUMMYFUNCTION("""COMPUTED_VALUE""")," ")</f>
        <v> </v>
      </c>
      <c r="J516" s="3" t="str">
        <f>IFERROR(__xludf.DUMMYFUNCTION("""COMPUTED_VALUE""")," ")</f>
        <v> </v>
      </c>
      <c r="K516" s="3" t="str">
        <f>IFERROR(__xludf.DUMMYFUNCTION("""COMPUTED_VALUE"""),"Y")</f>
        <v>Y</v>
      </c>
      <c r="L516" s="3" t="str">
        <f>IFERROR(__xludf.DUMMYFUNCTION("""COMPUTED_VALUE""")," ")</f>
        <v> </v>
      </c>
      <c r="M516" s="3"/>
      <c r="N516" s="5" t="str">
        <f>IFERROR(__xludf.DUMMYFUNCTION("""COMPUTED_VALUE""")," ")</f>
        <v> </v>
      </c>
      <c r="O516" s="5"/>
    </row>
    <row r="517">
      <c r="A517" s="2" t="str">
        <f>IFERROR(__xludf.DUMMYFUNCTION("""COMPUTED_VALUE"""),"0880")</f>
        <v>0880</v>
      </c>
      <c r="B517" s="2" t="str">
        <f>IFERROR(__xludf.DUMMYFUNCTION("""COMPUTED_VALUE"""),"DENVER COUNTY 1")</f>
        <v>DENVER COUNTY 1</v>
      </c>
      <c r="C517" s="2" t="str">
        <f>IFERROR(__xludf.DUMMYFUNCTION("""COMPUTED_VALUE"""),"02129")</f>
        <v>02129</v>
      </c>
      <c r="D517" s="2" t="str">
        <f>IFERROR(__xludf.DUMMYFUNCTION("""COMPUTED_VALUE"""),"DENVER CENTER FOR INTERNATIONAL STUDIES AT FAIRMONT")</f>
        <v>DENVER CENTER FOR INTERNATIONAL STUDIES AT FAIRMONT</v>
      </c>
      <c r="E517" s="3" t="str">
        <f>IFERROR(__xludf.DUMMYFUNCTION("""COMPUTED_VALUE"""),"Y")</f>
        <v>Y</v>
      </c>
      <c r="F517" s="3" t="str">
        <f>IFERROR(__xludf.DUMMYFUNCTION("""COMPUTED_VALUE"""),"Y")</f>
        <v>Y</v>
      </c>
      <c r="G517" s="3"/>
      <c r="H517" s="3"/>
      <c r="I517" s="3" t="str">
        <f>IFERROR(__xludf.DUMMYFUNCTION("""COMPUTED_VALUE"""),"Y")</f>
        <v>Y</v>
      </c>
      <c r="J517" s="3" t="str">
        <f>IFERROR(__xludf.DUMMYFUNCTION("""COMPUTED_VALUE""")," ")</f>
        <v> </v>
      </c>
      <c r="K517" s="3" t="str">
        <f>IFERROR(__xludf.DUMMYFUNCTION("""COMPUTED_VALUE"""),"Y")</f>
        <v>Y</v>
      </c>
      <c r="L517" s="3" t="str">
        <f>IFERROR(__xludf.DUMMYFUNCTION("""COMPUTED_VALUE"""),"Group 8")</f>
        <v>Group 8</v>
      </c>
      <c r="M517" s="3"/>
      <c r="N517" s="5" t="str">
        <f>IFERROR(__xludf.DUMMYFUNCTION("""COMPUTED_VALUE""")," ")</f>
        <v> </v>
      </c>
      <c r="O517" s="5"/>
    </row>
    <row r="518">
      <c r="A518" s="2" t="str">
        <f>IFERROR(__xludf.DUMMYFUNCTION("""COMPUTED_VALUE"""),"0880")</f>
        <v>0880</v>
      </c>
      <c r="B518" s="2" t="str">
        <f>IFERROR(__xludf.DUMMYFUNCTION("""COMPUTED_VALUE"""),"DENVER COUNTY 1")</f>
        <v>DENVER COUNTY 1</v>
      </c>
      <c r="C518" s="2" t="str">
        <f>IFERROR(__xludf.DUMMYFUNCTION("""COMPUTED_VALUE"""),"02145")</f>
        <v>02145</v>
      </c>
      <c r="D518" s="2" t="str">
        <f>IFERROR(__xludf.DUMMYFUNCTION("""COMPUTED_VALUE"""),"DSST: GREEN VALLEY RANCH HIGH SCHOOL")</f>
        <v>DSST: GREEN VALLEY RANCH HIGH SCHOOL</v>
      </c>
      <c r="E518" s="3" t="str">
        <f>IFERROR(__xludf.DUMMYFUNCTION("""COMPUTED_VALUE"""),"Y")</f>
        <v>Y</v>
      </c>
      <c r="F518" s="3" t="str">
        <f>IFERROR(__xludf.DUMMYFUNCTION("""COMPUTED_VALUE"""),"Y")</f>
        <v>Y</v>
      </c>
      <c r="G518" s="3"/>
      <c r="H518" s="3"/>
      <c r="I518" s="3" t="str">
        <f>IFERROR(__xludf.DUMMYFUNCTION("""COMPUTED_VALUE""")," ")</f>
        <v> </v>
      </c>
      <c r="J518" s="3" t="str">
        <f>IFERROR(__xludf.DUMMYFUNCTION("""COMPUTED_VALUE"""),"Y")</f>
        <v>Y</v>
      </c>
      <c r="K518" s="3" t="str">
        <f>IFERROR(__xludf.DUMMYFUNCTION("""COMPUTED_VALUE"""),"Y")</f>
        <v>Y</v>
      </c>
      <c r="L518" s="3" t="str">
        <f>IFERROR(__xludf.DUMMYFUNCTION("""COMPUTED_VALUE"""),"Group 14")</f>
        <v>Group 14</v>
      </c>
      <c r="M518" s="3"/>
      <c r="N518" s="5" t="str">
        <f>IFERROR(__xludf.DUMMYFUNCTION("""COMPUTED_VALUE""")," ")</f>
        <v> </v>
      </c>
      <c r="O518" s="5"/>
    </row>
    <row r="519">
      <c r="A519" s="2" t="str">
        <f>IFERROR(__xludf.DUMMYFUNCTION("""COMPUTED_VALUE"""),"0880")</f>
        <v>0880</v>
      </c>
      <c r="B519" s="2" t="str">
        <f>IFERROR(__xludf.DUMMYFUNCTION("""COMPUTED_VALUE"""),"DENVER COUNTY 1")</f>
        <v>DENVER COUNTY 1</v>
      </c>
      <c r="C519" s="2" t="str">
        <f>IFERROR(__xludf.DUMMYFUNCTION("""COMPUTED_VALUE"""),"02167")</f>
        <v>02167</v>
      </c>
      <c r="D519" s="2" t="str">
        <f>IFERROR(__xludf.DUMMYFUNCTION("""COMPUTED_VALUE"""),"Denver Public Montessori Junior/Senior High School")</f>
        <v>Denver Public Montessori Junior/Senior High School</v>
      </c>
      <c r="E519" s="3" t="str">
        <f>IFERROR(__xludf.DUMMYFUNCTION("""COMPUTED_VALUE"""),"Y")</f>
        <v>Y</v>
      </c>
      <c r="F519" s="3" t="str">
        <f>IFERROR(__xludf.DUMMYFUNCTION("""COMPUTED_VALUE"""),"Y")</f>
        <v>Y</v>
      </c>
      <c r="G519" s="3"/>
      <c r="H519" s="3"/>
      <c r="I519" s="3" t="str">
        <f>IFERROR(__xludf.DUMMYFUNCTION("""COMPUTED_VALUE""")," ")</f>
        <v> </v>
      </c>
      <c r="J519" s="3" t="str">
        <f>IFERROR(__xludf.DUMMYFUNCTION("""COMPUTED_VALUE""")," ")</f>
        <v> </v>
      </c>
      <c r="K519" s="3" t="str">
        <f>IFERROR(__xludf.DUMMYFUNCTION("""COMPUTED_VALUE"""),"Y")</f>
        <v>Y</v>
      </c>
      <c r="L519" s="3" t="str">
        <f>IFERROR(__xludf.DUMMYFUNCTION("""COMPUTED_VALUE"""),"Group 24")</f>
        <v>Group 24</v>
      </c>
      <c r="M519" s="3"/>
      <c r="N519" s="5" t="str">
        <f>IFERROR(__xludf.DUMMYFUNCTION("""COMPUTED_VALUE""")," ")</f>
        <v> </v>
      </c>
      <c r="O519" s="5"/>
    </row>
    <row r="520">
      <c r="A520" s="2" t="str">
        <f>IFERROR(__xludf.DUMMYFUNCTION("""COMPUTED_VALUE"""),"0880")</f>
        <v>0880</v>
      </c>
      <c r="B520" s="2" t="str">
        <f>IFERROR(__xludf.DUMMYFUNCTION("""COMPUTED_VALUE"""),"DENVER COUNTY 1")</f>
        <v>DENVER COUNTY 1</v>
      </c>
      <c r="C520" s="2" t="str">
        <f>IFERROR(__xludf.DUMMYFUNCTION("""COMPUTED_VALUE"""),"02174")</f>
        <v>02174</v>
      </c>
      <c r="D520" s="2" t="str">
        <f>IFERROR(__xludf.DUMMYFUNCTION("""COMPUTED_VALUE"""),"DENISON MONTESSORI SCHOOL")</f>
        <v>DENISON MONTESSORI SCHOOL</v>
      </c>
      <c r="E520" s="3" t="str">
        <f>IFERROR(__xludf.DUMMYFUNCTION("""COMPUTED_VALUE"""),"Y")</f>
        <v>Y</v>
      </c>
      <c r="F520" s="3" t="str">
        <f>IFERROR(__xludf.DUMMYFUNCTION("""COMPUTED_VALUE"""),"Y")</f>
        <v>Y</v>
      </c>
      <c r="G520" s="3"/>
      <c r="H520" s="3"/>
      <c r="I520" s="3" t="str">
        <f>IFERROR(__xludf.DUMMYFUNCTION("""COMPUTED_VALUE""")," ")</f>
        <v> </v>
      </c>
      <c r="J520" s="3" t="str">
        <f>IFERROR(__xludf.DUMMYFUNCTION("""COMPUTED_VALUE""")," ")</f>
        <v> </v>
      </c>
      <c r="K520" s="3" t="str">
        <f>IFERROR(__xludf.DUMMYFUNCTION("""COMPUTED_VALUE"""),"Y")</f>
        <v>Y</v>
      </c>
      <c r="L520" s="3" t="str">
        <f>IFERROR(__xludf.DUMMYFUNCTION("""COMPUTED_VALUE"""),"Group 16")</f>
        <v>Group 16</v>
      </c>
      <c r="M520" s="3"/>
      <c r="N520" s="5" t="str">
        <f>IFERROR(__xludf.DUMMYFUNCTION("""COMPUTED_VALUE""")," ")</f>
        <v> </v>
      </c>
      <c r="O520" s="5"/>
    </row>
    <row r="521">
      <c r="A521" s="2" t="str">
        <f>IFERROR(__xludf.DUMMYFUNCTION("""COMPUTED_VALUE"""),"0880")</f>
        <v>0880</v>
      </c>
      <c r="B521" s="2" t="str">
        <f>IFERROR(__xludf.DUMMYFUNCTION("""COMPUTED_VALUE"""),"DENVER COUNTY 1")</f>
        <v>DENVER COUNTY 1</v>
      </c>
      <c r="C521" s="2" t="str">
        <f>IFERROR(__xludf.DUMMYFUNCTION("""COMPUTED_VALUE"""),"02175")</f>
        <v>02175</v>
      </c>
      <c r="D521" s="2" t="str">
        <f>IFERROR(__xludf.DUMMYFUNCTION("""COMPUTED_VALUE"""),"DSST: COLE HIGH SCHOOL")</f>
        <v>DSST: COLE HIGH SCHOOL</v>
      </c>
      <c r="E521" s="3" t="str">
        <f>IFERROR(__xludf.DUMMYFUNCTION("""COMPUTED_VALUE"""),"Y")</f>
        <v>Y</v>
      </c>
      <c r="F521" s="3" t="str">
        <f>IFERROR(__xludf.DUMMYFUNCTION("""COMPUTED_VALUE"""),"Y")</f>
        <v>Y</v>
      </c>
      <c r="G521" s="3"/>
      <c r="H521" s="3"/>
      <c r="I521" s="3" t="str">
        <f>IFERROR(__xludf.DUMMYFUNCTION("""COMPUTED_VALUE""")," ")</f>
        <v> </v>
      </c>
      <c r="J521" s="3" t="str">
        <f>IFERROR(__xludf.DUMMYFUNCTION("""COMPUTED_VALUE"""),"Y")</f>
        <v>Y</v>
      </c>
      <c r="K521" s="3" t="str">
        <f>IFERROR(__xludf.DUMMYFUNCTION("""COMPUTED_VALUE"""),"Y")</f>
        <v>Y</v>
      </c>
      <c r="L521" s="3" t="str">
        <f>IFERROR(__xludf.DUMMYFUNCTION("""COMPUTED_VALUE"""),"Group 12")</f>
        <v>Group 12</v>
      </c>
      <c r="M521" s="3"/>
      <c r="N521" s="5" t="str">
        <f>IFERROR(__xludf.DUMMYFUNCTION("""COMPUTED_VALUE""")," ")</f>
        <v> </v>
      </c>
      <c r="O521" s="5"/>
    </row>
    <row r="522">
      <c r="A522" s="2" t="str">
        <f>IFERROR(__xludf.DUMMYFUNCTION("""COMPUTED_VALUE"""),"0880")</f>
        <v>0880</v>
      </c>
      <c r="B522" s="2" t="str">
        <f>IFERROR(__xludf.DUMMYFUNCTION("""COMPUTED_VALUE"""),"DENVER COUNTY 1")</f>
        <v>DENVER COUNTY 1</v>
      </c>
      <c r="C522" s="2" t="str">
        <f>IFERROR(__xludf.DUMMYFUNCTION("""COMPUTED_VALUE"""),"02176")</f>
        <v>02176</v>
      </c>
      <c r="D522" s="2" t="str">
        <f>IFERROR(__xludf.DUMMYFUNCTION("""COMPUTED_VALUE"""),"DENVER GREEN SCHOOL NORTHFIELD")</f>
        <v>DENVER GREEN SCHOOL NORTHFIELD</v>
      </c>
      <c r="E522" s="3" t="str">
        <f>IFERROR(__xludf.DUMMYFUNCTION("""COMPUTED_VALUE"""),"Y")</f>
        <v>Y</v>
      </c>
      <c r="F522" s="3" t="str">
        <f>IFERROR(__xludf.DUMMYFUNCTION("""COMPUTED_VALUE"""),"Y")</f>
        <v>Y</v>
      </c>
      <c r="G522" s="3"/>
      <c r="H522" s="3"/>
      <c r="I522" s="3" t="str">
        <f>IFERROR(__xludf.DUMMYFUNCTION("""COMPUTED_VALUE""")," ")</f>
        <v> </v>
      </c>
      <c r="J522" s="3" t="str">
        <f>IFERROR(__xludf.DUMMYFUNCTION("""COMPUTED_VALUE""")," ")</f>
        <v> </v>
      </c>
      <c r="K522" s="3" t="str">
        <f>IFERROR(__xludf.DUMMYFUNCTION("""COMPUTED_VALUE"""),"Y")</f>
        <v>Y</v>
      </c>
      <c r="L522" s="3" t="str">
        <f>IFERROR(__xludf.DUMMYFUNCTION("""COMPUTED_VALUE""")," ")</f>
        <v> </v>
      </c>
      <c r="M522" s="3"/>
      <c r="N522" s="5" t="str">
        <f>IFERROR(__xludf.DUMMYFUNCTION("""COMPUTED_VALUE""")," ")</f>
        <v> </v>
      </c>
      <c r="O522" s="5"/>
    </row>
    <row r="523">
      <c r="A523" s="2" t="str">
        <f>IFERROR(__xludf.DUMMYFUNCTION("""COMPUTED_VALUE"""),"0880")</f>
        <v>0880</v>
      </c>
      <c r="B523" s="2" t="str">
        <f>IFERROR(__xludf.DUMMYFUNCTION("""COMPUTED_VALUE"""),"DENVER COUNTY 1")</f>
        <v>DENVER COUNTY 1</v>
      </c>
      <c r="C523" s="2" t="str">
        <f>IFERROR(__xludf.DUMMYFUNCTION("""COMPUTED_VALUE"""),"02181")</f>
        <v>02181</v>
      </c>
      <c r="D523" s="2" t="str">
        <f>IFERROR(__xludf.DUMMYFUNCTION("""COMPUTED_VALUE"""),"DSST:  Green Valley Ranch Middle School")</f>
        <v>DSST:  Green Valley Ranch Middle School</v>
      </c>
      <c r="E523" s="3" t="str">
        <f>IFERROR(__xludf.DUMMYFUNCTION("""COMPUTED_VALUE"""),"Y")</f>
        <v>Y</v>
      </c>
      <c r="F523" s="3" t="str">
        <f>IFERROR(__xludf.DUMMYFUNCTION("""COMPUTED_VALUE"""),"Y")</f>
        <v>Y</v>
      </c>
      <c r="G523" s="3"/>
      <c r="H523" s="3"/>
      <c r="I523" s="3" t="str">
        <f>IFERROR(__xludf.DUMMYFUNCTION("""COMPUTED_VALUE""")," ")</f>
        <v> </v>
      </c>
      <c r="J523" s="3" t="str">
        <f>IFERROR(__xludf.DUMMYFUNCTION("""COMPUTED_VALUE"""),"Y")</f>
        <v>Y</v>
      </c>
      <c r="K523" s="3" t="str">
        <f>IFERROR(__xludf.DUMMYFUNCTION("""COMPUTED_VALUE"""),"Y")</f>
        <v>Y</v>
      </c>
      <c r="L523" s="3" t="str">
        <f>IFERROR(__xludf.DUMMYFUNCTION("""COMPUTED_VALUE"""),"Group 19")</f>
        <v>Group 19</v>
      </c>
      <c r="M523" s="3"/>
      <c r="N523" s="5" t="str">
        <f>IFERROR(__xludf.DUMMYFUNCTION("""COMPUTED_VALUE""")," ")</f>
        <v> </v>
      </c>
      <c r="O523" s="5"/>
    </row>
    <row r="524">
      <c r="A524" s="2" t="str">
        <f>IFERROR(__xludf.DUMMYFUNCTION("""COMPUTED_VALUE"""),"0880")</f>
        <v>0880</v>
      </c>
      <c r="B524" s="2" t="str">
        <f>IFERROR(__xludf.DUMMYFUNCTION("""COMPUTED_VALUE"""),"DENVER COUNTY 1")</f>
        <v>DENVER COUNTY 1</v>
      </c>
      <c r="C524" s="2" t="str">
        <f>IFERROR(__xludf.DUMMYFUNCTION("""COMPUTED_VALUE"""),"02183")</f>
        <v>02183</v>
      </c>
      <c r="D524" s="2" t="str">
        <f>IFERROR(__xludf.DUMMYFUNCTION("""COMPUTED_VALUE"""),"DENVER CENTER FOR INTERNATIONAL STUDIES")</f>
        <v>DENVER CENTER FOR INTERNATIONAL STUDIES</v>
      </c>
      <c r="E524" s="3" t="str">
        <f>IFERROR(__xludf.DUMMYFUNCTION("""COMPUTED_VALUE"""),"Y")</f>
        <v>Y</v>
      </c>
      <c r="F524" s="3" t="str">
        <f>IFERROR(__xludf.DUMMYFUNCTION("""COMPUTED_VALUE"""),"Y")</f>
        <v>Y</v>
      </c>
      <c r="G524" s="3"/>
      <c r="H524" s="3"/>
      <c r="I524" s="3" t="str">
        <f>IFERROR(__xludf.DUMMYFUNCTION("""COMPUTED_VALUE""")," ")</f>
        <v> </v>
      </c>
      <c r="J524" s="3" t="str">
        <f>IFERROR(__xludf.DUMMYFUNCTION("""COMPUTED_VALUE"""),"Y")</f>
        <v>Y</v>
      </c>
      <c r="K524" s="3" t="str">
        <f>IFERROR(__xludf.DUMMYFUNCTION("""COMPUTED_VALUE"""),"Y")</f>
        <v>Y</v>
      </c>
      <c r="L524" s="3" t="str">
        <f>IFERROR(__xludf.DUMMYFUNCTION("""COMPUTED_VALUE"""),"Group 11")</f>
        <v>Group 11</v>
      </c>
      <c r="M524" s="3"/>
      <c r="N524" s="5" t="str">
        <f>IFERROR(__xludf.DUMMYFUNCTION("""COMPUTED_VALUE""")," ")</f>
        <v> </v>
      </c>
      <c r="O524" s="5"/>
    </row>
    <row r="525">
      <c r="A525" s="2" t="str">
        <f>IFERROR(__xludf.DUMMYFUNCTION("""COMPUTED_VALUE"""),"0880")</f>
        <v>0880</v>
      </c>
      <c r="B525" s="2" t="str">
        <f>IFERROR(__xludf.DUMMYFUNCTION("""COMPUTED_VALUE"""),"DENVER COUNTY 1")</f>
        <v>DENVER COUNTY 1</v>
      </c>
      <c r="C525" s="2" t="str">
        <f>IFERROR(__xludf.DUMMYFUNCTION("""COMPUTED_VALUE"""),"02184")</f>
        <v>02184</v>
      </c>
      <c r="D525" s="2" t="str">
        <f>IFERROR(__xludf.DUMMYFUNCTION("""COMPUTED_VALUE"""),"DENVER SCHOOL OF THE ARTS")</f>
        <v>DENVER SCHOOL OF THE ARTS</v>
      </c>
      <c r="E525" s="3" t="str">
        <f>IFERROR(__xludf.DUMMYFUNCTION("""COMPUTED_VALUE"""),"Y")</f>
        <v>Y</v>
      </c>
      <c r="F525" s="3" t="str">
        <f>IFERROR(__xludf.DUMMYFUNCTION("""COMPUTED_VALUE"""),"Y")</f>
        <v>Y</v>
      </c>
      <c r="G525" s="3"/>
      <c r="H525" s="3"/>
      <c r="I525" s="3" t="str">
        <f>IFERROR(__xludf.DUMMYFUNCTION("""COMPUTED_VALUE""")," ")</f>
        <v> </v>
      </c>
      <c r="J525" s="3" t="str">
        <f>IFERROR(__xludf.DUMMYFUNCTION("""COMPUTED_VALUE""")," ")</f>
        <v> </v>
      </c>
      <c r="K525" s="3" t="str">
        <f>IFERROR(__xludf.DUMMYFUNCTION("""COMPUTED_VALUE"""),"Y")</f>
        <v>Y</v>
      </c>
      <c r="L525" s="3" t="str">
        <f>IFERROR(__xludf.DUMMYFUNCTION("""COMPUTED_VALUE""")," ")</f>
        <v> </v>
      </c>
      <c r="M525" s="3"/>
      <c r="N525" s="5" t="str">
        <f>IFERROR(__xludf.DUMMYFUNCTION("""COMPUTED_VALUE"""),"Y")</f>
        <v>Y</v>
      </c>
      <c r="O525" s="5"/>
    </row>
    <row r="526">
      <c r="A526" s="2" t="str">
        <f>IFERROR(__xludf.DUMMYFUNCTION("""COMPUTED_VALUE"""),"0880")</f>
        <v>0880</v>
      </c>
      <c r="B526" s="2" t="str">
        <f>IFERROR(__xludf.DUMMYFUNCTION("""COMPUTED_VALUE"""),"DENVER COUNTY 1")</f>
        <v>DENVER COUNTY 1</v>
      </c>
      <c r="C526" s="2" t="str">
        <f>IFERROR(__xludf.DUMMYFUNCTION("""COMPUTED_VALUE"""),"02185")</f>
        <v>02185</v>
      </c>
      <c r="D526" s="2" t="str">
        <f>IFERROR(__xludf.DUMMYFUNCTION("""COMPUTED_VALUE"""),"DSST: Montview HIGH SCHOOL")</f>
        <v>DSST: Montview HIGH SCHOOL</v>
      </c>
      <c r="E526" s="3" t="str">
        <f>IFERROR(__xludf.DUMMYFUNCTION("""COMPUTED_VALUE"""),"Y")</f>
        <v>Y</v>
      </c>
      <c r="F526" s="3" t="str">
        <f>IFERROR(__xludf.DUMMYFUNCTION("""COMPUTED_VALUE"""),"Y")</f>
        <v>Y</v>
      </c>
      <c r="G526" s="3"/>
      <c r="H526" s="3"/>
      <c r="I526" s="3" t="str">
        <f>IFERROR(__xludf.DUMMYFUNCTION("""COMPUTED_VALUE""")," ")</f>
        <v> </v>
      </c>
      <c r="J526" s="3" t="str">
        <f>IFERROR(__xludf.DUMMYFUNCTION("""COMPUTED_VALUE"""),"Y")</f>
        <v>Y</v>
      </c>
      <c r="K526" s="3" t="str">
        <f>IFERROR(__xludf.DUMMYFUNCTION("""COMPUTED_VALUE"""),"Y")</f>
        <v>Y</v>
      </c>
      <c r="L526" s="3" t="str">
        <f>IFERROR(__xludf.DUMMYFUNCTION("""COMPUTED_VALUE"""),"Group 15")</f>
        <v>Group 15</v>
      </c>
      <c r="M526" s="3"/>
      <c r="N526" s="5" t="str">
        <f>IFERROR(__xludf.DUMMYFUNCTION("""COMPUTED_VALUE""")," ")</f>
        <v> </v>
      </c>
      <c r="O526" s="5"/>
    </row>
    <row r="527">
      <c r="A527" s="2" t="str">
        <f>IFERROR(__xludf.DUMMYFUNCTION("""COMPUTED_VALUE"""),"0880")</f>
        <v>0880</v>
      </c>
      <c r="B527" s="2" t="str">
        <f>IFERROR(__xludf.DUMMYFUNCTION("""COMPUTED_VALUE"""),"DENVER COUNTY 1")</f>
        <v>DENVER COUNTY 1</v>
      </c>
      <c r="C527" s="2" t="str">
        <f>IFERROR(__xludf.DUMMYFUNCTION("""COMPUTED_VALUE"""),"02186")</f>
        <v>02186</v>
      </c>
      <c r="D527" s="2" t="str">
        <f>IFERROR(__xludf.DUMMYFUNCTION("""COMPUTED_VALUE"""),"DSST: Cedar Middle School")</f>
        <v>DSST: Cedar Middle School</v>
      </c>
      <c r="E527" s="3" t="str">
        <f>IFERROR(__xludf.DUMMYFUNCTION("""COMPUTED_VALUE"""),"Y")</f>
        <v>Y</v>
      </c>
      <c r="F527" s="3" t="str">
        <f>IFERROR(__xludf.DUMMYFUNCTION("""COMPUTED_VALUE"""),"Y")</f>
        <v>Y</v>
      </c>
      <c r="G527" s="3"/>
      <c r="H527" s="3"/>
      <c r="I527" s="3" t="str">
        <f>IFERROR(__xludf.DUMMYFUNCTION("""COMPUTED_VALUE""")," ")</f>
        <v> </v>
      </c>
      <c r="J527" s="3" t="str">
        <f>IFERROR(__xludf.DUMMYFUNCTION("""COMPUTED_VALUE""")," ")</f>
        <v> </v>
      </c>
      <c r="K527" s="3" t="str">
        <f>IFERROR(__xludf.DUMMYFUNCTION("""COMPUTED_VALUE"""),"Y")</f>
        <v>Y</v>
      </c>
      <c r="L527" s="3" t="str">
        <f>IFERROR(__xludf.DUMMYFUNCTION("""COMPUTED_VALUE"""),"Group 28")</f>
        <v>Group 28</v>
      </c>
      <c r="M527" s="3"/>
      <c r="N527" s="5" t="str">
        <f>IFERROR(__xludf.DUMMYFUNCTION("""COMPUTED_VALUE""")," ")</f>
        <v> </v>
      </c>
      <c r="O527" s="5"/>
    </row>
    <row r="528">
      <c r="A528" s="2" t="str">
        <f>IFERROR(__xludf.DUMMYFUNCTION("""COMPUTED_VALUE"""),"0880")</f>
        <v>0880</v>
      </c>
      <c r="B528" s="2" t="str">
        <f>IFERROR(__xludf.DUMMYFUNCTION("""COMPUTED_VALUE"""),"DENVER COUNTY 1")</f>
        <v>DENVER COUNTY 1</v>
      </c>
      <c r="C528" s="2" t="str">
        <f>IFERROR(__xludf.DUMMYFUNCTION("""COMPUTED_VALUE"""),"02188")</f>
        <v>02188</v>
      </c>
      <c r="D528" s="2" t="str">
        <f>IFERROR(__xludf.DUMMYFUNCTION("""COMPUTED_VALUE"""),"Denver Center for 21st Century Learning At Wyman")</f>
        <v>Denver Center for 21st Century Learning At Wyman</v>
      </c>
      <c r="E528" s="3" t="str">
        <f>IFERROR(__xludf.DUMMYFUNCTION("""COMPUTED_VALUE"""),"Y")</f>
        <v>Y</v>
      </c>
      <c r="F528" s="3" t="str">
        <f>IFERROR(__xludf.DUMMYFUNCTION("""COMPUTED_VALUE"""),"Y")</f>
        <v>Y</v>
      </c>
      <c r="G528" s="3"/>
      <c r="H528" s="3"/>
      <c r="I528" s="3" t="str">
        <f>IFERROR(__xludf.DUMMYFUNCTION("""COMPUTED_VALUE""")," ")</f>
        <v> </v>
      </c>
      <c r="J528" s="3" t="str">
        <f>IFERROR(__xludf.DUMMYFUNCTION("""COMPUTED_VALUE"""),"Y")</f>
        <v>Y</v>
      </c>
      <c r="K528" s="3" t="str">
        <f>IFERROR(__xludf.DUMMYFUNCTION("""COMPUTED_VALUE"""),"Y")</f>
        <v>Y</v>
      </c>
      <c r="L528" s="3" t="str">
        <f>IFERROR(__xludf.DUMMYFUNCTION("""COMPUTED_VALUE"""),"Group 28")</f>
        <v>Group 28</v>
      </c>
      <c r="M528" s="3"/>
      <c r="N528" s="5" t="str">
        <f>IFERROR(__xludf.DUMMYFUNCTION("""COMPUTED_VALUE""")," ")</f>
        <v> </v>
      </c>
      <c r="O528" s="5"/>
    </row>
    <row r="529">
      <c r="A529" s="2" t="str">
        <f>IFERROR(__xludf.DUMMYFUNCTION("""COMPUTED_VALUE"""),"0880")</f>
        <v>0880</v>
      </c>
      <c r="B529" s="2" t="str">
        <f>IFERROR(__xludf.DUMMYFUNCTION("""COMPUTED_VALUE"""),"DENVER COUNTY 1")</f>
        <v>DENVER COUNTY 1</v>
      </c>
      <c r="C529" s="2" t="str">
        <f>IFERROR(__xludf.DUMMYFUNCTION("""COMPUTED_VALUE"""),"02205")</f>
        <v>02205</v>
      </c>
      <c r="D529" s="2" t="str">
        <f>IFERROR(__xludf.DUMMYFUNCTION("""COMPUTED_VALUE"""),"DCIS at Ford")</f>
        <v>DCIS at Ford</v>
      </c>
      <c r="E529" s="3" t="str">
        <f>IFERROR(__xludf.DUMMYFUNCTION("""COMPUTED_VALUE"""),"Y")</f>
        <v>Y</v>
      </c>
      <c r="F529" s="3" t="str">
        <f>IFERROR(__xludf.DUMMYFUNCTION("""COMPUTED_VALUE"""),"Y")</f>
        <v>Y</v>
      </c>
      <c r="G529" s="3" t="str">
        <f>IFERROR(__xludf.DUMMYFUNCTION("""COMPUTED_VALUE"""),"Y")</f>
        <v>Y</v>
      </c>
      <c r="H529" s="3"/>
      <c r="I529" s="3" t="str">
        <f>IFERROR(__xludf.DUMMYFUNCTION("""COMPUTED_VALUE"""),"Y")</f>
        <v>Y</v>
      </c>
      <c r="J529" s="3" t="str">
        <f>IFERROR(__xludf.DUMMYFUNCTION("""COMPUTED_VALUE"""),"Y")</f>
        <v>Y</v>
      </c>
      <c r="K529" s="3" t="str">
        <f>IFERROR(__xludf.DUMMYFUNCTION("""COMPUTED_VALUE"""),"Y")</f>
        <v>Y</v>
      </c>
      <c r="L529" s="3" t="str">
        <f>IFERROR(__xludf.DUMMYFUNCTION("""COMPUTED_VALUE"""),"Group 1")</f>
        <v>Group 1</v>
      </c>
      <c r="M529" s="3"/>
      <c r="N529" s="5" t="str">
        <f>IFERROR(__xludf.DUMMYFUNCTION("""COMPUTED_VALUE""")," ")</f>
        <v> </v>
      </c>
      <c r="O529" s="5"/>
    </row>
    <row r="530">
      <c r="A530" s="2" t="str">
        <f>IFERROR(__xludf.DUMMYFUNCTION("""COMPUTED_VALUE"""),"0880")</f>
        <v>0880</v>
      </c>
      <c r="B530" s="2" t="str">
        <f>IFERROR(__xludf.DUMMYFUNCTION("""COMPUTED_VALUE"""),"DENVER COUNTY 1")</f>
        <v>DENVER COUNTY 1</v>
      </c>
      <c r="C530" s="2" t="str">
        <f>IFERROR(__xludf.DUMMYFUNCTION("""COMPUTED_VALUE"""),"02209")</f>
        <v>02209</v>
      </c>
      <c r="D530" s="2" t="str">
        <f>IFERROR(__xludf.DUMMYFUNCTION("""COMPUTED_VALUE"""),"MONTBELLO HIGH SCHOOL")</f>
        <v>MONTBELLO HIGH SCHOOL</v>
      </c>
      <c r="E530" s="3" t="str">
        <f>IFERROR(__xludf.DUMMYFUNCTION("""COMPUTED_VALUE"""),"Y")</f>
        <v>Y</v>
      </c>
      <c r="F530" s="3" t="str">
        <f>IFERROR(__xludf.DUMMYFUNCTION("""COMPUTED_VALUE"""),"Y")</f>
        <v>Y</v>
      </c>
      <c r="G530" s="3" t="str">
        <f>IFERROR(__xludf.DUMMYFUNCTION("""COMPUTED_VALUE"""),"Y")</f>
        <v>Y</v>
      </c>
      <c r="H530" s="3"/>
      <c r="I530" s="3" t="str">
        <f>IFERROR(__xludf.DUMMYFUNCTION("""COMPUTED_VALUE""")," ")</f>
        <v> </v>
      </c>
      <c r="J530" s="3" t="str">
        <f>IFERROR(__xludf.DUMMYFUNCTION("""COMPUTED_VALUE"""),"Y")</f>
        <v>Y</v>
      </c>
      <c r="K530" s="3" t="str">
        <f>IFERROR(__xludf.DUMMYFUNCTION("""COMPUTED_VALUE"""),"Y")</f>
        <v>Y</v>
      </c>
      <c r="L530" s="3" t="str">
        <f>IFERROR(__xludf.DUMMYFUNCTION("""COMPUTED_VALUE"""),"Group 10")</f>
        <v>Group 10</v>
      </c>
      <c r="M530" s="3"/>
      <c r="N530" s="5" t="str">
        <f>IFERROR(__xludf.DUMMYFUNCTION("""COMPUTED_VALUE"""),"Y")</f>
        <v>Y</v>
      </c>
      <c r="O530" s="5"/>
    </row>
    <row r="531">
      <c r="A531" s="2" t="str">
        <f>IFERROR(__xludf.DUMMYFUNCTION("""COMPUTED_VALUE"""),"0880")</f>
        <v>0880</v>
      </c>
      <c r="B531" s="2" t="str">
        <f>IFERROR(__xludf.DUMMYFUNCTION("""COMPUTED_VALUE"""),"DENVER COUNTY 1")</f>
        <v>DENVER COUNTY 1</v>
      </c>
      <c r="C531" s="2" t="str">
        <f>IFERROR(__xludf.DUMMYFUNCTION("""COMPUTED_VALUE"""),"02213")</f>
        <v>02213</v>
      </c>
      <c r="D531" s="2" t="str">
        <f>IFERROR(__xludf.DUMMYFUNCTION("""COMPUTED_VALUE"""),"Montbello Middle School")</f>
        <v>Montbello Middle School</v>
      </c>
      <c r="E531" s="3" t="str">
        <f>IFERROR(__xludf.DUMMYFUNCTION("""COMPUTED_VALUE"""),"Y")</f>
        <v>Y</v>
      </c>
      <c r="F531" s="3" t="str">
        <f>IFERROR(__xludf.DUMMYFUNCTION("""COMPUTED_VALUE"""),"Y")</f>
        <v>Y</v>
      </c>
      <c r="G531" s="3"/>
      <c r="H531" s="3"/>
      <c r="I531" s="3" t="str">
        <f>IFERROR(__xludf.DUMMYFUNCTION("""COMPUTED_VALUE""")," ")</f>
        <v> </v>
      </c>
      <c r="J531" s="3" t="str">
        <f>IFERROR(__xludf.DUMMYFUNCTION("""COMPUTED_VALUE"""),"Y")</f>
        <v>Y</v>
      </c>
      <c r="K531" s="3" t="str">
        <f>IFERROR(__xludf.DUMMYFUNCTION("""COMPUTED_VALUE"""),"Y")</f>
        <v>Y</v>
      </c>
      <c r="L531" s="3" t="str">
        <f>IFERROR(__xludf.DUMMYFUNCTION("""COMPUTED_VALUE"""),"Group 19")</f>
        <v>Group 19</v>
      </c>
      <c r="M531" s="3"/>
      <c r="N531" s="5" t="str">
        <f>IFERROR(__xludf.DUMMYFUNCTION("""COMPUTED_VALUE"""),"Y")</f>
        <v>Y</v>
      </c>
      <c r="O531" s="5"/>
    </row>
    <row r="532">
      <c r="A532" s="2" t="str">
        <f>IFERROR(__xludf.DUMMYFUNCTION("""COMPUTED_VALUE"""),"0880")</f>
        <v>0880</v>
      </c>
      <c r="B532" s="2" t="str">
        <f>IFERROR(__xludf.DUMMYFUNCTION("""COMPUTED_VALUE"""),"DENVER COUNTY 1")</f>
        <v>DENVER COUNTY 1</v>
      </c>
      <c r="C532" s="2" t="str">
        <f>IFERROR(__xludf.DUMMYFUNCTION("""COMPUTED_VALUE"""),"02218")</f>
        <v>02218</v>
      </c>
      <c r="D532" s="2" t="str">
        <f>IFERROR(__xludf.DUMMYFUNCTION("""COMPUTED_VALUE"""),"DSST: CONSERVATORY GREEN MIDDLE SCHOOL")</f>
        <v>DSST: CONSERVATORY GREEN MIDDLE SCHOOL</v>
      </c>
      <c r="E532" s="3" t="str">
        <f>IFERROR(__xludf.DUMMYFUNCTION("""COMPUTED_VALUE"""),"Y")</f>
        <v>Y</v>
      </c>
      <c r="F532" s="3" t="str">
        <f>IFERROR(__xludf.DUMMYFUNCTION("""COMPUTED_VALUE"""),"Y")</f>
        <v>Y</v>
      </c>
      <c r="G532" s="3"/>
      <c r="H532" s="3"/>
      <c r="I532" s="3" t="str">
        <f>IFERROR(__xludf.DUMMYFUNCTION("""COMPUTED_VALUE""")," ")</f>
        <v> </v>
      </c>
      <c r="J532" s="3" t="str">
        <f>IFERROR(__xludf.DUMMYFUNCTION("""COMPUTED_VALUE"""),"Y")</f>
        <v>Y</v>
      </c>
      <c r="K532" s="3" t="str">
        <f>IFERROR(__xludf.DUMMYFUNCTION("""COMPUTED_VALUE"""),"Y")</f>
        <v>Y</v>
      </c>
      <c r="L532" s="3" t="str">
        <f>IFERROR(__xludf.DUMMYFUNCTION("""COMPUTED_VALUE"""),"Group 5")</f>
        <v>Group 5</v>
      </c>
      <c r="M532" s="3"/>
      <c r="N532" s="5" t="str">
        <f>IFERROR(__xludf.DUMMYFUNCTION("""COMPUTED_VALUE""")," ")</f>
        <v> </v>
      </c>
      <c r="O532" s="5"/>
    </row>
    <row r="533">
      <c r="A533" s="2" t="str">
        <f>IFERROR(__xludf.DUMMYFUNCTION("""COMPUTED_VALUE"""),"0880")</f>
        <v>0880</v>
      </c>
      <c r="B533" s="2" t="str">
        <f>IFERROR(__xludf.DUMMYFUNCTION("""COMPUTED_VALUE"""),"DENVER COUNTY 1")</f>
        <v>DENVER COUNTY 1</v>
      </c>
      <c r="C533" s="2" t="str">
        <f>IFERROR(__xludf.DUMMYFUNCTION("""COMPUTED_VALUE"""),"02223")</f>
        <v>02223</v>
      </c>
      <c r="D533" s="2" t="str">
        <f>IFERROR(__xludf.DUMMYFUNCTION("""COMPUTED_VALUE"""),"DSST: COLE MIDDLE SCHOOL")</f>
        <v>DSST: COLE MIDDLE SCHOOL</v>
      </c>
      <c r="E533" s="3" t="str">
        <f>IFERROR(__xludf.DUMMYFUNCTION("""COMPUTED_VALUE"""),"Y")</f>
        <v>Y</v>
      </c>
      <c r="F533" s="3" t="str">
        <f>IFERROR(__xludf.DUMMYFUNCTION("""COMPUTED_VALUE"""),"Y")</f>
        <v>Y</v>
      </c>
      <c r="G533" s="3"/>
      <c r="H533" s="3"/>
      <c r="I533" s="3" t="str">
        <f>IFERROR(__xludf.DUMMYFUNCTION("""COMPUTED_VALUE""")," ")</f>
        <v> </v>
      </c>
      <c r="J533" s="3" t="str">
        <f>IFERROR(__xludf.DUMMYFUNCTION("""COMPUTED_VALUE"""),"Y")</f>
        <v>Y</v>
      </c>
      <c r="K533" s="3" t="str">
        <f>IFERROR(__xludf.DUMMYFUNCTION("""COMPUTED_VALUE"""),"Y")</f>
        <v>Y</v>
      </c>
      <c r="L533" s="3" t="str">
        <f>IFERROR(__xludf.DUMMYFUNCTION("""COMPUTED_VALUE"""),"Group 23")</f>
        <v>Group 23</v>
      </c>
      <c r="M533" s="3"/>
      <c r="N533" s="5" t="str">
        <f>IFERROR(__xludf.DUMMYFUNCTION("""COMPUTED_VALUE"""),"Y")</f>
        <v>Y</v>
      </c>
      <c r="O533" s="5"/>
    </row>
    <row r="534">
      <c r="A534" s="2" t="str">
        <f>IFERROR(__xludf.DUMMYFUNCTION("""COMPUTED_VALUE"""),"0880")</f>
        <v>0880</v>
      </c>
      <c r="B534" s="2" t="str">
        <f>IFERROR(__xludf.DUMMYFUNCTION("""COMPUTED_VALUE"""),"DENVER COUNTY 1")</f>
        <v>DENVER COUNTY 1</v>
      </c>
      <c r="C534" s="2" t="str">
        <f>IFERROR(__xludf.DUMMYFUNCTION("""COMPUTED_VALUE"""),"02228")</f>
        <v>02228</v>
      </c>
      <c r="D534" s="2" t="str">
        <f>IFERROR(__xludf.DUMMYFUNCTION("""COMPUTED_VALUE"""),"DSST: Cedar High School")</f>
        <v>DSST: Cedar High School</v>
      </c>
      <c r="E534" s="3" t="str">
        <f>IFERROR(__xludf.DUMMYFUNCTION("""COMPUTED_VALUE"""),"Y")</f>
        <v>Y</v>
      </c>
      <c r="F534" s="3" t="str">
        <f>IFERROR(__xludf.DUMMYFUNCTION("""COMPUTED_VALUE"""),"Y")</f>
        <v>Y</v>
      </c>
      <c r="G534" s="3"/>
      <c r="H534" s="3"/>
      <c r="I534" s="3" t="str">
        <f>IFERROR(__xludf.DUMMYFUNCTION("""COMPUTED_VALUE""")," ")</f>
        <v> </v>
      </c>
      <c r="J534" s="3" t="str">
        <f>IFERROR(__xludf.DUMMYFUNCTION("""COMPUTED_VALUE""")," ")</f>
        <v> </v>
      </c>
      <c r="K534" s="3" t="str">
        <f>IFERROR(__xludf.DUMMYFUNCTION("""COMPUTED_VALUE"""),"Y")</f>
        <v>Y</v>
      </c>
      <c r="L534" s="3" t="str">
        <f>IFERROR(__xludf.DUMMYFUNCTION("""COMPUTED_VALUE""")," ")</f>
        <v> </v>
      </c>
      <c r="M534" s="3"/>
      <c r="N534" s="5" t="str">
        <f>IFERROR(__xludf.DUMMYFUNCTION("""COMPUTED_VALUE""")," ")</f>
        <v> </v>
      </c>
      <c r="O534" s="5"/>
    </row>
    <row r="535">
      <c r="A535" s="2" t="str">
        <f>IFERROR(__xludf.DUMMYFUNCTION("""COMPUTED_VALUE"""),"0880")</f>
        <v>0880</v>
      </c>
      <c r="B535" s="2" t="str">
        <f>IFERROR(__xludf.DUMMYFUNCTION("""COMPUTED_VALUE"""),"DENVER COUNTY 1")</f>
        <v>DENVER COUNTY 1</v>
      </c>
      <c r="C535" s="2" t="str">
        <f>IFERROR(__xludf.DUMMYFUNCTION("""COMPUTED_VALUE"""),"02241")</f>
        <v>02241</v>
      </c>
      <c r="D535" s="2" t="str">
        <f>IFERROR(__xludf.DUMMYFUNCTION("""COMPUTED_VALUE"""),"DENVER SCHOOL OF INNOVATION AND SUSTAINABLE DESIGN")</f>
        <v>DENVER SCHOOL OF INNOVATION AND SUSTAINABLE DESIGN</v>
      </c>
      <c r="E535" s="3" t="str">
        <f>IFERROR(__xludf.DUMMYFUNCTION("""COMPUTED_VALUE"""),"Y")</f>
        <v>Y</v>
      </c>
      <c r="F535" s="3" t="str">
        <f>IFERROR(__xludf.DUMMYFUNCTION("""COMPUTED_VALUE"""),"Y")</f>
        <v>Y</v>
      </c>
      <c r="G535" s="3"/>
      <c r="H535" s="3"/>
      <c r="I535" s="3" t="str">
        <f>IFERROR(__xludf.DUMMYFUNCTION("""COMPUTED_VALUE""")," ")</f>
        <v> </v>
      </c>
      <c r="J535" s="3" t="str">
        <f>IFERROR(__xludf.DUMMYFUNCTION("""COMPUTED_VALUE""")," ")</f>
        <v> </v>
      </c>
      <c r="K535" s="3" t="str">
        <f>IFERROR(__xludf.DUMMYFUNCTION("""COMPUTED_VALUE"""),"Y")</f>
        <v>Y</v>
      </c>
      <c r="L535" s="3" t="str">
        <f>IFERROR(__xludf.DUMMYFUNCTION("""COMPUTED_VALUE""")," ")</f>
        <v> </v>
      </c>
      <c r="M535" s="3"/>
      <c r="N535" s="5" t="str">
        <f>IFERROR(__xludf.DUMMYFUNCTION("""COMPUTED_VALUE""")," ")</f>
        <v> </v>
      </c>
      <c r="O535" s="5"/>
    </row>
    <row r="536">
      <c r="A536" s="2" t="str">
        <f>IFERROR(__xludf.DUMMYFUNCTION("""COMPUTED_VALUE"""),"0880")</f>
        <v>0880</v>
      </c>
      <c r="B536" s="2" t="str">
        <f>IFERROR(__xludf.DUMMYFUNCTION("""COMPUTED_VALUE"""),"DENVER COUNTY 1")</f>
        <v>DENVER COUNTY 1</v>
      </c>
      <c r="C536" s="2" t="str">
        <f>IFERROR(__xludf.DUMMYFUNCTION("""COMPUTED_VALUE"""),"02244")</f>
        <v>02244</v>
      </c>
      <c r="D536" s="2" t="str">
        <f>IFERROR(__xludf.DUMMYFUNCTION("""COMPUTED_VALUE"""),"DSST COLLEGE VIEW HIGH SCHOOL")</f>
        <v>DSST COLLEGE VIEW HIGH SCHOOL</v>
      </c>
      <c r="E536" s="3" t="str">
        <f>IFERROR(__xludf.DUMMYFUNCTION("""COMPUTED_VALUE"""),"Y")</f>
        <v>Y</v>
      </c>
      <c r="F536" s="3" t="str">
        <f>IFERROR(__xludf.DUMMYFUNCTION("""COMPUTED_VALUE"""),"Y")</f>
        <v>Y</v>
      </c>
      <c r="G536" s="3"/>
      <c r="H536" s="3"/>
      <c r="I536" s="3" t="str">
        <f>IFERROR(__xludf.DUMMYFUNCTION("""COMPUTED_VALUE""")," ")</f>
        <v> </v>
      </c>
      <c r="J536" s="3" t="str">
        <f>IFERROR(__xludf.DUMMYFUNCTION("""COMPUTED_VALUE"""),"Y")</f>
        <v>Y</v>
      </c>
      <c r="K536" s="3" t="str">
        <f>IFERROR(__xludf.DUMMYFUNCTION("""COMPUTED_VALUE"""),"Y")</f>
        <v>Y</v>
      </c>
      <c r="L536" s="3" t="str">
        <f>IFERROR(__xludf.DUMMYFUNCTION("""COMPUTED_VALUE"""),"Group 25")</f>
        <v>Group 25</v>
      </c>
      <c r="M536" s="3"/>
      <c r="N536" s="5" t="str">
        <f>IFERROR(__xludf.DUMMYFUNCTION("""COMPUTED_VALUE""")," ")</f>
        <v> </v>
      </c>
      <c r="O536" s="5"/>
    </row>
    <row r="537">
      <c r="A537" s="2" t="str">
        <f>IFERROR(__xludf.DUMMYFUNCTION("""COMPUTED_VALUE"""),"0880")</f>
        <v>0880</v>
      </c>
      <c r="B537" s="2" t="str">
        <f>IFERROR(__xludf.DUMMYFUNCTION("""COMPUTED_VALUE"""),"DENVER COUNTY 1")</f>
        <v>DENVER COUNTY 1</v>
      </c>
      <c r="C537" s="2" t="str">
        <f>IFERROR(__xludf.DUMMYFUNCTION("""COMPUTED_VALUE"""),"02258")</f>
        <v>02258</v>
      </c>
      <c r="D537" s="2" t="str">
        <f>IFERROR(__xludf.DUMMYFUNCTION("""COMPUTED_VALUE"""),"DOULL ELEMENTARY SCHOOL")</f>
        <v>DOULL ELEMENTARY SCHOOL</v>
      </c>
      <c r="E537" s="3" t="str">
        <f>IFERROR(__xludf.DUMMYFUNCTION("""COMPUTED_VALUE"""),"Y")</f>
        <v>Y</v>
      </c>
      <c r="F537" s="3" t="str">
        <f>IFERROR(__xludf.DUMMYFUNCTION("""COMPUTED_VALUE"""),"Y")</f>
        <v>Y</v>
      </c>
      <c r="G537" s="3" t="str">
        <f>IFERROR(__xludf.DUMMYFUNCTION("""COMPUTED_VALUE"""),"Y")</f>
        <v>Y</v>
      </c>
      <c r="H537" s="3"/>
      <c r="I537" s="3" t="str">
        <f>IFERROR(__xludf.DUMMYFUNCTION("""COMPUTED_VALUE"""),"Y")</f>
        <v>Y</v>
      </c>
      <c r="J537" s="3" t="str">
        <f>IFERROR(__xludf.DUMMYFUNCTION("""COMPUTED_VALUE"""),"Y")</f>
        <v>Y</v>
      </c>
      <c r="K537" s="3" t="str">
        <f>IFERROR(__xludf.DUMMYFUNCTION("""COMPUTED_VALUE"""),"Y")</f>
        <v>Y</v>
      </c>
      <c r="L537" s="3" t="str">
        <f>IFERROR(__xludf.DUMMYFUNCTION("""COMPUTED_VALUE"""),"Group 28")</f>
        <v>Group 28</v>
      </c>
      <c r="M537" s="3"/>
      <c r="N537" s="5" t="str">
        <f>IFERROR(__xludf.DUMMYFUNCTION("""COMPUTED_VALUE""")," ")</f>
        <v> </v>
      </c>
      <c r="O537" s="5"/>
    </row>
    <row r="538">
      <c r="A538" s="2" t="str">
        <f>IFERROR(__xludf.DUMMYFUNCTION("""COMPUTED_VALUE"""),"0880")</f>
        <v>0880</v>
      </c>
      <c r="B538" s="2" t="str">
        <f>IFERROR(__xludf.DUMMYFUNCTION("""COMPUTED_VALUE"""),"DENVER COUNTY 1")</f>
        <v>DENVER COUNTY 1</v>
      </c>
      <c r="C538" s="2" t="str">
        <f>IFERROR(__xludf.DUMMYFUNCTION("""COMPUTED_VALUE"""),"02349")</f>
        <v>02349</v>
      </c>
      <c r="D538" s="2" t="str">
        <f>IFERROR(__xludf.DUMMYFUNCTION("""COMPUTED_VALUE"""),"Escalante-Biggs Academy")</f>
        <v>Escalante-Biggs Academy</v>
      </c>
      <c r="E538" s="3" t="str">
        <f>IFERROR(__xludf.DUMMYFUNCTION("""COMPUTED_VALUE"""),"Y")</f>
        <v>Y</v>
      </c>
      <c r="F538" s="3" t="str">
        <f>IFERROR(__xludf.DUMMYFUNCTION("""COMPUTED_VALUE"""),"Y")</f>
        <v>Y</v>
      </c>
      <c r="G538" s="3"/>
      <c r="H538" s="3"/>
      <c r="I538" s="3" t="str">
        <f>IFERROR(__xludf.DUMMYFUNCTION("""COMPUTED_VALUE""")," ")</f>
        <v> </v>
      </c>
      <c r="J538" s="3" t="str">
        <f>IFERROR(__xludf.DUMMYFUNCTION("""COMPUTED_VALUE"""),"Y")</f>
        <v>Y</v>
      </c>
      <c r="K538" s="3" t="str">
        <f>IFERROR(__xludf.DUMMYFUNCTION("""COMPUTED_VALUE"""),"Y")</f>
        <v>Y</v>
      </c>
      <c r="L538" s="3" t="str">
        <f>IFERROR(__xludf.DUMMYFUNCTION("""COMPUTED_VALUE"""),"Group 28")</f>
        <v>Group 28</v>
      </c>
      <c r="M538" s="3"/>
      <c r="N538" s="5" t="str">
        <f>IFERROR(__xludf.DUMMYFUNCTION("""COMPUTED_VALUE""")," ")</f>
        <v> </v>
      </c>
      <c r="O538" s="5"/>
    </row>
    <row r="539">
      <c r="A539" s="2" t="str">
        <f>IFERROR(__xludf.DUMMYFUNCTION("""COMPUTED_VALUE"""),"0880")</f>
        <v>0880</v>
      </c>
      <c r="B539" s="2" t="str">
        <f>IFERROR(__xludf.DUMMYFUNCTION("""COMPUTED_VALUE"""),"DENVER COUNTY 1")</f>
        <v>DENVER COUNTY 1</v>
      </c>
      <c r="C539" s="2" t="str">
        <f>IFERROR(__xludf.DUMMYFUNCTION("""COMPUTED_VALUE"""),"02364")</f>
        <v>02364</v>
      </c>
      <c r="D539" s="2" t="str">
        <f>IFERROR(__xludf.DUMMYFUNCTION("""COMPUTED_VALUE"""),"EAGLETON ELEMENTARY SCHOOL")</f>
        <v>EAGLETON ELEMENTARY SCHOOL</v>
      </c>
      <c r="E539" s="3" t="str">
        <f>IFERROR(__xludf.DUMMYFUNCTION("""COMPUTED_VALUE"""),"Y")</f>
        <v>Y</v>
      </c>
      <c r="F539" s="3" t="str">
        <f>IFERROR(__xludf.DUMMYFUNCTION("""COMPUTED_VALUE"""),"Y")</f>
        <v>Y</v>
      </c>
      <c r="G539" s="3" t="str">
        <f>IFERROR(__xludf.DUMMYFUNCTION("""COMPUTED_VALUE"""),"Y")</f>
        <v>Y</v>
      </c>
      <c r="H539" s="3"/>
      <c r="I539" s="3" t="str">
        <f>IFERROR(__xludf.DUMMYFUNCTION("""COMPUTED_VALUE"""),"Y")</f>
        <v>Y</v>
      </c>
      <c r="J539" s="3" t="str">
        <f>IFERROR(__xludf.DUMMYFUNCTION("""COMPUTED_VALUE"""),"Y")</f>
        <v>Y</v>
      </c>
      <c r="K539" s="3" t="str">
        <f>IFERROR(__xludf.DUMMYFUNCTION("""COMPUTED_VALUE"""),"Y")</f>
        <v>Y</v>
      </c>
      <c r="L539" s="3" t="str">
        <f>IFERROR(__xludf.DUMMYFUNCTION("""COMPUTED_VALUE"""),"Group 28")</f>
        <v>Group 28</v>
      </c>
      <c r="M539" s="3"/>
      <c r="N539" s="5" t="str">
        <f>IFERROR(__xludf.DUMMYFUNCTION("""COMPUTED_VALUE"""),"Y")</f>
        <v>Y</v>
      </c>
      <c r="O539" s="5"/>
    </row>
    <row r="540">
      <c r="A540" s="2" t="str">
        <f>IFERROR(__xludf.DUMMYFUNCTION("""COMPUTED_VALUE"""),"0880")</f>
        <v>0880</v>
      </c>
      <c r="B540" s="2" t="str">
        <f>IFERROR(__xludf.DUMMYFUNCTION("""COMPUTED_VALUE"""),"DENVER COUNTY 1")</f>
        <v>DENVER COUNTY 1</v>
      </c>
      <c r="C540" s="2" t="str">
        <f>IFERROR(__xludf.DUMMYFUNCTION("""COMPUTED_VALUE"""),"02398")</f>
        <v>02398</v>
      </c>
      <c r="D540" s="2" t="str">
        <f>IFERROR(__xludf.DUMMYFUNCTION("""COMPUTED_VALUE"""),"EAST HIGH SCHOOL")</f>
        <v>EAST HIGH SCHOOL</v>
      </c>
      <c r="E540" s="3" t="str">
        <f>IFERROR(__xludf.DUMMYFUNCTION("""COMPUTED_VALUE"""),"Y")</f>
        <v>Y</v>
      </c>
      <c r="F540" s="3" t="str">
        <f>IFERROR(__xludf.DUMMYFUNCTION("""COMPUTED_VALUE"""),"Y")</f>
        <v>Y</v>
      </c>
      <c r="G540" s="3"/>
      <c r="H540" s="3"/>
      <c r="I540" s="3" t="str">
        <f>IFERROR(__xludf.DUMMYFUNCTION("""COMPUTED_VALUE""")," ")</f>
        <v> </v>
      </c>
      <c r="J540" s="3" t="str">
        <f>IFERROR(__xludf.DUMMYFUNCTION("""COMPUTED_VALUE""")," ")</f>
        <v> </v>
      </c>
      <c r="K540" s="3" t="str">
        <f>IFERROR(__xludf.DUMMYFUNCTION("""COMPUTED_VALUE"""),"Y")</f>
        <v>Y</v>
      </c>
      <c r="L540" s="3" t="str">
        <f>IFERROR(__xludf.DUMMYFUNCTION("""COMPUTED_VALUE""")," ")</f>
        <v> </v>
      </c>
      <c r="M540" s="3"/>
      <c r="N540" s="5" t="str">
        <f>IFERROR(__xludf.DUMMYFUNCTION("""COMPUTED_VALUE""")," ")</f>
        <v> </v>
      </c>
      <c r="O540" s="5"/>
    </row>
    <row r="541">
      <c r="A541" s="2" t="str">
        <f>IFERROR(__xludf.DUMMYFUNCTION("""COMPUTED_VALUE"""),"0880")</f>
        <v>0880</v>
      </c>
      <c r="B541" s="2" t="str">
        <f>IFERROR(__xludf.DUMMYFUNCTION("""COMPUTED_VALUE"""),"DENVER COUNTY 1")</f>
        <v>DENVER COUNTY 1</v>
      </c>
      <c r="C541" s="2" t="str">
        <f>IFERROR(__xludf.DUMMYFUNCTION("""COMPUTED_VALUE"""),"02506")</f>
        <v>02506</v>
      </c>
      <c r="D541" s="2" t="str">
        <f>IFERROR(__xludf.DUMMYFUNCTION("""COMPUTED_VALUE"""),"EDISON ELEMENTARY SCHOOL")</f>
        <v>EDISON ELEMENTARY SCHOOL</v>
      </c>
      <c r="E541" s="3" t="str">
        <f>IFERROR(__xludf.DUMMYFUNCTION("""COMPUTED_VALUE"""),"Y")</f>
        <v>Y</v>
      </c>
      <c r="F541" s="3" t="str">
        <f>IFERROR(__xludf.DUMMYFUNCTION("""COMPUTED_VALUE"""),"Y")</f>
        <v>Y</v>
      </c>
      <c r="G541" s="3"/>
      <c r="H541" s="3"/>
      <c r="I541" s="3" t="str">
        <f>IFERROR(__xludf.DUMMYFUNCTION("""COMPUTED_VALUE""")," ")</f>
        <v> </v>
      </c>
      <c r="J541" s="3" t="str">
        <f>IFERROR(__xludf.DUMMYFUNCTION("""COMPUTED_VALUE""")," ")</f>
        <v> </v>
      </c>
      <c r="K541" s="3" t="str">
        <f>IFERROR(__xludf.DUMMYFUNCTION("""COMPUTED_VALUE"""),"Y")</f>
        <v>Y</v>
      </c>
      <c r="L541" s="3" t="str">
        <f>IFERROR(__xludf.DUMMYFUNCTION("""COMPUTED_VALUE""")," ")</f>
        <v> </v>
      </c>
      <c r="M541" s="3"/>
      <c r="N541" s="5" t="str">
        <f>IFERROR(__xludf.DUMMYFUNCTION("""COMPUTED_VALUE""")," ")</f>
        <v> </v>
      </c>
      <c r="O541" s="5"/>
    </row>
    <row r="542">
      <c r="A542" s="2" t="str">
        <f>IFERROR(__xludf.DUMMYFUNCTION("""COMPUTED_VALUE"""),"0880")</f>
        <v>0880</v>
      </c>
      <c r="B542" s="2" t="str">
        <f>IFERROR(__xludf.DUMMYFUNCTION("""COMPUTED_VALUE"""),"DENVER COUNTY 1")</f>
        <v>DENVER COUNTY 1</v>
      </c>
      <c r="C542" s="2" t="str">
        <f>IFERROR(__xludf.DUMMYFUNCTION("""COMPUTED_VALUE"""),"02641")</f>
        <v>02641</v>
      </c>
      <c r="D542" s="2" t="str">
        <f>IFERROR(__xludf.DUMMYFUNCTION("""COMPUTED_VALUE"""),"Excel Academy")</f>
        <v>Excel Academy</v>
      </c>
      <c r="E542" s="3" t="str">
        <f>IFERROR(__xludf.DUMMYFUNCTION("""COMPUTED_VALUE"""),"Y")</f>
        <v>Y</v>
      </c>
      <c r="F542" s="3" t="str">
        <f>IFERROR(__xludf.DUMMYFUNCTION("""COMPUTED_VALUE"""),"Y")</f>
        <v>Y</v>
      </c>
      <c r="G542" s="3"/>
      <c r="H542" s="3"/>
      <c r="I542" s="3" t="str">
        <f>IFERROR(__xludf.DUMMYFUNCTION("""COMPUTED_VALUE""")," ")</f>
        <v> </v>
      </c>
      <c r="J542" s="3" t="str">
        <f>IFERROR(__xludf.DUMMYFUNCTION("""COMPUTED_VALUE"""),"Y")</f>
        <v>Y</v>
      </c>
      <c r="K542" s="3" t="str">
        <f>IFERROR(__xludf.DUMMYFUNCTION("""COMPUTED_VALUE"""),"Y")</f>
        <v>Y</v>
      </c>
      <c r="L542" s="3" t="str">
        <f>IFERROR(__xludf.DUMMYFUNCTION("""COMPUTED_VALUE"""),"Group 28")</f>
        <v>Group 28</v>
      </c>
      <c r="M542" s="3"/>
      <c r="N542" s="5" t="str">
        <f>IFERROR(__xludf.DUMMYFUNCTION("""COMPUTED_VALUE"""),"Y")</f>
        <v>Y</v>
      </c>
      <c r="O542" s="5"/>
    </row>
    <row r="543">
      <c r="A543" s="2" t="str">
        <f>IFERROR(__xludf.DUMMYFUNCTION("""COMPUTED_VALUE"""),"0880")</f>
        <v>0880</v>
      </c>
      <c r="B543" s="2" t="str">
        <f>IFERROR(__xludf.DUMMYFUNCTION("""COMPUTED_VALUE"""),"DENVER COUNTY 1")</f>
        <v>DENVER COUNTY 1</v>
      </c>
      <c r="C543" s="2" t="str">
        <f>IFERROR(__xludf.DUMMYFUNCTION("""COMPUTED_VALUE"""),"02652")</f>
        <v>02652</v>
      </c>
      <c r="D543" s="2" t="str">
        <f>IFERROR(__xludf.DUMMYFUNCTION("""COMPUTED_VALUE"""),"ELLIS ELEMENTARY SCHOOL")</f>
        <v>ELLIS ELEMENTARY SCHOOL</v>
      </c>
      <c r="E543" s="3" t="str">
        <f>IFERROR(__xludf.DUMMYFUNCTION("""COMPUTED_VALUE"""),"Y")</f>
        <v>Y</v>
      </c>
      <c r="F543" s="3" t="str">
        <f>IFERROR(__xludf.DUMMYFUNCTION("""COMPUTED_VALUE"""),"Y")</f>
        <v>Y</v>
      </c>
      <c r="G543" s="3" t="str">
        <f>IFERROR(__xludf.DUMMYFUNCTION("""COMPUTED_VALUE"""),"Y")</f>
        <v>Y</v>
      </c>
      <c r="H543" s="3"/>
      <c r="I543" s="3" t="str">
        <f>IFERROR(__xludf.DUMMYFUNCTION("""COMPUTED_VALUE"""),"Y")</f>
        <v>Y</v>
      </c>
      <c r="J543" s="3" t="str">
        <f>IFERROR(__xludf.DUMMYFUNCTION("""COMPUTED_VALUE"""),"Y")</f>
        <v>Y</v>
      </c>
      <c r="K543" s="3" t="str">
        <f>IFERROR(__xludf.DUMMYFUNCTION("""COMPUTED_VALUE"""),"Y")</f>
        <v>Y</v>
      </c>
      <c r="L543" s="3" t="str">
        <f>IFERROR(__xludf.DUMMYFUNCTION("""COMPUTED_VALUE"""),"Group 1")</f>
        <v>Group 1</v>
      </c>
      <c r="M543" s="3"/>
      <c r="N543" s="5" t="str">
        <f>IFERROR(__xludf.DUMMYFUNCTION("""COMPUTED_VALUE""")," ")</f>
        <v> </v>
      </c>
      <c r="O543" s="5"/>
    </row>
    <row r="544">
      <c r="A544" s="2" t="str">
        <f>IFERROR(__xludf.DUMMYFUNCTION("""COMPUTED_VALUE"""),"0880")</f>
        <v>0880</v>
      </c>
      <c r="B544" s="2" t="str">
        <f>IFERROR(__xludf.DUMMYFUNCTION("""COMPUTED_VALUE"""),"DENVER COUNTY 1")</f>
        <v>DENVER COUNTY 1</v>
      </c>
      <c r="C544" s="2" t="str">
        <f>IFERROR(__xludf.DUMMYFUNCTION("""COMPUTED_VALUE"""),"02726")</f>
        <v>02726</v>
      </c>
      <c r="D544" s="2" t="str">
        <f>IFERROR(__xludf.DUMMYFUNCTION("""COMPUTED_VALUE"""),"Emily Griffith High School")</f>
        <v>Emily Griffith High School</v>
      </c>
      <c r="E544" s="3" t="str">
        <f>IFERROR(__xludf.DUMMYFUNCTION("""COMPUTED_VALUE"""),"Y")</f>
        <v>Y</v>
      </c>
      <c r="F544" s="3" t="str">
        <f>IFERROR(__xludf.DUMMYFUNCTION("""COMPUTED_VALUE"""),"Y")</f>
        <v>Y</v>
      </c>
      <c r="G544" s="3"/>
      <c r="H544" s="3"/>
      <c r="I544" s="3" t="str">
        <f>IFERROR(__xludf.DUMMYFUNCTION("""COMPUTED_VALUE""")," ")</f>
        <v> </v>
      </c>
      <c r="J544" s="3" t="str">
        <f>IFERROR(__xludf.DUMMYFUNCTION("""COMPUTED_VALUE"""),"Y")</f>
        <v>Y</v>
      </c>
      <c r="K544" s="3" t="str">
        <f>IFERROR(__xludf.DUMMYFUNCTION("""COMPUTED_VALUE"""),"Y")</f>
        <v>Y</v>
      </c>
      <c r="L544" s="3" t="str">
        <f>IFERROR(__xludf.DUMMYFUNCTION("""COMPUTED_VALUE"""),"Group 10")</f>
        <v>Group 10</v>
      </c>
      <c r="M544" s="3"/>
      <c r="N544" s="5" t="str">
        <f>IFERROR(__xludf.DUMMYFUNCTION("""COMPUTED_VALUE""")," ")</f>
        <v> </v>
      </c>
      <c r="O544" s="5"/>
    </row>
    <row r="545">
      <c r="A545" s="2" t="str">
        <f>IFERROR(__xludf.DUMMYFUNCTION("""COMPUTED_VALUE"""),"0880")</f>
        <v>0880</v>
      </c>
      <c r="B545" s="2" t="str">
        <f>IFERROR(__xludf.DUMMYFUNCTION("""COMPUTED_VALUE"""),"DENVER COUNTY 1")</f>
        <v>DENVER COUNTY 1</v>
      </c>
      <c r="C545" s="2" t="str">
        <f>IFERROR(__xludf.DUMMYFUNCTION("""COMPUTED_VALUE"""),"02757")</f>
        <v>02757</v>
      </c>
      <c r="D545" s="2" t="str">
        <f>IFERROR(__xludf.DUMMYFUNCTION("""COMPUTED_VALUE"""),"NORTHEAST EARLY COLLEGE")</f>
        <v>NORTHEAST EARLY COLLEGE</v>
      </c>
      <c r="E545" s="3" t="str">
        <f>IFERROR(__xludf.DUMMYFUNCTION("""COMPUTED_VALUE"""),"Y")</f>
        <v>Y</v>
      </c>
      <c r="F545" s="3" t="str">
        <f>IFERROR(__xludf.DUMMYFUNCTION("""COMPUTED_VALUE"""),"Y")</f>
        <v>Y</v>
      </c>
      <c r="G545" s="3"/>
      <c r="H545" s="3"/>
      <c r="I545" s="3" t="str">
        <f>IFERROR(__xludf.DUMMYFUNCTION("""COMPUTED_VALUE""")," ")</f>
        <v> </v>
      </c>
      <c r="J545" s="3" t="str">
        <f>IFERROR(__xludf.DUMMYFUNCTION("""COMPUTED_VALUE"""),"Y")</f>
        <v>Y</v>
      </c>
      <c r="K545" s="3" t="str">
        <f>IFERROR(__xludf.DUMMYFUNCTION("""COMPUTED_VALUE"""),"Y")</f>
        <v>Y</v>
      </c>
      <c r="L545" s="3" t="str">
        <f>IFERROR(__xludf.DUMMYFUNCTION("""COMPUTED_VALUE"""),"Group 28")</f>
        <v>Group 28</v>
      </c>
      <c r="M545" s="3"/>
      <c r="N545" s="5" t="str">
        <f>IFERROR(__xludf.DUMMYFUNCTION("""COMPUTED_VALUE"""),"Y")</f>
        <v>Y</v>
      </c>
      <c r="O545" s="5"/>
    </row>
    <row r="546">
      <c r="A546" s="2" t="str">
        <f>IFERROR(__xludf.DUMMYFUNCTION("""COMPUTED_VALUE"""),"0880")</f>
        <v>0880</v>
      </c>
      <c r="B546" s="2" t="str">
        <f>IFERROR(__xludf.DUMMYFUNCTION("""COMPUTED_VALUE"""),"DENVER COUNTY 1")</f>
        <v>DENVER COUNTY 1</v>
      </c>
      <c r="C546" s="2" t="str">
        <f>IFERROR(__xludf.DUMMYFUNCTION("""COMPUTED_VALUE"""),"02840")</f>
        <v>02840</v>
      </c>
      <c r="D546" s="2" t="str">
        <f>IFERROR(__xludf.DUMMYFUNCTION("""COMPUTED_VALUE"""),"ROCKY MOUNTAIN SCHOOL OF EXPEDITIONARY LEARNING")</f>
        <v>ROCKY MOUNTAIN SCHOOL OF EXPEDITIONARY LEARNING</v>
      </c>
      <c r="E546" s="3"/>
      <c r="F546" s="3" t="str">
        <f>IFERROR(__xludf.DUMMYFUNCTION("""COMPUTED_VALUE"""),"Y")</f>
        <v>Y</v>
      </c>
      <c r="G546" s="3" t="str">
        <f>IFERROR(__xludf.DUMMYFUNCTION("""COMPUTED_VALUE"""),"Y")</f>
        <v>Y</v>
      </c>
      <c r="H546" s="3"/>
      <c r="I546" s="3" t="str">
        <f>IFERROR(__xludf.DUMMYFUNCTION("""COMPUTED_VALUE""")," ")</f>
        <v> </v>
      </c>
      <c r="J546" s="3" t="str">
        <f>IFERROR(__xludf.DUMMYFUNCTION("""COMPUTED_VALUE""")," ")</f>
        <v> </v>
      </c>
      <c r="K546" s="3" t="str">
        <f>IFERROR(__xludf.DUMMYFUNCTION("""COMPUTED_VALUE"""),"Y")</f>
        <v>Y</v>
      </c>
      <c r="L546" s="3" t="str">
        <f>IFERROR(__xludf.DUMMYFUNCTION("""COMPUTED_VALUE""")," ")</f>
        <v> </v>
      </c>
      <c r="M546" s="3"/>
      <c r="N546" s="5" t="str">
        <f>IFERROR(__xludf.DUMMYFUNCTION("""COMPUTED_VALUE""")," ")</f>
        <v> </v>
      </c>
      <c r="O546" s="5"/>
    </row>
    <row r="547">
      <c r="A547" s="2" t="str">
        <f>IFERROR(__xludf.DUMMYFUNCTION("""COMPUTED_VALUE"""),"0880")</f>
        <v>0880</v>
      </c>
      <c r="B547" s="2" t="str">
        <f>IFERROR(__xludf.DUMMYFUNCTION("""COMPUTED_VALUE"""),"DENVER COUNTY 1")</f>
        <v>DENVER COUNTY 1</v>
      </c>
      <c r="C547" s="2" t="str">
        <f>IFERROR(__xludf.DUMMYFUNCTION("""COMPUTED_VALUE"""),"02919")</f>
        <v>02919</v>
      </c>
      <c r="D547" s="2" t="str">
        <f>IFERROR(__xludf.DUMMYFUNCTION("""COMPUTED_VALUE"""),"Sandra Todd-Williams Academy")</f>
        <v>Sandra Todd-Williams Academy</v>
      </c>
      <c r="E547" s="3" t="str">
        <f>IFERROR(__xludf.DUMMYFUNCTION("""COMPUTED_VALUE"""),"Y")</f>
        <v>Y</v>
      </c>
      <c r="F547" s="3" t="str">
        <f>IFERROR(__xludf.DUMMYFUNCTION("""COMPUTED_VALUE"""),"Y")</f>
        <v>Y</v>
      </c>
      <c r="G547" s="3"/>
      <c r="H547" s="3"/>
      <c r="I547" s="3" t="str">
        <f>IFERROR(__xludf.DUMMYFUNCTION("""COMPUTED_VALUE""")," ")</f>
        <v> </v>
      </c>
      <c r="J547" s="3" t="str">
        <f>IFERROR(__xludf.DUMMYFUNCTION("""COMPUTED_VALUE"""),"Y")</f>
        <v>Y</v>
      </c>
      <c r="K547" s="3" t="str">
        <f>IFERROR(__xludf.DUMMYFUNCTION("""COMPUTED_VALUE"""),"Y")</f>
        <v>Y</v>
      </c>
      <c r="L547" s="3" t="str">
        <f>IFERROR(__xludf.DUMMYFUNCTION("""COMPUTED_VALUE"""),"Group 28")</f>
        <v>Group 28</v>
      </c>
      <c r="M547" s="3"/>
      <c r="N547" s="5" t="str">
        <f>IFERROR(__xludf.DUMMYFUNCTION("""COMPUTED_VALUE""")," ")</f>
        <v> </v>
      </c>
      <c r="O547" s="5"/>
    </row>
    <row r="548">
      <c r="A548" s="2" t="str">
        <f>IFERROR(__xludf.DUMMYFUNCTION("""COMPUTED_VALUE"""),"0880")</f>
        <v>0880</v>
      </c>
      <c r="B548" s="2" t="str">
        <f>IFERROR(__xludf.DUMMYFUNCTION("""COMPUTED_VALUE"""),"DENVER COUNTY 1")</f>
        <v>DENVER COUNTY 1</v>
      </c>
      <c r="C548" s="2" t="str">
        <f>IFERROR(__xludf.DUMMYFUNCTION("""COMPUTED_VALUE"""),"02994")</f>
        <v>02994</v>
      </c>
      <c r="D548" s="2" t="str">
        <f>IFERROR(__xludf.DUMMYFUNCTION("""COMPUTED_VALUE"""),"5280 High School")</f>
        <v>5280 High School</v>
      </c>
      <c r="E548" s="3" t="str">
        <f>IFERROR(__xludf.DUMMYFUNCTION("""COMPUTED_VALUE"""),"Y")</f>
        <v>Y</v>
      </c>
      <c r="F548" s="3" t="str">
        <f>IFERROR(__xludf.DUMMYFUNCTION("""COMPUTED_VALUE"""),"Y")</f>
        <v>Y</v>
      </c>
      <c r="G548" s="3"/>
      <c r="H548" s="3"/>
      <c r="I548" s="3" t="str">
        <f>IFERROR(__xludf.DUMMYFUNCTION("""COMPUTED_VALUE""")," ")</f>
        <v> </v>
      </c>
      <c r="J548" s="3" t="str">
        <f>IFERROR(__xludf.DUMMYFUNCTION("""COMPUTED_VALUE""")," ")</f>
        <v> </v>
      </c>
      <c r="K548" s="3" t="str">
        <f>IFERROR(__xludf.DUMMYFUNCTION("""COMPUTED_VALUE"""),"Y")</f>
        <v>Y</v>
      </c>
      <c r="L548" s="3" t="str">
        <f>IFERROR(__xludf.DUMMYFUNCTION("""COMPUTED_VALUE""")," ")</f>
        <v> </v>
      </c>
      <c r="M548" s="3"/>
      <c r="N548" s="5" t="str">
        <f>IFERROR(__xludf.DUMMYFUNCTION("""COMPUTED_VALUE""")," ")</f>
        <v> </v>
      </c>
      <c r="O548" s="5"/>
    </row>
    <row r="549">
      <c r="A549" s="2" t="str">
        <f>IFERROR(__xludf.DUMMYFUNCTION("""COMPUTED_VALUE"""),"0880")</f>
        <v>0880</v>
      </c>
      <c r="B549" s="2" t="str">
        <f>IFERROR(__xludf.DUMMYFUNCTION("""COMPUTED_VALUE"""),"DENVER COUNTY 1")</f>
        <v>DENVER COUNTY 1</v>
      </c>
      <c r="C549" s="2" t="str">
        <f>IFERROR(__xludf.DUMMYFUNCTION("""COMPUTED_VALUE"""),"03000")</f>
        <v>03000</v>
      </c>
      <c r="D549" s="2" t="str">
        <f>IFERROR(__xludf.DUMMYFUNCTION("""COMPUTED_VALUE"""),"FLORENCE CRITTENTON HIGH SCHOOL")</f>
        <v>FLORENCE CRITTENTON HIGH SCHOOL</v>
      </c>
      <c r="E549" s="3" t="str">
        <f>IFERROR(__xludf.DUMMYFUNCTION("""COMPUTED_VALUE"""),"Y")</f>
        <v>Y</v>
      </c>
      <c r="F549" s="3" t="str">
        <f>IFERROR(__xludf.DUMMYFUNCTION("""COMPUTED_VALUE"""),"Y")</f>
        <v>Y</v>
      </c>
      <c r="G549" s="3"/>
      <c r="H549" s="3"/>
      <c r="I549" s="3" t="str">
        <f>IFERROR(__xludf.DUMMYFUNCTION("""COMPUTED_VALUE""")," ")</f>
        <v> </v>
      </c>
      <c r="J549" s="3" t="str">
        <f>IFERROR(__xludf.DUMMYFUNCTION("""COMPUTED_VALUE"""),"Y")</f>
        <v>Y</v>
      </c>
      <c r="K549" s="3" t="str">
        <f>IFERROR(__xludf.DUMMYFUNCTION("""COMPUTED_VALUE"""),"Y")</f>
        <v>Y</v>
      </c>
      <c r="L549" s="3" t="str">
        <f>IFERROR(__xludf.DUMMYFUNCTION("""COMPUTED_VALUE"""),"Group 28")</f>
        <v>Group 28</v>
      </c>
      <c r="M549" s="3"/>
      <c r="N549" s="5" t="str">
        <f>IFERROR(__xludf.DUMMYFUNCTION("""COMPUTED_VALUE"""),"Y")</f>
        <v>Y</v>
      </c>
      <c r="O549" s="5"/>
    </row>
    <row r="550">
      <c r="A550" s="2" t="str">
        <f>IFERROR(__xludf.DUMMYFUNCTION("""COMPUTED_VALUE"""),"0880")</f>
        <v>0880</v>
      </c>
      <c r="B550" s="2" t="str">
        <f>IFERROR(__xludf.DUMMYFUNCTION("""COMPUTED_VALUE"""),"DENVER COUNTY 1")</f>
        <v>DENVER COUNTY 1</v>
      </c>
      <c r="C550" s="2" t="str">
        <f>IFERROR(__xludf.DUMMYFUNCTION("""COMPUTED_VALUE"""),"03032")</f>
        <v>03032</v>
      </c>
      <c r="D550" s="2" t="str">
        <f>IFERROR(__xludf.DUMMYFUNCTION("""COMPUTED_VALUE"""),"FORCE ELEMENTARY SCHOOL")</f>
        <v>FORCE ELEMENTARY SCHOOL</v>
      </c>
      <c r="E550" s="3" t="str">
        <f>IFERROR(__xludf.DUMMYFUNCTION("""COMPUTED_VALUE"""),"Y")</f>
        <v>Y</v>
      </c>
      <c r="F550" s="3" t="str">
        <f>IFERROR(__xludf.DUMMYFUNCTION("""COMPUTED_VALUE"""),"Y")</f>
        <v>Y</v>
      </c>
      <c r="G550" s="3" t="str">
        <f>IFERROR(__xludf.DUMMYFUNCTION("""COMPUTED_VALUE"""),"Y")</f>
        <v>Y</v>
      </c>
      <c r="H550" s="3"/>
      <c r="I550" s="3" t="str">
        <f>IFERROR(__xludf.DUMMYFUNCTION("""COMPUTED_VALUE"""),"Y")</f>
        <v>Y</v>
      </c>
      <c r="J550" s="3" t="str">
        <f>IFERROR(__xludf.DUMMYFUNCTION("""COMPUTED_VALUE"""),"Y")</f>
        <v>Y</v>
      </c>
      <c r="K550" s="3" t="str">
        <f>IFERROR(__xludf.DUMMYFUNCTION("""COMPUTED_VALUE"""),"Y")</f>
        <v>Y</v>
      </c>
      <c r="L550" s="3" t="str">
        <f>IFERROR(__xludf.DUMMYFUNCTION("""COMPUTED_VALUE"""),"Group 1")</f>
        <v>Group 1</v>
      </c>
      <c r="M550" s="3"/>
      <c r="N550" s="5" t="str">
        <f>IFERROR(__xludf.DUMMYFUNCTION("""COMPUTED_VALUE""")," ")</f>
        <v> </v>
      </c>
      <c r="O550" s="5"/>
    </row>
    <row r="551">
      <c r="A551" s="2" t="str">
        <f>IFERROR(__xludf.DUMMYFUNCTION("""COMPUTED_VALUE"""),"0880")</f>
        <v>0880</v>
      </c>
      <c r="B551" s="2" t="str">
        <f>IFERROR(__xludf.DUMMYFUNCTION("""COMPUTED_VALUE"""),"DENVER COUNTY 1")</f>
        <v>DENVER COUNTY 1</v>
      </c>
      <c r="C551" s="2" t="str">
        <f>IFERROR(__xludf.DUMMYFUNCTION("""COMPUTED_VALUE"""),"03296")</f>
        <v>03296</v>
      </c>
      <c r="D551" s="2" t="str">
        <f>IFERROR(__xludf.DUMMYFUNCTION("""COMPUTED_VALUE"""),"GARDEN PLACE ELEMENTARY SCHOOL")</f>
        <v>GARDEN PLACE ELEMENTARY SCHOOL</v>
      </c>
      <c r="E551" s="3" t="str">
        <f>IFERROR(__xludf.DUMMYFUNCTION("""COMPUTED_VALUE"""),"Y")</f>
        <v>Y</v>
      </c>
      <c r="F551" s="3" t="str">
        <f>IFERROR(__xludf.DUMMYFUNCTION("""COMPUTED_VALUE"""),"Y")</f>
        <v>Y</v>
      </c>
      <c r="G551" s="3" t="str">
        <f>IFERROR(__xludf.DUMMYFUNCTION("""COMPUTED_VALUE"""),"Y")</f>
        <v>Y</v>
      </c>
      <c r="H551" s="3"/>
      <c r="I551" s="3" t="str">
        <f>IFERROR(__xludf.DUMMYFUNCTION("""COMPUTED_VALUE"""),"Y")</f>
        <v>Y</v>
      </c>
      <c r="J551" s="3" t="str">
        <f>IFERROR(__xludf.DUMMYFUNCTION("""COMPUTED_VALUE"""),"Y")</f>
        <v>Y</v>
      </c>
      <c r="K551" s="3" t="str">
        <f>IFERROR(__xludf.DUMMYFUNCTION("""COMPUTED_VALUE"""),"Y")</f>
        <v>Y</v>
      </c>
      <c r="L551" s="3" t="str">
        <f>IFERROR(__xludf.DUMMYFUNCTION("""COMPUTED_VALUE"""),"Group 23")</f>
        <v>Group 23</v>
      </c>
      <c r="M551" s="3"/>
      <c r="N551" s="5" t="str">
        <f>IFERROR(__xludf.DUMMYFUNCTION("""COMPUTED_VALUE""")," ")</f>
        <v> </v>
      </c>
      <c r="O551" s="5"/>
    </row>
    <row r="552">
      <c r="A552" s="2" t="str">
        <f>IFERROR(__xludf.DUMMYFUNCTION("""COMPUTED_VALUE"""),"0880")</f>
        <v>0880</v>
      </c>
      <c r="B552" s="2" t="str">
        <f>IFERROR(__xludf.DUMMYFUNCTION("""COMPUTED_VALUE"""),"DENVER COUNTY 1")</f>
        <v>DENVER COUNTY 1</v>
      </c>
      <c r="C552" s="2" t="str">
        <f>IFERROR(__xludf.DUMMYFUNCTION("""COMPUTED_VALUE"""),"03340")</f>
        <v>03340</v>
      </c>
      <c r="D552" s="2" t="str">
        <f>IFERROR(__xludf.DUMMYFUNCTION("""COMPUTED_VALUE"""),"LENA ARCHULETA ELEMENTARY SCHOOL")</f>
        <v>LENA ARCHULETA ELEMENTARY SCHOOL</v>
      </c>
      <c r="E552" s="3" t="str">
        <f>IFERROR(__xludf.DUMMYFUNCTION("""COMPUTED_VALUE"""),"Y")</f>
        <v>Y</v>
      </c>
      <c r="F552" s="3" t="str">
        <f>IFERROR(__xludf.DUMMYFUNCTION("""COMPUTED_VALUE"""),"Y")</f>
        <v>Y</v>
      </c>
      <c r="G552" s="3" t="str">
        <f>IFERROR(__xludf.DUMMYFUNCTION("""COMPUTED_VALUE"""),"Y")</f>
        <v>Y</v>
      </c>
      <c r="H552" s="3"/>
      <c r="I552" s="3" t="str">
        <f>IFERROR(__xludf.DUMMYFUNCTION("""COMPUTED_VALUE"""),"Y")</f>
        <v>Y</v>
      </c>
      <c r="J552" s="3" t="str">
        <f>IFERROR(__xludf.DUMMYFUNCTION("""COMPUTED_VALUE"""),"Y")</f>
        <v>Y</v>
      </c>
      <c r="K552" s="3" t="str">
        <f>IFERROR(__xludf.DUMMYFUNCTION("""COMPUTED_VALUE"""),"Y")</f>
        <v>Y</v>
      </c>
      <c r="L552" s="3" t="str">
        <f>IFERROR(__xludf.DUMMYFUNCTION("""COMPUTED_VALUE"""),"Group 1")</f>
        <v>Group 1</v>
      </c>
      <c r="M552" s="3"/>
      <c r="N552" s="5" t="str">
        <f>IFERROR(__xludf.DUMMYFUNCTION("""COMPUTED_VALUE""")," ")</f>
        <v> </v>
      </c>
      <c r="O552" s="5"/>
    </row>
    <row r="553">
      <c r="A553" s="2" t="str">
        <f>IFERROR(__xludf.DUMMYFUNCTION("""COMPUTED_VALUE"""),"0880")</f>
        <v>0880</v>
      </c>
      <c r="B553" s="2" t="str">
        <f>IFERROR(__xludf.DUMMYFUNCTION("""COMPUTED_VALUE"""),"DENVER COUNTY 1")</f>
        <v>DENVER COUNTY 1</v>
      </c>
      <c r="C553" s="2" t="str">
        <f>IFERROR(__xludf.DUMMYFUNCTION("""COMPUTED_VALUE"""),"03378")</f>
        <v>03378</v>
      </c>
      <c r="D553" s="2" t="str">
        <f>IFERROR(__xludf.DUMMYFUNCTION("""COMPUTED_VALUE"""),"GEORGE WASHINGTON HIGH SCHOOL")</f>
        <v>GEORGE WASHINGTON HIGH SCHOOL</v>
      </c>
      <c r="E553" s="3" t="str">
        <f>IFERROR(__xludf.DUMMYFUNCTION("""COMPUTED_VALUE"""),"Y")</f>
        <v>Y</v>
      </c>
      <c r="F553" s="3" t="str">
        <f>IFERROR(__xludf.DUMMYFUNCTION("""COMPUTED_VALUE"""),"Y")</f>
        <v>Y</v>
      </c>
      <c r="G553" s="3"/>
      <c r="H553" s="3"/>
      <c r="I553" s="3" t="str">
        <f>IFERROR(__xludf.DUMMYFUNCTION("""COMPUTED_VALUE""")," ")</f>
        <v> </v>
      </c>
      <c r="J553" s="3" t="str">
        <f>IFERROR(__xludf.DUMMYFUNCTION("""COMPUTED_VALUE""")," ")</f>
        <v> </v>
      </c>
      <c r="K553" s="3" t="str">
        <f>IFERROR(__xludf.DUMMYFUNCTION("""COMPUTED_VALUE"""),"Y")</f>
        <v>Y</v>
      </c>
      <c r="L553" s="3" t="str">
        <f>IFERROR(__xludf.DUMMYFUNCTION("""COMPUTED_VALUE"""),"Group 18")</f>
        <v>Group 18</v>
      </c>
      <c r="M553" s="3"/>
      <c r="N553" s="5" t="str">
        <f>IFERROR(__xludf.DUMMYFUNCTION("""COMPUTED_VALUE"""),"Y")</f>
        <v>Y</v>
      </c>
      <c r="O553" s="5"/>
    </row>
    <row r="554">
      <c r="A554" s="2" t="str">
        <f>IFERROR(__xludf.DUMMYFUNCTION("""COMPUTED_VALUE"""),"0880")</f>
        <v>0880</v>
      </c>
      <c r="B554" s="2" t="str">
        <f>IFERROR(__xludf.DUMMYFUNCTION("""COMPUTED_VALUE"""),"DENVER COUNTY 1")</f>
        <v>DENVER COUNTY 1</v>
      </c>
      <c r="C554" s="2" t="str">
        <f>IFERROR(__xludf.DUMMYFUNCTION("""COMPUTED_VALUE"""),"03478")</f>
        <v>03478</v>
      </c>
      <c r="D554" s="2" t="str">
        <f>IFERROR(__xludf.DUMMYFUNCTION("""COMPUTED_VALUE"""),"GODSMAN ELEMENTARY SCHOOL")</f>
        <v>GODSMAN ELEMENTARY SCHOOL</v>
      </c>
      <c r="E554" s="3" t="str">
        <f>IFERROR(__xludf.DUMMYFUNCTION("""COMPUTED_VALUE"""),"Y")</f>
        <v>Y</v>
      </c>
      <c r="F554" s="3" t="str">
        <f>IFERROR(__xludf.DUMMYFUNCTION("""COMPUTED_VALUE"""),"Y")</f>
        <v>Y</v>
      </c>
      <c r="G554" s="3" t="str">
        <f>IFERROR(__xludf.DUMMYFUNCTION("""COMPUTED_VALUE"""),"Y")</f>
        <v>Y</v>
      </c>
      <c r="H554" s="3"/>
      <c r="I554" s="3" t="str">
        <f>IFERROR(__xludf.DUMMYFUNCTION("""COMPUTED_VALUE"""),"Y")</f>
        <v>Y</v>
      </c>
      <c r="J554" s="3" t="str">
        <f>IFERROR(__xludf.DUMMYFUNCTION("""COMPUTED_VALUE"""),"Y")</f>
        <v>Y</v>
      </c>
      <c r="K554" s="3" t="str">
        <f>IFERROR(__xludf.DUMMYFUNCTION("""COMPUTED_VALUE"""),"Y")</f>
        <v>Y</v>
      </c>
      <c r="L554" s="3" t="str">
        <f>IFERROR(__xludf.DUMMYFUNCTION("""COMPUTED_VALUE"""),"Group 28")</f>
        <v>Group 28</v>
      </c>
      <c r="M554" s="3"/>
      <c r="N554" s="5" t="str">
        <f>IFERROR(__xludf.DUMMYFUNCTION("""COMPUTED_VALUE""")," ")</f>
        <v> </v>
      </c>
      <c r="O554" s="5"/>
    </row>
    <row r="555">
      <c r="A555" s="2" t="str">
        <f>IFERROR(__xludf.DUMMYFUNCTION("""COMPUTED_VALUE"""),"0880")</f>
        <v>0880</v>
      </c>
      <c r="B555" s="2" t="str">
        <f>IFERROR(__xludf.DUMMYFUNCTION("""COMPUTED_VALUE"""),"DENVER COUNTY 1")</f>
        <v>DENVER COUNTY 1</v>
      </c>
      <c r="C555" s="2" t="str">
        <f>IFERROR(__xludf.DUMMYFUNCTION("""COMPUTED_VALUE"""),"03512")</f>
        <v>03512</v>
      </c>
      <c r="D555" s="2" t="str">
        <f>IFERROR(__xludf.DUMMYFUNCTION("""COMPUTED_VALUE"""),"GOLDRICK ELEMENTARY SCHOOL")</f>
        <v>GOLDRICK ELEMENTARY SCHOOL</v>
      </c>
      <c r="E555" s="3" t="str">
        <f>IFERROR(__xludf.DUMMYFUNCTION("""COMPUTED_VALUE"""),"Y")</f>
        <v>Y</v>
      </c>
      <c r="F555" s="3" t="str">
        <f>IFERROR(__xludf.DUMMYFUNCTION("""COMPUTED_VALUE"""),"Y")</f>
        <v>Y</v>
      </c>
      <c r="G555" s="3" t="str">
        <f>IFERROR(__xludf.DUMMYFUNCTION("""COMPUTED_VALUE"""),"Y")</f>
        <v>Y</v>
      </c>
      <c r="H555" s="3"/>
      <c r="I555" s="3" t="str">
        <f>IFERROR(__xludf.DUMMYFUNCTION("""COMPUTED_VALUE"""),"Y")</f>
        <v>Y</v>
      </c>
      <c r="J555" s="3" t="str">
        <f>IFERROR(__xludf.DUMMYFUNCTION("""COMPUTED_VALUE"""),"Y")</f>
        <v>Y</v>
      </c>
      <c r="K555" s="3" t="str">
        <f>IFERROR(__xludf.DUMMYFUNCTION("""COMPUTED_VALUE"""),"Y")</f>
        <v>Y</v>
      </c>
      <c r="L555" s="3" t="str">
        <f>IFERROR(__xludf.DUMMYFUNCTION("""COMPUTED_VALUE"""),"Group 28")</f>
        <v>Group 28</v>
      </c>
      <c r="M555" s="3"/>
      <c r="N555" s="5" t="str">
        <f>IFERROR(__xludf.DUMMYFUNCTION("""COMPUTED_VALUE"""),"Y")</f>
        <v>Y</v>
      </c>
      <c r="O555" s="5"/>
    </row>
    <row r="556">
      <c r="A556" s="2" t="str">
        <f>IFERROR(__xludf.DUMMYFUNCTION("""COMPUTED_VALUE"""),"0880")</f>
        <v>0880</v>
      </c>
      <c r="B556" s="2" t="str">
        <f>IFERROR(__xludf.DUMMYFUNCTION("""COMPUTED_VALUE"""),"DENVER COUNTY 1")</f>
        <v>DENVER COUNTY 1</v>
      </c>
      <c r="C556" s="2" t="str">
        <f>IFERROR(__xludf.DUMMYFUNCTION("""COMPUTED_VALUE"""),"03540")</f>
        <v>03540</v>
      </c>
      <c r="D556" s="2" t="str">
        <f>IFERROR(__xludf.DUMMYFUNCTION("""COMPUTED_VALUE"""),"Girls Athletic Leadership School High School")</f>
        <v>Girls Athletic Leadership School High School</v>
      </c>
      <c r="E556" s="3" t="str">
        <f>IFERROR(__xludf.DUMMYFUNCTION("""COMPUTED_VALUE"""),"Y")</f>
        <v>Y</v>
      </c>
      <c r="F556" s="3" t="str">
        <f>IFERROR(__xludf.DUMMYFUNCTION("""COMPUTED_VALUE"""),"Y")</f>
        <v>Y</v>
      </c>
      <c r="G556" s="3"/>
      <c r="H556" s="3"/>
      <c r="I556" s="3" t="str">
        <f>IFERROR(__xludf.DUMMYFUNCTION("""COMPUTED_VALUE""")," ")</f>
        <v> </v>
      </c>
      <c r="J556" s="3" t="str">
        <f>IFERROR(__xludf.DUMMYFUNCTION("""COMPUTED_VALUE""")," ")</f>
        <v> </v>
      </c>
      <c r="K556" s="3" t="str">
        <f>IFERROR(__xludf.DUMMYFUNCTION("""COMPUTED_VALUE"""),"Y")</f>
        <v>Y</v>
      </c>
      <c r="L556" s="3" t="str">
        <f>IFERROR(__xludf.DUMMYFUNCTION("""COMPUTED_VALUE"""),"Group 25")</f>
        <v>Group 25</v>
      </c>
      <c r="M556" s="3"/>
      <c r="N556" s="5" t="str">
        <f>IFERROR(__xludf.DUMMYFUNCTION("""COMPUTED_VALUE""")," ")</f>
        <v> </v>
      </c>
      <c r="O556" s="5"/>
    </row>
    <row r="557">
      <c r="A557" s="2" t="str">
        <f>IFERROR(__xludf.DUMMYFUNCTION("""COMPUTED_VALUE"""),"0880")</f>
        <v>0880</v>
      </c>
      <c r="B557" s="2" t="str">
        <f>IFERROR(__xludf.DUMMYFUNCTION("""COMPUTED_VALUE"""),"DENVER COUNTY 1")</f>
        <v>DENVER COUNTY 1</v>
      </c>
      <c r="C557" s="2" t="str">
        <f>IFERROR(__xludf.DUMMYFUNCTION("""COMPUTED_VALUE"""),"03600")</f>
        <v>03600</v>
      </c>
      <c r="D557" s="2" t="str">
        <f>IFERROR(__xludf.DUMMYFUNCTION("""COMPUTED_VALUE"""),"GRANT BEACON MIDDLE SCHOOL")</f>
        <v>GRANT BEACON MIDDLE SCHOOL</v>
      </c>
      <c r="E557" s="3" t="str">
        <f>IFERROR(__xludf.DUMMYFUNCTION("""COMPUTED_VALUE"""),"Y")</f>
        <v>Y</v>
      </c>
      <c r="F557" s="3" t="str">
        <f>IFERROR(__xludf.DUMMYFUNCTION("""COMPUTED_VALUE"""),"Y")</f>
        <v>Y</v>
      </c>
      <c r="G557" s="3"/>
      <c r="H557" s="3"/>
      <c r="I557" s="3" t="str">
        <f>IFERROR(__xludf.DUMMYFUNCTION("""COMPUTED_VALUE""")," ")</f>
        <v> </v>
      </c>
      <c r="J557" s="3" t="str">
        <f>IFERROR(__xludf.DUMMYFUNCTION("""COMPUTED_VALUE""")," ")</f>
        <v> </v>
      </c>
      <c r="K557" s="3" t="str">
        <f>IFERROR(__xludf.DUMMYFUNCTION("""COMPUTED_VALUE"""),"Y")</f>
        <v>Y</v>
      </c>
      <c r="L557" s="3" t="str">
        <f>IFERROR(__xludf.DUMMYFUNCTION("""COMPUTED_VALUE"""),"Group 28")</f>
        <v>Group 28</v>
      </c>
      <c r="M557" s="3"/>
      <c r="N557" s="5" t="str">
        <f>IFERROR(__xludf.DUMMYFUNCTION("""COMPUTED_VALUE"""),"Y")</f>
        <v>Y</v>
      </c>
      <c r="O557" s="5"/>
    </row>
    <row r="558">
      <c r="A558" s="2" t="str">
        <f>IFERROR(__xludf.DUMMYFUNCTION("""COMPUTED_VALUE"""),"0880")</f>
        <v>0880</v>
      </c>
      <c r="B558" s="2" t="str">
        <f>IFERROR(__xludf.DUMMYFUNCTION("""COMPUTED_VALUE"""),"DENVER COUNTY 1")</f>
        <v>DENVER COUNTY 1</v>
      </c>
      <c r="C558" s="2" t="str">
        <f>IFERROR(__xludf.DUMMYFUNCTION("""COMPUTED_VALUE"""),"03605")</f>
        <v>03605</v>
      </c>
      <c r="D558" s="2" t="str">
        <f>IFERROR(__xludf.DUMMYFUNCTION("""COMPUTED_VALUE"""),"GRANT RANCH ECE-8 SCHOOL")</f>
        <v>GRANT RANCH ECE-8 SCHOOL</v>
      </c>
      <c r="E558" s="3" t="str">
        <f>IFERROR(__xludf.DUMMYFUNCTION("""COMPUTED_VALUE"""),"Y")</f>
        <v>Y</v>
      </c>
      <c r="F558" s="3" t="str">
        <f>IFERROR(__xludf.DUMMYFUNCTION("""COMPUTED_VALUE"""),"Y")</f>
        <v>Y</v>
      </c>
      <c r="G558" s="3"/>
      <c r="H558" s="3"/>
      <c r="I558" s="3" t="str">
        <f>IFERROR(__xludf.DUMMYFUNCTION("""COMPUTED_VALUE""")," ")</f>
        <v> </v>
      </c>
      <c r="J558" s="3" t="str">
        <f>IFERROR(__xludf.DUMMYFUNCTION("""COMPUTED_VALUE"""),"Y")</f>
        <v>Y</v>
      </c>
      <c r="K558" s="3" t="str">
        <f>IFERROR(__xludf.DUMMYFUNCTION("""COMPUTED_VALUE"""),"Y")</f>
        <v>Y</v>
      </c>
      <c r="L558" s="3" t="str">
        <f>IFERROR(__xludf.DUMMYFUNCTION("""COMPUTED_VALUE"""),"Group 28")</f>
        <v>Group 28</v>
      </c>
      <c r="M558" s="3"/>
      <c r="N558" s="5" t="str">
        <f>IFERROR(__xludf.DUMMYFUNCTION("""COMPUTED_VALUE""")," ")</f>
        <v> </v>
      </c>
      <c r="O558" s="5"/>
    </row>
    <row r="559">
      <c r="A559" s="2" t="str">
        <f>IFERROR(__xludf.DUMMYFUNCTION("""COMPUTED_VALUE"""),"0880")</f>
        <v>0880</v>
      </c>
      <c r="B559" s="2" t="str">
        <f>IFERROR(__xludf.DUMMYFUNCTION("""COMPUTED_VALUE"""),"DENVER COUNTY 1")</f>
        <v>DENVER COUNTY 1</v>
      </c>
      <c r="C559" s="2" t="str">
        <f>IFERROR(__xludf.DUMMYFUNCTION("""COMPUTED_VALUE"""),"03639")</f>
        <v>03639</v>
      </c>
      <c r="D559" s="2" t="str">
        <f>IFERROR(__xludf.DUMMYFUNCTION("""COMPUTED_VALUE"""),"GIRLS ATHLETIC LEADERSHIP SCHOOL MIDDLE SCHOOL")</f>
        <v>GIRLS ATHLETIC LEADERSHIP SCHOOL MIDDLE SCHOOL</v>
      </c>
      <c r="E559" s="3" t="str">
        <f>IFERROR(__xludf.DUMMYFUNCTION("""COMPUTED_VALUE"""),"Y")</f>
        <v>Y</v>
      </c>
      <c r="F559" s="3" t="str">
        <f>IFERROR(__xludf.DUMMYFUNCTION("""COMPUTED_VALUE"""),"Y")</f>
        <v>Y</v>
      </c>
      <c r="G559" s="3"/>
      <c r="H559" s="3"/>
      <c r="I559" s="3" t="str">
        <f>IFERROR(__xludf.DUMMYFUNCTION("""COMPUTED_VALUE""")," ")</f>
        <v> </v>
      </c>
      <c r="J559" s="3" t="str">
        <f>IFERROR(__xludf.DUMMYFUNCTION("""COMPUTED_VALUE""")," ")</f>
        <v> </v>
      </c>
      <c r="K559" s="3" t="str">
        <f>IFERROR(__xludf.DUMMYFUNCTION("""COMPUTED_VALUE"""),"Y")</f>
        <v>Y</v>
      </c>
      <c r="L559" s="3" t="str">
        <f>IFERROR(__xludf.DUMMYFUNCTION("""COMPUTED_VALUE""")," ")</f>
        <v> </v>
      </c>
      <c r="M559" s="3"/>
      <c r="N559" s="5" t="str">
        <f>IFERROR(__xludf.DUMMYFUNCTION("""COMPUTED_VALUE""")," ")</f>
        <v> </v>
      </c>
      <c r="O559" s="5"/>
    </row>
    <row r="560">
      <c r="A560" s="2" t="str">
        <f>IFERROR(__xludf.DUMMYFUNCTION("""COMPUTED_VALUE"""),"0880")</f>
        <v>0880</v>
      </c>
      <c r="B560" s="2" t="str">
        <f>IFERROR(__xludf.DUMMYFUNCTION("""COMPUTED_VALUE"""),"DENVER COUNTY 1")</f>
        <v>DENVER COUNTY 1</v>
      </c>
      <c r="C560" s="2" t="str">
        <f>IFERROR(__xludf.DUMMYFUNCTION("""COMPUTED_VALUE"""),"03641")</f>
        <v>03641</v>
      </c>
      <c r="D560" s="2" t="str">
        <f>IFERROR(__xludf.DUMMYFUNCTION("""COMPUTED_VALUE"""),"GREEN VALLEY ELEMENTARY SCHOOL")</f>
        <v>GREEN VALLEY ELEMENTARY SCHOOL</v>
      </c>
      <c r="E560" s="3" t="str">
        <f>IFERROR(__xludf.DUMMYFUNCTION("""COMPUTED_VALUE"""),"Y")</f>
        <v>Y</v>
      </c>
      <c r="F560" s="3" t="str">
        <f>IFERROR(__xludf.DUMMYFUNCTION("""COMPUTED_VALUE"""),"Y")</f>
        <v>Y</v>
      </c>
      <c r="G560" s="3" t="str">
        <f>IFERROR(__xludf.DUMMYFUNCTION("""COMPUTED_VALUE"""),"Y")</f>
        <v>Y</v>
      </c>
      <c r="H560" s="3"/>
      <c r="I560" s="3" t="str">
        <f>IFERROR(__xludf.DUMMYFUNCTION("""COMPUTED_VALUE"""),"Y")</f>
        <v>Y</v>
      </c>
      <c r="J560" s="3" t="str">
        <f>IFERROR(__xludf.DUMMYFUNCTION("""COMPUTED_VALUE"""),"Y")</f>
        <v>Y</v>
      </c>
      <c r="K560" s="3" t="str">
        <f>IFERROR(__xludf.DUMMYFUNCTION("""COMPUTED_VALUE"""),"Y")</f>
        <v>Y</v>
      </c>
      <c r="L560" s="3" t="str">
        <f>IFERROR(__xludf.DUMMYFUNCTION("""COMPUTED_VALUE"""),"Group 28")</f>
        <v>Group 28</v>
      </c>
      <c r="M560" s="3"/>
      <c r="N560" s="5" t="str">
        <f>IFERROR(__xludf.DUMMYFUNCTION("""COMPUTED_VALUE"""),"Y")</f>
        <v>Y</v>
      </c>
      <c r="O560" s="5"/>
    </row>
    <row r="561">
      <c r="A561" s="2" t="str">
        <f>IFERROR(__xludf.DUMMYFUNCTION("""COMPUTED_VALUE"""),"0880")</f>
        <v>0880</v>
      </c>
      <c r="B561" s="2" t="str">
        <f>IFERROR(__xludf.DUMMYFUNCTION("""COMPUTED_VALUE"""),"DENVER COUNTY 1")</f>
        <v>DENVER COUNTY 1</v>
      </c>
      <c r="C561" s="2" t="str">
        <f>IFERROR(__xludf.DUMMYFUNCTION("""COMPUTED_VALUE"""),"03647")</f>
        <v>03647</v>
      </c>
      <c r="D561" s="2" t="str">
        <f>IFERROR(__xludf.DUMMYFUNCTION("""COMPUTED_VALUE"""),"MARIE L. GREENWOOD ACADEMY")</f>
        <v>MARIE L. GREENWOOD ACADEMY</v>
      </c>
      <c r="E561" s="3" t="str">
        <f>IFERROR(__xludf.DUMMYFUNCTION("""COMPUTED_VALUE"""),"Y")</f>
        <v>Y</v>
      </c>
      <c r="F561" s="3" t="str">
        <f>IFERROR(__xludf.DUMMYFUNCTION("""COMPUTED_VALUE"""),"Y")</f>
        <v>Y</v>
      </c>
      <c r="G561" s="3" t="str">
        <f>IFERROR(__xludf.DUMMYFUNCTION("""COMPUTED_VALUE"""),"Y")</f>
        <v>Y</v>
      </c>
      <c r="H561" s="3"/>
      <c r="I561" s="3" t="str">
        <f>IFERROR(__xludf.DUMMYFUNCTION("""COMPUTED_VALUE"""),"Y")</f>
        <v>Y</v>
      </c>
      <c r="J561" s="3" t="str">
        <f>IFERROR(__xludf.DUMMYFUNCTION("""COMPUTED_VALUE"""),"Y")</f>
        <v>Y</v>
      </c>
      <c r="K561" s="3" t="str">
        <f>IFERROR(__xludf.DUMMYFUNCTION("""COMPUTED_VALUE"""),"Y")</f>
        <v>Y</v>
      </c>
      <c r="L561" s="3" t="str">
        <f>IFERROR(__xludf.DUMMYFUNCTION("""COMPUTED_VALUE"""),"Group 28")</f>
        <v>Group 28</v>
      </c>
      <c r="M561" s="3"/>
      <c r="N561" s="5" t="str">
        <f>IFERROR(__xludf.DUMMYFUNCTION("""COMPUTED_VALUE""")," ")</f>
        <v> </v>
      </c>
      <c r="O561" s="5"/>
    </row>
    <row r="562">
      <c r="A562" s="2" t="str">
        <f>IFERROR(__xludf.DUMMYFUNCTION("""COMPUTED_VALUE"""),"0880")</f>
        <v>0880</v>
      </c>
      <c r="B562" s="2" t="str">
        <f>IFERROR(__xludf.DUMMYFUNCTION("""COMPUTED_VALUE"""),"DENVER COUNTY 1")</f>
        <v>DENVER COUNTY 1</v>
      </c>
      <c r="C562" s="2" t="str">
        <f>IFERROR(__xludf.DUMMYFUNCTION("""COMPUTED_VALUE"""),"03655")</f>
        <v>03655</v>
      </c>
      <c r="D562" s="2" t="str">
        <f>IFERROR(__xludf.DUMMYFUNCTION("""COMPUTED_VALUE"""),"GREENLEE ELEMENTARY SCHOOL")</f>
        <v>GREENLEE ELEMENTARY SCHOOL</v>
      </c>
      <c r="E562" s="3" t="str">
        <f>IFERROR(__xludf.DUMMYFUNCTION("""COMPUTED_VALUE"""),"Y")</f>
        <v>Y</v>
      </c>
      <c r="F562" s="3" t="str">
        <f>IFERROR(__xludf.DUMMYFUNCTION("""COMPUTED_VALUE"""),"Y")</f>
        <v>Y</v>
      </c>
      <c r="G562" s="3" t="str">
        <f>IFERROR(__xludf.DUMMYFUNCTION("""COMPUTED_VALUE"""),"Y")</f>
        <v>Y</v>
      </c>
      <c r="H562" s="3"/>
      <c r="I562" s="3" t="str">
        <f>IFERROR(__xludf.DUMMYFUNCTION("""COMPUTED_VALUE"""),"Y")</f>
        <v>Y</v>
      </c>
      <c r="J562" s="3" t="str">
        <f>IFERROR(__xludf.DUMMYFUNCTION("""COMPUTED_VALUE"""),"Y")</f>
        <v>Y</v>
      </c>
      <c r="K562" s="3" t="str">
        <f>IFERROR(__xludf.DUMMYFUNCTION("""COMPUTED_VALUE"""),"Y")</f>
        <v>Y</v>
      </c>
      <c r="L562" s="3" t="str">
        <f>IFERROR(__xludf.DUMMYFUNCTION("""COMPUTED_VALUE"""),"Group 1")</f>
        <v>Group 1</v>
      </c>
      <c r="M562" s="3"/>
      <c r="N562" s="5" t="str">
        <f>IFERROR(__xludf.DUMMYFUNCTION("""COMPUTED_VALUE"""),"Y")</f>
        <v>Y</v>
      </c>
      <c r="O562" s="5"/>
    </row>
    <row r="563">
      <c r="A563" s="2" t="str">
        <f>IFERROR(__xludf.DUMMYFUNCTION("""COMPUTED_VALUE"""),"0880")</f>
        <v>0880</v>
      </c>
      <c r="B563" s="2" t="str">
        <f>IFERROR(__xludf.DUMMYFUNCTION("""COMPUTED_VALUE"""),"DENVER COUNTY 1")</f>
        <v>DENVER COUNTY 1</v>
      </c>
      <c r="C563" s="2" t="str">
        <f>IFERROR(__xludf.DUMMYFUNCTION("""COMPUTED_VALUE"""),"03698")</f>
        <v>03698</v>
      </c>
      <c r="D563" s="2" t="str">
        <f>IFERROR(__xludf.DUMMYFUNCTION("""COMPUTED_VALUE"""),"Creative Challenge Community")</f>
        <v>Creative Challenge Community</v>
      </c>
      <c r="E563" s="3" t="str">
        <f>IFERROR(__xludf.DUMMYFUNCTION("""COMPUTED_VALUE"""),"Y")</f>
        <v>Y</v>
      </c>
      <c r="F563" s="3" t="str">
        <f>IFERROR(__xludf.DUMMYFUNCTION("""COMPUTED_VALUE"""),"Y")</f>
        <v>Y</v>
      </c>
      <c r="G563" s="3"/>
      <c r="H563" s="3"/>
      <c r="I563" s="3" t="str">
        <f>IFERROR(__xludf.DUMMYFUNCTION("""COMPUTED_VALUE""")," ")</f>
        <v> </v>
      </c>
      <c r="J563" s="3" t="str">
        <f>IFERROR(__xludf.DUMMYFUNCTION("""COMPUTED_VALUE""")," ")</f>
        <v> </v>
      </c>
      <c r="K563" s="3" t="str">
        <f>IFERROR(__xludf.DUMMYFUNCTION("""COMPUTED_VALUE"""),"Y")</f>
        <v>Y</v>
      </c>
      <c r="L563" s="3" t="str">
        <f>IFERROR(__xludf.DUMMYFUNCTION("""COMPUTED_VALUE""")," ")</f>
        <v> </v>
      </c>
      <c r="M563" s="3"/>
      <c r="N563" s="5" t="str">
        <f>IFERROR(__xludf.DUMMYFUNCTION("""COMPUTED_VALUE""")," ")</f>
        <v> </v>
      </c>
      <c r="O563" s="5"/>
    </row>
    <row r="564">
      <c r="A564" s="2" t="str">
        <f>IFERROR(__xludf.DUMMYFUNCTION("""COMPUTED_VALUE"""),"0880")</f>
        <v>0880</v>
      </c>
      <c r="B564" s="2" t="str">
        <f>IFERROR(__xludf.DUMMYFUNCTION("""COMPUTED_VALUE"""),"DENVER COUNTY 1")</f>
        <v>DENVER COUNTY 1</v>
      </c>
      <c r="C564" s="2" t="str">
        <f>IFERROR(__xludf.DUMMYFUNCTION("""COMPUTED_VALUE"""),"03699")</f>
        <v>03699</v>
      </c>
      <c r="D564" s="2" t="str">
        <f>IFERROR(__xludf.DUMMYFUNCTION("""COMPUTED_VALUE"""),"Delta High School")</f>
        <v>Delta High School</v>
      </c>
      <c r="E564" s="3" t="str">
        <f>IFERROR(__xludf.DUMMYFUNCTION("""COMPUTED_VALUE"""),"Y")</f>
        <v>Y</v>
      </c>
      <c r="F564" s="3" t="str">
        <f>IFERROR(__xludf.DUMMYFUNCTION("""COMPUTED_VALUE"""),"Y")</f>
        <v>Y</v>
      </c>
      <c r="G564" s="3"/>
      <c r="H564" s="3"/>
      <c r="I564" s="3" t="str">
        <f>IFERROR(__xludf.DUMMYFUNCTION("""COMPUTED_VALUE""")," ")</f>
        <v> </v>
      </c>
      <c r="J564" s="3" t="str">
        <f>IFERROR(__xludf.DUMMYFUNCTION("""COMPUTED_VALUE"""),"Y")</f>
        <v>Y</v>
      </c>
      <c r="K564" s="3" t="str">
        <f>IFERROR(__xludf.DUMMYFUNCTION("""COMPUTED_VALUE"""),"Y")</f>
        <v>Y</v>
      </c>
      <c r="L564" s="3" t="str">
        <f>IFERROR(__xludf.DUMMYFUNCTION("""COMPUTED_VALUE"""),"Group 28")</f>
        <v>Group 28</v>
      </c>
      <c r="M564" s="3"/>
      <c r="N564" s="5" t="str">
        <f>IFERROR(__xludf.DUMMYFUNCTION("""COMPUTED_VALUE""")," ")</f>
        <v> </v>
      </c>
      <c r="O564" s="5"/>
    </row>
    <row r="565">
      <c r="A565" s="2" t="str">
        <f>IFERROR(__xludf.DUMMYFUNCTION("""COMPUTED_VALUE"""),"0880")</f>
        <v>0880</v>
      </c>
      <c r="B565" s="2" t="str">
        <f>IFERROR(__xludf.DUMMYFUNCTION("""COMPUTED_VALUE"""),"DENVER COUNTY 1")</f>
        <v>DENVER COUNTY 1</v>
      </c>
      <c r="C565" s="2" t="str">
        <f>IFERROR(__xludf.DUMMYFUNCTION("""COMPUTED_VALUE"""),"03704")</f>
        <v>03704</v>
      </c>
      <c r="D565" s="2" t="str">
        <f>IFERROR(__xludf.DUMMYFUNCTION("""COMPUTED_VALUE"""),"GUST ELEMENTARY SCHOOL")</f>
        <v>GUST ELEMENTARY SCHOOL</v>
      </c>
      <c r="E565" s="3" t="str">
        <f>IFERROR(__xludf.DUMMYFUNCTION("""COMPUTED_VALUE"""),"Y")</f>
        <v>Y</v>
      </c>
      <c r="F565" s="3" t="str">
        <f>IFERROR(__xludf.DUMMYFUNCTION("""COMPUTED_VALUE"""),"Y")</f>
        <v>Y</v>
      </c>
      <c r="G565" s="3" t="str">
        <f>IFERROR(__xludf.DUMMYFUNCTION("""COMPUTED_VALUE"""),"Y")</f>
        <v>Y</v>
      </c>
      <c r="H565" s="3"/>
      <c r="I565" s="3" t="str">
        <f>IFERROR(__xludf.DUMMYFUNCTION("""COMPUTED_VALUE""")," ")</f>
        <v> </v>
      </c>
      <c r="J565" s="3" t="str">
        <f>IFERROR(__xludf.DUMMYFUNCTION("""COMPUTED_VALUE"""),"Y")</f>
        <v>Y</v>
      </c>
      <c r="K565" s="3" t="str">
        <f>IFERROR(__xludf.DUMMYFUNCTION("""COMPUTED_VALUE"""),"Y")</f>
        <v>Y</v>
      </c>
      <c r="L565" s="3" t="str">
        <f>IFERROR(__xludf.DUMMYFUNCTION("""COMPUTED_VALUE"""),"Group 27")</f>
        <v>Group 27</v>
      </c>
      <c r="M565" s="3"/>
      <c r="N565" s="5" t="str">
        <f>IFERROR(__xludf.DUMMYFUNCTION("""COMPUTED_VALUE""")," ")</f>
        <v> </v>
      </c>
      <c r="O565" s="5"/>
    </row>
    <row r="566">
      <c r="A566" s="2" t="str">
        <f>IFERROR(__xludf.DUMMYFUNCTION("""COMPUTED_VALUE"""),"0880")</f>
        <v>0880</v>
      </c>
      <c r="B566" s="2" t="str">
        <f>IFERROR(__xludf.DUMMYFUNCTION("""COMPUTED_VALUE"""),"DENVER COUNTY 1")</f>
        <v>DENVER COUNTY 1</v>
      </c>
      <c r="C566" s="2" t="str">
        <f>IFERROR(__xludf.DUMMYFUNCTION("""COMPUTED_VALUE"""),"03746")</f>
        <v>03746</v>
      </c>
      <c r="D566" s="2" t="str">
        <f>IFERROR(__xludf.DUMMYFUNCTION("""COMPUTED_VALUE"""),"HAMILTON MIDDLE SCHOOL")</f>
        <v>HAMILTON MIDDLE SCHOOL</v>
      </c>
      <c r="E566" s="3" t="str">
        <f>IFERROR(__xludf.DUMMYFUNCTION("""COMPUTED_VALUE"""),"Y")</f>
        <v>Y</v>
      </c>
      <c r="F566" s="3" t="str">
        <f>IFERROR(__xludf.DUMMYFUNCTION("""COMPUTED_VALUE"""),"Y")</f>
        <v>Y</v>
      </c>
      <c r="G566" s="3"/>
      <c r="H566" s="3"/>
      <c r="I566" s="3" t="str">
        <f>IFERROR(__xludf.DUMMYFUNCTION("""COMPUTED_VALUE""")," ")</f>
        <v> </v>
      </c>
      <c r="J566" s="3" t="str">
        <f>IFERROR(__xludf.DUMMYFUNCTION("""COMPUTED_VALUE""")," ")</f>
        <v> </v>
      </c>
      <c r="K566" s="3" t="str">
        <f>IFERROR(__xludf.DUMMYFUNCTION("""COMPUTED_VALUE"""),"Y")</f>
        <v>Y</v>
      </c>
      <c r="L566" s="3" t="str">
        <f>IFERROR(__xludf.DUMMYFUNCTION("""COMPUTED_VALUE"""),"Group 1")</f>
        <v>Group 1</v>
      </c>
      <c r="M566" s="3"/>
      <c r="N566" s="5" t="str">
        <f>IFERROR(__xludf.DUMMYFUNCTION("""COMPUTED_VALUE"""),"Y")</f>
        <v>Y</v>
      </c>
      <c r="O566" s="5"/>
    </row>
    <row r="567">
      <c r="A567" s="2" t="str">
        <f>IFERROR(__xludf.DUMMYFUNCTION("""COMPUTED_VALUE"""),"0880")</f>
        <v>0880</v>
      </c>
      <c r="B567" s="2" t="str">
        <f>IFERROR(__xludf.DUMMYFUNCTION("""COMPUTED_VALUE"""),"DENVER COUNTY 1")</f>
        <v>DENVER COUNTY 1</v>
      </c>
      <c r="C567" s="2" t="str">
        <f>IFERROR(__xludf.DUMMYFUNCTION("""COMPUTED_VALUE"""),"03778")</f>
        <v>03778</v>
      </c>
      <c r="D567" s="2" t="str">
        <f>IFERROR(__xludf.DUMMYFUNCTION("""COMPUTED_VALUE"""),"HARRINGTON ELEMENTARY SCHOOL")</f>
        <v>HARRINGTON ELEMENTARY SCHOOL</v>
      </c>
      <c r="E567" s="3" t="str">
        <f>IFERROR(__xludf.DUMMYFUNCTION("""COMPUTED_VALUE"""),"Y")</f>
        <v>Y</v>
      </c>
      <c r="F567" s="3" t="str">
        <f>IFERROR(__xludf.DUMMYFUNCTION("""COMPUTED_VALUE"""),"Y")</f>
        <v>Y</v>
      </c>
      <c r="G567" s="3" t="str">
        <f>IFERROR(__xludf.DUMMYFUNCTION("""COMPUTED_VALUE"""),"Y")</f>
        <v>Y</v>
      </c>
      <c r="H567" s="3"/>
      <c r="I567" s="3" t="str">
        <f>IFERROR(__xludf.DUMMYFUNCTION("""COMPUTED_VALUE"""),"Y")</f>
        <v>Y</v>
      </c>
      <c r="J567" s="3" t="str">
        <f>IFERROR(__xludf.DUMMYFUNCTION("""COMPUTED_VALUE"""),"Y")</f>
        <v>Y</v>
      </c>
      <c r="K567" s="3" t="str">
        <f>IFERROR(__xludf.DUMMYFUNCTION("""COMPUTED_VALUE"""),"Y")</f>
        <v>Y</v>
      </c>
      <c r="L567" s="3" t="str">
        <f>IFERROR(__xludf.DUMMYFUNCTION("""COMPUTED_VALUE"""),"Group 28")</f>
        <v>Group 28</v>
      </c>
      <c r="M567" s="3"/>
      <c r="N567" s="5" t="str">
        <f>IFERROR(__xludf.DUMMYFUNCTION("""COMPUTED_VALUE"""),"Y")</f>
        <v>Y</v>
      </c>
      <c r="O567" s="5"/>
    </row>
    <row r="568">
      <c r="A568" s="2" t="str">
        <f>IFERROR(__xludf.DUMMYFUNCTION("""COMPUTED_VALUE"""),"0880")</f>
        <v>0880</v>
      </c>
      <c r="B568" s="2" t="str">
        <f>IFERROR(__xludf.DUMMYFUNCTION("""COMPUTED_VALUE"""),"DENVER COUNTY 1")</f>
        <v>DENVER COUNTY 1</v>
      </c>
      <c r="C568" s="2" t="str">
        <f>IFERROR(__xludf.DUMMYFUNCTION("""COMPUTED_VALUE"""),"03987")</f>
        <v>03987</v>
      </c>
      <c r="D568" s="2" t="str">
        <f>IFERROR(__xludf.DUMMYFUNCTION("""COMPUTED_VALUE"""),"HIGHLINE ACADEMY CHARTER SCHOOL")</f>
        <v>HIGHLINE ACADEMY CHARTER SCHOOL</v>
      </c>
      <c r="E568" s="3" t="str">
        <f>IFERROR(__xludf.DUMMYFUNCTION("""COMPUTED_VALUE"""),"Y")</f>
        <v>Y</v>
      </c>
      <c r="F568" s="3" t="str">
        <f>IFERROR(__xludf.DUMMYFUNCTION("""COMPUTED_VALUE"""),"Y")</f>
        <v>Y</v>
      </c>
      <c r="G568" s="3"/>
      <c r="H568" s="3"/>
      <c r="I568" s="3" t="str">
        <f>IFERROR(__xludf.DUMMYFUNCTION("""COMPUTED_VALUE""")," ")</f>
        <v> </v>
      </c>
      <c r="J568" s="3" t="str">
        <f>IFERROR(__xludf.DUMMYFUNCTION("""COMPUTED_VALUE""")," ")</f>
        <v> </v>
      </c>
      <c r="K568" s="3" t="str">
        <f>IFERROR(__xludf.DUMMYFUNCTION("""COMPUTED_VALUE"""),"Y")</f>
        <v>Y</v>
      </c>
      <c r="L568" s="3" t="str">
        <f>IFERROR(__xludf.DUMMYFUNCTION("""COMPUTED_VALUE"""),"Group 25")</f>
        <v>Group 25</v>
      </c>
      <c r="M568" s="3"/>
      <c r="N568" s="5" t="str">
        <f>IFERROR(__xludf.DUMMYFUNCTION("""COMPUTED_VALUE""")," ")</f>
        <v> </v>
      </c>
      <c r="O568" s="5"/>
    </row>
    <row r="569">
      <c r="A569" s="2" t="str">
        <f>IFERROR(__xludf.DUMMYFUNCTION("""COMPUTED_VALUE"""),"0880")</f>
        <v>0880</v>
      </c>
      <c r="B569" s="2" t="str">
        <f>IFERROR(__xludf.DUMMYFUNCTION("""COMPUTED_VALUE"""),"DENVER COUNTY 1")</f>
        <v>DENVER COUNTY 1</v>
      </c>
      <c r="C569" s="2" t="str">
        <f>IFERROR(__xludf.DUMMYFUNCTION("""COMPUTED_VALUE"""),"03990")</f>
        <v>03990</v>
      </c>
      <c r="D569" s="2" t="str">
        <f>IFERROR(__xludf.DUMMYFUNCTION("""COMPUTED_VALUE"""),"HILL CAMPUS OF ARTS AND SCIENCES")</f>
        <v>HILL CAMPUS OF ARTS AND SCIENCES</v>
      </c>
      <c r="E569" s="3" t="str">
        <f>IFERROR(__xludf.DUMMYFUNCTION("""COMPUTED_VALUE"""),"Y")</f>
        <v>Y</v>
      </c>
      <c r="F569" s="3" t="str">
        <f>IFERROR(__xludf.DUMMYFUNCTION("""COMPUTED_VALUE"""),"Y")</f>
        <v>Y</v>
      </c>
      <c r="G569" s="3"/>
      <c r="H569" s="3"/>
      <c r="I569" s="3" t="str">
        <f>IFERROR(__xludf.DUMMYFUNCTION("""COMPUTED_VALUE""")," ")</f>
        <v> </v>
      </c>
      <c r="J569" s="3" t="str">
        <f>IFERROR(__xludf.DUMMYFUNCTION("""COMPUTED_VALUE""")," ")</f>
        <v> </v>
      </c>
      <c r="K569" s="3" t="str">
        <f>IFERROR(__xludf.DUMMYFUNCTION("""COMPUTED_VALUE"""),"Y")</f>
        <v>Y</v>
      </c>
      <c r="L569" s="3" t="str">
        <f>IFERROR(__xludf.DUMMYFUNCTION("""COMPUTED_VALUE"""),"Group 17")</f>
        <v>Group 17</v>
      </c>
      <c r="M569" s="3"/>
      <c r="N569" s="5" t="str">
        <f>IFERROR(__xludf.DUMMYFUNCTION("""COMPUTED_VALUE"""),"Y")</f>
        <v>Y</v>
      </c>
      <c r="O569" s="5"/>
    </row>
    <row r="570">
      <c r="A570" s="2" t="str">
        <f>IFERROR(__xludf.DUMMYFUNCTION("""COMPUTED_VALUE"""),"0880")</f>
        <v>0880</v>
      </c>
      <c r="B570" s="2" t="str">
        <f>IFERROR(__xludf.DUMMYFUNCTION("""COMPUTED_VALUE"""),"DENVER COUNTY 1")</f>
        <v>DENVER COUNTY 1</v>
      </c>
      <c r="C570" s="2" t="str">
        <f>IFERROR(__xludf.DUMMYFUNCTION("""COMPUTED_VALUE"""),"03991")</f>
        <v>03991</v>
      </c>
      <c r="D570" s="2" t="str">
        <f>IFERROR(__xludf.DUMMYFUNCTION("""COMPUTED_VALUE"""),"WILLOW ELEMENTARY SCHOOL")</f>
        <v>WILLOW ELEMENTARY SCHOOL</v>
      </c>
      <c r="E570" s="3" t="str">
        <f>IFERROR(__xludf.DUMMYFUNCTION("""COMPUTED_VALUE"""),"Y")</f>
        <v>Y</v>
      </c>
      <c r="F570" s="3" t="str">
        <f>IFERROR(__xludf.DUMMYFUNCTION("""COMPUTED_VALUE"""),"Y")</f>
        <v>Y</v>
      </c>
      <c r="G570" s="3"/>
      <c r="H570" s="3"/>
      <c r="I570" s="3" t="str">
        <f>IFERROR(__xludf.DUMMYFUNCTION("""COMPUTED_VALUE""")," ")</f>
        <v> </v>
      </c>
      <c r="J570" s="3" t="str">
        <f>IFERROR(__xludf.DUMMYFUNCTION("""COMPUTED_VALUE""")," ")</f>
        <v> </v>
      </c>
      <c r="K570" s="3" t="str">
        <f>IFERROR(__xludf.DUMMYFUNCTION("""COMPUTED_VALUE"""),"Y")</f>
        <v>Y</v>
      </c>
      <c r="L570" s="3" t="str">
        <f>IFERROR(__xludf.DUMMYFUNCTION("""COMPUTED_VALUE""")," ")</f>
        <v> </v>
      </c>
      <c r="M570" s="3"/>
      <c r="N570" s="5" t="str">
        <f>IFERROR(__xludf.DUMMYFUNCTION("""COMPUTED_VALUE""")," ")</f>
        <v> </v>
      </c>
      <c r="O570" s="5"/>
    </row>
    <row r="571">
      <c r="A571" s="2" t="str">
        <f>IFERROR(__xludf.DUMMYFUNCTION("""COMPUTED_VALUE"""),"0880")</f>
        <v>0880</v>
      </c>
      <c r="B571" s="2" t="str">
        <f>IFERROR(__xludf.DUMMYFUNCTION("""COMPUTED_VALUE"""),"DENVER COUNTY 1")</f>
        <v>DENVER COUNTY 1</v>
      </c>
      <c r="C571" s="2" t="str">
        <f>IFERROR(__xludf.DUMMYFUNCTION("""COMPUTED_VALUE"""),"04049")</f>
        <v>04049</v>
      </c>
      <c r="D571" s="2" t="str">
        <f>IFERROR(__xludf.DUMMYFUNCTION("""COMPUTED_VALUE"""),"HIGHLINE ACADEMY NORTHEAST")</f>
        <v>HIGHLINE ACADEMY NORTHEAST</v>
      </c>
      <c r="E571" s="3" t="str">
        <f>IFERROR(__xludf.DUMMYFUNCTION("""COMPUTED_VALUE"""),"Y")</f>
        <v>Y</v>
      </c>
      <c r="F571" s="3" t="str">
        <f>IFERROR(__xludf.DUMMYFUNCTION("""COMPUTED_VALUE"""),"Y")</f>
        <v>Y</v>
      </c>
      <c r="G571" s="3"/>
      <c r="H571" s="3"/>
      <c r="I571" s="3" t="str">
        <f>IFERROR(__xludf.DUMMYFUNCTION("""COMPUTED_VALUE""")," ")</f>
        <v> </v>
      </c>
      <c r="J571" s="3" t="str">
        <f>IFERROR(__xludf.DUMMYFUNCTION("""COMPUTED_VALUE"""),"Y")</f>
        <v>Y</v>
      </c>
      <c r="K571" s="3" t="str">
        <f>IFERROR(__xludf.DUMMYFUNCTION("""COMPUTED_VALUE"""),"Y")</f>
        <v>Y</v>
      </c>
      <c r="L571" s="3" t="str">
        <f>IFERROR(__xludf.DUMMYFUNCTION("""COMPUTED_VALUE"""),"Group 1")</f>
        <v>Group 1</v>
      </c>
      <c r="M571" s="3"/>
      <c r="N571" s="5" t="str">
        <f>IFERROR(__xludf.DUMMYFUNCTION("""COMPUTED_VALUE"""),"Y")</f>
        <v>Y</v>
      </c>
      <c r="O571" s="5"/>
    </row>
    <row r="572">
      <c r="A572" s="2" t="str">
        <f>IFERROR(__xludf.DUMMYFUNCTION("""COMPUTED_VALUE"""),"0880")</f>
        <v>0880</v>
      </c>
      <c r="B572" s="2" t="str">
        <f>IFERROR(__xludf.DUMMYFUNCTION("""COMPUTED_VALUE"""),"DENVER COUNTY 1")</f>
        <v>DENVER COUNTY 1</v>
      </c>
      <c r="C572" s="2" t="str">
        <f>IFERROR(__xludf.DUMMYFUNCTION("""COMPUTED_VALUE"""),"04074")</f>
        <v>04074</v>
      </c>
      <c r="D572" s="2" t="str">
        <f>IFERROR(__xludf.DUMMYFUNCTION("""COMPUTED_VALUE"""),"HOLM ELEMENTARY SCHOOL")</f>
        <v>HOLM ELEMENTARY SCHOOL</v>
      </c>
      <c r="E572" s="3" t="str">
        <f>IFERROR(__xludf.DUMMYFUNCTION("""COMPUTED_VALUE"""),"Y")</f>
        <v>Y</v>
      </c>
      <c r="F572" s="3" t="str">
        <f>IFERROR(__xludf.DUMMYFUNCTION("""COMPUTED_VALUE"""),"Y")</f>
        <v>Y</v>
      </c>
      <c r="G572" s="3" t="str">
        <f>IFERROR(__xludf.DUMMYFUNCTION("""COMPUTED_VALUE"""),"Y")</f>
        <v>Y</v>
      </c>
      <c r="H572" s="3"/>
      <c r="I572" s="3" t="str">
        <f>IFERROR(__xludf.DUMMYFUNCTION("""COMPUTED_VALUE"""),"Y")</f>
        <v>Y</v>
      </c>
      <c r="J572" s="3" t="str">
        <f>IFERROR(__xludf.DUMMYFUNCTION("""COMPUTED_VALUE""")," ")</f>
        <v> </v>
      </c>
      <c r="K572" s="3" t="str">
        <f>IFERROR(__xludf.DUMMYFUNCTION("""COMPUTED_VALUE"""),"Y")</f>
        <v>Y</v>
      </c>
      <c r="L572" s="3" t="str">
        <f>IFERROR(__xludf.DUMMYFUNCTION("""COMPUTED_VALUE"""),"Group 12")</f>
        <v>Group 12</v>
      </c>
      <c r="M572" s="3"/>
      <c r="N572" s="5" t="str">
        <f>IFERROR(__xludf.DUMMYFUNCTION("""COMPUTED_VALUE""")," ")</f>
        <v> </v>
      </c>
      <c r="O572" s="5"/>
    </row>
    <row r="573">
      <c r="A573" s="2" t="str">
        <f>IFERROR(__xludf.DUMMYFUNCTION("""COMPUTED_VALUE"""),"0880")</f>
        <v>0880</v>
      </c>
      <c r="B573" s="2" t="str">
        <f>IFERROR(__xludf.DUMMYFUNCTION("""COMPUTED_VALUE"""),"DENVER COUNTY 1")</f>
        <v>DENVER COUNTY 1</v>
      </c>
      <c r="C573" s="2" t="str">
        <f>IFERROR(__xludf.DUMMYFUNCTION("""COMPUTED_VALUE"""),"04140")</f>
        <v>04140</v>
      </c>
      <c r="D573" s="2" t="str">
        <f>IFERROR(__xludf.DUMMYFUNCTION("""COMPUTED_VALUE"""),"FARRELL B. HOWELL ECE-8 SCHOOL")</f>
        <v>FARRELL B. HOWELL ECE-8 SCHOOL</v>
      </c>
      <c r="E573" s="3" t="str">
        <f>IFERROR(__xludf.DUMMYFUNCTION("""COMPUTED_VALUE"""),"Y")</f>
        <v>Y</v>
      </c>
      <c r="F573" s="3" t="str">
        <f>IFERROR(__xludf.DUMMYFUNCTION("""COMPUTED_VALUE"""),"Y")</f>
        <v>Y</v>
      </c>
      <c r="G573" s="3" t="str">
        <f>IFERROR(__xludf.DUMMYFUNCTION("""COMPUTED_VALUE"""),"Y")</f>
        <v>Y</v>
      </c>
      <c r="H573" s="3"/>
      <c r="I573" s="3" t="str">
        <f>IFERROR(__xludf.DUMMYFUNCTION("""COMPUTED_VALUE"""),"Y")</f>
        <v>Y</v>
      </c>
      <c r="J573" s="3" t="str">
        <f>IFERROR(__xludf.DUMMYFUNCTION("""COMPUTED_VALUE"""),"Y")</f>
        <v>Y</v>
      </c>
      <c r="K573" s="3" t="str">
        <f>IFERROR(__xludf.DUMMYFUNCTION("""COMPUTED_VALUE"""),"Y")</f>
        <v>Y</v>
      </c>
      <c r="L573" s="3" t="str">
        <f>IFERROR(__xludf.DUMMYFUNCTION("""COMPUTED_VALUE"""),"Group 28")</f>
        <v>Group 28</v>
      </c>
      <c r="M573" s="3"/>
      <c r="N573" s="5" t="str">
        <f>IFERROR(__xludf.DUMMYFUNCTION("""COMPUTED_VALUE"""),"Y")</f>
        <v>Y</v>
      </c>
      <c r="O573" s="5"/>
    </row>
    <row r="574">
      <c r="A574" s="2" t="str">
        <f>IFERROR(__xludf.DUMMYFUNCTION("""COMPUTED_VALUE"""),"0880")</f>
        <v>0880</v>
      </c>
      <c r="B574" s="2" t="str">
        <f>IFERROR(__xludf.DUMMYFUNCTION("""COMPUTED_VALUE"""),"DENVER COUNTY 1")</f>
        <v>DENVER COUNTY 1</v>
      </c>
      <c r="C574" s="2" t="str">
        <f>IFERROR(__xludf.DUMMYFUNCTION("""COMPUTED_VALUE"""),"04213")</f>
        <v>04213</v>
      </c>
      <c r="D574" s="2" t="str">
        <f>IFERROR(__xludf.DUMMYFUNCTION("""COMPUTED_VALUE"""),"Isabella Bird Community School")</f>
        <v>Isabella Bird Community School</v>
      </c>
      <c r="E574" s="3" t="str">
        <f>IFERROR(__xludf.DUMMYFUNCTION("""COMPUTED_VALUE"""),"Y")</f>
        <v>Y</v>
      </c>
      <c r="F574" s="3" t="str">
        <f>IFERROR(__xludf.DUMMYFUNCTION("""COMPUTED_VALUE"""),"Y")</f>
        <v>Y</v>
      </c>
      <c r="G574" s="3"/>
      <c r="H574" s="3"/>
      <c r="I574" s="3" t="str">
        <f>IFERROR(__xludf.DUMMYFUNCTION("""COMPUTED_VALUE""")," ")</f>
        <v> </v>
      </c>
      <c r="J574" s="3" t="str">
        <f>IFERROR(__xludf.DUMMYFUNCTION("""COMPUTED_VALUE""")," ")</f>
        <v> </v>
      </c>
      <c r="K574" s="3" t="str">
        <f>IFERROR(__xludf.DUMMYFUNCTION("""COMPUTED_VALUE"""),"Y")</f>
        <v>Y</v>
      </c>
      <c r="L574" s="3" t="str">
        <f>IFERROR(__xludf.DUMMYFUNCTION("""COMPUTED_VALUE"""),"Group 24")</f>
        <v>Group 24</v>
      </c>
      <c r="M574" s="3"/>
      <c r="N574" s="5" t="str">
        <f>IFERROR(__xludf.DUMMYFUNCTION("""COMPUTED_VALUE""")," ")</f>
        <v> </v>
      </c>
      <c r="O574" s="5"/>
    </row>
    <row r="575">
      <c r="A575" s="2" t="str">
        <f>IFERROR(__xludf.DUMMYFUNCTION("""COMPUTED_VALUE"""),"0880")</f>
        <v>0880</v>
      </c>
      <c r="B575" s="2" t="str">
        <f>IFERROR(__xludf.DUMMYFUNCTION("""COMPUTED_VALUE"""),"DENVER COUNTY 1")</f>
        <v>DENVER COUNTY 1</v>
      </c>
      <c r="C575" s="2" t="str">
        <f>IFERROR(__xludf.DUMMYFUNCTION("""COMPUTED_VALUE"""),"04253")</f>
        <v>04253</v>
      </c>
      <c r="D575" s="2" t="str">
        <f>IFERROR(__xludf.DUMMYFUNCTION("""COMPUTED_VALUE"""),"Inspire Elementary                                  ")</f>
        <v>Inspire Elementary                                  </v>
      </c>
      <c r="E575" s="3" t="str">
        <f>IFERROR(__xludf.DUMMYFUNCTION("""COMPUTED_VALUE"""),"Y")</f>
        <v>Y</v>
      </c>
      <c r="F575" s="3" t="str">
        <f>IFERROR(__xludf.DUMMYFUNCTION("""COMPUTED_VALUE"""),"Y")</f>
        <v>Y</v>
      </c>
      <c r="G575" s="3"/>
      <c r="H575" s="3"/>
      <c r="I575" s="3" t="str">
        <f>IFERROR(__xludf.DUMMYFUNCTION("""COMPUTED_VALUE""")," ")</f>
        <v> </v>
      </c>
      <c r="J575" s="3" t="str">
        <f>IFERROR(__xludf.DUMMYFUNCTION("""COMPUTED_VALUE""")," ")</f>
        <v> </v>
      </c>
      <c r="K575" s="3" t="str">
        <f>IFERROR(__xludf.DUMMYFUNCTION("""COMPUTED_VALUE"""),"Y")</f>
        <v>Y</v>
      </c>
      <c r="L575" s="3" t="str">
        <f>IFERROR(__xludf.DUMMYFUNCTION("""COMPUTED_VALUE""")," ")</f>
        <v> </v>
      </c>
      <c r="M575" s="3"/>
      <c r="N575" s="5" t="str">
        <f>IFERROR(__xludf.DUMMYFUNCTION("""COMPUTED_VALUE"""),"Y")</f>
        <v>Y</v>
      </c>
      <c r="O575" s="5"/>
    </row>
    <row r="576">
      <c r="A576" s="2" t="str">
        <f>IFERROR(__xludf.DUMMYFUNCTION("""COMPUTED_VALUE"""),"0880")</f>
        <v>0880</v>
      </c>
      <c r="B576" s="2" t="str">
        <f>IFERROR(__xludf.DUMMYFUNCTION("""COMPUTED_VALUE"""),"DENVER COUNTY 1")</f>
        <v>DENVER COUNTY 1</v>
      </c>
      <c r="C576" s="2" t="str">
        <f>IFERROR(__xludf.DUMMYFUNCTION("""COMPUTED_VALUE"""),"04381")</f>
        <v>04381</v>
      </c>
      <c r="D576" s="2" t="str">
        <f>IFERROR(__xludf.DUMMYFUNCTION("""COMPUTED_VALUE"""),"DSST: COLLEGE VIEW MIDDLE SCHOOL")</f>
        <v>DSST: COLLEGE VIEW MIDDLE SCHOOL</v>
      </c>
      <c r="E576" s="3" t="str">
        <f>IFERROR(__xludf.DUMMYFUNCTION("""COMPUTED_VALUE"""),"Y")</f>
        <v>Y</v>
      </c>
      <c r="F576" s="3" t="str">
        <f>IFERROR(__xludf.DUMMYFUNCTION("""COMPUTED_VALUE"""),"Y")</f>
        <v>Y</v>
      </c>
      <c r="G576" s="3"/>
      <c r="H576" s="3"/>
      <c r="I576" s="3" t="str">
        <f>IFERROR(__xludf.DUMMYFUNCTION("""COMPUTED_VALUE""")," ")</f>
        <v> </v>
      </c>
      <c r="J576" s="3" t="str">
        <f>IFERROR(__xludf.DUMMYFUNCTION("""COMPUTED_VALUE"""),"Y")</f>
        <v>Y</v>
      </c>
      <c r="K576" s="3" t="str">
        <f>IFERROR(__xludf.DUMMYFUNCTION("""COMPUTED_VALUE"""),"Y")</f>
        <v>Y</v>
      </c>
      <c r="L576" s="3" t="str">
        <f>IFERROR(__xludf.DUMMYFUNCTION("""COMPUTED_VALUE"""),"Group 27")</f>
        <v>Group 27</v>
      </c>
      <c r="M576" s="3"/>
      <c r="N576" s="5" t="str">
        <f>IFERROR(__xludf.DUMMYFUNCTION("""COMPUTED_VALUE""")," ")</f>
        <v> </v>
      </c>
      <c r="O576" s="5"/>
    </row>
    <row r="577">
      <c r="A577" s="2" t="str">
        <f>IFERROR(__xludf.DUMMYFUNCTION("""COMPUTED_VALUE"""),"0880")</f>
        <v>0880</v>
      </c>
      <c r="B577" s="2" t="str">
        <f>IFERROR(__xludf.DUMMYFUNCTION("""COMPUTED_VALUE"""),"DENVER COUNTY 1")</f>
        <v>DENVER COUNTY 1</v>
      </c>
      <c r="C577" s="2" t="str">
        <f>IFERROR(__xludf.DUMMYFUNCTION("""COMPUTED_VALUE"""),"04383")</f>
        <v>04383</v>
      </c>
      <c r="D577" s="2" t="str">
        <f>IFERROR(__xludf.DUMMYFUNCTION("""COMPUTED_VALUE"""),"JOE SHOEMAKER SCHOOL")</f>
        <v>JOE SHOEMAKER SCHOOL</v>
      </c>
      <c r="E577" s="3" t="str">
        <f>IFERROR(__xludf.DUMMYFUNCTION("""COMPUTED_VALUE"""),"Y")</f>
        <v>Y</v>
      </c>
      <c r="F577" s="3" t="str">
        <f>IFERROR(__xludf.DUMMYFUNCTION("""COMPUTED_VALUE"""),"Y")</f>
        <v>Y</v>
      </c>
      <c r="G577" s="3" t="str">
        <f>IFERROR(__xludf.DUMMYFUNCTION("""COMPUTED_VALUE"""),"Y")</f>
        <v>Y</v>
      </c>
      <c r="H577" s="3"/>
      <c r="I577" s="3" t="str">
        <f>IFERROR(__xludf.DUMMYFUNCTION("""COMPUTED_VALUE"""),"Y")</f>
        <v>Y</v>
      </c>
      <c r="J577" s="3" t="str">
        <f>IFERROR(__xludf.DUMMYFUNCTION("""COMPUTED_VALUE"""),"Y")</f>
        <v>Y</v>
      </c>
      <c r="K577" s="3" t="str">
        <f>IFERROR(__xludf.DUMMYFUNCTION("""COMPUTED_VALUE"""),"Y")</f>
        <v>Y</v>
      </c>
      <c r="L577" s="3" t="str">
        <f>IFERROR(__xludf.DUMMYFUNCTION("""COMPUTED_VALUE"""),"Group 28")</f>
        <v>Group 28</v>
      </c>
      <c r="M577" s="3"/>
      <c r="N577" s="5" t="str">
        <f>IFERROR(__xludf.DUMMYFUNCTION("""COMPUTED_VALUE"""),"Y")</f>
        <v>Y</v>
      </c>
      <c r="O577" s="5"/>
    </row>
    <row r="578">
      <c r="A578" s="2" t="str">
        <f>IFERROR(__xludf.DUMMYFUNCTION("""COMPUTED_VALUE"""),"0880")</f>
        <v>0880</v>
      </c>
      <c r="B578" s="2" t="str">
        <f>IFERROR(__xludf.DUMMYFUNCTION("""COMPUTED_VALUE"""),"DENVER COUNTY 1")</f>
        <v>DENVER COUNTY 1</v>
      </c>
      <c r="C578" s="2" t="str">
        <f>IFERROR(__xludf.DUMMYFUNCTION("""COMPUTED_VALUE"""),"04444")</f>
        <v>04444</v>
      </c>
      <c r="D578" s="2" t="str">
        <f>IFERROR(__xludf.DUMMYFUNCTION("""COMPUTED_VALUE"""),"JOHN F KENNEDY HIGH SCHOOL")</f>
        <v>JOHN F KENNEDY HIGH SCHOOL</v>
      </c>
      <c r="E578" s="3" t="str">
        <f>IFERROR(__xludf.DUMMYFUNCTION("""COMPUTED_VALUE"""),"Y")</f>
        <v>Y</v>
      </c>
      <c r="F578" s="3" t="str">
        <f>IFERROR(__xludf.DUMMYFUNCTION("""COMPUTED_VALUE"""),"Y")</f>
        <v>Y</v>
      </c>
      <c r="G578" s="3"/>
      <c r="H578" s="3"/>
      <c r="I578" s="3" t="str">
        <f>IFERROR(__xludf.DUMMYFUNCTION("""COMPUTED_VALUE""")," ")</f>
        <v> </v>
      </c>
      <c r="J578" s="3" t="str">
        <f>IFERROR(__xludf.DUMMYFUNCTION("""COMPUTED_VALUE"""),"Y")</f>
        <v>Y</v>
      </c>
      <c r="K578" s="3" t="str">
        <f>IFERROR(__xludf.DUMMYFUNCTION("""COMPUTED_VALUE"""),"Y")</f>
        <v>Y</v>
      </c>
      <c r="L578" s="3" t="str">
        <f>IFERROR(__xludf.DUMMYFUNCTION("""COMPUTED_VALUE"""),"Group 16")</f>
        <v>Group 16</v>
      </c>
      <c r="M578" s="3"/>
      <c r="N578" s="5" t="str">
        <f>IFERROR(__xludf.DUMMYFUNCTION("""COMPUTED_VALUE"""),"Y")</f>
        <v>Y</v>
      </c>
      <c r="O578" s="5"/>
    </row>
    <row r="579">
      <c r="A579" s="2" t="str">
        <f>IFERROR(__xludf.DUMMYFUNCTION("""COMPUTED_VALUE"""),"0880")</f>
        <v>0880</v>
      </c>
      <c r="B579" s="2" t="str">
        <f>IFERROR(__xludf.DUMMYFUNCTION("""COMPUTED_VALUE"""),"DENVER COUNTY 1")</f>
        <v>DENVER COUNTY 1</v>
      </c>
      <c r="C579" s="2" t="str">
        <f>IFERROR(__xludf.DUMMYFUNCTION("""COMPUTED_VALUE"""),"04450")</f>
        <v>04450</v>
      </c>
      <c r="D579" s="2" t="str">
        <f>IFERROR(__xludf.DUMMYFUNCTION("""COMPUTED_VALUE"""),"JOHNSON ELEMENTARY SCHOOL")</f>
        <v>JOHNSON ELEMENTARY SCHOOL</v>
      </c>
      <c r="E579" s="3" t="str">
        <f>IFERROR(__xludf.DUMMYFUNCTION("""COMPUTED_VALUE"""),"Y")</f>
        <v>Y</v>
      </c>
      <c r="F579" s="3" t="str">
        <f>IFERROR(__xludf.DUMMYFUNCTION("""COMPUTED_VALUE"""),"Y")</f>
        <v>Y</v>
      </c>
      <c r="G579" s="3"/>
      <c r="H579" s="3"/>
      <c r="I579" s="3" t="str">
        <f>IFERROR(__xludf.DUMMYFUNCTION("""COMPUTED_VALUE"""),"Y")</f>
        <v>Y</v>
      </c>
      <c r="J579" s="3" t="str">
        <f>IFERROR(__xludf.DUMMYFUNCTION("""COMPUTED_VALUE"""),"Y")</f>
        <v>Y</v>
      </c>
      <c r="K579" s="3" t="str">
        <f>IFERROR(__xludf.DUMMYFUNCTION("""COMPUTED_VALUE"""),"Y")</f>
        <v>Y</v>
      </c>
      <c r="L579" s="3" t="str">
        <f>IFERROR(__xludf.DUMMYFUNCTION("""COMPUTED_VALUE"""),"Group 28")</f>
        <v>Group 28</v>
      </c>
      <c r="M579" s="3"/>
      <c r="N579" s="5" t="str">
        <f>IFERROR(__xludf.DUMMYFUNCTION("""COMPUTED_VALUE""")," ")</f>
        <v> </v>
      </c>
      <c r="O579" s="5"/>
    </row>
    <row r="580">
      <c r="A580" s="2" t="str">
        <f>IFERROR(__xludf.DUMMYFUNCTION("""COMPUTED_VALUE"""),"0880")</f>
        <v>0880</v>
      </c>
      <c r="B580" s="2" t="str">
        <f>IFERROR(__xludf.DUMMYFUNCTION("""COMPUTED_VALUE"""),"DENVER COUNTY 1")</f>
        <v>DENVER COUNTY 1</v>
      </c>
      <c r="C580" s="2" t="str">
        <f>IFERROR(__xludf.DUMMYFUNCTION("""COMPUTED_VALUE"""),"04494")</f>
        <v>04494</v>
      </c>
      <c r="D580" s="2" t="str">
        <f>IFERROR(__xludf.DUMMYFUNCTION("""COMPUTED_VALUE"""),"JUSTICE HIGH SCHOOL DENVER")</f>
        <v>JUSTICE HIGH SCHOOL DENVER</v>
      </c>
      <c r="E580" s="3" t="str">
        <f>IFERROR(__xludf.DUMMYFUNCTION("""COMPUTED_VALUE"""),"Y")</f>
        <v>Y</v>
      </c>
      <c r="F580" s="3" t="str">
        <f>IFERROR(__xludf.DUMMYFUNCTION("""COMPUTED_VALUE"""),"Y")</f>
        <v>Y</v>
      </c>
      <c r="G580" s="3"/>
      <c r="H580" s="3"/>
      <c r="I580" s="3" t="str">
        <f>IFERROR(__xludf.DUMMYFUNCTION("""COMPUTED_VALUE""")," ")</f>
        <v> </v>
      </c>
      <c r="J580" s="3" t="str">
        <f>IFERROR(__xludf.DUMMYFUNCTION("""COMPUTED_VALUE"""),"Y")</f>
        <v>Y</v>
      </c>
      <c r="K580" s="3" t="str">
        <f>IFERROR(__xludf.DUMMYFUNCTION("""COMPUTED_VALUE"""),"Y")</f>
        <v>Y</v>
      </c>
      <c r="L580" s="3" t="str">
        <f>IFERROR(__xludf.DUMMYFUNCTION("""COMPUTED_VALUE"""),"Group 1")</f>
        <v>Group 1</v>
      </c>
      <c r="M580" s="3"/>
      <c r="N580" s="5" t="str">
        <f>IFERROR(__xludf.DUMMYFUNCTION("""COMPUTED_VALUE"""),"Y")</f>
        <v>Y</v>
      </c>
      <c r="O580" s="5"/>
    </row>
    <row r="581">
      <c r="A581" s="2" t="str">
        <f>IFERROR(__xludf.DUMMYFUNCTION("""COMPUTED_VALUE"""),"0880")</f>
        <v>0880</v>
      </c>
      <c r="B581" s="2" t="str">
        <f>IFERROR(__xludf.DUMMYFUNCTION("""COMPUTED_VALUE"""),"DENVER COUNTY 1")</f>
        <v>DENVER COUNTY 1</v>
      </c>
      <c r="C581" s="2" t="str">
        <f>IFERROR(__xludf.DUMMYFUNCTION("""COMPUTED_VALUE"""),"04498")</f>
        <v>04498</v>
      </c>
      <c r="D581" s="2" t="str">
        <f>IFERROR(__xludf.DUMMYFUNCTION("""COMPUTED_VALUE"""),"KAISER ELEMENTARY SCHOOL")</f>
        <v>KAISER ELEMENTARY SCHOOL</v>
      </c>
      <c r="E581" s="3" t="str">
        <f>IFERROR(__xludf.DUMMYFUNCTION("""COMPUTED_VALUE"""),"Y")</f>
        <v>Y</v>
      </c>
      <c r="F581" s="3" t="str">
        <f>IFERROR(__xludf.DUMMYFUNCTION("""COMPUTED_VALUE"""),"Y")</f>
        <v>Y</v>
      </c>
      <c r="G581" s="3" t="str">
        <f>IFERROR(__xludf.DUMMYFUNCTION("""COMPUTED_VALUE"""),"Y")</f>
        <v>Y</v>
      </c>
      <c r="H581" s="3"/>
      <c r="I581" s="3" t="str">
        <f>IFERROR(__xludf.DUMMYFUNCTION("""COMPUTED_VALUE"""),"Y")</f>
        <v>Y</v>
      </c>
      <c r="J581" s="3" t="str">
        <f>IFERROR(__xludf.DUMMYFUNCTION("""COMPUTED_VALUE"""),"Y")</f>
        <v>Y</v>
      </c>
      <c r="K581" s="3" t="str">
        <f>IFERROR(__xludf.DUMMYFUNCTION("""COMPUTED_VALUE"""),"Y")</f>
        <v>Y</v>
      </c>
      <c r="L581" s="3" t="str">
        <f>IFERROR(__xludf.DUMMYFUNCTION("""COMPUTED_VALUE"""),"Group 1")</f>
        <v>Group 1</v>
      </c>
      <c r="M581" s="3"/>
      <c r="N581" s="5" t="str">
        <f>IFERROR(__xludf.DUMMYFUNCTION("""COMPUTED_VALUE"""),"Y")</f>
        <v>Y</v>
      </c>
      <c r="O581" s="5"/>
    </row>
    <row r="582">
      <c r="A582" s="2" t="str">
        <f>IFERROR(__xludf.DUMMYFUNCTION("""COMPUTED_VALUE"""),"0880")</f>
        <v>0880</v>
      </c>
      <c r="B582" s="2" t="str">
        <f>IFERROR(__xludf.DUMMYFUNCTION("""COMPUTED_VALUE"""),"DENVER COUNTY 1")</f>
        <v>DENVER COUNTY 1</v>
      </c>
      <c r="C582" s="2" t="str">
        <f>IFERROR(__xludf.DUMMYFUNCTION("""COMPUTED_VALUE"""),"04500")</f>
        <v>04500</v>
      </c>
      <c r="D582" s="2" t="str">
        <f>IFERROR(__xludf.DUMMYFUNCTION("""COMPUTED_VALUE"""),"KIPP NORTHEAST ELEMENTARY")</f>
        <v>KIPP NORTHEAST ELEMENTARY</v>
      </c>
      <c r="E582" s="3" t="str">
        <f>IFERROR(__xludf.DUMMYFUNCTION("""COMPUTED_VALUE"""),"Y")</f>
        <v>Y</v>
      </c>
      <c r="F582" s="3" t="str">
        <f>IFERROR(__xludf.DUMMYFUNCTION("""COMPUTED_VALUE"""),"Y")</f>
        <v>Y</v>
      </c>
      <c r="G582" s="3"/>
      <c r="H582" s="3"/>
      <c r="I582" s="3" t="str">
        <f>IFERROR(__xludf.DUMMYFUNCTION("""COMPUTED_VALUE"""),"Y")</f>
        <v>Y</v>
      </c>
      <c r="J582" s="3" t="str">
        <f>IFERROR(__xludf.DUMMYFUNCTION("""COMPUTED_VALUE"""),"Y")</f>
        <v>Y</v>
      </c>
      <c r="K582" s="3" t="str">
        <f>IFERROR(__xludf.DUMMYFUNCTION("""COMPUTED_VALUE"""),"Y")</f>
        <v>Y</v>
      </c>
      <c r="L582" s="3" t="str">
        <f>IFERROR(__xludf.DUMMYFUNCTION("""COMPUTED_VALUE"""),"Group 1")</f>
        <v>Group 1</v>
      </c>
      <c r="M582" s="3"/>
      <c r="N582" s="5" t="str">
        <f>IFERROR(__xludf.DUMMYFUNCTION("""COMPUTED_VALUE"""),"Y")</f>
        <v>Y</v>
      </c>
      <c r="O582" s="5"/>
    </row>
    <row r="583">
      <c r="A583" s="2" t="str">
        <f>IFERROR(__xludf.DUMMYFUNCTION("""COMPUTED_VALUE"""),"0880")</f>
        <v>0880</v>
      </c>
      <c r="B583" s="2" t="str">
        <f>IFERROR(__xludf.DUMMYFUNCTION("""COMPUTED_VALUE"""),"DENVER COUNTY 1")</f>
        <v>DENVER COUNTY 1</v>
      </c>
      <c r="C583" s="2" t="str">
        <f>IFERROR(__xludf.DUMMYFUNCTION("""COMPUTED_VALUE"""),"04507")</f>
        <v>04507</v>
      </c>
      <c r="D583" s="2" t="str">
        <f>IFERROR(__xludf.DUMMYFUNCTION("""COMPUTED_VALUE"""),"KIPP NORTHEAST DENVER MIDDLE SCHOOL")</f>
        <v>KIPP NORTHEAST DENVER MIDDLE SCHOOL</v>
      </c>
      <c r="E583" s="3" t="str">
        <f>IFERROR(__xludf.DUMMYFUNCTION("""COMPUTED_VALUE"""),"Y")</f>
        <v>Y</v>
      </c>
      <c r="F583" s="3" t="str">
        <f>IFERROR(__xludf.DUMMYFUNCTION("""COMPUTED_VALUE"""),"Y")</f>
        <v>Y</v>
      </c>
      <c r="G583" s="3"/>
      <c r="H583" s="3"/>
      <c r="I583" s="3" t="str">
        <f>IFERROR(__xludf.DUMMYFUNCTION("""COMPUTED_VALUE"""),"Y")</f>
        <v>Y</v>
      </c>
      <c r="J583" s="3" t="str">
        <f>IFERROR(__xludf.DUMMYFUNCTION("""COMPUTED_VALUE"""),"Y")</f>
        <v>Y</v>
      </c>
      <c r="K583" s="3" t="str">
        <f>IFERROR(__xludf.DUMMYFUNCTION("""COMPUTED_VALUE"""),"Y")</f>
        <v>Y</v>
      </c>
      <c r="L583" s="3" t="str">
        <f>IFERROR(__xludf.DUMMYFUNCTION("""COMPUTED_VALUE"""),"Group 28")</f>
        <v>Group 28</v>
      </c>
      <c r="M583" s="3"/>
      <c r="N583" s="5" t="str">
        <f>IFERROR(__xludf.DUMMYFUNCTION("""COMPUTED_VALUE""")," ")</f>
        <v> </v>
      </c>
      <c r="O583" s="5"/>
    </row>
    <row r="584">
      <c r="A584" s="2" t="str">
        <f>IFERROR(__xludf.DUMMYFUNCTION("""COMPUTED_VALUE"""),"0880")</f>
        <v>0880</v>
      </c>
      <c r="B584" s="2" t="str">
        <f>IFERROR(__xludf.DUMMYFUNCTION("""COMPUTED_VALUE"""),"DENVER COUNTY 1")</f>
        <v>DENVER COUNTY 1</v>
      </c>
      <c r="C584" s="2" t="str">
        <f>IFERROR(__xludf.DUMMYFUNCTION("""COMPUTED_VALUE"""),"04513")</f>
        <v>04513</v>
      </c>
      <c r="D584" s="2" t="str">
        <f>IFERROR(__xludf.DUMMYFUNCTION("""COMPUTED_VALUE"""),"Kepner Beacon Middle School")</f>
        <v>Kepner Beacon Middle School</v>
      </c>
      <c r="E584" s="3" t="str">
        <f>IFERROR(__xludf.DUMMYFUNCTION("""COMPUTED_VALUE"""),"Y")</f>
        <v>Y</v>
      </c>
      <c r="F584" s="3" t="str">
        <f>IFERROR(__xludf.DUMMYFUNCTION("""COMPUTED_VALUE"""),"Y")</f>
        <v>Y</v>
      </c>
      <c r="G584" s="3"/>
      <c r="H584" s="3"/>
      <c r="I584" s="3" t="str">
        <f>IFERROR(__xludf.DUMMYFUNCTION("""COMPUTED_VALUE""")," ")</f>
        <v> </v>
      </c>
      <c r="J584" s="3" t="str">
        <f>IFERROR(__xludf.DUMMYFUNCTION("""COMPUTED_VALUE"""),"Y")</f>
        <v>Y</v>
      </c>
      <c r="K584" s="3" t="str">
        <f>IFERROR(__xludf.DUMMYFUNCTION("""COMPUTED_VALUE"""),"Y")</f>
        <v>Y</v>
      </c>
      <c r="L584" s="3" t="str">
        <f>IFERROR(__xludf.DUMMYFUNCTION("""COMPUTED_VALUE"""),"Group 20")</f>
        <v>Group 20</v>
      </c>
      <c r="M584" s="3"/>
      <c r="N584" s="5" t="str">
        <f>IFERROR(__xludf.DUMMYFUNCTION("""COMPUTED_VALUE"""),"Y")</f>
        <v>Y</v>
      </c>
      <c r="O584" s="5"/>
    </row>
    <row r="585">
      <c r="A585" s="2" t="str">
        <f>IFERROR(__xludf.DUMMYFUNCTION("""COMPUTED_VALUE"""),"0880")</f>
        <v>0880</v>
      </c>
      <c r="B585" s="2" t="str">
        <f>IFERROR(__xludf.DUMMYFUNCTION("""COMPUTED_VALUE"""),"DENVER COUNTY 1")</f>
        <v>DENVER COUNTY 1</v>
      </c>
      <c r="C585" s="2" t="str">
        <f>IFERROR(__xludf.DUMMYFUNCTION("""COMPUTED_VALUE"""),"04730")</f>
        <v>04730</v>
      </c>
      <c r="D585" s="2" t="str">
        <f>IFERROR(__xludf.DUMMYFUNCTION("""COMPUTED_VALUE"""),"KIPP DENVER COLLEGIATE HIGH SCHOOL")</f>
        <v>KIPP DENVER COLLEGIATE HIGH SCHOOL</v>
      </c>
      <c r="E585" s="3" t="str">
        <f>IFERROR(__xludf.DUMMYFUNCTION("""COMPUTED_VALUE"""),"Y")</f>
        <v>Y</v>
      </c>
      <c r="F585" s="3" t="str">
        <f>IFERROR(__xludf.DUMMYFUNCTION("""COMPUTED_VALUE"""),"Y")</f>
        <v>Y</v>
      </c>
      <c r="G585" s="3"/>
      <c r="H585" s="3"/>
      <c r="I585" s="3" t="str">
        <f>IFERROR(__xludf.DUMMYFUNCTION("""COMPUTED_VALUE""")," ")</f>
        <v> </v>
      </c>
      <c r="J585" s="3" t="str">
        <f>IFERROR(__xludf.DUMMYFUNCTION("""COMPUTED_VALUE"""),"Y")</f>
        <v>Y</v>
      </c>
      <c r="K585" s="3" t="str">
        <f>IFERROR(__xludf.DUMMYFUNCTION("""COMPUTED_VALUE"""),"Y")</f>
        <v>Y</v>
      </c>
      <c r="L585" s="3" t="str">
        <f>IFERROR(__xludf.DUMMYFUNCTION("""COMPUTED_VALUE"""),"Group 24")</f>
        <v>Group 24</v>
      </c>
      <c r="M585" s="3"/>
      <c r="N585" s="5" t="str">
        <f>IFERROR(__xludf.DUMMYFUNCTION("""COMPUTED_VALUE""")," ")</f>
        <v> </v>
      </c>
      <c r="O585" s="5"/>
    </row>
    <row r="586">
      <c r="A586" s="2" t="str">
        <f>IFERROR(__xludf.DUMMYFUNCTION("""COMPUTED_VALUE"""),"0880")</f>
        <v>0880</v>
      </c>
      <c r="B586" s="2" t="str">
        <f>IFERROR(__xludf.DUMMYFUNCTION("""COMPUTED_VALUE"""),"DENVER COUNTY 1")</f>
        <v>DENVER COUNTY 1</v>
      </c>
      <c r="C586" s="2" t="str">
        <f>IFERROR(__xludf.DUMMYFUNCTION("""COMPUTED_VALUE"""),"04732")</f>
        <v>04732</v>
      </c>
      <c r="D586" s="2" t="str">
        <f>IFERROR(__xludf.DUMMYFUNCTION("""COMPUTED_VALUE"""),"KIPP:  SUNSHINE PEAK ACADEMY")</f>
        <v>KIPP:  SUNSHINE PEAK ACADEMY</v>
      </c>
      <c r="E586" s="3" t="str">
        <f>IFERROR(__xludf.DUMMYFUNCTION("""COMPUTED_VALUE"""),"Y")</f>
        <v>Y</v>
      </c>
      <c r="F586" s="3" t="str">
        <f>IFERROR(__xludf.DUMMYFUNCTION("""COMPUTED_VALUE"""),"Y")</f>
        <v>Y</v>
      </c>
      <c r="G586" s="3"/>
      <c r="H586" s="3"/>
      <c r="I586" s="3" t="str">
        <f>IFERROR(__xludf.DUMMYFUNCTION("""COMPUTED_VALUE""")," ")</f>
        <v> </v>
      </c>
      <c r="J586" s="3" t="str">
        <f>IFERROR(__xludf.DUMMYFUNCTION("""COMPUTED_VALUE"""),"Y")</f>
        <v>Y</v>
      </c>
      <c r="K586" s="3" t="str">
        <f>IFERROR(__xludf.DUMMYFUNCTION("""COMPUTED_VALUE"""),"Y")</f>
        <v>Y</v>
      </c>
      <c r="L586" s="3" t="str">
        <f>IFERROR(__xludf.DUMMYFUNCTION("""COMPUTED_VALUE"""),"Group 23")</f>
        <v>Group 23</v>
      </c>
      <c r="M586" s="3"/>
      <c r="N586" s="5" t="str">
        <f>IFERROR(__xludf.DUMMYFUNCTION("""COMPUTED_VALUE"""),"Y")</f>
        <v>Y</v>
      </c>
      <c r="O586" s="5"/>
    </row>
    <row r="587">
      <c r="A587" s="2" t="str">
        <f>IFERROR(__xludf.DUMMYFUNCTION("""COMPUTED_VALUE"""),"0880")</f>
        <v>0880</v>
      </c>
      <c r="B587" s="2" t="str">
        <f>IFERROR(__xludf.DUMMYFUNCTION("""COMPUTED_VALUE"""),"DENVER COUNTY 1")</f>
        <v>DENVER COUNTY 1</v>
      </c>
      <c r="C587" s="2" t="str">
        <f>IFERROR(__xludf.DUMMYFUNCTION("""COMPUTED_VALUE"""),"04762")</f>
        <v>04762</v>
      </c>
      <c r="D587" s="2" t="str">
        <f>IFERROR(__xludf.DUMMYFUNCTION("""COMPUTED_VALUE"""),"KNAPP ELEMENTARY SCHOOL")</f>
        <v>KNAPP ELEMENTARY SCHOOL</v>
      </c>
      <c r="E587" s="3" t="str">
        <f>IFERROR(__xludf.DUMMYFUNCTION("""COMPUTED_VALUE"""),"Y")</f>
        <v>Y</v>
      </c>
      <c r="F587" s="3" t="str">
        <f>IFERROR(__xludf.DUMMYFUNCTION("""COMPUTED_VALUE"""),"Y")</f>
        <v>Y</v>
      </c>
      <c r="G587" s="3" t="str">
        <f>IFERROR(__xludf.DUMMYFUNCTION("""COMPUTED_VALUE"""),"Y")</f>
        <v>Y</v>
      </c>
      <c r="H587" s="3"/>
      <c r="I587" s="3" t="str">
        <f>IFERROR(__xludf.DUMMYFUNCTION("""COMPUTED_VALUE"""),"Y")</f>
        <v>Y</v>
      </c>
      <c r="J587" s="3" t="str">
        <f>IFERROR(__xludf.DUMMYFUNCTION("""COMPUTED_VALUE"""),"Y")</f>
        <v>Y</v>
      </c>
      <c r="K587" s="3" t="str">
        <f>IFERROR(__xludf.DUMMYFUNCTION("""COMPUTED_VALUE"""),"Y")</f>
        <v>Y</v>
      </c>
      <c r="L587" s="3" t="str">
        <f>IFERROR(__xludf.DUMMYFUNCTION("""COMPUTED_VALUE"""),"Group 28")</f>
        <v>Group 28</v>
      </c>
      <c r="M587" s="3"/>
      <c r="N587" s="5" t="str">
        <f>IFERROR(__xludf.DUMMYFUNCTION("""COMPUTED_VALUE""")," ")</f>
        <v> </v>
      </c>
      <c r="O587" s="5"/>
    </row>
    <row r="588">
      <c r="A588" s="2" t="str">
        <f>IFERROR(__xludf.DUMMYFUNCTION("""COMPUTED_VALUE"""),"0880")</f>
        <v>0880</v>
      </c>
      <c r="B588" s="2" t="str">
        <f>IFERROR(__xludf.DUMMYFUNCTION("""COMPUTED_VALUE"""),"DENVER COUNTY 1")</f>
        <v>DENVER COUNTY 1</v>
      </c>
      <c r="C588" s="2" t="str">
        <f>IFERROR(__xludf.DUMMYFUNCTION("""COMPUTED_VALUE"""),"04782")</f>
        <v>04782</v>
      </c>
      <c r="D588" s="2" t="str">
        <f>IFERROR(__xludf.DUMMYFUNCTION("""COMPUTED_VALUE"""),"HALLETT FUNDAMENTAL ACADEMY")</f>
        <v>HALLETT FUNDAMENTAL ACADEMY</v>
      </c>
      <c r="E588" s="3" t="str">
        <f>IFERROR(__xludf.DUMMYFUNCTION("""COMPUTED_VALUE"""),"Y")</f>
        <v>Y</v>
      </c>
      <c r="F588" s="3" t="str">
        <f>IFERROR(__xludf.DUMMYFUNCTION("""COMPUTED_VALUE"""),"Y")</f>
        <v>Y</v>
      </c>
      <c r="G588" s="3" t="str">
        <f>IFERROR(__xludf.DUMMYFUNCTION("""COMPUTED_VALUE"""),"Y")</f>
        <v>Y</v>
      </c>
      <c r="H588" s="3"/>
      <c r="I588" s="3" t="str">
        <f>IFERROR(__xludf.DUMMYFUNCTION("""COMPUTED_VALUE"""),"Y")</f>
        <v>Y</v>
      </c>
      <c r="J588" s="3" t="str">
        <f>IFERROR(__xludf.DUMMYFUNCTION("""COMPUTED_VALUE"""),"Y")</f>
        <v>Y</v>
      </c>
      <c r="K588" s="3" t="str">
        <f>IFERROR(__xludf.DUMMYFUNCTION("""COMPUTED_VALUE"""),"Y")</f>
        <v>Y</v>
      </c>
      <c r="L588" s="3" t="str">
        <f>IFERROR(__xludf.DUMMYFUNCTION("""COMPUTED_VALUE"""),"Group 1")</f>
        <v>Group 1</v>
      </c>
      <c r="M588" s="3"/>
      <c r="N588" s="5" t="str">
        <f>IFERROR(__xludf.DUMMYFUNCTION("""COMPUTED_VALUE""")," ")</f>
        <v> </v>
      </c>
      <c r="O588" s="5"/>
    </row>
    <row r="589">
      <c r="A589" s="2" t="str">
        <f>IFERROR(__xludf.DUMMYFUNCTION("""COMPUTED_VALUE"""),"0880")</f>
        <v>0880</v>
      </c>
      <c r="B589" s="2" t="str">
        <f>IFERROR(__xludf.DUMMYFUNCTION("""COMPUTED_VALUE"""),"DENVER COUNTY 1")</f>
        <v>DENVER COUNTY 1</v>
      </c>
      <c r="C589" s="2" t="str">
        <f>IFERROR(__xludf.DUMMYFUNCTION("""COMPUTED_VALUE"""),"04795")</f>
        <v>04795</v>
      </c>
      <c r="D589" s="2" t="str">
        <f>IFERROR(__xludf.DUMMYFUNCTION("""COMPUTED_VALUE"""),"KUNSMILLER CREATIVE ARTS ACADEMY")</f>
        <v>KUNSMILLER CREATIVE ARTS ACADEMY</v>
      </c>
      <c r="E589" s="3" t="str">
        <f>IFERROR(__xludf.DUMMYFUNCTION("""COMPUTED_VALUE"""),"Y")</f>
        <v>Y</v>
      </c>
      <c r="F589" s="3" t="str">
        <f>IFERROR(__xludf.DUMMYFUNCTION("""COMPUTED_VALUE"""),"Y")</f>
        <v>Y</v>
      </c>
      <c r="G589" s="3"/>
      <c r="H589" s="3"/>
      <c r="I589" s="3" t="str">
        <f>IFERROR(__xludf.DUMMYFUNCTION("""COMPUTED_VALUE"""),"Y")</f>
        <v>Y</v>
      </c>
      <c r="J589" s="3" t="str">
        <f>IFERROR(__xludf.DUMMYFUNCTION("""COMPUTED_VALUE"""),"Y")</f>
        <v>Y</v>
      </c>
      <c r="K589" s="3" t="str">
        <f>IFERROR(__xludf.DUMMYFUNCTION("""COMPUTED_VALUE"""),"Y")</f>
        <v>Y</v>
      </c>
      <c r="L589" s="3" t="str">
        <f>IFERROR(__xludf.DUMMYFUNCTION("""COMPUTED_VALUE"""),"Group 23")</f>
        <v>Group 23</v>
      </c>
      <c r="M589" s="3"/>
      <c r="N589" s="5" t="str">
        <f>IFERROR(__xludf.DUMMYFUNCTION("""COMPUTED_VALUE""")," ")</f>
        <v> </v>
      </c>
      <c r="O589" s="5"/>
    </row>
    <row r="590">
      <c r="A590" s="2" t="str">
        <f>IFERROR(__xludf.DUMMYFUNCTION("""COMPUTED_VALUE"""),"0880")</f>
        <v>0880</v>
      </c>
      <c r="B590" s="2" t="str">
        <f>IFERROR(__xludf.DUMMYFUNCTION("""COMPUTED_VALUE"""),"DENVER COUNTY 1")</f>
        <v>DENVER COUNTY 1</v>
      </c>
      <c r="C590" s="2" t="str">
        <f>IFERROR(__xludf.DUMMYFUNCTION("""COMPUTED_VALUE"""),"04850")</f>
        <v>04850</v>
      </c>
      <c r="D590" s="2" t="str">
        <f>IFERROR(__xludf.DUMMYFUNCTION("""COMPUTED_VALUE"""),"KIPP Sunshine Peak Elementary")</f>
        <v>KIPP Sunshine Peak Elementary</v>
      </c>
      <c r="E590" s="3" t="str">
        <f>IFERROR(__xludf.DUMMYFUNCTION("""COMPUTED_VALUE"""),"Y")</f>
        <v>Y</v>
      </c>
      <c r="F590" s="3" t="str">
        <f>IFERROR(__xludf.DUMMYFUNCTION("""COMPUTED_VALUE"""),"Y")</f>
        <v>Y</v>
      </c>
      <c r="G590" s="3"/>
      <c r="H590" s="3"/>
      <c r="I590" s="3" t="str">
        <f>IFERROR(__xludf.DUMMYFUNCTION("""COMPUTED_VALUE"""),"Y")</f>
        <v>Y</v>
      </c>
      <c r="J590" s="3" t="str">
        <f>IFERROR(__xludf.DUMMYFUNCTION("""COMPUTED_VALUE"""),"Y")</f>
        <v>Y</v>
      </c>
      <c r="K590" s="3" t="str">
        <f>IFERROR(__xludf.DUMMYFUNCTION("""COMPUTED_VALUE"""),"Y")</f>
        <v>Y</v>
      </c>
      <c r="L590" s="3" t="str">
        <f>IFERROR(__xludf.DUMMYFUNCTION("""COMPUTED_VALUE"""),"Group 1")</f>
        <v>Group 1</v>
      </c>
      <c r="M590" s="3"/>
      <c r="N590" s="5" t="str">
        <f>IFERROR(__xludf.DUMMYFUNCTION("""COMPUTED_VALUE""")," ")</f>
        <v> </v>
      </c>
      <c r="O590" s="5"/>
    </row>
    <row r="591">
      <c r="A591" s="2" t="str">
        <f>IFERROR(__xludf.DUMMYFUNCTION("""COMPUTED_VALUE"""),"0880")</f>
        <v>0880</v>
      </c>
      <c r="B591" s="2" t="str">
        <f>IFERROR(__xludf.DUMMYFUNCTION("""COMPUTED_VALUE"""),"DENVER COUNTY 1")</f>
        <v>DENVER COUNTY 1</v>
      </c>
      <c r="C591" s="2" t="str">
        <f>IFERROR(__xludf.DUMMYFUNCTION("""COMPUTED_VALUE"""),"05044")</f>
        <v>05044</v>
      </c>
      <c r="D591" s="2" t="str">
        <f>IFERROR(__xludf.DUMMYFUNCTION("""COMPUTED_VALUE"""),"LEGACY OPTIONS HIGH SCHOOL")</f>
        <v>LEGACY OPTIONS HIGH SCHOOL</v>
      </c>
      <c r="E591" s="3" t="str">
        <f>IFERROR(__xludf.DUMMYFUNCTION("""COMPUTED_VALUE"""),"Y")</f>
        <v>Y</v>
      </c>
      <c r="F591" s="3" t="str">
        <f>IFERROR(__xludf.DUMMYFUNCTION("""COMPUTED_VALUE"""),"Y")</f>
        <v>Y</v>
      </c>
      <c r="G591" s="3"/>
      <c r="H591" s="3"/>
      <c r="I591" s="3" t="str">
        <f>IFERROR(__xludf.DUMMYFUNCTION("""COMPUTED_VALUE""")," ")</f>
        <v> </v>
      </c>
      <c r="J591" s="3" t="str">
        <f>IFERROR(__xludf.DUMMYFUNCTION("""COMPUTED_VALUE"""),"Y")</f>
        <v>Y</v>
      </c>
      <c r="K591" s="3" t="str">
        <f>IFERROR(__xludf.DUMMYFUNCTION("""COMPUTED_VALUE"""),"Y")</f>
        <v>Y</v>
      </c>
      <c r="L591" s="3" t="str">
        <f>IFERROR(__xludf.DUMMYFUNCTION("""COMPUTED_VALUE"""),"Group 24")</f>
        <v>Group 24</v>
      </c>
      <c r="M591" s="3"/>
      <c r="N591" s="5" t="str">
        <f>IFERROR(__xludf.DUMMYFUNCTION("""COMPUTED_VALUE""")," ")</f>
        <v> </v>
      </c>
      <c r="O591" s="5"/>
    </row>
    <row r="592">
      <c r="A592" s="2" t="str">
        <f>IFERROR(__xludf.DUMMYFUNCTION("""COMPUTED_VALUE"""),"0880")</f>
        <v>0880</v>
      </c>
      <c r="B592" s="2" t="str">
        <f>IFERROR(__xludf.DUMMYFUNCTION("""COMPUTED_VALUE"""),"DENVER COUNTY 1")</f>
        <v>DENVER COUNTY 1</v>
      </c>
      <c r="C592" s="2" t="str">
        <f>IFERROR(__xludf.DUMMYFUNCTION("""COMPUTED_VALUE"""),"05158")</f>
        <v>05158</v>
      </c>
      <c r="D592" s="2" t="str">
        <f>IFERROR(__xludf.DUMMYFUNCTION("""COMPUTED_VALUE"""),"LINCOLN ELEMENTARY SCHOOL")</f>
        <v>LINCOLN ELEMENTARY SCHOOL</v>
      </c>
      <c r="E592" s="3" t="str">
        <f>IFERROR(__xludf.DUMMYFUNCTION("""COMPUTED_VALUE"""),"Y")</f>
        <v>Y</v>
      </c>
      <c r="F592" s="3" t="str">
        <f>IFERROR(__xludf.DUMMYFUNCTION("""COMPUTED_VALUE"""),"Y")</f>
        <v>Y</v>
      </c>
      <c r="G592" s="3"/>
      <c r="H592" s="3"/>
      <c r="I592" s="3" t="str">
        <f>IFERROR(__xludf.DUMMYFUNCTION("""COMPUTED_VALUE""")," ")</f>
        <v> </v>
      </c>
      <c r="J592" s="3" t="str">
        <f>IFERROR(__xludf.DUMMYFUNCTION("""COMPUTED_VALUE""")," ")</f>
        <v> </v>
      </c>
      <c r="K592" s="3" t="str">
        <f>IFERROR(__xludf.DUMMYFUNCTION("""COMPUTED_VALUE"""),"Y")</f>
        <v>Y</v>
      </c>
      <c r="L592" s="3" t="str">
        <f>IFERROR(__xludf.DUMMYFUNCTION("""COMPUTED_VALUE""")," ")</f>
        <v> </v>
      </c>
      <c r="M592" s="3"/>
      <c r="N592" s="5" t="str">
        <f>IFERROR(__xludf.DUMMYFUNCTION("""COMPUTED_VALUE""")," ")</f>
        <v> </v>
      </c>
      <c r="O592" s="5"/>
    </row>
    <row r="593">
      <c r="A593" s="2" t="str">
        <f>IFERROR(__xludf.DUMMYFUNCTION("""COMPUTED_VALUE"""),"0880")</f>
        <v>0880</v>
      </c>
      <c r="B593" s="2" t="str">
        <f>IFERROR(__xludf.DUMMYFUNCTION("""COMPUTED_VALUE"""),"DENVER COUNTY 1")</f>
        <v>DENVER COUNTY 1</v>
      </c>
      <c r="C593" s="2" t="str">
        <f>IFERROR(__xludf.DUMMYFUNCTION("""COMPUTED_VALUE"""),"05255")</f>
        <v>05255</v>
      </c>
      <c r="D593" s="2" t="str">
        <f>IFERROR(__xludf.DUMMYFUNCTION("""COMPUTED_VALUE"""),"LAKE INTERNATIONAL SCHOOL")</f>
        <v>LAKE INTERNATIONAL SCHOOL</v>
      </c>
      <c r="E593" s="3" t="str">
        <f>IFERROR(__xludf.DUMMYFUNCTION("""COMPUTED_VALUE"""),"Y")</f>
        <v>Y</v>
      </c>
      <c r="F593" s="3" t="str">
        <f>IFERROR(__xludf.DUMMYFUNCTION("""COMPUTED_VALUE"""),"Y")</f>
        <v>Y</v>
      </c>
      <c r="G593" s="3"/>
      <c r="H593" s="3"/>
      <c r="I593" s="3" t="str">
        <f>IFERROR(__xludf.DUMMYFUNCTION("""COMPUTED_VALUE""")," ")</f>
        <v> </v>
      </c>
      <c r="J593" s="3" t="str">
        <f>IFERROR(__xludf.DUMMYFUNCTION("""COMPUTED_VALUE"""),"Y")</f>
        <v>Y</v>
      </c>
      <c r="K593" s="3" t="str">
        <f>IFERROR(__xludf.DUMMYFUNCTION("""COMPUTED_VALUE"""),"Y")</f>
        <v>Y</v>
      </c>
      <c r="L593" s="3" t="str">
        <f>IFERROR(__xludf.DUMMYFUNCTION("""COMPUTED_VALUE"""),"Group 23")</f>
        <v>Group 23</v>
      </c>
      <c r="M593" s="3"/>
      <c r="N593" s="5" t="str">
        <f>IFERROR(__xludf.DUMMYFUNCTION("""COMPUTED_VALUE"""),"Y")</f>
        <v>Y</v>
      </c>
      <c r="O593" s="5"/>
    </row>
    <row r="594">
      <c r="A594" s="2" t="str">
        <f>IFERROR(__xludf.DUMMYFUNCTION("""COMPUTED_VALUE"""),"0880")</f>
        <v>0880</v>
      </c>
      <c r="B594" s="2" t="str">
        <f>IFERROR(__xludf.DUMMYFUNCTION("""COMPUTED_VALUE"""),"DENVER COUNTY 1")</f>
        <v>DENVER COUNTY 1</v>
      </c>
      <c r="C594" s="2" t="str">
        <f>IFERROR(__xludf.DUMMYFUNCTION("""COMPUTED_VALUE"""),"05342")</f>
        <v>05342</v>
      </c>
      <c r="D594" s="2" t="str">
        <f>IFERROR(__xludf.DUMMYFUNCTION("""COMPUTED_VALUE"""),"LOWRY ELEMENTARY SCHOOL")</f>
        <v>LOWRY ELEMENTARY SCHOOL</v>
      </c>
      <c r="E594" s="3" t="str">
        <f>IFERROR(__xludf.DUMMYFUNCTION("""COMPUTED_VALUE"""),"Y")</f>
        <v>Y</v>
      </c>
      <c r="F594" s="3" t="str">
        <f>IFERROR(__xludf.DUMMYFUNCTION("""COMPUTED_VALUE"""),"Y")</f>
        <v>Y</v>
      </c>
      <c r="G594" s="3"/>
      <c r="H594" s="3"/>
      <c r="I594" s="3" t="str">
        <f>IFERROR(__xludf.DUMMYFUNCTION("""COMPUTED_VALUE""")," ")</f>
        <v> </v>
      </c>
      <c r="J594" s="3" t="str">
        <f>IFERROR(__xludf.DUMMYFUNCTION("""COMPUTED_VALUE"""),"Y")</f>
        <v>Y</v>
      </c>
      <c r="K594" s="3" t="str">
        <f>IFERROR(__xludf.DUMMYFUNCTION("""COMPUTED_VALUE"""),"Y")</f>
        <v>Y</v>
      </c>
      <c r="L594" s="3" t="str">
        <f>IFERROR(__xludf.DUMMYFUNCTION("""COMPUTED_VALUE"""),"Group 28")</f>
        <v>Group 28</v>
      </c>
      <c r="M594" s="3"/>
      <c r="N594" s="5" t="str">
        <f>IFERROR(__xludf.DUMMYFUNCTION("""COMPUTED_VALUE"""),"Y")</f>
        <v>Y</v>
      </c>
      <c r="O594" s="5"/>
    </row>
    <row r="595">
      <c r="A595" s="2" t="str">
        <f>IFERROR(__xludf.DUMMYFUNCTION("""COMPUTED_VALUE"""),"0880")</f>
        <v>0880</v>
      </c>
      <c r="B595" s="2" t="str">
        <f>IFERROR(__xludf.DUMMYFUNCTION("""COMPUTED_VALUE"""),"DENVER COUNTY 1")</f>
        <v>DENVER COUNTY 1</v>
      </c>
      <c r="C595" s="2" t="str">
        <f>IFERROR(__xludf.DUMMYFUNCTION("""COMPUTED_VALUE"""),"05448")</f>
        <v>05448</v>
      </c>
      <c r="D595" s="2" t="str">
        <f>IFERROR(__xludf.DUMMYFUNCTION("""COMPUTED_VALUE"""),"MANUAL HIGH SCHOOL")</f>
        <v>MANUAL HIGH SCHOOL</v>
      </c>
      <c r="E595" s="3" t="str">
        <f>IFERROR(__xludf.DUMMYFUNCTION("""COMPUTED_VALUE"""),"Y")</f>
        <v>Y</v>
      </c>
      <c r="F595" s="3" t="str">
        <f>IFERROR(__xludf.DUMMYFUNCTION("""COMPUTED_VALUE"""),"Y")</f>
        <v>Y</v>
      </c>
      <c r="G595" s="3"/>
      <c r="H595" s="3"/>
      <c r="I595" s="3" t="str">
        <f>IFERROR(__xludf.DUMMYFUNCTION("""COMPUTED_VALUE""")," ")</f>
        <v> </v>
      </c>
      <c r="J595" s="3" t="str">
        <f>IFERROR(__xludf.DUMMYFUNCTION("""COMPUTED_VALUE"""),"Y")</f>
        <v>Y</v>
      </c>
      <c r="K595" s="3" t="str">
        <f>IFERROR(__xludf.DUMMYFUNCTION("""COMPUTED_VALUE"""),"Y")</f>
        <v>Y</v>
      </c>
      <c r="L595" s="3" t="str">
        <f>IFERROR(__xludf.DUMMYFUNCTION("""COMPUTED_VALUE"""),"Group 1")</f>
        <v>Group 1</v>
      </c>
      <c r="M595" s="3"/>
      <c r="N595" s="5" t="str">
        <f>IFERROR(__xludf.DUMMYFUNCTION("""COMPUTED_VALUE"""),"Y")</f>
        <v>Y</v>
      </c>
      <c r="O595" s="5"/>
    </row>
    <row r="596">
      <c r="A596" s="2" t="str">
        <f>IFERROR(__xludf.DUMMYFUNCTION("""COMPUTED_VALUE"""),"0880")</f>
        <v>0880</v>
      </c>
      <c r="B596" s="2" t="str">
        <f>IFERROR(__xludf.DUMMYFUNCTION("""COMPUTED_VALUE"""),"DENVER COUNTY 1")</f>
        <v>DENVER COUNTY 1</v>
      </c>
      <c r="C596" s="2" t="str">
        <f>IFERROR(__xludf.DUMMYFUNCTION("""COMPUTED_VALUE"""),"05578")</f>
        <v>05578</v>
      </c>
      <c r="D596" s="2" t="str">
        <f>IFERROR(__xludf.DUMMYFUNCTION("""COMPUTED_VALUE"""),"MARRAMA ELEMENTARY SCHOOL")</f>
        <v>MARRAMA ELEMENTARY SCHOOL</v>
      </c>
      <c r="E596" s="3" t="str">
        <f>IFERROR(__xludf.DUMMYFUNCTION("""COMPUTED_VALUE"""),"Y")</f>
        <v>Y</v>
      </c>
      <c r="F596" s="3" t="str">
        <f>IFERROR(__xludf.DUMMYFUNCTION("""COMPUTED_VALUE"""),"Y")</f>
        <v>Y</v>
      </c>
      <c r="G596" s="3" t="str">
        <f>IFERROR(__xludf.DUMMYFUNCTION("""COMPUTED_VALUE"""),"Y")</f>
        <v>Y</v>
      </c>
      <c r="H596" s="3"/>
      <c r="I596" s="3" t="str">
        <f>IFERROR(__xludf.DUMMYFUNCTION("""COMPUTED_VALUE""")," ")</f>
        <v> </v>
      </c>
      <c r="J596" s="3" t="str">
        <f>IFERROR(__xludf.DUMMYFUNCTION("""COMPUTED_VALUE"""),"Y")</f>
        <v>Y</v>
      </c>
      <c r="K596" s="3" t="str">
        <f>IFERROR(__xludf.DUMMYFUNCTION("""COMPUTED_VALUE"""),"Y")</f>
        <v>Y</v>
      </c>
      <c r="L596" s="3" t="str">
        <f>IFERROR(__xludf.DUMMYFUNCTION("""COMPUTED_VALUE"""),"Group 28")</f>
        <v>Group 28</v>
      </c>
      <c r="M596" s="3"/>
      <c r="N596" s="5" t="str">
        <f>IFERROR(__xludf.DUMMYFUNCTION("""COMPUTED_VALUE""")," ")</f>
        <v> </v>
      </c>
      <c r="O596" s="5"/>
    </row>
    <row r="597">
      <c r="A597" s="2" t="str">
        <f>IFERROR(__xludf.DUMMYFUNCTION("""COMPUTED_VALUE"""),"0880")</f>
        <v>0880</v>
      </c>
      <c r="B597" s="2" t="str">
        <f>IFERROR(__xludf.DUMMYFUNCTION("""COMPUTED_VALUE"""),"DENVER COUNTY 1")</f>
        <v>DENVER COUNTY 1</v>
      </c>
      <c r="C597" s="2" t="str">
        <f>IFERROR(__xludf.DUMMYFUNCTION("""COMPUTED_VALUE"""),"05605")</f>
        <v>05605</v>
      </c>
      <c r="D597" s="2" t="str">
        <f>IFERROR(__xludf.DUMMYFUNCTION("""COMPUTED_VALUE"""),"MARTIN LUTHER KING JR. EARLY COLLEGE")</f>
        <v>MARTIN LUTHER KING JR. EARLY COLLEGE</v>
      </c>
      <c r="E597" s="3" t="str">
        <f>IFERROR(__xludf.DUMMYFUNCTION("""COMPUTED_VALUE"""),"Y")</f>
        <v>Y</v>
      </c>
      <c r="F597" s="3" t="str">
        <f>IFERROR(__xludf.DUMMYFUNCTION("""COMPUTED_VALUE"""),"Y")</f>
        <v>Y</v>
      </c>
      <c r="G597" s="3" t="str">
        <f>IFERROR(__xludf.DUMMYFUNCTION("""COMPUTED_VALUE"""),"Y")</f>
        <v>Y</v>
      </c>
      <c r="H597" s="3"/>
      <c r="I597" s="3" t="str">
        <f>IFERROR(__xludf.DUMMYFUNCTION("""COMPUTED_VALUE""")," ")</f>
        <v> </v>
      </c>
      <c r="J597" s="3" t="str">
        <f>IFERROR(__xludf.DUMMYFUNCTION("""COMPUTED_VALUE"""),"Y")</f>
        <v>Y</v>
      </c>
      <c r="K597" s="3" t="str">
        <f>IFERROR(__xludf.DUMMYFUNCTION("""COMPUTED_VALUE"""),"Y")</f>
        <v>Y</v>
      </c>
      <c r="L597" s="3" t="str">
        <f>IFERROR(__xludf.DUMMYFUNCTION("""COMPUTED_VALUE"""),"Group 5")</f>
        <v>Group 5</v>
      </c>
      <c r="M597" s="3"/>
      <c r="N597" s="5" t="str">
        <f>IFERROR(__xludf.DUMMYFUNCTION("""COMPUTED_VALUE""")," ")</f>
        <v> </v>
      </c>
      <c r="O597" s="5"/>
    </row>
    <row r="598">
      <c r="A598" s="2" t="str">
        <f>IFERROR(__xludf.DUMMYFUNCTION("""COMPUTED_VALUE"""),"0880")</f>
        <v>0880</v>
      </c>
      <c r="B598" s="2" t="str">
        <f>IFERROR(__xludf.DUMMYFUNCTION("""COMPUTED_VALUE"""),"DENVER COUNTY 1")</f>
        <v>DENVER COUNTY 1</v>
      </c>
      <c r="C598" s="2" t="str">
        <f>IFERROR(__xludf.DUMMYFUNCTION("""COMPUTED_VALUE"""),"05621")</f>
        <v>05621</v>
      </c>
      <c r="D598" s="2" t="str">
        <f>IFERROR(__xludf.DUMMYFUNCTION("""COMPUTED_VALUE"""),"Monarch Montessori")</f>
        <v>Monarch Montessori</v>
      </c>
      <c r="E598" s="3" t="str">
        <f>IFERROR(__xludf.DUMMYFUNCTION("""COMPUTED_VALUE"""),"Y")</f>
        <v>Y</v>
      </c>
      <c r="F598" s="3" t="str">
        <f>IFERROR(__xludf.DUMMYFUNCTION("""COMPUTED_VALUE"""),"Y")</f>
        <v>Y</v>
      </c>
      <c r="G598" s="3"/>
      <c r="H598" s="3"/>
      <c r="I598" s="3" t="str">
        <f>IFERROR(__xludf.DUMMYFUNCTION("""COMPUTED_VALUE"""),"Y")</f>
        <v>Y</v>
      </c>
      <c r="J598" s="3" t="str">
        <f>IFERROR(__xludf.DUMMYFUNCTION("""COMPUTED_VALUE""")," ")</f>
        <v> </v>
      </c>
      <c r="K598" s="3" t="str">
        <f>IFERROR(__xludf.DUMMYFUNCTION("""COMPUTED_VALUE"""),"Y")</f>
        <v>Y</v>
      </c>
      <c r="L598" s="3" t="str">
        <f>IFERROR(__xludf.DUMMYFUNCTION("""COMPUTED_VALUE"""),"Group 28")</f>
        <v>Group 28</v>
      </c>
      <c r="M598" s="3"/>
      <c r="N598" s="5" t="str">
        <f>IFERROR(__xludf.DUMMYFUNCTION("""COMPUTED_VALUE""")," ")</f>
        <v> </v>
      </c>
      <c r="O598" s="5"/>
    </row>
    <row r="599">
      <c r="A599" s="2" t="str">
        <f>IFERROR(__xludf.DUMMYFUNCTION("""COMPUTED_VALUE"""),"0880")</f>
        <v>0880</v>
      </c>
      <c r="B599" s="2" t="str">
        <f>IFERROR(__xludf.DUMMYFUNCTION("""COMPUTED_VALUE"""),"DENVER COUNTY 1")</f>
        <v>DENVER COUNTY 1</v>
      </c>
      <c r="C599" s="2" t="str">
        <f>IFERROR(__xludf.DUMMYFUNCTION("""COMPUTED_VALUE"""),"05644")</f>
        <v>05644</v>
      </c>
      <c r="D599" s="2" t="str">
        <f>IFERROR(__xludf.DUMMYFUNCTION("""COMPUTED_VALUE"""),"MAXWELL ELEMENTARY SCHOOL")</f>
        <v>MAXWELL ELEMENTARY SCHOOL</v>
      </c>
      <c r="E599" s="3" t="str">
        <f>IFERROR(__xludf.DUMMYFUNCTION("""COMPUTED_VALUE"""),"Y")</f>
        <v>Y</v>
      </c>
      <c r="F599" s="3" t="str">
        <f>IFERROR(__xludf.DUMMYFUNCTION("""COMPUTED_VALUE"""),"Y")</f>
        <v>Y</v>
      </c>
      <c r="G599" s="3" t="str">
        <f>IFERROR(__xludf.DUMMYFUNCTION("""COMPUTED_VALUE"""),"Y")</f>
        <v>Y</v>
      </c>
      <c r="H599" s="3"/>
      <c r="I599" s="3" t="str">
        <f>IFERROR(__xludf.DUMMYFUNCTION("""COMPUTED_VALUE""")," ")</f>
        <v> </v>
      </c>
      <c r="J599" s="3" t="str">
        <f>IFERROR(__xludf.DUMMYFUNCTION("""COMPUTED_VALUE"""),"Y")</f>
        <v>Y</v>
      </c>
      <c r="K599" s="3" t="str">
        <f>IFERROR(__xludf.DUMMYFUNCTION("""COMPUTED_VALUE"""),"Y")</f>
        <v>Y</v>
      </c>
      <c r="L599" s="3" t="str">
        <f>IFERROR(__xludf.DUMMYFUNCTION("""COMPUTED_VALUE"""),"Group 28")</f>
        <v>Group 28</v>
      </c>
      <c r="M599" s="3"/>
      <c r="N599" s="5" t="str">
        <f>IFERROR(__xludf.DUMMYFUNCTION("""COMPUTED_VALUE""")," ")</f>
        <v> </v>
      </c>
      <c r="O599" s="5"/>
    </row>
    <row r="600">
      <c r="A600" s="2" t="str">
        <f>IFERROR(__xludf.DUMMYFUNCTION("""COMPUTED_VALUE"""),"0880")</f>
        <v>0880</v>
      </c>
      <c r="B600" s="2" t="str">
        <f>IFERROR(__xludf.DUMMYFUNCTION("""COMPUTED_VALUE"""),"DENVER COUNTY 1")</f>
        <v>DENVER COUNTY 1</v>
      </c>
      <c r="C600" s="2" t="str">
        <f>IFERROR(__xludf.DUMMYFUNCTION("""COMPUTED_VALUE"""),"05685")</f>
        <v>05685</v>
      </c>
      <c r="D600" s="2" t="str">
        <f>IFERROR(__xludf.DUMMYFUNCTION("""COMPUTED_VALUE"""),"MCGLONE ELEMENTARY SCHOOL")</f>
        <v>MCGLONE ELEMENTARY SCHOOL</v>
      </c>
      <c r="E600" s="3" t="str">
        <f>IFERROR(__xludf.DUMMYFUNCTION("""COMPUTED_VALUE"""),"Y")</f>
        <v>Y</v>
      </c>
      <c r="F600" s="3" t="str">
        <f>IFERROR(__xludf.DUMMYFUNCTION("""COMPUTED_VALUE"""),"Y")</f>
        <v>Y</v>
      </c>
      <c r="G600" s="3"/>
      <c r="H600" s="3"/>
      <c r="I600" s="3" t="str">
        <f>IFERROR(__xludf.DUMMYFUNCTION("""COMPUTED_VALUE"""),"Y")</f>
        <v>Y</v>
      </c>
      <c r="J600" s="3" t="str">
        <f>IFERROR(__xludf.DUMMYFUNCTION("""COMPUTED_VALUE"""),"Y")</f>
        <v>Y</v>
      </c>
      <c r="K600" s="3" t="str">
        <f>IFERROR(__xludf.DUMMYFUNCTION("""COMPUTED_VALUE"""),"Y")</f>
        <v>Y</v>
      </c>
      <c r="L600" s="3" t="str">
        <f>IFERROR(__xludf.DUMMYFUNCTION("""COMPUTED_VALUE"""),"Group 6")</f>
        <v>Group 6</v>
      </c>
      <c r="M600" s="3"/>
      <c r="N600" s="5" t="str">
        <f>IFERROR(__xludf.DUMMYFUNCTION("""COMPUTED_VALUE"""),"Y")</f>
        <v>Y</v>
      </c>
      <c r="O600" s="5"/>
    </row>
    <row r="601">
      <c r="A601" s="2" t="str">
        <f>IFERROR(__xludf.DUMMYFUNCTION("""COMPUTED_VALUE"""),"0880")</f>
        <v>0880</v>
      </c>
      <c r="B601" s="2" t="str">
        <f>IFERROR(__xludf.DUMMYFUNCTION("""COMPUTED_VALUE"""),"DENVER COUNTY 1")</f>
        <v>DENVER COUNTY 1</v>
      </c>
      <c r="C601" s="2" t="str">
        <f>IFERROR(__xludf.DUMMYFUNCTION("""COMPUTED_VALUE"""),"05702")</f>
        <v>05702</v>
      </c>
      <c r="D601" s="2" t="str">
        <f>IFERROR(__xludf.DUMMYFUNCTION("""COMPUTED_VALUE"""),"MC KINLEY-THATCHER ELEMENTARY SCHOOL")</f>
        <v>MC KINLEY-THATCHER ELEMENTARY SCHOOL</v>
      </c>
      <c r="E601" s="3" t="str">
        <f>IFERROR(__xludf.DUMMYFUNCTION("""COMPUTED_VALUE"""),"Y")</f>
        <v>Y</v>
      </c>
      <c r="F601" s="3" t="str">
        <f>IFERROR(__xludf.DUMMYFUNCTION("""COMPUTED_VALUE"""),"Y")</f>
        <v>Y</v>
      </c>
      <c r="G601" s="3"/>
      <c r="H601" s="3"/>
      <c r="I601" s="3" t="str">
        <f>IFERROR(__xludf.DUMMYFUNCTION("""COMPUTED_VALUE""")," ")</f>
        <v> </v>
      </c>
      <c r="J601" s="3" t="str">
        <f>IFERROR(__xludf.DUMMYFUNCTION("""COMPUTED_VALUE""")," ")</f>
        <v> </v>
      </c>
      <c r="K601" s="3" t="str">
        <f>IFERROR(__xludf.DUMMYFUNCTION("""COMPUTED_VALUE"""),"Y")</f>
        <v>Y</v>
      </c>
      <c r="L601" s="3" t="str">
        <f>IFERROR(__xludf.DUMMYFUNCTION("""COMPUTED_VALUE""")," ")</f>
        <v> </v>
      </c>
      <c r="M601" s="3"/>
      <c r="N601" s="5" t="str">
        <f>IFERROR(__xludf.DUMMYFUNCTION("""COMPUTED_VALUE""")," ")</f>
        <v> </v>
      </c>
      <c r="O601" s="5"/>
    </row>
    <row r="602">
      <c r="A602" s="2" t="str">
        <f>IFERROR(__xludf.DUMMYFUNCTION("""COMPUTED_VALUE"""),"0880")</f>
        <v>0880</v>
      </c>
      <c r="B602" s="2" t="str">
        <f>IFERROR(__xludf.DUMMYFUNCTION("""COMPUTED_VALUE"""),"DENVER COUNTY 1")</f>
        <v>DENVER COUNTY 1</v>
      </c>
      <c r="C602" s="2" t="str">
        <f>IFERROR(__xludf.DUMMYFUNCTION("""COMPUTED_VALUE"""),"05716")</f>
        <v>05716</v>
      </c>
      <c r="D602" s="2" t="str">
        <f>IFERROR(__xludf.DUMMYFUNCTION("""COMPUTED_VALUE"""),"MCMEEN ELEMENTARY SCHOOL")</f>
        <v>MCMEEN ELEMENTARY SCHOOL</v>
      </c>
      <c r="E602" s="3" t="str">
        <f>IFERROR(__xludf.DUMMYFUNCTION("""COMPUTED_VALUE"""),"Y")</f>
        <v>Y</v>
      </c>
      <c r="F602" s="3" t="str">
        <f>IFERROR(__xludf.DUMMYFUNCTION("""COMPUTED_VALUE"""),"Y")</f>
        <v>Y</v>
      </c>
      <c r="G602" s="3"/>
      <c r="H602" s="3"/>
      <c r="I602" s="3" t="str">
        <f>IFERROR(__xludf.DUMMYFUNCTION("""COMPUTED_VALUE"""),"Y")</f>
        <v>Y</v>
      </c>
      <c r="J602" s="3" t="str">
        <f>IFERROR(__xludf.DUMMYFUNCTION("""COMPUTED_VALUE""")," ")</f>
        <v> </v>
      </c>
      <c r="K602" s="3" t="str">
        <f>IFERROR(__xludf.DUMMYFUNCTION("""COMPUTED_VALUE"""),"Y")</f>
        <v>Y</v>
      </c>
      <c r="L602" s="3" t="str">
        <f>IFERROR(__xludf.DUMMYFUNCTION("""COMPUTED_VALUE"""),"Group 1")</f>
        <v>Group 1</v>
      </c>
      <c r="M602" s="3"/>
      <c r="N602" s="5" t="str">
        <f>IFERROR(__xludf.DUMMYFUNCTION("""COMPUTED_VALUE""")," ")</f>
        <v> </v>
      </c>
      <c r="O602" s="5"/>
    </row>
    <row r="603">
      <c r="A603" s="2" t="str">
        <f>IFERROR(__xludf.DUMMYFUNCTION("""COMPUTED_VALUE"""),"0880")</f>
        <v>0880</v>
      </c>
      <c r="B603" s="2" t="str">
        <f>IFERROR(__xludf.DUMMYFUNCTION("""COMPUTED_VALUE"""),"DENVER COUNTY 1")</f>
        <v>DENVER COUNTY 1</v>
      </c>
      <c r="C603" s="2" t="str">
        <f>IFERROR(__xludf.DUMMYFUNCTION("""COMPUTED_VALUE"""),"05826")</f>
        <v>05826</v>
      </c>
      <c r="D603" s="2" t="str">
        <f>IFERROR(__xludf.DUMMYFUNCTION("""COMPUTED_VALUE"""),"MERRILL MIDDLE SCHOOL")</f>
        <v>MERRILL MIDDLE SCHOOL</v>
      </c>
      <c r="E603" s="3" t="str">
        <f>IFERROR(__xludf.DUMMYFUNCTION("""COMPUTED_VALUE"""),"Y")</f>
        <v>Y</v>
      </c>
      <c r="F603" s="3" t="str">
        <f>IFERROR(__xludf.DUMMYFUNCTION("""COMPUTED_VALUE"""),"Y")</f>
        <v>Y</v>
      </c>
      <c r="G603" s="3"/>
      <c r="H603" s="3"/>
      <c r="I603" s="3" t="str">
        <f>IFERROR(__xludf.DUMMYFUNCTION("""COMPUTED_VALUE""")," ")</f>
        <v> </v>
      </c>
      <c r="J603" s="3" t="str">
        <f>IFERROR(__xludf.DUMMYFUNCTION("""COMPUTED_VALUE""")," ")</f>
        <v> </v>
      </c>
      <c r="K603" s="3" t="str">
        <f>IFERROR(__xludf.DUMMYFUNCTION("""COMPUTED_VALUE"""),"Y")</f>
        <v>Y</v>
      </c>
      <c r="L603" s="3" t="str">
        <f>IFERROR(__xludf.DUMMYFUNCTION("""COMPUTED_VALUE""")," ")</f>
        <v> </v>
      </c>
      <c r="M603" s="3"/>
      <c r="N603" s="5" t="str">
        <f>IFERROR(__xludf.DUMMYFUNCTION("""COMPUTED_VALUE"""),"Y")</f>
        <v>Y</v>
      </c>
      <c r="O603" s="5"/>
    </row>
    <row r="604">
      <c r="A604" s="2" t="str">
        <f>IFERROR(__xludf.DUMMYFUNCTION("""COMPUTED_VALUE"""),"0880")</f>
        <v>0880</v>
      </c>
      <c r="B604" s="2" t="str">
        <f>IFERROR(__xludf.DUMMYFUNCTION("""COMPUTED_VALUE"""),"DENVER COUNTY 1")</f>
        <v>DENVER COUNTY 1</v>
      </c>
      <c r="C604" s="2" t="str">
        <f>IFERROR(__xludf.DUMMYFUNCTION("""COMPUTED_VALUE"""),"05844")</f>
        <v>05844</v>
      </c>
      <c r="D604" s="2" t="str">
        <f>IFERROR(__xludf.DUMMYFUNCTION("""COMPUTED_VALUE"""),"CONTEMPORARY LEARNING ACADEMY")</f>
        <v>CONTEMPORARY LEARNING ACADEMY</v>
      </c>
      <c r="E604" s="3" t="str">
        <f>IFERROR(__xludf.DUMMYFUNCTION("""COMPUTED_VALUE"""),"Y")</f>
        <v>Y</v>
      </c>
      <c r="F604" s="3" t="str">
        <f>IFERROR(__xludf.DUMMYFUNCTION("""COMPUTED_VALUE"""),"Y")</f>
        <v>Y</v>
      </c>
      <c r="G604" s="3"/>
      <c r="H604" s="3"/>
      <c r="I604" s="3" t="str">
        <f>IFERROR(__xludf.DUMMYFUNCTION("""COMPUTED_VALUE""")," ")</f>
        <v> </v>
      </c>
      <c r="J604" s="3" t="str">
        <f>IFERROR(__xludf.DUMMYFUNCTION("""COMPUTED_VALUE"""),"Y")</f>
        <v>Y</v>
      </c>
      <c r="K604" s="3" t="str">
        <f>IFERROR(__xludf.DUMMYFUNCTION("""COMPUTED_VALUE"""),"Y")</f>
        <v>Y</v>
      </c>
      <c r="L604" s="3" t="str">
        <f>IFERROR(__xludf.DUMMYFUNCTION("""COMPUTED_VALUE"""),"Group 28")</f>
        <v>Group 28</v>
      </c>
      <c r="M604" s="3"/>
      <c r="N604" s="5" t="str">
        <f>IFERROR(__xludf.DUMMYFUNCTION("""COMPUTED_VALUE"""),"Y")</f>
        <v>Y</v>
      </c>
      <c r="O604" s="5"/>
    </row>
    <row r="605">
      <c r="A605" s="2" t="str">
        <f>IFERROR(__xludf.DUMMYFUNCTION("""COMPUTED_VALUE"""),"0880")</f>
        <v>0880</v>
      </c>
      <c r="B605" s="2" t="str">
        <f>IFERROR(__xludf.DUMMYFUNCTION("""COMPUTED_VALUE"""),"DENVER COUNTY 1")</f>
        <v>DENVER COUNTY 1</v>
      </c>
      <c r="C605" s="2" t="str">
        <f>IFERROR(__xludf.DUMMYFUNCTION("""COMPUTED_VALUE"""),"05897")</f>
        <v>05897</v>
      </c>
      <c r="D605" s="2" t="str">
        <f>IFERROR(__xludf.DUMMYFUNCTION("""COMPUTED_VALUE"""),"McAuliffe International School")</f>
        <v>McAuliffe International School</v>
      </c>
      <c r="E605" s="3" t="str">
        <f>IFERROR(__xludf.DUMMYFUNCTION("""COMPUTED_VALUE"""),"Y")</f>
        <v>Y</v>
      </c>
      <c r="F605" s="3" t="str">
        <f>IFERROR(__xludf.DUMMYFUNCTION("""COMPUTED_VALUE"""),"Y")</f>
        <v>Y</v>
      </c>
      <c r="G605" s="3"/>
      <c r="H605" s="3"/>
      <c r="I605" s="3" t="str">
        <f>IFERROR(__xludf.DUMMYFUNCTION("""COMPUTED_VALUE""")," ")</f>
        <v> </v>
      </c>
      <c r="J605" s="3" t="str">
        <f>IFERROR(__xludf.DUMMYFUNCTION("""COMPUTED_VALUE""")," ")</f>
        <v> </v>
      </c>
      <c r="K605" s="3" t="str">
        <f>IFERROR(__xludf.DUMMYFUNCTION("""COMPUTED_VALUE"""),"Y")</f>
        <v>Y</v>
      </c>
      <c r="L605" s="3" t="str">
        <f>IFERROR(__xludf.DUMMYFUNCTION("""COMPUTED_VALUE""")," ")</f>
        <v> </v>
      </c>
      <c r="M605" s="3"/>
      <c r="N605" s="5"/>
      <c r="O605" s="5"/>
    </row>
    <row r="606">
      <c r="A606" s="2" t="str">
        <f>IFERROR(__xludf.DUMMYFUNCTION("""COMPUTED_VALUE"""),"0880")</f>
        <v>0880</v>
      </c>
      <c r="B606" s="2" t="str">
        <f>IFERROR(__xludf.DUMMYFUNCTION("""COMPUTED_VALUE"""),"DENVER COUNTY 1")</f>
        <v>DENVER COUNTY 1</v>
      </c>
      <c r="C606" s="2" t="str">
        <f>IFERROR(__xludf.DUMMYFUNCTION("""COMPUTED_VALUE"""),"05973")</f>
        <v>05973</v>
      </c>
      <c r="D606" s="2" t="str">
        <f>IFERROR(__xludf.DUMMYFUNCTION("""COMPUTED_VALUE"""),"Manual Middle School")</f>
        <v>Manual Middle School</v>
      </c>
      <c r="E606" s="3" t="str">
        <f>IFERROR(__xludf.DUMMYFUNCTION("""COMPUTED_VALUE"""),"Y")</f>
        <v>Y</v>
      </c>
      <c r="F606" s="3" t="str">
        <f>IFERROR(__xludf.DUMMYFUNCTION("""COMPUTED_VALUE"""),"Y")</f>
        <v>Y</v>
      </c>
      <c r="G606" s="3"/>
      <c r="H606" s="3"/>
      <c r="I606" s="3" t="str">
        <f>IFERROR(__xludf.DUMMYFUNCTION("""COMPUTED_VALUE""")," ")</f>
        <v> </v>
      </c>
      <c r="J606" s="3" t="str">
        <f>IFERROR(__xludf.DUMMYFUNCTION("""COMPUTED_VALUE"""),"Y")</f>
        <v>Y</v>
      </c>
      <c r="K606" s="3" t="str">
        <f>IFERROR(__xludf.DUMMYFUNCTION("""COMPUTED_VALUE"""),"Y")</f>
        <v>Y</v>
      </c>
      <c r="L606" s="3" t="str">
        <f>IFERROR(__xludf.DUMMYFUNCTION("""COMPUTED_VALUE"""),"Group 1")</f>
        <v>Group 1</v>
      </c>
      <c r="M606" s="3"/>
      <c r="N606" s="5" t="str">
        <f>IFERROR(__xludf.DUMMYFUNCTION("""COMPUTED_VALUE""")," ")</f>
        <v> </v>
      </c>
      <c r="O606" s="5"/>
    </row>
    <row r="607">
      <c r="A607" s="2" t="str">
        <f>IFERROR(__xludf.DUMMYFUNCTION("""COMPUTED_VALUE"""),"0880")</f>
        <v>0880</v>
      </c>
      <c r="B607" s="2" t="str">
        <f>IFERROR(__xludf.DUMMYFUNCTION("""COMPUTED_VALUE"""),"DENVER COUNTY 1")</f>
        <v>DENVER COUNTY 1</v>
      </c>
      <c r="C607" s="2" t="str">
        <f>IFERROR(__xludf.DUMMYFUNCTION("""COMPUTED_VALUE"""),"06002")</f>
        <v>06002</v>
      </c>
      <c r="D607" s="2" t="str">
        <f>IFERROR(__xludf.DUMMYFUNCTION("""COMPUTED_VALUE"""),"MONTCLAIR ELEMENTARY SCHOOL")</f>
        <v>MONTCLAIR ELEMENTARY SCHOOL</v>
      </c>
      <c r="E607" s="3" t="str">
        <f>IFERROR(__xludf.DUMMYFUNCTION("""COMPUTED_VALUE"""),"Y")</f>
        <v>Y</v>
      </c>
      <c r="F607" s="3" t="str">
        <f>IFERROR(__xludf.DUMMYFUNCTION("""COMPUTED_VALUE"""),"Y")</f>
        <v>Y</v>
      </c>
      <c r="G607" s="3" t="str">
        <f>IFERROR(__xludf.DUMMYFUNCTION("""COMPUTED_VALUE"""),"Y")</f>
        <v>Y</v>
      </c>
      <c r="H607" s="3"/>
      <c r="I607" s="3" t="str">
        <f>IFERROR(__xludf.DUMMYFUNCTION("""COMPUTED_VALUE"""),"Y")</f>
        <v>Y</v>
      </c>
      <c r="J607" s="3" t="str">
        <f>IFERROR(__xludf.DUMMYFUNCTION("""COMPUTED_VALUE"""),"Y")</f>
        <v>Y</v>
      </c>
      <c r="K607" s="3" t="str">
        <f>IFERROR(__xludf.DUMMYFUNCTION("""COMPUTED_VALUE"""),"Y")</f>
        <v>Y</v>
      </c>
      <c r="L607" s="3" t="str">
        <f>IFERROR(__xludf.DUMMYFUNCTION("""COMPUTED_VALUE"""),"Group 28")</f>
        <v>Group 28</v>
      </c>
      <c r="M607" s="3"/>
      <c r="N607" s="5" t="str">
        <f>IFERROR(__xludf.DUMMYFUNCTION("""COMPUTED_VALUE""")," ")</f>
        <v> </v>
      </c>
      <c r="O607" s="5"/>
    </row>
    <row r="608">
      <c r="A608" s="2" t="str">
        <f>IFERROR(__xludf.DUMMYFUNCTION("""COMPUTED_VALUE"""),"0880")</f>
        <v>0880</v>
      </c>
      <c r="B608" s="2" t="str">
        <f>IFERROR(__xludf.DUMMYFUNCTION("""COMPUTED_VALUE"""),"DENVER COUNTY 1")</f>
        <v>DENVER COUNTY 1</v>
      </c>
      <c r="C608" s="2" t="str">
        <f>IFERROR(__xludf.DUMMYFUNCTION("""COMPUTED_VALUE"""),"06088")</f>
        <v>06088</v>
      </c>
      <c r="D608" s="2" t="str">
        <f>IFERROR(__xludf.DUMMYFUNCTION("""COMPUTED_VALUE"""),"DORA MOORE ECE-8 SCHOOL")</f>
        <v>DORA MOORE ECE-8 SCHOOL</v>
      </c>
      <c r="E608" s="3" t="str">
        <f>IFERROR(__xludf.DUMMYFUNCTION("""COMPUTED_VALUE"""),"Y")</f>
        <v>Y</v>
      </c>
      <c r="F608" s="3" t="str">
        <f>IFERROR(__xludf.DUMMYFUNCTION("""COMPUTED_VALUE"""),"Y")</f>
        <v>Y</v>
      </c>
      <c r="G608" s="3"/>
      <c r="H608" s="3"/>
      <c r="I608" s="3" t="str">
        <f>IFERROR(__xludf.DUMMYFUNCTION("""COMPUTED_VALUE"""),"Y")</f>
        <v>Y</v>
      </c>
      <c r="J608" s="3" t="str">
        <f>IFERROR(__xludf.DUMMYFUNCTION("""COMPUTED_VALUE""")," ")</f>
        <v> </v>
      </c>
      <c r="K608" s="3" t="str">
        <f>IFERROR(__xludf.DUMMYFUNCTION("""COMPUTED_VALUE"""),"Y")</f>
        <v>Y</v>
      </c>
      <c r="L608" s="3" t="str">
        <f>IFERROR(__xludf.DUMMYFUNCTION("""COMPUTED_VALUE"""),"Group 28")</f>
        <v>Group 28</v>
      </c>
      <c r="M608" s="3"/>
      <c r="N608" s="5" t="str">
        <f>IFERROR(__xludf.DUMMYFUNCTION("""COMPUTED_VALUE""")," ")</f>
        <v> </v>
      </c>
      <c r="O608" s="5"/>
    </row>
    <row r="609">
      <c r="A609" s="2" t="str">
        <f>IFERROR(__xludf.DUMMYFUNCTION("""COMPUTED_VALUE"""),"0880")</f>
        <v>0880</v>
      </c>
      <c r="B609" s="2" t="str">
        <f>IFERROR(__xludf.DUMMYFUNCTION("""COMPUTED_VALUE"""),"DENVER COUNTY 1")</f>
        <v>DENVER COUNTY 1</v>
      </c>
      <c r="C609" s="2" t="str">
        <f>IFERROR(__xludf.DUMMYFUNCTION("""COMPUTED_VALUE"""),"06098")</f>
        <v>06098</v>
      </c>
      <c r="D609" s="2" t="str">
        <f>IFERROR(__xludf.DUMMYFUNCTION("""COMPUTED_VALUE"""),"MOREY MIDDLE SCHOOL")</f>
        <v>MOREY MIDDLE SCHOOL</v>
      </c>
      <c r="E609" s="3" t="str">
        <f>IFERROR(__xludf.DUMMYFUNCTION("""COMPUTED_VALUE"""),"Y")</f>
        <v>Y</v>
      </c>
      <c r="F609" s="3" t="str">
        <f>IFERROR(__xludf.DUMMYFUNCTION("""COMPUTED_VALUE"""),"Y")</f>
        <v>Y</v>
      </c>
      <c r="G609" s="3"/>
      <c r="H609" s="3"/>
      <c r="I609" s="3" t="str">
        <f>IFERROR(__xludf.DUMMYFUNCTION("""COMPUTED_VALUE""")," ")</f>
        <v> </v>
      </c>
      <c r="J609" s="3" t="str">
        <f>IFERROR(__xludf.DUMMYFUNCTION("""COMPUTED_VALUE""")," ")</f>
        <v> </v>
      </c>
      <c r="K609" s="3" t="str">
        <f>IFERROR(__xludf.DUMMYFUNCTION("""COMPUTED_VALUE"""),"Y")</f>
        <v>Y</v>
      </c>
      <c r="L609" s="3" t="str">
        <f>IFERROR(__xludf.DUMMYFUNCTION("""COMPUTED_VALUE"""),"Group 13")</f>
        <v>Group 13</v>
      </c>
      <c r="M609" s="3"/>
      <c r="N609" s="5" t="str">
        <f>IFERROR(__xludf.DUMMYFUNCTION("""COMPUTED_VALUE"""),"Y")</f>
        <v>Y</v>
      </c>
      <c r="O609" s="5"/>
    </row>
    <row r="610">
      <c r="A610" s="2" t="str">
        <f>IFERROR(__xludf.DUMMYFUNCTION("""COMPUTED_VALUE"""),"0880")</f>
        <v>0880</v>
      </c>
      <c r="B610" s="2" t="str">
        <f>IFERROR(__xludf.DUMMYFUNCTION("""COMPUTED_VALUE"""),"DENVER COUNTY 1")</f>
        <v>DENVER COUNTY 1</v>
      </c>
      <c r="C610" s="2" t="str">
        <f>IFERROR(__xludf.DUMMYFUNCTION("""COMPUTED_VALUE"""),"06188")</f>
        <v>06188</v>
      </c>
      <c r="D610" s="2" t="str">
        <f>IFERROR(__xludf.DUMMYFUNCTION("""COMPUTED_VALUE"""),"MUNROE ELEMENTARY SCHOOL")</f>
        <v>MUNROE ELEMENTARY SCHOOL</v>
      </c>
      <c r="E610" s="3" t="str">
        <f>IFERROR(__xludf.DUMMYFUNCTION("""COMPUTED_VALUE"""),"Y")</f>
        <v>Y</v>
      </c>
      <c r="F610" s="3" t="str">
        <f>IFERROR(__xludf.DUMMYFUNCTION("""COMPUTED_VALUE"""),"Y")</f>
        <v>Y</v>
      </c>
      <c r="G610" s="3" t="str">
        <f>IFERROR(__xludf.DUMMYFUNCTION("""COMPUTED_VALUE"""),"Y")</f>
        <v>Y</v>
      </c>
      <c r="H610" s="3"/>
      <c r="I610" s="3" t="str">
        <f>IFERROR(__xludf.DUMMYFUNCTION("""COMPUTED_VALUE"""),"Y")</f>
        <v>Y</v>
      </c>
      <c r="J610" s="3" t="str">
        <f>IFERROR(__xludf.DUMMYFUNCTION("""COMPUTED_VALUE"""),"Y")</f>
        <v>Y</v>
      </c>
      <c r="K610" s="3" t="str">
        <f>IFERROR(__xludf.DUMMYFUNCTION("""COMPUTED_VALUE"""),"Y")</f>
        <v>Y</v>
      </c>
      <c r="L610" s="3" t="str">
        <f>IFERROR(__xludf.DUMMYFUNCTION("""COMPUTED_VALUE"""),"Group 28")</f>
        <v>Group 28</v>
      </c>
      <c r="M610" s="3"/>
      <c r="N610" s="5" t="str">
        <f>IFERROR(__xludf.DUMMYFUNCTION("""COMPUTED_VALUE""")," ")</f>
        <v> </v>
      </c>
      <c r="O610" s="5"/>
    </row>
    <row r="611">
      <c r="A611" s="2" t="str">
        <f>IFERROR(__xludf.DUMMYFUNCTION("""COMPUTED_VALUE"""),"0880")</f>
        <v>0880</v>
      </c>
      <c r="B611" s="2" t="str">
        <f>IFERROR(__xludf.DUMMYFUNCTION("""COMPUTED_VALUE"""),"DENVER COUNTY 1")</f>
        <v>DENVER COUNTY 1</v>
      </c>
      <c r="C611" s="2" t="str">
        <f>IFERROR(__xludf.DUMMYFUNCTION("""COMPUTED_VALUE"""),"06254")</f>
        <v>06254</v>
      </c>
      <c r="D611" s="2" t="str">
        <f>IFERROR(__xludf.DUMMYFUNCTION("""COMPUTED_VALUE"""),"NEWLON ELEMENTARY SCHOOL")</f>
        <v>NEWLON ELEMENTARY SCHOOL</v>
      </c>
      <c r="E611" s="3" t="str">
        <f>IFERROR(__xludf.DUMMYFUNCTION("""COMPUTED_VALUE"""),"Y")</f>
        <v>Y</v>
      </c>
      <c r="F611" s="3" t="str">
        <f>IFERROR(__xludf.DUMMYFUNCTION("""COMPUTED_VALUE"""),"Y")</f>
        <v>Y</v>
      </c>
      <c r="G611" s="3" t="str">
        <f>IFERROR(__xludf.DUMMYFUNCTION("""COMPUTED_VALUE"""),"Y")</f>
        <v>Y</v>
      </c>
      <c r="H611" s="3"/>
      <c r="I611" s="3" t="str">
        <f>IFERROR(__xludf.DUMMYFUNCTION("""COMPUTED_VALUE"""),"Y")</f>
        <v>Y</v>
      </c>
      <c r="J611" s="3" t="str">
        <f>IFERROR(__xludf.DUMMYFUNCTION("""COMPUTED_VALUE"""),"Y")</f>
        <v>Y</v>
      </c>
      <c r="K611" s="3" t="str">
        <f>IFERROR(__xludf.DUMMYFUNCTION("""COMPUTED_VALUE"""),"Y")</f>
        <v>Y</v>
      </c>
      <c r="L611" s="3" t="str">
        <f>IFERROR(__xludf.DUMMYFUNCTION("""COMPUTED_VALUE"""),"Group 28")</f>
        <v>Group 28</v>
      </c>
      <c r="M611" s="3"/>
      <c r="N611" s="5" t="str">
        <f>IFERROR(__xludf.DUMMYFUNCTION("""COMPUTED_VALUE""")," ")</f>
        <v> </v>
      </c>
      <c r="O611" s="5"/>
    </row>
    <row r="612">
      <c r="A612" s="2" t="str">
        <f>IFERROR(__xludf.DUMMYFUNCTION("""COMPUTED_VALUE"""),"0880")</f>
        <v>0880</v>
      </c>
      <c r="B612" s="2" t="str">
        <f>IFERROR(__xludf.DUMMYFUNCTION("""COMPUTED_VALUE"""),"DENVER COUNTY 1")</f>
        <v>DENVER COUNTY 1</v>
      </c>
      <c r="C612" s="2" t="str">
        <f>IFERROR(__xludf.DUMMYFUNCTION("""COMPUTED_VALUE"""),"06308")</f>
        <v>06308</v>
      </c>
      <c r="D612" s="2" t="str">
        <f>IFERROR(__xludf.DUMMYFUNCTION("""COMPUTED_VALUE"""),"NORTH HIGH SCHOOL ENGAGEMENT CENTER")</f>
        <v>NORTH HIGH SCHOOL ENGAGEMENT CENTER</v>
      </c>
      <c r="E612" s="3" t="str">
        <f>IFERROR(__xludf.DUMMYFUNCTION("""COMPUTED_VALUE"""),"Y")</f>
        <v>Y</v>
      </c>
      <c r="F612" s="3" t="str">
        <f>IFERROR(__xludf.DUMMYFUNCTION("""COMPUTED_VALUE"""),"Y")</f>
        <v>Y</v>
      </c>
      <c r="G612" s="3"/>
      <c r="H612" s="3"/>
      <c r="I612" s="3" t="str">
        <f>IFERROR(__xludf.DUMMYFUNCTION("""COMPUTED_VALUE""")," ")</f>
        <v> </v>
      </c>
      <c r="J612" s="3" t="str">
        <f>IFERROR(__xludf.DUMMYFUNCTION("""COMPUTED_VALUE"""),"Y")</f>
        <v>Y</v>
      </c>
      <c r="K612" s="3" t="str">
        <f>IFERROR(__xludf.DUMMYFUNCTION("""COMPUTED_VALUE"""),"Y")</f>
        <v>Y</v>
      </c>
      <c r="L612" s="3" t="str">
        <f>IFERROR(__xludf.DUMMYFUNCTION("""COMPUTED_VALUE"""),"Group 28")</f>
        <v>Group 28</v>
      </c>
      <c r="M612" s="3"/>
      <c r="N612" s="5" t="str">
        <f>IFERROR(__xludf.DUMMYFUNCTION("""COMPUTED_VALUE""")," ")</f>
        <v> </v>
      </c>
      <c r="O612" s="5"/>
    </row>
    <row r="613">
      <c r="A613" s="2" t="str">
        <f>IFERROR(__xludf.DUMMYFUNCTION("""COMPUTED_VALUE"""),"0880")</f>
        <v>0880</v>
      </c>
      <c r="B613" s="2" t="str">
        <f>IFERROR(__xludf.DUMMYFUNCTION("""COMPUTED_VALUE"""),"DENVER COUNTY 1")</f>
        <v>DENVER COUNTY 1</v>
      </c>
      <c r="C613" s="2" t="str">
        <f>IFERROR(__xludf.DUMMYFUNCTION("""COMPUTED_VALUE"""),"06314")</f>
        <v>06314</v>
      </c>
      <c r="D613" s="2" t="str">
        <f>IFERROR(__xludf.DUMMYFUNCTION("""COMPUTED_VALUE"""),"NORTH HIGH SCHOOL")</f>
        <v>NORTH HIGH SCHOOL</v>
      </c>
      <c r="E613" s="3" t="str">
        <f>IFERROR(__xludf.DUMMYFUNCTION("""COMPUTED_VALUE"""),"Y")</f>
        <v>Y</v>
      </c>
      <c r="F613" s="3" t="str">
        <f>IFERROR(__xludf.DUMMYFUNCTION("""COMPUTED_VALUE"""),"Y")</f>
        <v>Y</v>
      </c>
      <c r="G613" s="3"/>
      <c r="H613" s="3"/>
      <c r="I613" s="3" t="str">
        <f>IFERROR(__xludf.DUMMYFUNCTION("""COMPUTED_VALUE""")," ")</f>
        <v> </v>
      </c>
      <c r="J613" s="3" t="str">
        <f>IFERROR(__xludf.DUMMYFUNCTION("""COMPUTED_VALUE""")," ")</f>
        <v> </v>
      </c>
      <c r="K613" s="3" t="str">
        <f>IFERROR(__xludf.DUMMYFUNCTION("""COMPUTED_VALUE"""),"Y")</f>
        <v>Y</v>
      </c>
      <c r="L613" s="3" t="str">
        <f>IFERROR(__xludf.DUMMYFUNCTION("""COMPUTED_VALUE"""),"Group 7")</f>
        <v>Group 7</v>
      </c>
      <c r="M613" s="3"/>
      <c r="N613" s="5" t="str">
        <f>IFERROR(__xludf.DUMMYFUNCTION("""COMPUTED_VALUE"""),"Y")</f>
        <v>Y</v>
      </c>
      <c r="O613" s="5"/>
    </row>
    <row r="614">
      <c r="A614" s="2" t="str">
        <f>IFERROR(__xludf.DUMMYFUNCTION("""COMPUTED_VALUE"""),"0880")</f>
        <v>0880</v>
      </c>
      <c r="B614" s="2" t="str">
        <f>IFERROR(__xludf.DUMMYFUNCTION("""COMPUTED_VALUE"""),"DENVER COUNTY 1")</f>
        <v>DENVER COUNTY 1</v>
      </c>
      <c r="C614" s="2" t="str">
        <f>IFERROR(__xludf.DUMMYFUNCTION("""COMPUTED_VALUE"""),"06350")</f>
        <v>06350</v>
      </c>
      <c r="D614" s="2" t="str">
        <f>IFERROR(__xludf.DUMMYFUNCTION("""COMPUTED_VALUE"""),"BRUCE RANDOLPH SCHOOL")</f>
        <v>BRUCE RANDOLPH SCHOOL</v>
      </c>
      <c r="E614" s="3" t="str">
        <f>IFERROR(__xludf.DUMMYFUNCTION("""COMPUTED_VALUE"""),"Y")</f>
        <v>Y</v>
      </c>
      <c r="F614" s="3" t="str">
        <f>IFERROR(__xludf.DUMMYFUNCTION("""COMPUTED_VALUE"""),"Y")</f>
        <v>Y</v>
      </c>
      <c r="G614" s="3"/>
      <c r="H614" s="3"/>
      <c r="I614" s="3" t="str">
        <f>IFERROR(__xludf.DUMMYFUNCTION("""COMPUTED_VALUE""")," ")</f>
        <v> </v>
      </c>
      <c r="J614" s="3" t="str">
        <f>IFERROR(__xludf.DUMMYFUNCTION("""COMPUTED_VALUE"""),"Y")</f>
        <v>Y</v>
      </c>
      <c r="K614" s="3" t="str">
        <f>IFERROR(__xludf.DUMMYFUNCTION("""COMPUTED_VALUE"""),"Y")</f>
        <v>Y</v>
      </c>
      <c r="L614" s="3" t="str">
        <f>IFERROR(__xludf.DUMMYFUNCTION("""COMPUTED_VALUE"""),"Group 4")</f>
        <v>Group 4</v>
      </c>
      <c r="M614" s="3"/>
      <c r="N614" s="5" t="str">
        <f>IFERROR(__xludf.DUMMYFUNCTION("""COMPUTED_VALUE"""),"Y")</f>
        <v>Y</v>
      </c>
      <c r="O614" s="5"/>
    </row>
    <row r="615">
      <c r="A615" s="2" t="str">
        <f>IFERROR(__xludf.DUMMYFUNCTION("""COMPUTED_VALUE"""),"0880")</f>
        <v>0880</v>
      </c>
      <c r="B615" s="2" t="str">
        <f>IFERROR(__xludf.DUMMYFUNCTION("""COMPUTED_VALUE"""),"DENVER COUNTY 1")</f>
        <v>DENVER COUNTY 1</v>
      </c>
      <c r="C615" s="2" t="str">
        <f>IFERROR(__xludf.DUMMYFUNCTION("""COMPUTED_VALUE"""),"06368")</f>
        <v>06368</v>
      </c>
      <c r="D615" s="2" t="str">
        <f>IFERROR(__xludf.DUMMYFUNCTION("""COMPUTED_VALUE"""),"NORTHFIELD HIGH SCHOOL")</f>
        <v>NORTHFIELD HIGH SCHOOL</v>
      </c>
      <c r="E615" s="3" t="str">
        <f>IFERROR(__xludf.DUMMYFUNCTION("""COMPUTED_VALUE"""),"Y")</f>
        <v>Y</v>
      </c>
      <c r="F615" s="3" t="str">
        <f>IFERROR(__xludf.DUMMYFUNCTION("""COMPUTED_VALUE"""),"Y")</f>
        <v>Y</v>
      </c>
      <c r="G615" s="3"/>
      <c r="H615" s="3"/>
      <c r="I615" s="3" t="str">
        <f>IFERROR(__xludf.DUMMYFUNCTION("""COMPUTED_VALUE""")," ")</f>
        <v> </v>
      </c>
      <c r="J615" s="3" t="str">
        <f>IFERROR(__xludf.DUMMYFUNCTION("""COMPUTED_VALUE""")," ")</f>
        <v> </v>
      </c>
      <c r="K615" s="3" t="str">
        <f>IFERROR(__xludf.DUMMYFUNCTION("""COMPUTED_VALUE"""),"Y")</f>
        <v>Y</v>
      </c>
      <c r="L615" s="3" t="str">
        <f>IFERROR(__xludf.DUMMYFUNCTION("""COMPUTED_VALUE""")," ")</f>
        <v> </v>
      </c>
      <c r="M615" s="3"/>
      <c r="N615" s="5" t="str">
        <f>IFERROR(__xludf.DUMMYFUNCTION("""COMPUTED_VALUE"""),"Y")</f>
        <v>Y</v>
      </c>
      <c r="O615" s="5"/>
    </row>
    <row r="616">
      <c r="A616" s="2" t="str">
        <f>IFERROR(__xludf.DUMMYFUNCTION("""COMPUTED_VALUE"""),"0880")</f>
        <v>0880</v>
      </c>
      <c r="B616" s="2" t="str">
        <f>IFERROR(__xludf.DUMMYFUNCTION("""COMPUTED_VALUE"""),"DENVER COUNTY 1")</f>
        <v>DENVER COUNTY 1</v>
      </c>
      <c r="C616" s="2" t="str">
        <f>IFERROR(__xludf.DUMMYFUNCTION("""COMPUTED_VALUE"""),"06397")</f>
        <v>06397</v>
      </c>
      <c r="D616" s="2" t="str">
        <f>IFERROR(__xludf.DUMMYFUNCTION("""COMPUTED_VALUE"""),"ACADEMIA ANA MARIE SANDOVAL")</f>
        <v>ACADEMIA ANA MARIE SANDOVAL</v>
      </c>
      <c r="E616" s="3" t="str">
        <f>IFERROR(__xludf.DUMMYFUNCTION("""COMPUTED_VALUE"""),"Y")</f>
        <v>Y</v>
      </c>
      <c r="F616" s="3" t="str">
        <f>IFERROR(__xludf.DUMMYFUNCTION("""COMPUTED_VALUE"""),"Y")</f>
        <v>Y</v>
      </c>
      <c r="G616" s="3"/>
      <c r="H616" s="3"/>
      <c r="I616" s="3" t="str">
        <f>IFERROR(__xludf.DUMMYFUNCTION("""COMPUTED_VALUE""")," ")</f>
        <v> </v>
      </c>
      <c r="J616" s="3" t="str">
        <f>IFERROR(__xludf.DUMMYFUNCTION("""COMPUTED_VALUE""")," ")</f>
        <v> </v>
      </c>
      <c r="K616" s="3" t="str">
        <f>IFERROR(__xludf.DUMMYFUNCTION("""COMPUTED_VALUE"""),"Y")</f>
        <v>Y</v>
      </c>
      <c r="L616" s="3" t="str">
        <f>IFERROR(__xludf.DUMMYFUNCTION("""COMPUTED_VALUE"""),"Group 7")</f>
        <v>Group 7</v>
      </c>
      <c r="M616" s="3"/>
      <c r="N616" s="5" t="str">
        <f>IFERROR(__xludf.DUMMYFUNCTION("""COMPUTED_VALUE""")," ")</f>
        <v> </v>
      </c>
      <c r="O616" s="5"/>
    </row>
    <row r="617">
      <c r="A617" s="2" t="str">
        <f>IFERROR(__xludf.DUMMYFUNCTION("""COMPUTED_VALUE"""),"0880")</f>
        <v>0880</v>
      </c>
      <c r="B617" s="2" t="str">
        <f>IFERROR(__xludf.DUMMYFUNCTION("""COMPUTED_VALUE"""),"DENVER COUNTY 1")</f>
        <v>DENVER COUNTY 1</v>
      </c>
      <c r="C617" s="2" t="str">
        <f>IFERROR(__xludf.DUMMYFUNCTION("""COMPUTED_VALUE"""),"06479")</f>
        <v>06479</v>
      </c>
      <c r="D617" s="2" t="str">
        <f>IFERROR(__xludf.DUMMYFUNCTION("""COMPUTED_VALUE"""),"THE ODYSSEY SCHOOL")</f>
        <v>THE ODYSSEY SCHOOL</v>
      </c>
      <c r="E617" s="3" t="str">
        <f>IFERROR(__xludf.DUMMYFUNCTION("""COMPUTED_VALUE"""),"Y")</f>
        <v>Y</v>
      </c>
      <c r="F617" s="3" t="str">
        <f>IFERROR(__xludf.DUMMYFUNCTION("""COMPUTED_VALUE"""),"Y")</f>
        <v>Y</v>
      </c>
      <c r="G617" s="3"/>
      <c r="H617" s="3"/>
      <c r="I617" s="3" t="str">
        <f>IFERROR(__xludf.DUMMYFUNCTION("""COMPUTED_VALUE""")," ")</f>
        <v> </v>
      </c>
      <c r="J617" s="3" t="str">
        <f>IFERROR(__xludf.DUMMYFUNCTION("""COMPUTED_VALUE""")," ")</f>
        <v> </v>
      </c>
      <c r="K617" s="3" t="str">
        <f>IFERROR(__xludf.DUMMYFUNCTION("""COMPUTED_VALUE"""),"Y")</f>
        <v>Y</v>
      </c>
      <c r="L617" s="3" t="str">
        <f>IFERROR(__xludf.DUMMYFUNCTION("""COMPUTED_VALUE"""),"Group 11")</f>
        <v>Group 11</v>
      </c>
      <c r="M617" s="3"/>
      <c r="N617" s="5" t="str">
        <f>IFERROR(__xludf.DUMMYFUNCTION("""COMPUTED_VALUE""")," ")</f>
        <v> </v>
      </c>
      <c r="O617" s="5"/>
    </row>
    <row r="618">
      <c r="A618" s="2" t="str">
        <f>IFERROR(__xludf.DUMMYFUNCTION("""COMPUTED_VALUE"""),"0880")</f>
        <v>0880</v>
      </c>
      <c r="B618" s="2" t="str">
        <f>IFERROR(__xludf.DUMMYFUNCTION("""COMPUTED_VALUE"""),"DENVER COUNTY 1")</f>
        <v>DENVER COUNTY 1</v>
      </c>
      <c r="C618" s="2" t="str">
        <f>IFERROR(__xludf.DUMMYFUNCTION("""COMPUTED_VALUE"""),"06508")</f>
        <v>06508</v>
      </c>
      <c r="D618" s="2" t="str">
        <f>IFERROR(__xludf.DUMMYFUNCTION("""COMPUTED_VALUE"""),"OMAR D BLAIR CHARTER SCHOOL")</f>
        <v>OMAR D BLAIR CHARTER SCHOOL</v>
      </c>
      <c r="E618" s="3" t="str">
        <f>IFERROR(__xludf.DUMMYFUNCTION("""COMPUTED_VALUE"""),"Y")</f>
        <v>Y</v>
      </c>
      <c r="F618" s="3" t="str">
        <f>IFERROR(__xludf.DUMMYFUNCTION("""COMPUTED_VALUE"""),"Y")</f>
        <v>Y</v>
      </c>
      <c r="G618" s="3"/>
      <c r="H618" s="3"/>
      <c r="I618" s="3" t="str">
        <f>IFERROR(__xludf.DUMMYFUNCTION("""COMPUTED_VALUE"""),"Y")</f>
        <v>Y</v>
      </c>
      <c r="J618" s="3" t="str">
        <f>IFERROR(__xludf.DUMMYFUNCTION("""COMPUTED_VALUE"""),"Y")</f>
        <v>Y</v>
      </c>
      <c r="K618" s="3" t="str">
        <f>IFERROR(__xludf.DUMMYFUNCTION("""COMPUTED_VALUE"""),"Y")</f>
        <v>Y</v>
      </c>
      <c r="L618" s="3" t="str">
        <f>IFERROR(__xludf.DUMMYFUNCTION("""COMPUTED_VALUE"""),"Group 1")</f>
        <v>Group 1</v>
      </c>
      <c r="M618" s="3"/>
      <c r="N618" s="5" t="str">
        <f>IFERROR(__xludf.DUMMYFUNCTION("""COMPUTED_VALUE"""),"Y")</f>
        <v>Y</v>
      </c>
      <c r="O618" s="5"/>
    </row>
    <row r="619">
      <c r="A619" s="2" t="str">
        <f>IFERROR(__xludf.DUMMYFUNCTION("""COMPUTED_VALUE"""),"0880")</f>
        <v>0880</v>
      </c>
      <c r="B619" s="2" t="str">
        <f>IFERROR(__xludf.DUMMYFUNCTION("""COMPUTED_VALUE"""),"DENVER COUNTY 1")</f>
        <v>DENVER COUNTY 1</v>
      </c>
      <c r="C619" s="2" t="str">
        <f>IFERROR(__xludf.DUMMYFUNCTION("""COMPUTED_VALUE"""),"06509")</f>
        <v>06509</v>
      </c>
      <c r="D619" s="2" t="str">
        <f>IFERROR(__xludf.DUMMYFUNCTION("""COMPUTED_VALUE"""),"DENVER ONLINE HIGH SCHOOL")</f>
        <v>DENVER ONLINE HIGH SCHOOL</v>
      </c>
      <c r="E619" s="3" t="str">
        <f>IFERROR(__xludf.DUMMYFUNCTION("""COMPUTED_VALUE"""),"Y")</f>
        <v>Y</v>
      </c>
      <c r="F619" s="3" t="str">
        <f>IFERROR(__xludf.DUMMYFUNCTION("""COMPUTED_VALUE"""),"Y")</f>
        <v>Y</v>
      </c>
      <c r="G619" s="3"/>
      <c r="H619" s="3"/>
      <c r="I619" s="3" t="str">
        <f>IFERROR(__xludf.DUMMYFUNCTION("""COMPUTED_VALUE""")," ")</f>
        <v> </v>
      </c>
      <c r="J619" s="3" t="str">
        <f>IFERROR(__xludf.DUMMYFUNCTION("""COMPUTED_VALUE""")," ")</f>
        <v> </v>
      </c>
      <c r="K619" s="3" t="str">
        <f>IFERROR(__xludf.DUMMYFUNCTION("""COMPUTED_VALUE"""),"Y")</f>
        <v>Y</v>
      </c>
      <c r="L619" s="3" t="str">
        <f>IFERROR(__xludf.DUMMYFUNCTION("""COMPUTED_VALUE"""),"Group 7")</f>
        <v>Group 7</v>
      </c>
      <c r="M619" s="3"/>
      <c r="N619" s="5" t="str">
        <f>IFERROR(__xludf.DUMMYFUNCTION("""COMPUTED_VALUE""")," ")</f>
        <v> </v>
      </c>
      <c r="O619" s="5"/>
    </row>
    <row r="620">
      <c r="A620" s="2" t="str">
        <f>IFERROR(__xludf.DUMMYFUNCTION("""COMPUTED_VALUE"""),"0880")</f>
        <v>0880</v>
      </c>
      <c r="B620" s="2" t="str">
        <f>IFERROR(__xludf.DUMMYFUNCTION("""COMPUTED_VALUE"""),"DENVER COUNTY 1")</f>
        <v>DENVER COUNTY 1</v>
      </c>
      <c r="C620" s="2" t="str">
        <f>IFERROR(__xludf.DUMMYFUNCTION("""COMPUTED_VALUE"""),"06676")</f>
        <v>06676</v>
      </c>
      <c r="D620" s="2" t="str">
        <f>IFERROR(__xludf.DUMMYFUNCTION("""COMPUTED_VALUE"""),"PALMER ELEMENTARY SCHOOL")</f>
        <v>PALMER ELEMENTARY SCHOOL</v>
      </c>
      <c r="E620" s="3" t="str">
        <f>IFERROR(__xludf.DUMMYFUNCTION("""COMPUTED_VALUE"""),"Y")</f>
        <v>Y</v>
      </c>
      <c r="F620" s="3" t="str">
        <f>IFERROR(__xludf.DUMMYFUNCTION("""COMPUTED_VALUE"""),"Y")</f>
        <v>Y</v>
      </c>
      <c r="G620" s="3" t="str">
        <f>IFERROR(__xludf.DUMMYFUNCTION("""COMPUTED_VALUE"""),"Y")</f>
        <v>Y</v>
      </c>
      <c r="H620" s="3"/>
      <c r="I620" s="3" t="str">
        <f>IFERROR(__xludf.DUMMYFUNCTION("""COMPUTED_VALUE""")," ")</f>
        <v> </v>
      </c>
      <c r="J620" s="3" t="str">
        <f>IFERROR(__xludf.DUMMYFUNCTION("""COMPUTED_VALUE""")," ")</f>
        <v> </v>
      </c>
      <c r="K620" s="3" t="str">
        <f>IFERROR(__xludf.DUMMYFUNCTION("""COMPUTED_VALUE"""),"Y")</f>
        <v>Y</v>
      </c>
      <c r="L620" s="3" t="str">
        <f>IFERROR(__xludf.DUMMYFUNCTION("""COMPUTED_VALUE""")," ")</f>
        <v> </v>
      </c>
      <c r="M620" s="3"/>
      <c r="N620" s="5" t="str">
        <f>IFERROR(__xludf.DUMMYFUNCTION("""COMPUTED_VALUE"""),"Y")</f>
        <v>Y</v>
      </c>
      <c r="O620" s="5"/>
    </row>
    <row r="621">
      <c r="A621" s="2" t="str">
        <f>IFERROR(__xludf.DUMMYFUNCTION("""COMPUTED_VALUE"""),"0880")</f>
        <v>0880</v>
      </c>
      <c r="B621" s="2" t="str">
        <f>IFERROR(__xludf.DUMMYFUNCTION("""COMPUTED_VALUE"""),"DENVER COUNTY 1")</f>
        <v>DENVER COUNTY 1</v>
      </c>
      <c r="C621" s="2" t="str">
        <f>IFERROR(__xludf.DUMMYFUNCTION("""COMPUTED_VALUE"""),"06754")</f>
        <v>06754</v>
      </c>
      <c r="D621" s="2" t="str">
        <f>IFERROR(__xludf.DUMMYFUNCTION("""COMPUTED_VALUE"""),"PARK HILL SCHOOL")</f>
        <v>PARK HILL SCHOOL</v>
      </c>
      <c r="E621" s="3" t="str">
        <f>IFERROR(__xludf.DUMMYFUNCTION("""COMPUTED_VALUE"""),"Y")</f>
        <v>Y</v>
      </c>
      <c r="F621" s="3" t="str">
        <f>IFERROR(__xludf.DUMMYFUNCTION("""COMPUTED_VALUE"""),"Y")</f>
        <v>Y</v>
      </c>
      <c r="G621" s="3" t="str">
        <f>IFERROR(__xludf.DUMMYFUNCTION("""COMPUTED_VALUE"""),"Y")</f>
        <v>Y</v>
      </c>
      <c r="H621" s="3"/>
      <c r="I621" s="3" t="str">
        <f>IFERROR(__xludf.DUMMYFUNCTION("""COMPUTED_VALUE""")," ")</f>
        <v> </v>
      </c>
      <c r="J621" s="3" t="str">
        <f>IFERROR(__xludf.DUMMYFUNCTION("""COMPUTED_VALUE""")," ")</f>
        <v> </v>
      </c>
      <c r="K621" s="3" t="str">
        <f>IFERROR(__xludf.DUMMYFUNCTION("""COMPUTED_VALUE"""),"Y")</f>
        <v>Y</v>
      </c>
      <c r="L621" s="3" t="str">
        <f>IFERROR(__xludf.DUMMYFUNCTION("""COMPUTED_VALUE"""),"Group 7")</f>
        <v>Group 7</v>
      </c>
      <c r="M621" s="3"/>
      <c r="N621" s="5" t="str">
        <f>IFERROR(__xludf.DUMMYFUNCTION("""COMPUTED_VALUE""")," ")</f>
        <v> </v>
      </c>
      <c r="O621" s="5"/>
    </row>
    <row r="622">
      <c r="A622" s="2" t="str">
        <f>IFERROR(__xludf.DUMMYFUNCTION("""COMPUTED_VALUE"""),"0880")</f>
        <v>0880</v>
      </c>
      <c r="B622" s="2" t="str">
        <f>IFERROR(__xludf.DUMMYFUNCTION("""COMPUTED_VALUE"""),"DENVER COUNTY 1")</f>
        <v>DENVER COUNTY 1</v>
      </c>
      <c r="C622" s="2" t="str">
        <f>IFERROR(__xludf.DUMMYFUNCTION("""COMPUTED_VALUE"""),"06957")</f>
        <v>06957</v>
      </c>
      <c r="D622" s="2" t="str">
        <f>IFERROR(__xludf.DUMMYFUNCTION("""COMPUTED_VALUE"""),"University Prep Steel Street")</f>
        <v>University Prep Steel Street</v>
      </c>
      <c r="E622" s="3" t="str">
        <f>IFERROR(__xludf.DUMMYFUNCTION("""COMPUTED_VALUE"""),"Y")</f>
        <v>Y</v>
      </c>
      <c r="F622" s="3" t="str">
        <f>IFERROR(__xludf.DUMMYFUNCTION("""COMPUTED_VALUE"""),"Y")</f>
        <v>Y</v>
      </c>
      <c r="G622" s="3"/>
      <c r="H622" s="3"/>
      <c r="I622" s="3" t="str">
        <f>IFERROR(__xludf.DUMMYFUNCTION("""COMPUTED_VALUE"""),"Y")</f>
        <v>Y</v>
      </c>
      <c r="J622" s="3" t="str">
        <f>IFERROR(__xludf.DUMMYFUNCTION("""COMPUTED_VALUE"""),"Y")</f>
        <v>Y</v>
      </c>
      <c r="K622" s="3" t="str">
        <f>IFERROR(__xludf.DUMMYFUNCTION("""COMPUTED_VALUE"""),"Y")</f>
        <v>Y</v>
      </c>
      <c r="L622" s="3" t="str">
        <f>IFERROR(__xludf.DUMMYFUNCTION("""COMPUTED_VALUE"""),"Group 28")</f>
        <v>Group 28</v>
      </c>
      <c r="M622" s="3"/>
      <c r="N622" s="5" t="str">
        <f>IFERROR(__xludf.DUMMYFUNCTION("""COMPUTED_VALUE""")," ")</f>
        <v> </v>
      </c>
      <c r="O622" s="5"/>
    </row>
    <row r="623">
      <c r="A623" s="2" t="str">
        <f>IFERROR(__xludf.DUMMYFUNCTION("""COMPUTED_VALUE"""),"0880")</f>
        <v>0880</v>
      </c>
      <c r="B623" s="2" t="str">
        <f>IFERROR(__xludf.DUMMYFUNCTION("""COMPUTED_VALUE"""),"DENVER COUNTY 1")</f>
        <v>DENVER COUNTY 1</v>
      </c>
      <c r="C623" s="2" t="str">
        <f>IFERROR(__xludf.DUMMYFUNCTION("""COMPUTED_VALUE"""),"06970")</f>
        <v>06970</v>
      </c>
      <c r="D623" s="2" t="str">
        <f>IFERROR(__xludf.DUMMYFUNCTION("""COMPUTED_VALUE"""),"FLORIDA PITT-WALLER ECE-8 SCHOOL")</f>
        <v>FLORIDA PITT-WALLER ECE-8 SCHOOL</v>
      </c>
      <c r="E623" s="3" t="str">
        <f>IFERROR(__xludf.DUMMYFUNCTION("""COMPUTED_VALUE"""),"Y")</f>
        <v>Y</v>
      </c>
      <c r="F623" s="3" t="str">
        <f>IFERROR(__xludf.DUMMYFUNCTION("""COMPUTED_VALUE"""),"Y")</f>
        <v>Y</v>
      </c>
      <c r="G623" s="3" t="str">
        <f>IFERROR(__xludf.DUMMYFUNCTION("""COMPUTED_VALUE"""),"Y")</f>
        <v>Y</v>
      </c>
      <c r="H623" s="3"/>
      <c r="I623" s="3" t="str">
        <f>IFERROR(__xludf.DUMMYFUNCTION("""COMPUTED_VALUE"""),"Y")</f>
        <v>Y</v>
      </c>
      <c r="J623" s="3" t="str">
        <f>IFERROR(__xludf.DUMMYFUNCTION("""COMPUTED_VALUE"""),"Y")</f>
        <v>Y</v>
      </c>
      <c r="K623" s="3" t="str">
        <f>IFERROR(__xludf.DUMMYFUNCTION("""COMPUTED_VALUE"""),"Y")</f>
        <v>Y</v>
      </c>
      <c r="L623" s="3" t="str">
        <f>IFERROR(__xludf.DUMMYFUNCTION("""COMPUTED_VALUE"""),"Group 28")</f>
        <v>Group 28</v>
      </c>
      <c r="M623" s="3"/>
      <c r="N623" s="5" t="str">
        <f>IFERROR(__xludf.DUMMYFUNCTION("""COMPUTED_VALUE"""),"Y")</f>
        <v>Y</v>
      </c>
      <c r="O623" s="5"/>
    </row>
    <row r="624">
      <c r="A624" s="2" t="str">
        <f>IFERROR(__xludf.DUMMYFUNCTION("""COMPUTED_VALUE"""),"0880")</f>
        <v>0880</v>
      </c>
      <c r="B624" s="2" t="str">
        <f>IFERROR(__xludf.DUMMYFUNCTION("""COMPUTED_VALUE"""),"DENVER COUNTY 1")</f>
        <v>DENVER COUNTY 1</v>
      </c>
      <c r="C624" s="2" t="str">
        <f>IFERROR(__xludf.DUMMYFUNCTION("""COMPUTED_VALUE"""),"07045")</f>
        <v>07045</v>
      </c>
      <c r="D624" s="2" t="str">
        <f>IFERROR(__xludf.DUMMYFUNCTION("""COMPUTED_VALUE"""),"PLACE BRIDGE ACADEMY")</f>
        <v>PLACE BRIDGE ACADEMY</v>
      </c>
      <c r="E624" s="3" t="str">
        <f>IFERROR(__xludf.DUMMYFUNCTION("""COMPUTED_VALUE"""),"Y")</f>
        <v>Y</v>
      </c>
      <c r="F624" s="3" t="str">
        <f>IFERROR(__xludf.DUMMYFUNCTION("""COMPUTED_VALUE"""),"Y")</f>
        <v>Y</v>
      </c>
      <c r="G624" s="3" t="str">
        <f>IFERROR(__xludf.DUMMYFUNCTION("""COMPUTED_VALUE"""),"Y")</f>
        <v>Y</v>
      </c>
      <c r="H624" s="3"/>
      <c r="I624" s="3" t="str">
        <f>IFERROR(__xludf.DUMMYFUNCTION("""COMPUTED_VALUE"""),"Y")</f>
        <v>Y</v>
      </c>
      <c r="J624" s="3" t="str">
        <f>IFERROR(__xludf.DUMMYFUNCTION("""COMPUTED_VALUE"""),"Y")</f>
        <v>Y</v>
      </c>
      <c r="K624" s="3" t="str">
        <f>IFERROR(__xludf.DUMMYFUNCTION("""COMPUTED_VALUE"""),"Y")</f>
        <v>Y</v>
      </c>
      <c r="L624" s="3" t="str">
        <f>IFERROR(__xludf.DUMMYFUNCTION("""COMPUTED_VALUE"""),"Group 28")</f>
        <v>Group 28</v>
      </c>
      <c r="M624" s="3"/>
      <c r="N624" s="5" t="str">
        <f>IFERROR(__xludf.DUMMYFUNCTION("""COMPUTED_VALUE""")," ")</f>
        <v> </v>
      </c>
      <c r="O624" s="5"/>
    </row>
    <row r="625">
      <c r="A625" s="2" t="str">
        <f>IFERROR(__xludf.DUMMYFUNCTION("""COMPUTED_VALUE"""),"0880")</f>
        <v>0880</v>
      </c>
      <c r="B625" s="2" t="str">
        <f>IFERROR(__xludf.DUMMYFUNCTION("""COMPUTED_VALUE"""),"DENVER COUNTY 1")</f>
        <v>DENVER COUNTY 1</v>
      </c>
      <c r="C625" s="2" t="str">
        <f>IFERROR(__xludf.DUMMYFUNCTION("""COMPUTED_VALUE"""),"07163")</f>
        <v>07163</v>
      </c>
      <c r="D625" s="2" t="str">
        <f>IFERROR(__xludf.DUMMYFUNCTION("""COMPUTED_VALUE"""),"P.R.E.P. (POSITIVE REFOCUS EDUCATION PROGRAM)")</f>
        <v>P.R.E.P. (POSITIVE REFOCUS EDUCATION PROGRAM)</v>
      </c>
      <c r="E625" s="3" t="str">
        <f>IFERROR(__xludf.DUMMYFUNCTION("""COMPUTED_VALUE"""),"Y")</f>
        <v>Y</v>
      </c>
      <c r="F625" s="3" t="str">
        <f>IFERROR(__xludf.DUMMYFUNCTION("""COMPUTED_VALUE"""),"Y")</f>
        <v>Y</v>
      </c>
      <c r="G625" s="3"/>
      <c r="H625" s="3"/>
      <c r="I625" s="3" t="str">
        <f>IFERROR(__xludf.DUMMYFUNCTION("""COMPUTED_VALUE""")," ")</f>
        <v> </v>
      </c>
      <c r="J625" s="3" t="str">
        <f>IFERROR(__xludf.DUMMYFUNCTION("""COMPUTED_VALUE"""),"Y")</f>
        <v>Y</v>
      </c>
      <c r="K625" s="3" t="str">
        <f>IFERROR(__xludf.DUMMYFUNCTION("""COMPUTED_VALUE"""),"Y")</f>
        <v>Y</v>
      </c>
      <c r="L625" s="3" t="str">
        <f>IFERROR(__xludf.DUMMYFUNCTION("""COMPUTED_VALUE"""),"Group 28")</f>
        <v>Group 28</v>
      </c>
      <c r="M625" s="3"/>
      <c r="N625" s="5" t="str">
        <f>IFERROR(__xludf.DUMMYFUNCTION("""COMPUTED_VALUE"""),"Y")</f>
        <v>Y</v>
      </c>
      <c r="O625" s="5"/>
    </row>
    <row r="626">
      <c r="A626" s="2" t="str">
        <f>IFERROR(__xludf.DUMMYFUNCTION("""COMPUTED_VALUE"""),"0880")</f>
        <v>0880</v>
      </c>
      <c r="B626" s="2" t="str">
        <f>IFERROR(__xludf.DUMMYFUNCTION("""COMPUTED_VALUE"""),"DENVER COUNTY 1")</f>
        <v>DENVER COUNTY 1</v>
      </c>
      <c r="C626" s="2" t="str">
        <f>IFERROR(__xludf.DUMMYFUNCTION("""COMPUTED_VALUE"""),"07188")</f>
        <v>07188</v>
      </c>
      <c r="D626" s="2" t="str">
        <f>IFERROR(__xludf.DUMMYFUNCTION("""COMPUTED_VALUE"""),"MONTBELLO CAREER AND TECHNICAL HIGH SCHOOL")</f>
        <v>MONTBELLO CAREER AND TECHNICAL HIGH SCHOOL</v>
      </c>
      <c r="E626" s="3" t="str">
        <f>IFERROR(__xludf.DUMMYFUNCTION("""COMPUTED_VALUE"""),"Y")</f>
        <v>Y</v>
      </c>
      <c r="F626" s="3" t="str">
        <f>IFERROR(__xludf.DUMMYFUNCTION("""COMPUTED_VALUE"""),"Y")</f>
        <v>Y</v>
      </c>
      <c r="G626" s="3"/>
      <c r="H626" s="3"/>
      <c r="I626" s="3" t="str">
        <f>IFERROR(__xludf.DUMMYFUNCTION("""COMPUTED_VALUE""")," ")</f>
        <v> </v>
      </c>
      <c r="J626" s="3" t="str">
        <f>IFERROR(__xludf.DUMMYFUNCTION("""COMPUTED_VALUE""")," ")</f>
        <v> </v>
      </c>
      <c r="K626" s="3" t="str">
        <f>IFERROR(__xludf.DUMMYFUNCTION("""COMPUTED_VALUE"""),"Y")</f>
        <v>Y</v>
      </c>
      <c r="L626" s="3" t="str">
        <f>IFERROR(__xludf.DUMMYFUNCTION("""COMPUTED_VALUE"""),"Group 7")</f>
        <v>Group 7</v>
      </c>
      <c r="M626" s="3"/>
      <c r="N626" s="5" t="str">
        <f>IFERROR(__xludf.DUMMYFUNCTION("""COMPUTED_VALUE"""),"Y")</f>
        <v>Y</v>
      </c>
      <c r="O626" s="5"/>
    </row>
    <row r="627">
      <c r="A627" s="2" t="str">
        <f>IFERROR(__xludf.DUMMYFUNCTION("""COMPUTED_VALUE"""),"0880")</f>
        <v>0880</v>
      </c>
      <c r="B627" s="2" t="str">
        <f>IFERROR(__xludf.DUMMYFUNCTION("""COMPUTED_VALUE"""),"DENVER COUNTY 1")</f>
        <v>DENVER COUNTY 1</v>
      </c>
      <c r="C627" s="2" t="str">
        <f>IFERROR(__xludf.DUMMYFUNCTION("""COMPUTED_VALUE"""),"07192")</f>
        <v>07192</v>
      </c>
      <c r="D627" s="2" t="str">
        <f>IFERROR(__xludf.DUMMYFUNCTION("""COMPUTED_VALUE"""),"Pascual LeDoux Academy")</f>
        <v>Pascual LeDoux Academy</v>
      </c>
      <c r="E627" s="3" t="str">
        <f>IFERROR(__xludf.DUMMYFUNCTION("""COMPUTED_VALUE"""),"Y")</f>
        <v>Y</v>
      </c>
      <c r="F627" s="3" t="str">
        <f>IFERROR(__xludf.DUMMYFUNCTION("""COMPUTED_VALUE"""),"Y")</f>
        <v>Y</v>
      </c>
      <c r="G627" s="3"/>
      <c r="H627" s="3"/>
      <c r="I627" s="3" t="str">
        <f>IFERROR(__xludf.DUMMYFUNCTION("""COMPUTED_VALUE""")," ")</f>
        <v> </v>
      </c>
      <c r="J627" s="3" t="str">
        <f>IFERROR(__xludf.DUMMYFUNCTION("""COMPUTED_VALUE"""),"Y")</f>
        <v>Y</v>
      </c>
      <c r="K627" s="3" t="str">
        <f>IFERROR(__xludf.DUMMYFUNCTION("""COMPUTED_VALUE"""),"Y")</f>
        <v>Y</v>
      </c>
      <c r="L627" s="3" t="str">
        <f>IFERROR(__xludf.DUMMYFUNCTION("""COMPUTED_VALUE"""),"Group 28")</f>
        <v>Group 28</v>
      </c>
      <c r="M627" s="3"/>
      <c r="N627" s="5" t="str">
        <f>IFERROR(__xludf.DUMMYFUNCTION("""COMPUTED_VALUE""")," ")</f>
        <v> </v>
      </c>
      <c r="O627" s="5"/>
    </row>
    <row r="628">
      <c r="A628" s="2" t="str">
        <f>IFERROR(__xludf.DUMMYFUNCTION("""COMPUTED_VALUE"""),"0880")</f>
        <v>0880</v>
      </c>
      <c r="B628" s="2" t="str">
        <f>IFERROR(__xludf.DUMMYFUNCTION("""COMPUTED_VALUE"""),"DENVER COUNTY 1")</f>
        <v>DENVER COUNTY 1</v>
      </c>
      <c r="C628" s="2" t="str">
        <f>IFERROR(__xludf.DUMMYFUNCTION("""COMPUTED_VALUE"""),"07246")</f>
        <v>07246</v>
      </c>
      <c r="D628" s="2" t="str">
        <f>IFERROR(__xludf.DUMMYFUNCTION("""COMPUTED_VALUE"""),"Respect Academy At Lincoln")</f>
        <v>Respect Academy At Lincoln</v>
      </c>
      <c r="E628" s="3" t="str">
        <f>IFERROR(__xludf.DUMMYFUNCTION("""COMPUTED_VALUE"""),"Y")</f>
        <v>Y</v>
      </c>
      <c r="F628" s="3" t="str">
        <f>IFERROR(__xludf.DUMMYFUNCTION("""COMPUTED_VALUE"""),"Y")</f>
        <v>Y</v>
      </c>
      <c r="G628" s="3"/>
      <c r="H628" s="3"/>
      <c r="I628" s="3" t="str">
        <f>IFERROR(__xludf.DUMMYFUNCTION("""COMPUTED_VALUE""")," ")</f>
        <v> </v>
      </c>
      <c r="J628" s="3" t="str">
        <f>IFERROR(__xludf.DUMMYFUNCTION("""COMPUTED_VALUE"""),"Y")</f>
        <v>Y</v>
      </c>
      <c r="K628" s="3" t="str">
        <f>IFERROR(__xludf.DUMMYFUNCTION("""COMPUTED_VALUE"""),"Y")</f>
        <v>Y</v>
      </c>
      <c r="L628" s="3" t="str">
        <f>IFERROR(__xludf.DUMMYFUNCTION("""COMPUTED_VALUE"""),"Group 11")</f>
        <v>Group 11</v>
      </c>
      <c r="M628" s="3"/>
      <c r="N628" s="5" t="str">
        <f>IFERROR(__xludf.DUMMYFUNCTION("""COMPUTED_VALUE""")," ")</f>
        <v> </v>
      </c>
      <c r="O628" s="5"/>
    </row>
    <row r="629">
      <c r="A629" s="2" t="str">
        <f>IFERROR(__xludf.DUMMYFUNCTION("""COMPUTED_VALUE"""),"0880")</f>
        <v>0880</v>
      </c>
      <c r="B629" s="2" t="str">
        <f>IFERROR(__xludf.DUMMYFUNCTION("""COMPUTED_VALUE"""),"DENVER COUNTY 1")</f>
        <v>DENVER COUNTY 1</v>
      </c>
      <c r="C629" s="2" t="str">
        <f>IFERROR(__xludf.DUMMYFUNCTION("""COMPUTED_VALUE"""),"07280")</f>
        <v>07280</v>
      </c>
      <c r="D629" s="2" t="str">
        <f>IFERROR(__xludf.DUMMYFUNCTION("""COMPUTED_VALUE"""),"Responsive Arts &amp; STEAM Academy FNE (RASA)")</f>
        <v>Responsive Arts &amp; STEAM Academy FNE (RASA)</v>
      </c>
      <c r="E629" s="3" t="str">
        <f>IFERROR(__xludf.DUMMYFUNCTION("""COMPUTED_VALUE"""),"Y")</f>
        <v>Y</v>
      </c>
      <c r="F629" s="3" t="str">
        <f>IFERROR(__xludf.DUMMYFUNCTION("""COMPUTED_VALUE"""),"Y")</f>
        <v>Y</v>
      </c>
      <c r="G629" s="3" t="str">
        <f>IFERROR(__xludf.DUMMYFUNCTION("""COMPUTED_VALUE"""),"Y")</f>
        <v>Y</v>
      </c>
      <c r="H629" s="3"/>
      <c r="I629" s="3" t="str">
        <f>IFERROR(__xludf.DUMMYFUNCTION("""COMPUTED_VALUE""")," ")</f>
        <v> </v>
      </c>
      <c r="J629" s="3" t="str">
        <f>IFERROR(__xludf.DUMMYFUNCTION("""COMPUTED_VALUE""")," ")</f>
        <v> </v>
      </c>
      <c r="K629" s="3" t="str">
        <f>IFERROR(__xludf.DUMMYFUNCTION("""COMPUTED_VALUE"""),"Y")</f>
        <v>Y</v>
      </c>
      <c r="L629" s="3" t="str">
        <f>IFERROR(__xludf.DUMMYFUNCTION("""COMPUTED_VALUE""")," ")</f>
        <v> </v>
      </c>
      <c r="M629" s="3"/>
      <c r="N629" s="5" t="str">
        <f>IFERROR(__xludf.DUMMYFUNCTION("""COMPUTED_VALUE""")," ")</f>
        <v> </v>
      </c>
      <c r="O629" s="5"/>
    </row>
    <row r="630">
      <c r="A630" s="2" t="str">
        <f>IFERROR(__xludf.DUMMYFUNCTION("""COMPUTED_VALUE"""),"0880")</f>
        <v>0880</v>
      </c>
      <c r="B630" s="2" t="str">
        <f>IFERROR(__xludf.DUMMYFUNCTION("""COMPUTED_VALUE"""),"DENVER COUNTY 1")</f>
        <v>DENVER COUNTY 1</v>
      </c>
      <c r="C630" s="2" t="str">
        <f>IFERROR(__xludf.DUMMYFUNCTION("""COMPUTED_VALUE"""),"07361")</f>
        <v>07361</v>
      </c>
      <c r="D630" s="2" t="str">
        <f>IFERROR(__xludf.DUMMYFUNCTION("""COMPUTED_VALUE"""),"RISEUP COMMUNITY SCHOOL")</f>
        <v>RISEUP COMMUNITY SCHOOL</v>
      </c>
      <c r="E630" s="3" t="str">
        <f>IFERROR(__xludf.DUMMYFUNCTION("""COMPUTED_VALUE"""),"Y")</f>
        <v>Y</v>
      </c>
      <c r="F630" s="3" t="str">
        <f>IFERROR(__xludf.DUMMYFUNCTION("""COMPUTED_VALUE"""),"Y")</f>
        <v>Y</v>
      </c>
      <c r="G630" s="3"/>
      <c r="H630" s="3"/>
      <c r="I630" s="3" t="str">
        <f>IFERROR(__xludf.DUMMYFUNCTION("""COMPUTED_VALUE""")," ")</f>
        <v> </v>
      </c>
      <c r="J630" s="3" t="str">
        <f>IFERROR(__xludf.DUMMYFUNCTION("""COMPUTED_VALUE"""),"Y")</f>
        <v>Y</v>
      </c>
      <c r="K630" s="3" t="str">
        <f>IFERROR(__xludf.DUMMYFUNCTION("""COMPUTED_VALUE"""),"Y")</f>
        <v>Y</v>
      </c>
      <c r="L630" s="3" t="str">
        <f>IFERROR(__xludf.DUMMYFUNCTION("""COMPUTED_VALUE"""),"Group 28")</f>
        <v>Group 28</v>
      </c>
      <c r="M630" s="3"/>
      <c r="N630" s="5" t="str">
        <f>IFERROR(__xludf.DUMMYFUNCTION("""COMPUTED_VALUE""")," ")</f>
        <v> </v>
      </c>
      <c r="O630" s="5"/>
    </row>
    <row r="631">
      <c r="A631" s="2" t="str">
        <f>IFERROR(__xludf.DUMMYFUNCTION("""COMPUTED_VALUE"""),"0880")</f>
        <v>0880</v>
      </c>
      <c r="B631" s="2" t="str">
        <f>IFERROR(__xludf.DUMMYFUNCTION("""COMPUTED_VALUE"""),"DENVER COUNTY 1")</f>
        <v>DENVER COUNTY 1</v>
      </c>
      <c r="C631" s="2" t="str">
        <f>IFERROR(__xludf.DUMMYFUNCTION("""COMPUTED_VALUE"""),"07554")</f>
        <v>07554</v>
      </c>
      <c r="D631" s="2" t="str">
        <f>IFERROR(__xludf.DUMMYFUNCTION("""COMPUTED_VALUE"""),"SABIN WORLD SCHOOL")</f>
        <v>SABIN WORLD SCHOOL</v>
      </c>
      <c r="E631" s="3" t="str">
        <f>IFERROR(__xludf.DUMMYFUNCTION("""COMPUTED_VALUE"""),"Y")</f>
        <v>Y</v>
      </c>
      <c r="F631" s="3" t="str">
        <f>IFERROR(__xludf.DUMMYFUNCTION("""COMPUTED_VALUE"""),"Y")</f>
        <v>Y</v>
      </c>
      <c r="G631" s="3"/>
      <c r="H631" s="3"/>
      <c r="I631" s="3" t="str">
        <f>IFERROR(__xludf.DUMMYFUNCTION("""COMPUTED_VALUE""")," ")</f>
        <v> </v>
      </c>
      <c r="J631" s="3" t="str">
        <f>IFERROR(__xludf.DUMMYFUNCTION("""COMPUTED_VALUE""")," ")</f>
        <v> </v>
      </c>
      <c r="K631" s="3" t="str">
        <f>IFERROR(__xludf.DUMMYFUNCTION("""COMPUTED_VALUE"""),"Y")</f>
        <v>Y</v>
      </c>
      <c r="L631" s="3" t="str">
        <f>IFERROR(__xludf.DUMMYFUNCTION("""COMPUTED_VALUE"""),"Group 28")</f>
        <v>Group 28</v>
      </c>
      <c r="M631" s="3"/>
      <c r="N631" s="5" t="str">
        <f>IFERROR(__xludf.DUMMYFUNCTION("""COMPUTED_VALUE""")," ")</f>
        <v> </v>
      </c>
      <c r="O631" s="5"/>
    </row>
    <row r="632">
      <c r="A632" s="2" t="str">
        <f>IFERROR(__xludf.DUMMYFUNCTION("""COMPUTED_VALUE"""),"0880")</f>
        <v>0880</v>
      </c>
      <c r="B632" s="2" t="str">
        <f>IFERROR(__xludf.DUMMYFUNCTION("""COMPUTED_VALUE"""),"DENVER COUNTY 1")</f>
        <v>DENVER COUNTY 1</v>
      </c>
      <c r="C632" s="2" t="str">
        <f>IFERROR(__xludf.DUMMYFUNCTION("""COMPUTED_VALUE"""),"07578")</f>
        <v>07578</v>
      </c>
      <c r="D632" s="2" t="str">
        <f>IFERROR(__xludf.DUMMYFUNCTION("""COMPUTED_VALUE"""),"SAMUELS ELEMENTARY SCHOOL")</f>
        <v>SAMUELS ELEMENTARY SCHOOL</v>
      </c>
      <c r="E632" s="3" t="str">
        <f>IFERROR(__xludf.DUMMYFUNCTION("""COMPUTED_VALUE"""),"Y")</f>
        <v>Y</v>
      </c>
      <c r="F632" s="3" t="str">
        <f>IFERROR(__xludf.DUMMYFUNCTION("""COMPUTED_VALUE"""),"Y")</f>
        <v>Y</v>
      </c>
      <c r="G632" s="3" t="str">
        <f>IFERROR(__xludf.DUMMYFUNCTION("""COMPUTED_VALUE"""),"Y")</f>
        <v>Y</v>
      </c>
      <c r="H632" s="3"/>
      <c r="I632" s="3" t="str">
        <f>IFERROR(__xludf.DUMMYFUNCTION("""COMPUTED_VALUE"""),"Y")</f>
        <v>Y</v>
      </c>
      <c r="J632" s="3" t="str">
        <f>IFERROR(__xludf.DUMMYFUNCTION("""COMPUTED_VALUE"""),"Y")</f>
        <v>Y</v>
      </c>
      <c r="K632" s="3" t="str">
        <f>IFERROR(__xludf.DUMMYFUNCTION("""COMPUTED_VALUE"""),"Y")</f>
        <v>Y</v>
      </c>
      <c r="L632" s="3" t="str">
        <f>IFERROR(__xludf.DUMMYFUNCTION("""COMPUTED_VALUE"""),"Group 28")</f>
        <v>Group 28</v>
      </c>
      <c r="M632" s="3"/>
      <c r="N632" s="5" t="str">
        <f>IFERROR(__xludf.DUMMYFUNCTION("""COMPUTED_VALUE""")," ")</f>
        <v> </v>
      </c>
      <c r="O632" s="5"/>
    </row>
    <row r="633">
      <c r="A633" s="2" t="str">
        <f>IFERROR(__xludf.DUMMYFUNCTION("""COMPUTED_VALUE"""),"0880")</f>
        <v>0880</v>
      </c>
      <c r="B633" s="2" t="str">
        <f>IFERROR(__xludf.DUMMYFUNCTION("""COMPUTED_VALUE"""),"DENVER COUNTY 1")</f>
        <v>DENVER COUNTY 1</v>
      </c>
      <c r="C633" s="2" t="str">
        <f>IFERROR(__xludf.DUMMYFUNCTION("""COMPUTED_VALUE"""),"07694")</f>
        <v>07694</v>
      </c>
      <c r="D633" s="2" t="str">
        <f>IFERROR(__xludf.DUMMYFUNCTION("""COMPUTED_VALUE"""),"CHARLES M. SCHENCK (CMS) COMMUNITY SCHOOL")</f>
        <v>CHARLES M. SCHENCK (CMS) COMMUNITY SCHOOL</v>
      </c>
      <c r="E633" s="3" t="str">
        <f>IFERROR(__xludf.DUMMYFUNCTION("""COMPUTED_VALUE"""),"Y")</f>
        <v>Y</v>
      </c>
      <c r="F633" s="3" t="str">
        <f>IFERROR(__xludf.DUMMYFUNCTION("""COMPUTED_VALUE"""),"Y")</f>
        <v>Y</v>
      </c>
      <c r="G633" s="3" t="str">
        <f>IFERROR(__xludf.DUMMYFUNCTION("""COMPUTED_VALUE"""),"Y")</f>
        <v>Y</v>
      </c>
      <c r="H633" s="3"/>
      <c r="I633" s="3" t="str">
        <f>IFERROR(__xludf.DUMMYFUNCTION("""COMPUTED_VALUE"""),"Y")</f>
        <v>Y</v>
      </c>
      <c r="J633" s="3" t="str">
        <f>IFERROR(__xludf.DUMMYFUNCTION("""COMPUTED_VALUE"""),"Y")</f>
        <v>Y</v>
      </c>
      <c r="K633" s="3" t="str">
        <f>IFERROR(__xludf.DUMMYFUNCTION("""COMPUTED_VALUE"""),"Y")</f>
        <v>Y</v>
      </c>
      <c r="L633" s="3" t="str">
        <f>IFERROR(__xludf.DUMMYFUNCTION("""COMPUTED_VALUE"""),"Group 28")</f>
        <v>Group 28</v>
      </c>
      <c r="M633" s="3"/>
      <c r="N633" s="5" t="str">
        <f>IFERROR(__xludf.DUMMYFUNCTION("""COMPUTED_VALUE""")," ")</f>
        <v> </v>
      </c>
      <c r="O633" s="5"/>
    </row>
    <row r="634">
      <c r="A634" s="2" t="str">
        <f>IFERROR(__xludf.DUMMYFUNCTION("""COMPUTED_VALUE"""),"0880")</f>
        <v>0880</v>
      </c>
      <c r="B634" s="2" t="str">
        <f>IFERROR(__xludf.DUMMYFUNCTION("""COMPUTED_VALUE"""),"DENVER COUNTY 1")</f>
        <v>DENVER COUNTY 1</v>
      </c>
      <c r="C634" s="2" t="str">
        <f>IFERROR(__xludf.DUMMYFUNCTION("""COMPUTED_VALUE"""),"07698")</f>
        <v>07698</v>
      </c>
      <c r="D634" s="2" t="str">
        <f>IFERROR(__xludf.DUMMYFUNCTION("""COMPUTED_VALUE"""),"SCHMITT ELEMENTARY SCHOOL")</f>
        <v>SCHMITT ELEMENTARY SCHOOL</v>
      </c>
      <c r="E634" s="3" t="str">
        <f>IFERROR(__xludf.DUMMYFUNCTION("""COMPUTED_VALUE"""),"Y")</f>
        <v>Y</v>
      </c>
      <c r="F634" s="3" t="str">
        <f>IFERROR(__xludf.DUMMYFUNCTION("""COMPUTED_VALUE"""),"Y")</f>
        <v>Y</v>
      </c>
      <c r="G634" s="3" t="str">
        <f>IFERROR(__xludf.DUMMYFUNCTION("""COMPUTED_VALUE"""),"Y")</f>
        <v>Y</v>
      </c>
      <c r="H634" s="3"/>
      <c r="I634" s="3" t="str">
        <f>IFERROR(__xludf.DUMMYFUNCTION("""COMPUTED_VALUE"""),"Y")</f>
        <v>Y</v>
      </c>
      <c r="J634" s="3" t="str">
        <f>IFERROR(__xludf.DUMMYFUNCTION("""COMPUTED_VALUE"""),"Y")</f>
        <v>Y</v>
      </c>
      <c r="K634" s="3" t="str">
        <f>IFERROR(__xludf.DUMMYFUNCTION("""COMPUTED_VALUE"""),"Y")</f>
        <v>Y</v>
      </c>
      <c r="L634" s="3" t="str">
        <f>IFERROR(__xludf.DUMMYFUNCTION("""COMPUTED_VALUE"""),"Group 28")</f>
        <v>Group 28</v>
      </c>
      <c r="M634" s="3"/>
      <c r="N634" s="5" t="str">
        <f>IFERROR(__xludf.DUMMYFUNCTION("""COMPUTED_VALUE""")," ")</f>
        <v> </v>
      </c>
      <c r="O634" s="5"/>
    </row>
    <row r="635">
      <c r="A635" s="2" t="str">
        <f>IFERROR(__xludf.DUMMYFUNCTION("""COMPUTED_VALUE"""),"0880")</f>
        <v>0880</v>
      </c>
      <c r="B635" s="2" t="str">
        <f>IFERROR(__xludf.DUMMYFUNCTION("""COMPUTED_VALUE"""),"DENVER COUNTY 1")</f>
        <v>DENVER COUNTY 1</v>
      </c>
      <c r="C635" s="2" t="str">
        <f>IFERROR(__xludf.DUMMYFUNCTION("""COMPUTED_VALUE"""),"07942")</f>
        <v>07942</v>
      </c>
      <c r="D635" s="2" t="str">
        <f>IFERROR(__xludf.DUMMYFUNCTION("""COMPUTED_VALUE"""),"SKINNER MIDDLE SCHOOL")</f>
        <v>SKINNER MIDDLE SCHOOL</v>
      </c>
      <c r="E635" s="3" t="str">
        <f>IFERROR(__xludf.DUMMYFUNCTION("""COMPUTED_VALUE"""),"Y")</f>
        <v>Y</v>
      </c>
      <c r="F635" s="3" t="str">
        <f>IFERROR(__xludf.DUMMYFUNCTION("""COMPUTED_VALUE"""),"Y")</f>
        <v>Y</v>
      </c>
      <c r="G635" s="3"/>
      <c r="H635" s="3"/>
      <c r="I635" s="3" t="str">
        <f>IFERROR(__xludf.DUMMYFUNCTION("""COMPUTED_VALUE""")," ")</f>
        <v> </v>
      </c>
      <c r="J635" s="3" t="str">
        <f>IFERROR(__xludf.DUMMYFUNCTION("""COMPUTED_VALUE""")," ")</f>
        <v> </v>
      </c>
      <c r="K635" s="3" t="str">
        <f>IFERROR(__xludf.DUMMYFUNCTION("""COMPUTED_VALUE"""),"Y")</f>
        <v>Y</v>
      </c>
      <c r="L635" s="3" t="str">
        <f>IFERROR(__xludf.DUMMYFUNCTION("""COMPUTED_VALUE"""),"Group 24")</f>
        <v>Group 24</v>
      </c>
      <c r="M635" s="3"/>
      <c r="N635" s="5" t="str">
        <f>IFERROR(__xludf.DUMMYFUNCTION("""COMPUTED_VALUE""")," ")</f>
        <v> </v>
      </c>
      <c r="O635" s="5"/>
    </row>
    <row r="636">
      <c r="A636" s="2" t="str">
        <f>IFERROR(__xludf.DUMMYFUNCTION("""COMPUTED_VALUE"""),"0880")</f>
        <v>0880</v>
      </c>
      <c r="B636" s="2" t="str">
        <f>IFERROR(__xludf.DUMMYFUNCTION("""COMPUTED_VALUE"""),"DENVER COUNTY 1")</f>
        <v>DENVER COUNTY 1</v>
      </c>
      <c r="C636" s="2" t="str">
        <f>IFERROR(__xludf.DUMMYFUNCTION("""COMPUTED_VALUE"""),"07972")</f>
        <v>07972</v>
      </c>
      <c r="D636" s="2" t="str">
        <f>IFERROR(__xludf.DUMMYFUNCTION("""COMPUTED_VALUE"""),"SLAVENS K-8 SCHOOL")</f>
        <v>SLAVENS K-8 SCHOOL</v>
      </c>
      <c r="E636" s="3" t="str">
        <f>IFERROR(__xludf.DUMMYFUNCTION("""COMPUTED_VALUE"""),"Y")</f>
        <v>Y</v>
      </c>
      <c r="F636" s="3" t="str">
        <f>IFERROR(__xludf.DUMMYFUNCTION("""COMPUTED_VALUE"""),"Y")</f>
        <v>Y</v>
      </c>
      <c r="G636" s="3"/>
      <c r="H636" s="3"/>
      <c r="I636" s="3" t="str">
        <f>IFERROR(__xludf.DUMMYFUNCTION("""COMPUTED_VALUE""")," ")</f>
        <v> </v>
      </c>
      <c r="J636" s="3" t="str">
        <f>IFERROR(__xludf.DUMMYFUNCTION("""COMPUTED_VALUE""")," ")</f>
        <v> </v>
      </c>
      <c r="K636" s="3" t="str">
        <f>IFERROR(__xludf.DUMMYFUNCTION("""COMPUTED_VALUE"""),"Y")</f>
        <v>Y</v>
      </c>
      <c r="L636" s="3" t="str">
        <f>IFERROR(__xludf.DUMMYFUNCTION("""COMPUTED_VALUE""")," ")</f>
        <v> </v>
      </c>
      <c r="M636" s="3"/>
      <c r="N636" s="5" t="str">
        <f>IFERROR(__xludf.DUMMYFUNCTION("""COMPUTED_VALUE"""),"Y")</f>
        <v>Y</v>
      </c>
      <c r="O636" s="5"/>
    </row>
    <row r="637">
      <c r="A637" s="2" t="str">
        <f>IFERROR(__xludf.DUMMYFUNCTION("""COMPUTED_VALUE"""),"0880")</f>
        <v>0880</v>
      </c>
      <c r="B637" s="2" t="str">
        <f>IFERROR(__xludf.DUMMYFUNCTION("""COMPUTED_VALUE"""),"DENVER COUNTY 1")</f>
        <v>DENVER COUNTY 1</v>
      </c>
      <c r="C637" s="2" t="str">
        <f>IFERROR(__xludf.DUMMYFUNCTION("""COMPUTED_VALUE"""),"08006")</f>
        <v>08006</v>
      </c>
      <c r="D637" s="2" t="str">
        <f>IFERROR(__xludf.DUMMYFUNCTION("""COMPUTED_VALUE"""),"SMITH RENAISSANCE SCHOOL")</f>
        <v>SMITH RENAISSANCE SCHOOL</v>
      </c>
      <c r="E637" s="3" t="str">
        <f>IFERROR(__xludf.DUMMYFUNCTION("""COMPUTED_VALUE"""),"Y")</f>
        <v>Y</v>
      </c>
      <c r="F637" s="3" t="str">
        <f>IFERROR(__xludf.DUMMYFUNCTION("""COMPUTED_VALUE"""),"Y")</f>
        <v>Y</v>
      </c>
      <c r="G637" s="3"/>
      <c r="H637" s="3"/>
      <c r="I637" s="3" t="str">
        <f>IFERROR(__xludf.DUMMYFUNCTION("""COMPUTED_VALUE"""),"Y")</f>
        <v>Y</v>
      </c>
      <c r="J637" s="3" t="str">
        <f>IFERROR(__xludf.DUMMYFUNCTION("""COMPUTED_VALUE"""),"Y")</f>
        <v>Y</v>
      </c>
      <c r="K637" s="3" t="str">
        <f>IFERROR(__xludf.DUMMYFUNCTION("""COMPUTED_VALUE"""),"Y")</f>
        <v>Y</v>
      </c>
      <c r="L637" s="3" t="str">
        <f>IFERROR(__xludf.DUMMYFUNCTION("""COMPUTED_VALUE"""),"Group 28")</f>
        <v>Group 28</v>
      </c>
      <c r="M637" s="3"/>
      <c r="N637" s="5" t="str">
        <f>IFERROR(__xludf.DUMMYFUNCTION("""COMPUTED_VALUE"""),"Y")</f>
        <v>Y</v>
      </c>
      <c r="O637" s="5"/>
    </row>
    <row r="638">
      <c r="A638" s="2" t="str">
        <f>IFERROR(__xludf.DUMMYFUNCTION("""COMPUTED_VALUE"""),"0880")</f>
        <v>0880</v>
      </c>
      <c r="B638" s="2" t="str">
        <f>IFERROR(__xludf.DUMMYFUNCTION("""COMPUTED_VALUE"""),"DENVER COUNTY 1")</f>
        <v>DENVER COUNTY 1</v>
      </c>
      <c r="C638" s="2" t="str">
        <f>IFERROR(__xludf.DUMMYFUNCTION("""COMPUTED_VALUE"""),"08053")</f>
        <v>08053</v>
      </c>
      <c r="D638" s="2" t="str">
        <f>IFERROR(__xludf.DUMMYFUNCTION("""COMPUTED_VALUE"""),"SOAR AT GREEN VALLEY RANCH")</f>
        <v>SOAR AT GREEN VALLEY RANCH</v>
      </c>
      <c r="E638" s="3" t="str">
        <f>IFERROR(__xludf.DUMMYFUNCTION("""COMPUTED_VALUE"""),"Y")</f>
        <v>Y</v>
      </c>
      <c r="F638" s="3" t="str">
        <f>IFERROR(__xludf.DUMMYFUNCTION("""COMPUTED_VALUE"""),"Y")</f>
        <v>Y</v>
      </c>
      <c r="G638" s="3" t="str">
        <f>IFERROR(__xludf.DUMMYFUNCTION("""COMPUTED_VALUE"""),"Y")</f>
        <v>Y</v>
      </c>
      <c r="H638" s="3"/>
      <c r="I638" s="3" t="str">
        <f>IFERROR(__xludf.DUMMYFUNCTION("""COMPUTED_VALUE""")," ")</f>
        <v> </v>
      </c>
      <c r="J638" s="3" t="str">
        <f>IFERROR(__xludf.DUMMYFUNCTION("""COMPUTED_VALUE"""),"Y")</f>
        <v>Y</v>
      </c>
      <c r="K638" s="3" t="str">
        <f>IFERROR(__xludf.DUMMYFUNCTION("""COMPUTED_VALUE"""),"Y")</f>
        <v>Y</v>
      </c>
      <c r="L638" s="3" t="str">
        <f>IFERROR(__xludf.DUMMYFUNCTION("""COMPUTED_VALUE"""),"Group 28")</f>
        <v>Group 28</v>
      </c>
      <c r="M638" s="3"/>
      <c r="N638" s="5" t="str">
        <f>IFERROR(__xludf.DUMMYFUNCTION("""COMPUTED_VALUE""")," ")</f>
        <v> </v>
      </c>
      <c r="O638" s="5"/>
    </row>
    <row r="639">
      <c r="A639" s="2" t="str">
        <f>IFERROR(__xludf.DUMMYFUNCTION("""COMPUTED_VALUE"""),"0880")</f>
        <v>0880</v>
      </c>
      <c r="B639" s="2" t="str">
        <f>IFERROR(__xludf.DUMMYFUNCTION("""COMPUTED_VALUE"""),"DENVER COUNTY 1")</f>
        <v>DENVER COUNTY 1</v>
      </c>
      <c r="C639" s="2" t="str">
        <f>IFERROR(__xludf.DUMMYFUNCTION("""COMPUTED_VALUE"""),"08086")</f>
        <v>08086</v>
      </c>
      <c r="D639" s="2" t="str">
        <f>IFERROR(__xludf.DUMMYFUNCTION("""COMPUTED_VALUE"""),"SOUTH HIGH SCHOOL")</f>
        <v>SOUTH HIGH SCHOOL</v>
      </c>
      <c r="E639" s="3" t="str">
        <f>IFERROR(__xludf.DUMMYFUNCTION("""COMPUTED_VALUE"""),"Y")</f>
        <v>Y</v>
      </c>
      <c r="F639" s="3" t="str">
        <f>IFERROR(__xludf.DUMMYFUNCTION("""COMPUTED_VALUE"""),"Y")</f>
        <v>Y</v>
      </c>
      <c r="G639" s="3"/>
      <c r="H639" s="3"/>
      <c r="I639" s="3" t="str">
        <f>IFERROR(__xludf.DUMMYFUNCTION("""COMPUTED_VALUE""")," ")</f>
        <v> </v>
      </c>
      <c r="J639" s="3" t="str">
        <f>IFERROR(__xludf.DUMMYFUNCTION("""COMPUTED_VALUE""")," ")</f>
        <v> </v>
      </c>
      <c r="K639" s="3" t="str">
        <f>IFERROR(__xludf.DUMMYFUNCTION("""COMPUTED_VALUE"""),"Y")</f>
        <v>Y</v>
      </c>
      <c r="L639" s="3" t="str">
        <f>IFERROR(__xludf.DUMMYFUNCTION("""COMPUTED_VALUE""")," ")</f>
        <v> </v>
      </c>
      <c r="M639" s="3"/>
      <c r="N639" s="5"/>
      <c r="O639" s="5"/>
    </row>
    <row r="640">
      <c r="A640" s="2" t="str">
        <f>IFERROR(__xludf.DUMMYFUNCTION("""COMPUTED_VALUE"""),"0880")</f>
        <v>0880</v>
      </c>
      <c r="B640" s="2" t="str">
        <f>IFERROR(__xludf.DUMMYFUNCTION("""COMPUTED_VALUE"""),"DENVER COUNTY 1")</f>
        <v>DENVER COUNTY 1</v>
      </c>
      <c r="C640" s="2" t="str">
        <f>IFERROR(__xludf.DUMMYFUNCTION("""COMPUTED_VALUE"""),"08131")</f>
        <v>08131</v>
      </c>
      <c r="D640" s="2" t="str">
        <f>IFERROR(__xludf.DUMMYFUNCTION("""COMPUTED_VALUE"""),"OAKLAND ELEMENTARY")</f>
        <v>OAKLAND ELEMENTARY</v>
      </c>
      <c r="E640" s="3" t="str">
        <f>IFERROR(__xludf.DUMMYFUNCTION("""COMPUTED_VALUE"""),"Y")</f>
        <v>Y</v>
      </c>
      <c r="F640" s="3" t="str">
        <f>IFERROR(__xludf.DUMMYFUNCTION("""COMPUTED_VALUE"""),"Y")</f>
        <v>Y</v>
      </c>
      <c r="G640" s="3" t="str">
        <f>IFERROR(__xludf.DUMMYFUNCTION("""COMPUTED_VALUE"""),"Y")</f>
        <v>Y</v>
      </c>
      <c r="H640" s="3"/>
      <c r="I640" s="3" t="str">
        <f>IFERROR(__xludf.DUMMYFUNCTION("""COMPUTED_VALUE"""),"Y")</f>
        <v>Y</v>
      </c>
      <c r="J640" s="3" t="str">
        <f>IFERROR(__xludf.DUMMYFUNCTION("""COMPUTED_VALUE"""),"Y")</f>
        <v>Y</v>
      </c>
      <c r="K640" s="3" t="str">
        <f>IFERROR(__xludf.DUMMYFUNCTION("""COMPUTED_VALUE"""),"Y")</f>
        <v>Y</v>
      </c>
      <c r="L640" s="3" t="str">
        <f>IFERROR(__xludf.DUMMYFUNCTION("""COMPUTED_VALUE"""),"Group 28")</f>
        <v>Group 28</v>
      </c>
      <c r="M640" s="3"/>
      <c r="N640" s="5" t="str">
        <f>IFERROR(__xludf.DUMMYFUNCTION("""COMPUTED_VALUE""")," ")</f>
        <v> </v>
      </c>
      <c r="O640" s="5"/>
    </row>
    <row r="641">
      <c r="A641" s="2" t="str">
        <f>IFERROR(__xludf.DUMMYFUNCTION("""COMPUTED_VALUE"""),"0880")</f>
        <v>0880</v>
      </c>
      <c r="B641" s="2" t="str">
        <f>IFERROR(__xludf.DUMMYFUNCTION("""COMPUTED_VALUE"""),"DENVER COUNTY 1")</f>
        <v>DENVER COUNTY 1</v>
      </c>
      <c r="C641" s="2" t="str">
        <f>IFERROR(__xludf.DUMMYFUNCTION("""COMPUTED_VALUE"""),"08138")</f>
        <v>08138</v>
      </c>
      <c r="D641" s="2" t="str">
        <f>IFERROR(__xludf.DUMMYFUNCTION("""COMPUTED_VALUE"""),"SOUTHMOOR ELEMENTARY SCHOOL")</f>
        <v>SOUTHMOOR ELEMENTARY SCHOOL</v>
      </c>
      <c r="E641" s="3" t="str">
        <f>IFERROR(__xludf.DUMMYFUNCTION("""COMPUTED_VALUE"""),"Y")</f>
        <v>Y</v>
      </c>
      <c r="F641" s="3" t="str">
        <f>IFERROR(__xludf.DUMMYFUNCTION("""COMPUTED_VALUE"""),"Y")</f>
        <v>Y</v>
      </c>
      <c r="G641" s="3"/>
      <c r="H641" s="3"/>
      <c r="I641" s="3" t="str">
        <f>IFERROR(__xludf.DUMMYFUNCTION("""COMPUTED_VALUE""")," ")</f>
        <v> </v>
      </c>
      <c r="J641" s="3" t="str">
        <f>IFERROR(__xludf.DUMMYFUNCTION("""COMPUTED_VALUE""")," ")</f>
        <v> </v>
      </c>
      <c r="K641" s="3" t="str">
        <f>IFERROR(__xludf.DUMMYFUNCTION("""COMPUTED_VALUE"""),"Y")</f>
        <v>Y</v>
      </c>
      <c r="L641" s="3" t="str">
        <f>IFERROR(__xludf.DUMMYFUNCTION("""COMPUTED_VALUE"""),"Group 16")</f>
        <v>Group 16</v>
      </c>
      <c r="M641" s="3"/>
      <c r="N641" s="5" t="str">
        <f>IFERROR(__xludf.DUMMYFUNCTION("""COMPUTED_VALUE""")," ")</f>
        <v> </v>
      </c>
      <c r="O641" s="5"/>
    </row>
    <row r="642">
      <c r="A642" s="2" t="str">
        <f>IFERROR(__xludf.DUMMYFUNCTION("""COMPUTED_VALUE"""),"0880")</f>
        <v>0880</v>
      </c>
      <c r="B642" s="2" t="str">
        <f>IFERROR(__xludf.DUMMYFUNCTION("""COMPUTED_VALUE"""),"DENVER COUNTY 1")</f>
        <v>DENVER COUNTY 1</v>
      </c>
      <c r="C642" s="2" t="str">
        <f>IFERROR(__xludf.DUMMYFUNCTION("""COMPUTED_VALUE"""),"08145")</f>
        <v>08145</v>
      </c>
      <c r="D642" s="2" t="str">
        <f>IFERROR(__xludf.DUMMYFUNCTION("""COMPUTED_VALUE"""),"SUMMIT ACADEMY")</f>
        <v>SUMMIT ACADEMY</v>
      </c>
      <c r="E642" s="3" t="str">
        <f>IFERROR(__xludf.DUMMYFUNCTION("""COMPUTED_VALUE"""),"Y")</f>
        <v>Y</v>
      </c>
      <c r="F642" s="3" t="str">
        <f>IFERROR(__xludf.DUMMYFUNCTION("""COMPUTED_VALUE"""),"Y")</f>
        <v>Y</v>
      </c>
      <c r="G642" s="3"/>
      <c r="H642" s="3"/>
      <c r="I642" s="3" t="str">
        <f>IFERROR(__xludf.DUMMYFUNCTION("""COMPUTED_VALUE""")," ")</f>
        <v> </v>
      </c>
      <c r="J642" s="3" t="str">
        <f>IFERROR(__xludf.DUMMYFUNCTION("""COMPUTED_VALUE"""),"Y")</f>
        <v>Y</v>
      </c>
      <c r="K642" s="3" t="str">
        <f>IFERROR(__xludf.DUMMYFUNCTION("""COMPUTED_VALUE"""),"Y")</f>
        <v>Y</v>
      </c>
      <c r="L642" s="3" t="str">
        <f>IFERROR(__xludf.DUMMYFUNCTION("""COMPUTED_VALUE"""),"Group 25")</f>
        <v>Group 25</v>
      </c>
      <c r="M642" s="3"/>
      <c r="N642" s="5" t="str">
        <f>IFERROR(__xludf.DUMMYFUNCTION("""COMPUTED_VALUE""")," ")</f>
        <v> </v>
      </c>
      <c r="O642" s="5"/>
    </row>
    <row r="643">
      <c r="A643" s="2" t="str">
        <f>IFERROR(__xludf.DUMMYFUNCTION("""COMPUTED_VALUE"""),"0880")</f>
        <v>0880</v>
      </c>
      <c r="B643" s="2" t="str">
        <f>IFERROR(__xludf.DUMMYFUNCTION("""COMPUTED_VALUE"""),"DENVER COUNTY 1")</f>
        <v>DENVER COUNTY 1</v>
      </c>
      <c r="C643" s="2" t="str">
        <f>IFERROR(__xludf.DUMMYFUNCTION("""COMPUTED_VALUE"""),"08149")</f>
        <v>08149</v>
      </c>
      <c r="D643" s="2" t="str">
        <f>IFERROR(__xludf.DUMMYFUNCTION("""COMPUTED_VALUE"""),"Stephen Knight Center for Early Education")</f>
        <v>Stephen Knight Center for Early Education</v>
      </c>
      <c r="E643" s="3" t="str">
        <f>IFERROR(__xludf.DUMMYFUNCTION("""COMPUTED_VALUE"""),"Y")</f>
        <v>Y</v>
      </c>
      <c r="F643" s="3" t="str">
        <f>IFERROR(__xludf.DUMMYFUNCTION("""COMPUTED_VALUE"""),"Y")</f>
        <v>Y</v>
      </c>
      <c r="G643" s="3"/>
      <c r="H643" s="3"/>
      <c r="I643" s="3" t="str">
        <f>IFERROR(__xludf.DUMMYFUNCTION("""COMPUTED_VALUE""")," ")</f>
        <v> </v>
      </c>
      <c r="J643" s="3" t="str">
        <f>IFERROR(__xludf.DUMMYFUNCTION("""COMPUTED_VALUE""")," ")</f>
        <v> </v>
      </c>
      <c r="K643" s="3" t="str">
        <f>IFERROR(__xludf.DUMMYFUNCTION("""COMPUTED_VALUE"""),"Y")</f>
        <v>Y</v>
      </c>
      <c r="L643" s="3" t="str">
        <f>IFERROR(__xludf.DUMMYFUNCTION("""COMPUTED_VALUE"""),"Group 24")</f>
        <v>Group 24</v>
      </c>
      <c r="M643" s="3"/>
      <c r="N643" s="5" t="str">
        <f>IFERROR(__xludf.DUMMYFUNCTION("""COMPUTED_VALUE""")," ")</f>
        <v> </v>
      </c>
      <c r="O643" s="5"/>
    </row>
    <row r="644">
      <c r="A644" s="2" t="str">
        <f>IFERROR(__xludf.DUMMYFUNCTION("""COMPUTED_VALUE"""),"0880")</f>
        <v>0880</v>
      </c>
      <c r="B644" s="2" t="str">
        <f>IFERROR(__xludf.DUMMYFUNCTION("""COMPUTED_VALUE"""),"DENVER COUNTY 1")</f>
        <v>DENVER COUNTY 1</v>
      </c>
      <c r="C644" s="2" t="str">
        <f>IFERROR(__xludf.DUMMYFUNCTION("""COMPUTED_VALUE"""),"08222")</f>
        <v>08222</v>
      </c>
      <c r="D644" s="2" t="str">
        <f>IFERROR(__xludf.DUMMYFUNCTION("""COMPUTED_VALUE"""),"STECK ELEMENTARY SCHOOL")</f>
        <v>STECK ELEMENTARY SCHOOL</v>
      </c>
      <c r="E644" s="3" t="str">
        <f>IFERROR(__xludf.DUMMYFUNCTION("""COMPUTED_VALUE"""),"Y")</f>
        <v>Y</v>
      </c>
      <c r="F644" s="3" t="str">
        <f>IFERROR(__xludf.DUMMYFUNCTION("""COMPUTED_VALUE"""),"Y")</f>
        <v>Y</v>
      </c>
      <c r="G644" s="3"/>
      <c r="H644" s="3"/>
      <c r="I644" s="3" t="str">
        <f>IFERROR(__xludf.DUMMYFUNCTION("""COMPUTED_VALUE""")," ")</f>
        <v> </v>
      </c>
      <c r="J644" s="3" t="str">
        <f>IFERROR(__xludf.DUMMYFUNCTION("""COMPUTED_VALUE""")," ")</f>
        <v> </v>
      </c>
      <c r="K644" s="3" t="str">
        <f>IFERROR(__xludf.DUMMYFUNCTION("""COMPUTED_VALUE"""),"Y")</f>
        <v>Y</v>
      </c>
      <c r="L644" s="3" t="str">
        <f>IFERROR(__xludf.DUMMYFUNCTION("""COMPUTED_VALUE"""),"Group 7")</f>
        <v>Group 7</v>
      </c>
      <c r="M644" s="3"/>
      <c r="N644" s="5" t="str">
        <f>IFERROR(__xludf.DUMMYFUNCTION("""COMPUTED_VALUE""")," ")</f>
        <v> </v>
      </c>
      <c r="O644" s="5"/>
    </row>
    <row r="645">
      <c r="A645" s="2" t="str">
        <f>IFERROR(__xludf.DUMMYFUNCTION("""COMPUTED_VALUE"""),"0880")</f>
        <v>0880</v>
      </c>
      <c r="B645" s="2" t="str">
        <f>IFERROR(__xludf.DUMMYFUNCTION("""COMPUTED_VALUE"""),"DENVER COUNTY 1")</f>
        <v>DENVER COUNTY 1</v>
      </c>
      <c r="C645" s="2" t="str">
        <f>IFERROR(__xludf.DUMMYFUNCTION("""COMPUTED_VALUE"""),"08232")</f>
        <v>08232</v>
      </c>
      <c r="D645" s="2" t="str">
        <f>IFERROR(__xludf.DUMMYFUNCTION("""COMPUTED_VALUE"""),"STEDMAN ELEMENTARY SCHOOL")</f>
        <v>STEDMAN ELEMENTARY SCHOOL</v>
      </c>
      <c r="E645" s="3" t="str">
        <f>IFERROR(__xludf.DUMMYFUNCTION("""COMPUTED_VALUE"""),"Y")</f>
        <v>Y</v>
      </c>
      <c r="F645" s="3" t="str">
        <f>IFERROR(__xludf.DUMMYFUNCTION("""COMPUTED_VALUE"""),"Y")</f>
        <v>Y</v>
      </c>
      <c r="G645" s="3"/>
      <c r="H645" s="3"/>
      <c r="I645" s="3" t="str">
        <f>IFERROR(__xludf.DUMMYFUNCTION("""COMPUTED_VALUE""")," ")</f>
        <v> </v>
      </c>
      <c r="J645" s="3" t="str">
        <f>IFERROR(__xludf.DUMMYFUNCTION("""COMPUTED_VALUE""")," ")</f>
        <v> </v>
      </c>
      <c r="K645" s="3" t="str">
        <f>IFERROR(__xludf.DUMMYFUNCTION("""COMPUTED_VALUE"""),"Y")</f>
        <v>Y</v>
      </c>
      <c r="L645" s="3" t="str">
        <f>IFERROR(__xludf.DUMMYFUNCTION("""COMPUTED_VALUE""")," ")</f>
        <v> </v>
      </c>
      <c r="M645" s="3"/>
      <c r="N645" s="5" t="str">
        <f>IFERROR(__xludf.DUMMYFUNCTION("""COMPUTED_VALUE""")," ")</f>
        <v> </v>
      </c>
      <c r="O645" s="5"/>
    </row>
    <row r="646">
      <c r="A646" s="2" t="str">
        <f>IFERROR(__xludf.DUMMYFUNCTION("""COMPUTED_VALUE"""),"0880")</f>
        <v>0880</v>
      </c>
      <c r="B646" s="2" t="str">
        <f>IFERROR(__xludf.DUMMYFUNCTION("""COMPUTED_VALUE"""),"DENVER COUNTY 1")</f>
        <v>DENVER COUNTY 1</v>
      </c>
      <c r="C646" s="2" t="str">
        <f>IFERROR(__xludf.DUMMYFUNCTION("""COMPUTED_VALUE"""),"08242")</f>
        <v>08242</v>
      </c>
      <c r="D646" s="2" t="str">
        <f>IFERROR(__xludf.DUMMYFUNCTION("""COMPUTED_VALUE"""),"STEELE ELEMENTARY SCHOOL")</f>
        <v>STEELE ELEMENTARY SCHOOL</v>
      </c>
      <c r="E646" s="3" t="str">
        <f>IFERROR(__xludf.DUMMYFUNCTION("""COMPUTED_VALUE"""),"Y")</f>
        <v>Y</v>
      </c>
      <c r="F646" s="3" t="str">
        <f>IFERROR(__xludf.DUMMYFUNCTION("""COMPUTED_VALUE"""),"Y")</f>
        <v>Y</v>
      </c>
      <c r="G646" s="3"/>
      <c r="H646" s="3"/>
      <c r="I646" s="3" t="str">
        <f>IFERROR(__xludf.DUMMYFUNCTION("""COMPUTED_VALUE""")," ")</f>
        <v> </v>
      </c>
      <c r="J646" s="3" t="str">
        <f>IFERROR(__xludf.DUMMYFUNCTION("""COMPUTED_VALUE""")," ")</f>
        <v> </v>
      </c>
      <c r="K646" s="3" t="str">
        <f>IFERROR(__xludf.DUMMYFUNCTION("""COMPUTED_VALUE"""),"Y")</f>
        <v>Y</v>
      </c>
      <c r="L646" s="3" t="str">
        <f>IFERROR(__xludf.DUMMYFUNCTION("""COMPUTED_VALUE"""),"Group 7")</f>
        <v>Group 7</v>
      </c>
      <c r="M646" s="3"/>
      <c r="N646" s="5" t="str">
        <f>IFERROR(__xludf.DUMMYFUNCTION("""COMPUTED_VALUE""")," ")</f>
        <v> </v>
      </c>
      <c r="O646" s="5"/>
    </row>
    <row r="647">
      <c r="A647" s="2" t="str">
        <f>IFERROR(__xludf.DUMMYFUNCTION("""COMPUTED_VALUE"""),"0880")</f>
        <v>0880</v>
      </c>
      <c r="B647" s="2" t="str">
        <f>IFERROR(__xludf.DUMMYFUNCTION("""COMPUTED_VALUE"""),"DENVER COUNTY 1")</f>
        <v>DENVER COUNTY 1</v>
      </c>
      <c r="C647" s="2" t="str">
        <f>IFERROR(__xludf.DUMMYFUNCTION("""COMPUTED_VALUE"""),"08422")</f>
        <v>08422</v>
      </c>
      <c r="D647" s="2" t="str">
        <f>IFERROR(__xludf.DUMMYFUNCTION("""COMPUTED_VALUE"""),"SWANSEA ELEMENTARY SCHOOL")</f>
        <v>SWANSEA ELEMENTARY SCHOOL</v>
      </c>
      <c r="E647" s="3" t="str">
        <f>IFERROR(__xludf.DUMMYFUNCTION("""COMPUTED_VALUE"""),"Y")</f>
        <v>Y</v>
      </c>
      <c r="F647" s="3" t="str">
        <f>IFERROR(__xludf.DUMMYFUNCTION("""COMPUTED_VALUE"""),"Y")</f>
        <v>Y</v>
      </c>
      <c r="G647" s="3" t="str">
        <f>IFERROR(__xludf.DUMMYFUNCTION("""COMPUTED_VALUE"""),"Y")</f>
        <v>Y</v>
      </c>
      <c r="H647" s="3"/>
      <c r="I647" s="3" t="str">
        <f>IFERROR(__xludf.DUMMYFUNCTION("""COMPUTED_VALUE"""),"Y")</f>
        <v>Y</v>
      </c>
      <c r="J647" s="3" t="str">
        <f>IFERROR(__xludf.DUMMYFUNCTION("""COMPUTED_VALUE"""),"Y")</f>
        <v>Y</v>
      </c>
      <c r="K647" s="3" t="str">
        <f>IFERROR(__xludf.DUMMYFUNCTION("""COMPUTED_VALUE"""),"Y")</f>
        <v>Y</v>
      </c>
      <c r="L647" s="3" t="str">
        <f>IFERROR(__xludf.DUMMYFUNCTION("""COMPUTED_VALUE"""),"Group 28")</f>
        <v>Group 28</v>
      </c>
      <c r="M647" s="3"/>
      <c r="N647" s="5" t="str">
        <f>IFERROR(__xludf.DUMMYFUNCTION("""COMPUTED_VALUE"""),"Y")</f>
        <v>Y</v>
      </c>
      <c r="O647" s="5"/>
    </row>
    <row r="648">
      <c r="A648" s="2" t="str">
        <f>IFERROR(__xludf.DUMMYFUNCTION("""COMPUTED_VALUE"""),"0880")</f>
        <v>0880</v>
      </c>
      <c r="B648" s="2" t="str">
        <f>IFERROR(__xludf.DUMMYFUNCTION("""COMPUTED_VALUE"""),"DENVER COUNTY 1")</f>
        <v>DENVER COUNTY 1</v>
      </c>
      <c r="C648" s="2" t="str">
        <f>IFERROR(__xludf.DUMMYFUNCTION("""COMPUTED_VALUE"""),"08453")</f>
        <v>08453</v>
      </c>
      <c r="D648" s="2" t="str">
        <f>IFERROR(__xludf.DUMMYFUNCTION("""COMPUTED_VALUE"""),"Swigert International School")</f>
        <v>Swigert International School</v>
      </c>
      <c r="E648" s="3" t="str">
        <f>IFERROR(__xludf.DUMMYFUNCTION("""COMPUTED_VALUE"""),"Y")</f>
        <v>Y</v>
      </c>
      <c r="F648" s="3" t="str">
        <f>IFERROR(__xludf.DUMMYFUNCTION("""COMPUTED_VALUE"""),"Y")</f>
        <v>Y</v>
      </c>
      <c r="G648" s="3"/>
      <c r="H648" s="3"/>
      <c r="I648" s="3" t="str">
        <f>IFERROR(__xludf.DUMMYFUNCTION("""COMPUTED_VALUE""")," ")</f>
        <v> </v>
      </c>
      <c r="J648" s="3" t="str">
        <f>IFERROR(__xludf.DUMMYFUNCTION("""COMPUTED_VALUE""")," ")</f>
        <v> </v>
      </c>
      <c r="K648" s="3" t="str">
        <f>IFERROR(__xludf.DUMMYFUNCTION("""COMPUTED_VALUE"""),"Y")</f>
        <v>Y</v>
      </c>
      <c r="L648" s="3" t="str">
        <f>IFERROR(__xludf.DUMMYFUNCTION("""COMPUTED_VALUE"""),"Group 7")</f>
        <v>Group 7</v>
      </c>
      <c r="M648" s="3"/>
      <c r="N648" s="5" t="str">
        <f>IFERROR(__xludf.DUMMYFUNCTION("""COMPUTED_VALUE"""),"Y")</f>
        <v>Y</v>
      </c>
      <c r="O648" s="5"/>
    </row>
    <row r="649">
      <c r="A649" s="2" t="str">
        <f>IFERROR(__xludf.DUMMYFUNCTION("""COMPUTED_VALUE"""),"0880")</f>
        <v>0880</v>
      </c>
      <c r="B649" s="2" t="str">
        <f>IFERROR(__xludf.DUMMYFUNCTION("""COMPUTED_VALUE"""),"DENVER COUNTY 1")</f>
        <v>DENVER COUNTY 1</v>
      </c>
      <c r="C649" s="2" t="str">
        <f>IFERROR(__xludf.DUMMYFUNCTION("""COMPUTED_VALUE"""),"08776")</f>
        <v>08776</v>
      </c>
      <c r="D649" s="2" t="str">
        <f>IFERROR(__xludf.DUMMYFUNCTION("""COMPUTED_VALUE"""),"TELLER ELEMENTARY SCHOOL")</f>
        <v>TELLER ELEMENTARY SCHOOL</v>
      </c>
      <c r="E649" s="3" t="str">
        <f>IFERROR(__xludf.DUMMYFUNCTION("""COMPUTED_VALUE"""),"Y")</f>
        <v>Y</v>
      </c>
      <c r="F649" s="3" t="str">
        <f>IFERROR(__xludf.DUMMYFUNCTION("""COMPUTED_VALUE"""),"Y")</f>
        <v>Y</v>
      </c>
      <c r="G649" s="3"/>
      <c r="H649" s="3"/>
      <c r="I649" s="3" t="str">
        <f>IFERROR(__xludf.DUMMYFUNCTION("""COMPUTED_VALUE""")," ")</f>
        <v> </v>
      </c>
      <c r="J649" s="3" t="str">
        <f>IFERROR(__xludf.DUMMYFUNCTION("""COMPUTED_VALUE""")," ")</f>
        <v> </v>
      </c>
      <c r="K649" s="3" t="str">
        <f>IFERROR(__xludf.DUMMYFUNCTION("""COMPUTED_VALUE"""),"Y")</f>
        <v>Y</v>
      </c>
      <c r="L649" s="3" t="str">
        <f>IFERROR(__xludf.DUMMYFUNCTION("""COMPUTED_VALUE"""),"Group 7")</f>
        <v>Group 7</v>
      </c>
      <c r="M649" s="3"/>
      <c r="N649" s="5" t="str">
        <f>IFERROR(__xludf.DUMMYFUNCTION("""COMPUTED_VALUE""")," ")</f>
        <v> </v>
      </c>
      <c r="O649" s="5"/>
    </row>
    <row r="650">
      <c r="A650" s="2" t="str">
        <f>IFERROR(__xludf.DUMMYFUNCTION("""COMPUTED_VALUE"""),"0880")</f>
        <v>0880</v>
      </c>
      <c r="B650" s="2" t="str">
        <f>IFERROR(__xludf.DUMMYFUNCTION("""COMPUTED_VALUE"""),"DENVER COUNTY 1")</f>
        <v>DENVER COUNTY 1</v>
      </c>
      <c r="C650" s="2" t="str">
        <f>IFERROR(__xludf.DUMMYFUNCTION("""COMPUTED_VALUE"""),"08822")</f>
        <v>08822</v>
      </c>
      <c r="D650" s="2" t="str">
        <f>IFERROR(__xludf.DUMMYFUNCTION("""COMPUTED_VALUE"""),"THOMAS JEFFERSON HIGH SCHOOL")</f>
        <v>THOMAS JEFFERSON HIGH SCHOOL</v>
      </c>
      <c r="E650" s="3" t="str">
        <f>IFERROR(__xludf.DUMMYFUNCTION("""COMPUTED_VALUE"""),"Y")</f>
        <v>Y</v>
      </c>
      <c r="F650" s="3" t="str">
        <f>IFERROR(__xludf.DUMMYFUNCTION("""COMPUTED_VALUE"""),"Y")</f>
        <v>Y</v>
      </c>
      <c r="G650" s="3"/>
      <c r="H650" s="3"/>
      <c r="I650" s="3" t="str">
        <f>IFERROR(__xludf.DUMMYFUNCTION("""COMPUTED_VALUE""")," ")</f>
        <v> </v>
      </c>
      <c r="J650" s="3" t="str">
        <f>IFERROR(__xludf.DUMMYFUNCTION("""COMPUTED_VALUE""")," ")</f>
        <v> </v>
      </c>
      <c r="K650" s="3" t="str">
        <f>IFERROR(__xludf.DUMMYFUNCTION("""COMPUTED_VALUE"""),"Y")</f>
        <v>Y</v>
      </c>
      <c r="L650" s="3" t="str">
        <f>IFERROR(__xludf.DUMMYFUNCTION("""COMPUTED_VALUE"""),"Group 9")</f>
        <v>Group 9</v>
      </c>
      <c r="M650" s="3"/>
      <c r="N650" s="5" t="str">
        <f>IFERROR(__xludf.DUMMYFUNCTION("""COMPUTED_VALUE""")," ")</f>
        <v> </v>
      </c>
      <c r="O650" s="5"/>
    </row>
    <row r="651">
      <c r="A651" s="2" t="str">
        <f>IFERROR(__xludf.DUMMYFUNCTION("""COMPUTED_VALUE"""),"0880")</f>
        <v>0880</v>
      </c>
      <c r="B651" s="2" t="str">
        <f>IFERROR(__xludf.DUMMYFUNCTION("""COMPUTED_VALUE"""),"DENVER COUNTY 1")</f>
        <v>DENVER COUNTY 1</v>
      </c>
      <c r="C651" s="2" t="str">
        <f>IFERROR(__xludf.DUMMYFUNCTION("""COMPUTED_VALUE"""),"08888")</f>
        <v>08888</v>
      </c>
      <c r="D651" s="2" t="str">
        <f>IFERROR(__xludf.DUMMYFUNCTION("""COMPUTED_VALUE"""),"TRAYLOR ACADEMY")</f>
        <v>TRAYLOR ACADEMY</v>
      </c>
      <c r="E651" s="3" t="str">
        <f>IFERROR(__xludf.DUMMYFUNCTION("""COMPUTED_VALUE"""),"Y")</f>
        <v>Y</v>
      </c>
      <c r="F651" s="3" t="str">
        <f>IFERROR(__xludf.DUMMYFUNCTION("""COMPUTED_VALUE"""),"Y")</f>
        <v>Y</v>
      </c>
      <c r="G651" s="3" t="str">
        <f>IFERROR(__xludf.DUMMYFUNCTION("""COMPUTED_VALUE"""),"Y")</f>
        <v>Y</v>
      </c>
      <c r="H651" s="3"/>
      <c r="I651" s="3" t="str">
        <f>IFERROR(__xludf.DUMMYFUNCTION("""COMPUTED_VALUE"""),"Y")</f>
        <v>Y</v>
      </c>
      <c r="J651" s="3" t="str">
        <f>IFERROR(__xludf.DUMMYFUNCTION("""COMPUTED_VALUE"""),"Y")</f>
        <v>Y</v>
      </c>
      <c r="K651" s="3" t="str">
        <f>IFERROR(__xludf.DUMMYFUNCTION("""COMPUTED_VALUE"""),"Y")</f>
        <v>Y</v>
      </c>
      <c r="L651" s="3" t="str">
        <f>IFERROR(__xludf.DUMMYFUNCTION("""COMPUTED_VALUE"""),"Group 26")</f>
        <v>Group 26</v>
      </c>
      <c r="M651" s="3"/>
      <c r="N651" s="5" t="str">
        <f>IFERROR(__xludf.DUMMYFUNCTION("""COMPUTED_VALUE""")," ")</f>
        <v> </v>
      </c>
      <c r="O651" s="5"/>
    </row>
    <row r="652">
      <c r="A652" s="2" t="str">
        <f>IFERROR(__xludf.DUMMYFUNCTION("""COMPUTED_VALUE"""),"0880")</f>
        <v>0880</v>
      </c>
      <c r="B652" s="2" t="str">
        <f>IFERROR(__xludf.DUMMYFUNCTION("""COMPUTED_VALUE"""),"DENVER COUNTY 1")</f>
        <v>DENVER COUNTY 1</v>
      </c>
      <c r="C652" s="2" t="str">
        <f>IFERROR(__xludf.DUMMYFUNCTION("""COMPUTED_VALUE"""),"08909")</f>
        <v>08909</v>
      </c>
      <c r="D652" s="2" t="str">
        <f>IFERROR(__xludf.DUMMYFUNCTION("""COMPUTED_VALUE"""),"TREVISTA ECE-8 AT HORACE MANN")</f>
        <v>TREVISTA ECE-8 AT HORACE MANN</v>
      </c>
      <c r="E652" s="3" t="str">
        <f>IFERROR(__xludf.DUMMYFUNCTION("""COMPUTED_VALUE"""),"Y")</f>
        <v>Y</v>
      </c>
      <c r="F652" s="3" t="str">
        <f>IFERROR(__xludf.DUMMYFUNCTION("""COMPUTED_VALUE"""),"Y")</f>
        <v>Y</v>
      </c>
      <c r="G652" s="3"/>
      <c r="H652" s="3"/>
      <c r="I652" s="3" t="str">
        <f>IFERROR(__xludf.DUMMYFUNCTION("""COMPUTED_VALUE"""),"Y")</f>
        <v>Y</v>
      </c>
      <c r="J652" s="3" t="str">
        <f>IFERROR(__xludf.DUMMYFUNCTION("""COMPUTED_VALUE""")," ")</f>
        <v> </v>
      </c>
      <c r="K652" s="3" t="str">
        <f>IFERROR(__xludf.DUMMYFUNCTION("""COMPUTED_VALUE"""),"Y")</f>
        <v>Y</v>
      </c>
      <c r="L652" s="3" t="str">
        <f>IFERROR(__xludf.DUMMYFUNCTION("""COMPUTED_VALUE"""),"Group 4")</f>
        <v>Group 4</v>
      </c>
      <c r="M652" s="3"/>
      <c r="N652" s="5" t="str">
        <f>IFERROR(__xludf.DUMMYFUNCTION("""COMPUTED_VALUE""")," ")</f>
        <v> </v>
      </c>
      <c r="O652" s="5"/>
    </row>
    <row r="653">
      <c r="A653" s="2" t="str">
        <f>IFERROR(__xludf.DUMMYFUNCTION("""COMPUTED_VALUE"""),"0880")</f>
        <v>0880</v>
      </c>
      <c r="B653" s="2" t="str">
        <f>IFERROR(__xludf.DUMMYFUNCTION("""COMPUTED_VALUE"""),"DENVER COUNTY 1")</f>
        <v>DENVER COUNTY 1</v>
      </c>
      <c r="C653" s="2" t="str">
        <f>IFERROR(__xludf.DUMMYFUNCTION("""COMPUTED_VALUE"""),"08945")</f>
        <v>08945</v>
      </c>
      <c r="D653" s="2" t="str">
        <f>IFERROR(__xludf.DUMMYFUNCTION("""COMPUTED_VALUE"""),"UNIVERSITY PREPARATORY SCHOOL")</f>
        <v>UNIVERSITY PREPARATORY SCHOOL</v>
      </c>
      <c r="E653" s="3" t="str">
        <f>IFERROR(__xludf.DUMMYFUNCTION("""COMPUTED_VALUE"""),"Y")</f>
        <v>Y</v>
      </c>
      <c r="F653" s="3" t="str">
        <f>IFERROR(__xludf.DUMMYFUNCTION("""COMPUTED_VALUE"""),"Y")</f>
        <v>Y</v>
      </c>
      <c r="G653" s="3"/>
      <c r="H653" s="3"/>
      <c r="I653" s="3" t="str">
        <f>IFERROR(__xludf.DUMMYFUNCTION("""COMPUTED_VALUE"""),"Y")</f>
        <v>Y</v>
      </c>
      <c r="J653" s="3" t="str">
        <f>IFERROR(__xludf.DUMMYFUNCTION("""COMPUTED_VALUE"""),"Y")</f>
        <v>Y</v>
      </c>
      <c r="K653" s="3" t="str">
        <f>IFERROR(__xludf.DUMMYFUNCTION("""COMPUTED_VALUE"""),"Y")</f>
        <v>Y</v>
      </c>
      <c r="L653" s="3" t="str">
        <f>IFERROR(__xludf.DUMMYFUNCTION("""COMPUTED_VALUE"""),"Group 1")</f>
        <v>Group 1</v>
      </c>
      <c r="M653" s="3"/>
      <c r="N653" s="5" t="str">
        <f>IFERROR(__xludf.DUMMYFUNCTION("""COMPUTED_VALUE""")," ")</f>
        <v> </v>
      </c>
      <c r="O653" s="5"/>
    </row>
    <row r="654">
      <c r="A654" s="2" t="str">
        <f>IFERROR(__xludf.DUMMYFUNCTION("""COMPUTED_VALUE"""),"0880")</f>
        <v>0880</v>
      </c>
      <c r="B654" s="2" t="str">
        <f>IFERROR(__xludf.DUMMYFUNCTION("""COMPUTED_VALUE"""),"DENVER COUNTY 1")</f>
        <v>DENVER COUNTY 1</v>
      </c>
      <c r="C654" s="2" t="str">
        <f>IFERROR(__xludf.DUMMYFUNCTION("""COMPUTED_VALUE"""),"08970")</f>
        <v>08970</v>
      </c>
      <c r="D654" s="2" t="str">
        <f>IFERROR(__xludf.DUMMYFUNCTION("""COMPUTED_VALUE"""),"UNIVERSITY PARK ELEMENTARY SCHOOL")</f>
        <v>UNIVERSITY PARK ELEMENTARY SCHOOL</v>
      </c>
      <c r="E654" s="3" t="str">
        <f>IFERROR(__xludf.DUMMYFUNCTION("""COMPUTED_VALUE"""),"Y")</f>
        <v>Y</v>
      </c>
      <c r="F654" s="3" t="str">
        <f>IFERROR(__xludf.DUMMYFUNCTION("""COMPUTED_VALUE"""),"Y")</f>
        <v>Y</v>
      </c>
      <c r="G654" s="3"/>
      <c r="H654" s="3"/>
      <c r="I654" s="3" t="str">
        <f>IFERROR(__xludf.DUMMYFUNCTION("""COMPUTED_VALUE""")," ")</f>
        <v> </v>
      </c>
      <c r="J654" s="3" t="str">
        <f>IFERROR(__xludf.DUMMYFUNCTION("""COMPUTED_VALUE""")," ")</f>
        <v> </v>
      </c>
      <c r="K654" s="3" t="str">
        <f>IFERROR(__xludf.DUMMYFUNCTION("""COMPUTED_VALUE"""),"Y")</f>
        <v>Y</v>
      </c>
      <c r="L654" s="3" t="str">
        <f>IFERROR(__xludf.DUMMYFUNCTION("""COMPUTED_VALUE"""),"Group 2")</f>
        <v>Group 2</v>
      </c>
      <c r="M654" s="3"/>
      <c r="N654" s="5" t="str">
        <f>IFERROR(__xludf.DUMMYFUNCTION("""COMPUTED_VALUE""")," ")</f>
        <v> </v>
      </c>
      <c r="O654" s="5"/>
    </row>
    <row r="655">
      <c r="A655" s="2" t="str">
        <f>IFERROR(__xludf.DUMMYFUNCTION("""COMPUTED_VALUE"""),"0880")</f>
        <v>0880</v>
      </c>
      <c r="B655" s="2" t="str">
        <f>IFERROR(__xludf.DUMMYFUNCTION("""COMPUTED_VALUE"""),"DENVER COUNTY 1")</f>
        <v>DENVER COUNTY 1</v>
      </c>
      <c r="C655" s="2" t="str">
        <f>IFERROR(__xludf.DUMMYFUNCTION("""COMPUTED_VALUE"""),"08995")</f>
        <v>08995</v>
      </c>
      <c r="D655" s="2" t="str">
        <f>IFERROR(__xludf.DUMMYFUNCTION("""COMPUTED_VALUE"""),"Vista Academy")</f>
        <v>Vista Academy</v>
      </c>
      <c r="E655" s="3" t="str">
        <f>IFERROR(__xludf.DUMMYFUNCTION("""COMPUTED_VALUE"""),"Y")</f>
        <v>Y</v>
      </c>
      <c r="F655" s="3" t="str">
        <f>IFERROR(__xludf.DUMMYFUNCTION("""COMPUTED_VALUE"""),"Y")</f>
        <v>Y</v>
      </c>
      <c r="G655" s="3"/>
      <c r="H655" s="3"/>
      <c r="I655" s="3" t="str">
        <f>IFERROR(__xludf.DUMMYFUNCTION("""COMPUTED_VALUE""")," ")</f>
        <v> </v>
      </c>
      <c r="J655" s="3" t="str">
        <f>IFERROR(__xludf.DUMMYFUNCTION("""COMPUTED_VALUE"""),"Y")</f>
        <v>Y</v>
      </c>
      <c r="K655" s="3" t="str">
        <f>IFERROR(__xludf.DUMMYFUNCTION("""COMPUTED_VALUE"""),"Y")</f>
        <v>Y</v>
      </c>
      <c r="L655" s="3" t="str">
        <f>IFERROR(__xludf.DUMMYFUNCTION("""COMPUTED_VALUE"""),"Group 11")</f>
        <v>Group 11</v>
      </c>
      <c r="M655" s="3"/>
      <c r="N655" s="5" t="str">
        <f>IFERROR(__xludf.DUMMYFUNCTION("""COMPUTED_VALUE""")," ")</f>
        <v> </v>
      </c>
      <c r="O655" s="5"/>
    </row>
    <row r="656">
      <c r="A656" s="2" t="str">
        <f>IFERROR(__xludf.DUMMYFUNCTION("""COMPUTED_VALUE"""),"0880")</f>
        <v>0880</v>
      </c>
      <c r="B656" s="2" t="str">
        <f>IFERROR(__xludf.DUMMYFUNCTION("""COMPUTED_VALUE"""),"DENVER COUNTY 1")</f>
        <v>DENVER COUNTY 1</v>
      </c>
      <c r="C656" s="2" t="str">
        <f>IFERROR(__xludf.DUMMYFUNCTION("""COMPUTED_VALUE"""),"09050")</f>
        <v>09050</v>
      </c>
      <c r="D656" s="2" t="str">
        <f>IFERROR(__xludf.DUMMYFUNCTION("""COMPUTED_VALUE"""),"VALVERDE ELEMENTARY SCHOOL")</f>
        <v>VALVERDE ELEMENTARY SCHOOL</v>
      </c>
      <c r="E656" s="3" t="str">
        <f>IFERROR(__xludf.DUMMYFUNCTION("""COMPUTED_VALUE"""),"Y")</f>
        <v>Y</v>
      </c>
      <c r="F656" s="3" t="str">
        <f>IFERROR(__xludf.DUMMYFUNCTION("""COMPUTED_VALUE"""),"Y")</f>
        <v>Y</v>
      </c>
      <c r="G656" s="3" t="str">
        <f>IFERROR(__xludf.DUMMYFUNCTION("""COMPUTED_VALUE"""),"Y")</f>
        <v>Y</v>
      </c>
      <c r="H656" s="3"/>
      <c r="I656" s="3" t="str">
        <f>IFERROR(__xludf.DUMMYFUNCTION("""COMPUTED_VALUE"""),"Y")</f>
        <v>Y</v>
      </c>
      <c r="J656" s="3" t="str">
        <f>IFERROR(__xludf.DUMMYFUNCTION("""COMPUTED_VALUE"""),"Y")</f>
        <v>Y</v>
      </c>
      <c r="K656" s="3" t="str">
        <f>IFERROR(__xludf.DUMMYFUNCTION("""COMPUTED_VALUE"""),"Y")</f>
        <v>Y</v>
      </c>
      <c r="L656" s="3" t="str">
        <f>IFERROR(__xludf.DUMMYFUNCTION("""COMPUTED_VALUE"""),"Group 1")</f>
        <v>Group 1</v>
      </c>
      <c r="M656" s="3"/>
      <c r="N656" s="5" t="str">
        <f>IFERROR(__xludf.DUMMYFUNCTION("""COMPUTED_VALUE"""),"Y")</f>
        <v>Y</v>
      </c>
      <c r="O656" s="5"/>
    </row>
    <row r="657">
      <c r="A657" s="2" t="str">
        <f>IFERROR(__xludf.DUMMYFUNCTION("""COMPUTED_VALUE"""),"0880")</f>
        <v>0880</v>
      </c>
      <c r="B657" s="2" t="str">
        <f>IFERROR(__xludf.DUMMYFUNCTION("""COMPUTED_VALUE"""),"DENVER COUNTY 1")</f>
        <v>DENVER COUNTY 1</v>
      </c>
      <c r="C657" s="2" t="str">
        <f>IFERROR(__xludf.DUMMYFUNCTION("""COMPUTED_VALUE"""),"09425")</f>
        <v>09425</v>
      </c>
      <c r="D657" s="2" t="str">
        <f>IFERROR(__xludf.DUMMYFUNCTION("""COMPUTED_VALUE"""),"WESTERLY CREEK ELEMENTARY")</f>
        <v>WESTERLY CREEK ELEMENTARY</v>
      </c>
      <c r="E657" s="3" t="str">
        <f>IFERROR(__xludf.DUMMYFUNCTION("""COMPUTED_VALUE"""),"Y")</f>
        <v>Y</v>
      </c>
      <c r="F657" s="3" t="str">
        <f>IFERROR(__xludf.DUMMYFUNCTION("""COMPUTED_VALUE"""),"Y")</f>
        <v>Y</v>
      </c>
      <c r="G657" s="3"/>
      <c r="H657" s="3"/>
      <c r="I657" s="3" t="str">
        <f>IFERROR(__xludf.DUMMYFUNCTION("""COMPUTED_VALUE""")," ")</f>
        <v> </v>
      </c>
      <c r="J657" s="3" t="str">
        <f>IFERROR(__xludf.DUMMYFUNCTION("""COMPUTED_VALUE""")," ")</f>
        <v> </v>
      </c>
      <c r="K657" s="3" t="str">
        <f>IFERROR(__xludf.DUMMYFUNCTION("""COMPUTED_VALUE"""),"Y")</f>
        <v>Y</v>
      </c>
      <c r="L657" s="3" t="str">
        <f>IFERROR(__xludf.DUMMYFUNCTION("""COMPUTED_VALUE"""),"Group 7")</f>
        <v>Group 7</v>
      </c>
      <c r="M657" s="3"/>
      <c r="N657" s="5" t="str">
        <f>IFERROR(__xludf.DUMMYFUNCTION("""COMPUTED_VALUE"""),"Y")</f>
        <v>Y</v>
      </c>
      <c r="O657" s="5"/>
    </row>
    <row r="658">
      <c r="A658" s="2" t="str">
        <f>IFERROR(__xludf.DUMMYFUNCTION("""COMPUTED_VALUE"""),"0880")</f>
        <v>0880</v>
      </c>
      <c r="B658" s="2" t="str">
        <f>IFERROR(__xludf.DUMMYFUNCTION("""COMPUTED_VALUE"""),"DENVER COUNTY 1")</f>
        <v>DENVER COUNTY 1</v>
      </c>
      <c r="C658" s="2" t="str">
        <f>IFERROR(__xludf.DUMMYFUNCTION("""COMPUTED_VALUE"""),"09427")</f>
        <v>09427</v>
      </c>
      <c r="D658" s="2" t="str">
        <f>IFERROR(__xludf.DUMMYFUNCTION("""COMPUTED_VALUE"""),"Woodrow Wilson Charter Academy")</f>
        <v>Woodrow Wilson Charter Academy</v>
      </c>
      <c r="E658" s="3"/>
      <c r="F658" s="3" t="str">
        <f>IFERROR(__xludf.DUMMYFUNCTION("""COMPUTED_VALUE"""),"Y")</f>
        <v>Y</v>
      </c>
      <c r="G658" s="3"/>
      <c r="H658" s="3"/>
      <c r="I658" s="3" t="str">
        <f>IFERROR(__xludf.DUMMYFUNCTION("""COMPUTED_VALUE""")," ")</f>
        <v> </v>
      </c>
      <c r="J658" s="3" t="str">
        <f>IFERROR(__xludf.DUMMYFUNCTION("""COMPUTED_VALUE""")," ")</f>
        <v> </v>
      </c>
      <c r="K658" s="3" t="str">
        <f>IFERROR(__xludf.DUMMYFUNCTION("""COMPUTED_VALUE"""),"Y")</f>
        <v>Y</v>
      </c>
      <c r="L658" s="3" t="str">
        <f>IFERROR(__xludf.DUMMYFUNCTION("""COMPUTED_VALUE""")," ")</f>
        <v> </v>
      </c>
      <c r="M658" s="3"/>
      <c r="N658" s="5" t="str">
        <f>IFERROR(__xludf.DUMMYFUNCTION("""COMPUTED_VALUE""")," ")</f>
        <v> </v>
      </c>
      <c r="O658" s="5"/>
    </row>
    <row r="659">
      <c r="A659" s="2" t="str">
        <f>IFERROR(__xludf.DUMMYFUNCTION("""COMPUTED_VALUE"""),"0880")</f>
        <v>0880</v>
      </c>
      <c r="B659" s="2" t="str">
        <f>IFERROR(__xludf.DUMMYFUNCTION("""COMPUTED_VALUE"""),"DENVER COUNTY 1")</f>
        <v>DENVER COUNTY 1</v>
      </c>
      <c r="C659" s="2" t="str">
        <f>IFERROR(__xludf.DUMMYFUNCTION("""COMPUTED_VALUE"""),"09496")</f>
        <v>09496</v>
      </c>
      <c r="D659" s="2" t="str">
        <f>IFERROR(__xludf.DUMMYFUNCTION("""COMPUTED_VALUE"""),"CASTRO ELEMENTARY SCHOOL")</f>
        <v>CASTRO ELEMENTARY SCHOOL</v>
      </c>
      <c r="E659" s="3" t="str">
        <f>IFERROR(__xludf.DUMMYFUNCTION("""COMPUTED_VALUE"""),"Y")</f>
        <v>Y</v>
      </c>
      <c r="F659" s="3" t="str">
        <f>IFERROR(__xludf.DUMMYFUNCTION("""COMPUTED_VALUE"""),"Y")</f>
        <v>Y</v>
      </c>
      <c r="G659" s="3"/>
      <c r="H659" s="3"/>
      <c r="I659" s="3" t="str">
        <f>IFERROR(__xludf.DUMMYFUNCTION("""COMPUTED_VALUE"""),"Y")</f>
        <v>Y</v>
      </c>
      <c r="J659" s="3" t="str">
        <f>IFERROR(__xludf.DUMMYFUNCTION("""COMPUTED_VALUE"""),"Y")</f>
        <v>Y</v>
      </c>
      <c r="K659" s="3" t="str">
        <f>IFERROR(__xludf.DUMMYFUNCTION("""COMPUTED_VALUE"""),"Y")</f>
        <v>Y</v>
      </c>
      <c r="L659" s="3" t="str">
        <f>IFERROR(__xludf.DUMMYFUNCTION("""COMPUTED_VALUE"""),"Group 28")</f>
        <v>Group 28</v>
      </c>
      <c r="M659" s="3"/>
      <c r="N659" s="5" t="str">
        <f>IFERROR(__xludf.DUMMYFUNCTION("""COMPUTED_VALUE"""),"Y")</f>
        <v>Y</v>
      </c>
      <c r="O659" s="5"/>
    </row>
    <row r="660">
      <c r="A660" s="2" t="str">
        <f>IFERROR(__xludf.DUMMYFUNCTION("""COMPUTED_VALUE"""),"0880")</f>
        <v>0880</v>
      </c>
      <c r="B660" s="2" t="str">
        <f>IFERROR(__xludf.DUMMYFUNCTION("""COMPUTED_VALUE"""),"DENVER COUNTY 1")</f>
        <v>DENVER COUNTY 1</v>
      </c>
      <c r="C660" s="2" t="str">
        <f>IFERROR(__xludf.DUMMYFUNCTION("""COMPUTED_VALUE"""),"09548")</f>
        <v>09548</v>
      </c>
      <c r="D660" s="2" t="str">
        <f>IFERROR(__xludf.DUMMYFUNCTION("""COMPUTED_VALUE"""),"WHITTIER K-8 SCHOOL")</f>
        <v>WHITTIER K-8 SCHOOL</v>
      </c>
      <c r="E660" s="3" t="str">
        <f>IFERROR(__xludf.DUMMYFUNCTION("""COMPUTED_VALUE"""),"Y")</f>
        <v>Y</v>
      </c>
      <c r="F660" s="3" t="str">
        <f>IFERROR(__xludf.DUMMYFUNCTION("""COMPUTED_VALUE"""),"Y")</f>
        <v>Y</v>
      </c>
      <c r="G660" s="3"/>
      <c r="H660" s="3"/>
      <c r="I660" s="3" t="str">
        <f>IFERROR(__xludf.DUMMYFUNCTION("""COMPUTED_VALUE""")," ")</f>
        <v> </v>
      </c>
      <c r="J660" s="3" t="str">
        <f>IFERROR(__xludf.DUMMYFUNCTION("""COMPUTED_VALUE"""),"Y")</f>
        <v>Y</v>
      </c>
      <c r="K660" s="3" t="str">
        <f>IFERROR(__xludf.DUMMYFUNCTION("""COMPUTED_VALUE"""),"Y")</f>
        <v>Y</v>
      </c>
      <c r="L660" s="3" t="str">
        <f>IFERROR(__xludf.DUMMYFUNCTION("""COMPUTED_VALUE"""),"Group 1")</f>
        <v>Group 1</v>
      </c>
      <c r="M660" s="3"/>
      <c r="N660" s="5" t="str">
        <f>IFERROR(__xludf.DUMMYFUNCTION("""COMPUTED_VALUE""")," ")</f>
        <v> </v>
      </c>
      <c r="O660" s="5"/>
    </row>
    <row r="661">
      <c r="A661" s="2" t="str">
        <f>IFERROR(__xludf.DUMMYFUNCTION("""COMPUTED_VALUE"""),"0880")</f>
        <v>0880</v>
      </c>
      <c r="B661" s="2" t="str">
        <f>IFERROR(__xludf.DUMMYFUNCTION("""COMPUTED_VALUE"""),"DENVER COUNTY 1")</f>
        <v>DENVER COUNTY 1</v>
      </c>
      <c r="C661" s="2" t="str">
        <f>IFERROR(__xludf.DUMMYFUNCTION("""COMPUTED_VALUE"""),"09623")</f>
        <v>09623</v>
      </c>
      <c r="D661" s="2" t="str">
        <f>IFERROR(__xludf.DUMMYFUNCTION("""COMPUTED_VALUE"""),"WILLIAM (BILL) ROBERTS K-8 SCHOOL")</f>
        <v>WILLIAM (BILL) ROBERTS K-8 SCHOOL</v>
      </c>
      <c r="E661" s="3" t="str">
        <f>IFERROR(__xludf.DUMMYFUNCTION("""COMPUTED_VALUE"""),"Y")</f>
        <v>Y</v>
      </c>
      <c r="F661" s="3" t="str">
        <f>IFERROR(__xludf.DUMMYFUNCTION("""COMPUTED_VALUE"""),"Y")</f>
        <v>Y</v>
      </c>
      <c r="G661" s="3"/>
      <c r="H661" s="3"/>
      <c r="I661" s="3" t="str">
        <f>IFERROR(__xludf.DUMMYFUNCTION("""COMPUTED_VALUE""")," ")</f>
        <v> </v>
      </c>
      <c r="J661" s="3" t="str">
        <f>IFERROR(__xludf.DUMMYFUNCTION("""COMPUTED_VALUE""")," ")</f>
        <v> </v>
      </c>
      <c r="K661" s="3" t="str">
        <f>IFERROR(__xludf.DUMMYFUNCTION("""COMPUTED_VALUE"""),"Y")</f>
        <v>Y</v>
      </c>
      <c r="L661" s="3" t="str">
        <f>IFERROR(__xludf.DUMMYFUNCTION("""COMPUTED_VALUE"""),"Group 7")</f>
        <v>Group 7</v>
      </c>
      <c r="M661" s="3"/>
      <c r="N661" s="5" t="str">
        <f>IFERROR(__xludf.DUMMYFUNCTION("""COMPUTED_VALUE""")," ")</f>
        <v> </v>
      </c>
      <c r="O661" s="5"/>
    </row>
    <row r="662">
      <c r="A662" s="2" t="str">
        <f>IFERROR(__xludf.DUMMYFUNCTION("""COMPUTED_VALUE"""),"0880")</f>
        <v>0880</v>
      </c>
      <c r="B662" s="2" t="str">
        <f>IFERROR(__xludf.DUMMYFUNCTION("""COMPUTED_VALUE"""),"DENVER COUNTY 1")</f>
        <v>DENVER COUNTY 1</v>
      </c>
      <c r="C662" s="2" t="str">
        <f>IFERROR(__xludf.DUMMYFUNCTION("""COMPUTED_VALUE"""),"09693")</f>
        <v>09693</v>
      </c>
      <c r="D662" s="2" t="str">
        <f>IFERROR(__xludf.DUMMYFUNCTION("""COMPUTED_VALUE"""),"West High School")</f>
        <v>West High School</v>
      </c>
      <c r="E662" s="3" t="str">
        <f>IFERROR(__xludf.DUMMYFUNCTION("""COMPUTED_VALUE"""),"Y")</f>
        <v>Y</v>
      </c>
      <c r="F662" s="3" t="str">
        <f>IFERROR(__xludf.DUMMYFUNCTION("""COMPUTED_VALUE"""),"Y")</f>
        <v>Y</v>
      </c>
      <c r="G662" s="3"/>
      <c r="H662" s="3"/>
      <c r="I662" s="3" t="str">
        <f>IFERROR(__xludf.DUMMYFUNCTION("""COMPUTED_VALUE""")," ")</f>
        <v> </v>
      </c>
      <c r="J662" s="3" t="str">
        <f>IFERROR(__xludf.DUMMYFUNCTION("""COMPUTED_VALUE"""),"Y")</f>
        <v>Y</v>
      </c>
      <c r="K662" s="3" t="str">
        <f>IFERROR(__xludf.DUMMYFUNCTION("""COMPUTED_VALUE"""),"Y")</f>
        <v>Y</v>
      </c>
      <c r="L662" s="3" t="str">
        <f>IFERROR(__xludf.DUMMYFUNCTION("""COMPUTED_VALUE"""),"Group 7")</f>
        <v>Group 7</v>
      </c>
      <c r="M662" s="3"/>
      <c r="N662" s="5" t="str">
        <f>IFERROR(__xludf.DUMMYFUNCTION("""COMPUTED_VALUE""")," ")</f>
        <v> </v>
      </c>
      <c r="O662" s="5"/>
    </row>
    <row r="663">
      <c r="A663" s="2" t="str">
        <f>IFERROR(__xludf.DUMMYFUNCTION("""COMPUTED_VALUE"""),"0880")</f>
        <v>0880</v>
      </c>
      <c r="B663" s="2" t="str">
        <f>IFERROR(__xludf.DUMMYFUNCTION("""COMPUTED_VALUE"""),"DENVER COUNTY 1")</f>
        <v>DENVER COUNTY 1</v>
      </c>
      <c r="C663" s="2" t="str">
        <f>IFERROR(__xludf.DUMMYFUNCTION("""COMPUTED_VALUE"""),"09702")</f>
        <v>09702</v>
      </c>
      <c r="D663" s="2" t="str">
        <f>IFERROR(__xludf.DUMMYFUNCTION("""COMPUTED_VALUE"""),"West Middle School")</f>
        <v>West Middle School</v>
      </c>
      <c r="E663" s="3" t="str">
        <f>IFERROR(__xludf.DUMMYFUNCTION("""COMPUTED_VALUE"""),"Y")</f>
        <v>Y</v>
      </c>
      <c r="F663" s="3" t="str">
        <f>IFERROR(__xludf.DUMMYFUNCTION("""COMPUTED_VALUE"""),"Y")</f>
        <v>Y</v>
      </c>
      <c r="G663" s="3"/>
      <c r="H663" s="3"/>
      <c r="I663" s="3" t="str">
        <f>IFERROR(__xludf.DUMMYFUNCTION("""COMPUTED_VALUE""")," ")</f>
        <v> </v>
      </c>
      <c r="J663" s="3" t="str">
        <f>IFERROR(__xludf.DUMMYFUNCTION("""COMPUTED_VALUE"""),"Y")</f>
        <v>Y</v>
      </c>
      <c r="K663" s="3" t="str">
        <f>IFERROR(__xludf.DUMMYFUNCTION("""COMPUTED_VALUE"""),"Y")</f>
        <v>Y</v>
      </c>
      <c r="L663" s="3" t="str">
        <f>IFERROR(__xludf.DUMMYFUNCTION("""COMPUTED_VALUE"""),"Group 28")</f>
        <v>Group 28</v>
      </c>
      <c r="M663" s="3"/>
      <c r="N663" s="5" t="str">
        <f>IFERROR(__xludf.DUMMYFUNCTION("""COMPUTED_VALUE""")," ")</f>
        <v> </v>
      </c>
      <c r="O663" s="5"/>
    </row>
    <row r="664">
      <c r="A664" s="2" t="str">
        <f>IFERROR(__xludf.DUMMYFUNCTION("""COMPUTED_VALUE"""),"0880")</f>
        <v>0880</v>
      </c>
      <c r="B664" s="2" t="str">
        <f>IFERROR(__xludf.DUMMYFUNCTION("""COMPUTED_VALUE"""),"DENVER COUNTY 1")</f>
        <v>DENVER COUNTY 1</v>
      </c>
      <c r="C664" s="2" t="str">
        <f>IFERROR(__xludf.DUMMYFUNCTION("""COMPUTED_VALUE"""),"09730")</f>
        <v>09730</v>
      </c>
      <c r="D664" s="2" t="str">
        <f>IFERROR(__xludf.DUMMYFUNCTION("""COMPUTED_VALUE"""),"Rocky Mountain Prep Green Valley Ranch")</f>
        <v>Rocky Mountain Prep Green Valley Ranch</v>
      </c>
      <c r="E664" s="3" t="str">
        <f>IFERROR(__xludf.DUMMYFUNCTION("""COMPUTED_VALUE"""),"Y")</f>
        <v>Y</v>
      </c>
      <c r="F664" s="3" t="str">
        <f>IFERROR(__xludf.DUMMYFUNCTION("""COMPUTED_VALUE"""),"Y")</f>
        <v>Y</v>
      </c>
      <c r="G664" s="3"/>
      <c r="H664" s="3"/>
      <c r="I664" s="3" t="str">
        <f>IFERROR(__xludf.DUMMYFUNCTION("""COMPUTED_VALUE""")," ")</f>
        <v> </v>
      </c>
      <c r="J664" s="3" t="str">
        <f>IFERROR(__xludf.DUMMYFUNCTION("""COMPUTED_VALUE"""),"Y")</f>
        <v>Y</v>
      </c>
      <c r="K664" s="3" t="str">
        <f>IFERROR(__xludf.DUMMYFUNCTION("""COMPUTED_VALUE"""),"Y")</f>
        <v>Y</v>
      </c>
      <c r="L664" s="3" t="str">
        <f>IFERROR(__xludf.DUMMYFUNCTION("""COMPUTED_VALUE"""),"Group 1")</f>
        <v>Group 1</v>
      </c>
      <c r="M664" s="3"/>
      <c r="N664" s="5" t="str">
        <f>IFERROR(__xludf.DUMMYFUNCTION("""COMPUTED_VALUE""")," ")</f>
        <v> </v>
      </c>
      <c r="O664" s="5"/>
    </row>
    <row r="665">
      <c r="A665" s="2" t="str">
        <f>IFERROR(__xludf.DUMMYFUNCTION("""COMPUTED_VALUE"""),"0880")</f>
        <v>0880</v>
      </c>
      <c r="B665" s="2" t="str">
        <f>IFERROR(__xludf.DUMMYFUNCTION("""COMPUTED_VALUE"""),"DENVER COUNTY 1")</f>
        <v>DENVER COUNTY 1</v>
      </c>
      <c r="C665" s="2" t="str">
        <f>IFERROR(__xludf.DUMMYFUNCTION("""COMPUTED_VALUE"""),"09735")</f>
        <v>09735</v>
      </c>
      <c r="D665" s="2" t="str">
        <f>IFERROR(__xludf.DUMMYFUNCTION("""COMPUTED_VALUE"""),"Rocky Mountain Prep Noel")</f>
        <v>Rocky Mountain Prep Noel</v>
      </c>
      <c r="E665" s="3" t="str">
        <f>IFERROR(__xludf.DUMMYFUNCTION("""COMPUTED_VALUE"""),"Y")</f>
        <v>Y</v>
      </c>
      <c r="F665" s="3" t="str">
        <f>IFERROR(__xludf.DUMMYFUNCTION("""COMPUTED_VALUE"""),"Y")</f>
        <v>Y</v>
      </c>
      <c r="G665" s="3"/>
      <c r="H665" s="3"/>
      <c r="I665" s="3" t="str">
        <f>IFERROR(__xludf.DUMMYFUNCTION("""COMPUTED_VALUE""")," ")</f>
        <v> </v>
      </c>
      <c r="J665" s="3" t="str">
        <f>IFERROR(__xludf.DUMMYFUNCTION("""COMPUTED_VALUE"""),"Y")</f>
        <v>Y</v>
      </c>
      <c r="K665" s="3" t="str">
        <f>IFERROR(__xludf.DUMMYFUNCTION("""COMPUTED_VALUE"""),"Y")</f>
        <v>Y</v>
      </c>
      <c r="L665" s="3" t="str">
        <f>IFERROR(__xludf.DUMMYFUNCTION("""COMPUTED_VALUE"""),"Group 28")</f>
        <v>Group 28</v>
      </c>
      <c r="M665" s="3"/>
      <c r="N665" s="5" t="str">
        <f>IFERROR(__xludf.DUMMYFUNCTION("""COMPUTED_VALUE""")," ")</f>
        <v> </v>
      </c>
      <c r="O665" s="5"/>
    </row>
    <row r="666">
      <c r="A666" s="2" t="str">
        <f>IFERROR(__xludf.DUMMYFUNCTION("""COMPUTED_VALUE"""),"0880")</f>
        <v>0880</v>
      </c>
      <c r="B666" s="2" t="str">
        <f>IFERROR(__xludf.DUMMYFUNCTION("""COMPUTED_VALUE"""),"DENVER COUNTY 1")</f>
        <v>DENVER COUNTY 1</v>
      </c>
      <c r="C666" s="2" t="str">
        <f>IFERROR(__xludf.DUMMYFUNCTION("""COMPUTED_VALUE"""),"09739")</f>
        <v>09739</v>
      </c>
      <c r="D666" s="2" t="str">
        <f>IFERROR(__xludf.DUMMYFUNCTION("""COMPUTED_VALUE"""),"WYATT ACADEMY")</f>
        <v>WYATT ACADEMY</v>
      </c>
      <c r="E666" s="3" t="str">
        <f>IFERROR(__xludf.DUMMYFUNCTION("""COMPUTED_VALUE"""),"Y")</f>
        <v>Y</v>
      </c>
      <c r="F666" s="3" t="str">
        <f>IFERROR(__xludf.DUMMYFUNCTION("""COMPUTED_VALUE"""),"Y")</f>
        <v>Y</v>
      </c>
      <c r="G666" s="3" t="str">
        <f>IFERROR(__xludf.DUMMYFUNCTION("""COMPUTED_VALUE"""),"Y")</f>
        <v>Y</v>
      </c>
      <c r="H666" s="3"/>
      <c r="I666" s="3" t="str">
        <f>IFERROR(__xludf.DUMMYFUNCTION("""COMPUTED_VALUE"""),"Y")</f>
        <v>Y</v>
      </c>
      <c r="J666" s="3" t="str">
        <f>IFERROR(__xludf.DUMMYFUNCTION("""COMPUTED_VALUE"""),"Y")</f>
        <v>Y</v>
      </c>
      <c r="K666" s="3" t="str">
        <f>IFERROR(__xludf.DUMMYFUNCTION("""COMPUTED_VALUE"""),"Y")</f>
        <v>Y</v>
      </c>
      <c r="L666" s="3" t="str">
        <f>IFERROR(__xludf.DUMMYFUNCTION("""COMPUTED_VALUE"""),"Group 6")</f>
        <v>Group 6</v>
      </c>
      <c r="M666" s="3"/>
      <c r="N666" s="5" t="str">
        <f>IFERROR(__xludf.DUMMYFUNCTION("""COMPUTED_VALUE"""),"Y")</f>
        <v>Y</v>
      </c>
      <c r="O666" s="5"/>
    </row>
    <row r="667">
      <c r="A667" s="2" t="str">
        <f>IFERROR(__xludf.DUMMYFUNCTION("""COMPUTED_VALUE"""),"0880")</f>
        <v>0880</v>
      </c>
      <c r="B667" s="2" t="str">
        <f>IFERROR(__xludf.DUMMYFUNCTION("""COMPUTED_VALUE"""),"DENVER COUNTY 1")</f>
        <v>DENVER COUNTY 1</v>
      </c>
      <c r="C667" s="2" t="str">
        <f>IFERROR(__xludf.DUMMYFUNCTION("""COMPUTED_VALUE"""),"91721")</f>
        <v>91721</v>
      </c>
      <c r="D667" s="2" t="str">
        <f>IFERROR(__xludf.DUMMYFUNCTION("""COMPUTED_VALUE"""),"CEC Preschool")</f>
        <v>CEC Preschool</v>
      </c>
      <c r="E667" s="3" t="str">
        <f>IFERROR(__xludf.DUMMYFUNCTION("""COMPUTED_VALUE"""),"Y")</f>
        <v>Y</v>
      </c>
      <c r="F667" s="3" t="str">
        <f>IFERROR(__xludf.DUMMYFUNCTION("""COMPUTED_VALUE"""),"Y")</f>
        <v>Y</v>
      </c>
      <c r="G667" s="3"/>
      <c r="H667" s="3"/>
      <c r="I667" s="3" t="str">
        <f>IFERROR(__xludf.DUMMYFUNCTION("""COMPUTED_VALUE""")," ")</f>
        <v> </v>
      </c>
      <c r="J667" s="3" t="str">
        <f>IFERROR(__xludf.DUMMYFUNCTION("""COMPUTED_VALUE""")," ")</f>
        <v> </v>
      </c>
      <c r="K667" s="3" t="str">
        <f>IFERROR(__xludf.DUMMYFUNCTION("""COMPUTED_VALUE"""),"Y")</f>
        <v>Y</v>
      </c>
      <c r="L667" s="3" t="str">
        <f>IFERROR(__xludf.DUMMYFUNCTION("""COMPUTED_VALUE""")," ")</f>
        <v> </v>
      </c>
      <c r="M667" s="3"/>
      <c r="N667" s="5" t="str">
        <f>IFERROR(__xludf.DUMMYFUNCTION("""COMPUTED_VALUE""")," ")</f>
        <v> </v>
      </c>
      <c r="O667" s="5"/>
    </row>
    <row r="668">
      <c r="A668" s="2" t="str">
        <f>IFERROR(__xludf.DUMMYFUNCTION("""COMPUTED_VALUE"""),"0890")</f>
        <v>0890</v>
      </c>
      <c r="B668" s="2" t="str">
        <f>IFERROR(__xludf.DUMMYFUNCTION("""COMPUTED_VALUE"""),"DOLORES COUNTY      RE NO.2")</f>
        <v>DOLORES COUNTY      RE NO.2</v>
      </c>
      <c r="C668" s="2" t="str">
        <f>IFERROR(__xludf.DUMMYFUNCTION("""COMPUTED_VALUE"""),"02216")</f>
        <v>02216</v>
      </c>
      <c r="D668" s="2" t="str">
        <f>IFERROR(__xludf.DUMMYFUNCTION("""COMPUTED_VALUE"""),"DOVE CREEK HIGH SCHOOL")</f>
        <v>DOVE CREEK HIGH SCHOOL</v>
      </c>
      <c r="E668" s="3" t="str">
        <f>IFERROR(__xludf.DUMMYFUNCTION("""COMPUTED_VALUE"""),"Y")</f>
        <v>Y</v>
      </c>
      <c r="F668" s="3" t="str">
        <f>IFERROR(__xludf.DUMMYFUNCTION("""COMPUTED_VALUE"""),"Y")</f>
        <v>Y</v>
      </c>
      <c r="G668" s="3"/>
      <c r="H668" s="3"/>
      <c r="I668" s="3" t="str">
        <f>IFERROR(__xludf.DUMMYFUNCTION("""COMPUTED_VALUE""")," ")</f>
        <v> </v>
      </c>
      <c r="J668" s="3" t="str">
        <f>IFERROR(__xludf.DUMMYFUNCTION("""COMPUTED_VALUE""")," ")</f>
        <v> </v>
      </c>
      <c r="K668" s="3" t="str">
        <f>IFERROR(__xludf.DUMMYFUNCTION("""COMPUTED_VALUE"""),"Y")</f>
        <v>Y</v>
      </c>
      <c r="L668" s="3" t="str">
        <f>IFERROR(__xludf.DUMMYFUNCTION("""COMPUTED_VALUE"""),"Group 1")</f>
        <v>Group 1</v>
      </c>
      <c r="M668" s="3"/>
      <c r="N668" s="5" t="str">
        <f>IFERROR(__xludf.DUMMYFUNCTION("""COMPUTED_VALUE""")," ")</f>
        <v> </v>
      </c>
      <c r="O668" s="5"/>
    </row>
    <row r="669">
      <c r="A669" s="2" t="str">
        <f>IFERROR(__xludf.DUMMYFUNCTION("""COMPUTED_VALUE"""),"0890")</f>
        <v>0890</v>
      </c>
      <c r="B669" s="2" t="str">
        <f>IFERROR(__xludf.DUMMYFUNCTION("""COMPUTED_VALUE"""),"DOLORES COUNTY      RE NO.2")</f>
        <v>DOLORES COUNTY      RE NO.2</v>
      </c>
      <c r="C669" s="2" t="str">
        <f>IFERROR(__xludf.DUMMYFUNCTION("""COMPUTED_VALUE"""),"07764")</f>
        <v>07764</v>
      </c>
      <c r="D669" s="2" t="str">
        <f>IFERROR(__xludf.DUMMYFUNCTION("""COMPUTED_VALUE"""),"DOVE CREEK ELEMENTARY SCHOOL")</f>
        <v>DOVE CREEK ELEMENTARY SCHOOL</v>
      </c>
      <c r="E669" s="3" t="str">
        <f>IFERROR(__xludf.DUMMYFUNCTION("""COMPUTED_VALUE"""),"Y")</f>
        <v>Y</v>
      </c>
      <c r="F669" s="3" t="str">
        <f>IFERROR(__xludf.DUMMYFUNCTION("""COMPUTED_VALUE"""),"Y")</f>
        <v>Y</v>
      </c>
      <c r="G669" s="3"/>
      <c r="H669" s="3"/>
      <c r="I669" s="3" t="str">
        <f>IFERROR(__xludf.DUMMYFUNCTION("""COMPUTED_VALUE"""),"Y")</f>
        <v>Y</v>
      </c>
      <c r="J669" s="3" t="str">
        <f>IFERROR(__xludf.DUMMYFUNCTION("""COMPUTED_VALUE""")," ")</f>
        <v> </v>
      </c>
      <c r="K669" s="3" t="str">
        <f>IFERROR(__xludf.DUMMYFUNCTION("""COMPUTED_VALUE"""),"Y")</f>
        <v>Y</v>
      </c>
      <c r="L669" s="3" t="str">
        <f>IFERROR(__xludf.DUMMYFUNCTION("""COMPUTED_VALUE"""),"Group 2")</f>
        <v>Group 2</v>
      </c>
      <c r="M669" s="3"/>
      <c r="N669" s="5" t="str">
        <f>IFERROR(__xludf.DUMMYFUNCTION("""COMPUTED_VALUE""")," ")</f>
        <v> </v>
      </c>
      <c r="O669" s="5"/>
    </row>
    <row r="670">
      <c r="A670" s="2" t="str">
        <f>IFERROR(__xludf.DUMMYFUNCTION("""COMPUTED_VALUE"""),"0900")</f>
        <v>0900</v>
      </c>
      <c r="B670" s="2" t="str">
        <f>IFERROR(__xludf.DUMMYFUNCTION("""COMPUTED_VALUE"""),"DOUGLAS COUNTY      RE 1")</f>
        <v>DOUGLAS COUNTY      RE 1</v>
      </c>
      <c r="C670" s="2" t="str">
        <f>IFERROR(__xludf.DUMMYFUNCTION("""COMPUTED_VALUE"""),"00011")</f>
        <v>00011</v>
      </c>
      <c r="D670" s="2" t="str">
        <f>IFERROR(__xludf.DUMMYFUNCTION("""COMPUTED_VALUE"""),"ACADEMY CHARTER SCHOOL")</f>
        <v>ACADEMY CHARTER SCHOOL</v>
      </c>
      <c r="E670" s="3"/>
      <c r="F670" s="3" t="str">
        <f>IFERROR(__xludf.DUMMYFUNCTION("""COMPUTED_VALUE"""),"Y")</f>
        <v>Y</v>
      </c>
      <c r="G670" s="3"/>
      <c r="H670" s="3"/>
      <c r="I670" s="3" t="str">
        <f>IFERROR(__xludf.DUMMYFUNCTION("""COMPUTED_VALUE""")," ")</f>
        <v> </v>
      </c>
      <c r="J670" s="3" t="str">
        <f>IFERROR(__xludf.DUMMYFUNCTION("""COMPUTED_VALUE""")," ")</f>
        <v> </v>
      </c>
      <c r="K670" s="3" t="str">
        <f>IFERROR(__xludf.DUMMYFUNCTION("""COMPUTED_VALUE"""),"Y")</f>
        <v>Y</v>
      </c>
      <c r="L670" s="3" t="str">
        <f>IFERROR(__xludf.DUMMYFUNCTION("""COMPUTED_VALUE""")," ")</f>
        <v> </v>
      </c>
      <c r="M670" s="3"/>
      <c r="N670" s="5" t="str">
        <f>IFERROR(__xludf.DUMMYFUNCTION("""COMPUTED_VALUE""")," ")</f>
        <v> </v>
      </c>
      <c r="O670" s="5"/>
    </row>
    <row r="671">
      <c r="A671" s="2" t="str">
        <f>IFERROR(__xludf.DUMMYFUNCTION("""COMPUTED_VALUE"""),"0900")</f>
        <v>0900</v>
      </c>
      <c r="B671" s="2" t="str">
        <f>IFERROR(__xludf.DUMMYFUNCTION("""COMPUTED_VALUE"""),"DOUGLAS COUNTY      RE 1")</f>
        <v>DOUGLAS COUNTY      RE 1</v>
      </c>
      <c r="C671" s="2" t="str">
        <f>IFERROR(__xludf.DUMMYFUNCTION("""COMPUTED_VALUE"""),"00012")</f>
        <v>00012</v>
      </c>
      <c r="D671" s="2" t="str">
        <f>IFERROR(__xludf.DUMMYFUNCTION("""COMPUTED_VALUE"""),"ACRES GREEN ELEMENTARY SCHOOL")</f>
        <v>ACRES GREEN ELEMENTARY SCHOOL</v>
      </c>
      <c r="E671" s="3" t="str">
        <f>IFERROR(__xludf.DUMMYFUNCTION("""COMPUTED_VALUE"""),"Y")</f>
        <v>Y</v>
      </c>
      <c r="F671" s="3" t="str">
        <f>IFERROR(__xludf.DUMMYFUNCTION("""COMPUTED_VALUE"""),"Y")</f>
        <v>Y</v>
      </c>
      <c r="G671" s="3"/>
      <c r="H671" s="3"/>
      <c r="I671" s="3" t="str">
        <f>IFERROR(__xludf.DUMMYFUNCTION("""COMPUTED_VALUE""")," ")</f>
        <v> </v>
      </c>
      <c r="J671" s="3" t="str">
        <f>IFERROR(__xludf.DUMMYFUNCTION("""COMPUTED_VALUE""")," ")</f>
        <v> </v>
      </c>
      <c r="K671" s="3" t="str">
        <f>IFERROR(__xludf.DUMMYFUNCTION("""COMPUTED_VALUE"""),"Y")</f>
        <v>Y</v>
      </c>
      <c r="L671" s="3" t="str">
        <f>IFERROR(__xludf.DUMMYFUNCTION("""COMPUTED_VALUE"""),"Group 2")</f>
        <v>Group 2</v>
      </c>
      <c r="M671" s="3"/>
      <c r="N671" s="5" t="str">
        <f>IFERROR(__xludf.DUMMYFUNCTION("""COMPUTED_VALUE""")," ")</f>
        <v> </v>
      </c>
      <c r="O671" s="5"/>
    </row>
    <row r="672">
      <c r="A672" s="2" t="str">
        <f>IFERROR(__xludf.DUMMYFUNCTION("""COMPUTED_VALUE"""),"0900")</f>
        <v>0900</v>
      </c>
      <c r="B672" s="2" t="str">
        <f>IFERROR(__xludf.DUMMYFUNCTION("""COMPUTED_VALUE"""),"DOUGLAS COUNTY      RE 1")</f>
        <v>DOUGLAS COUNTY      RE 1</v>
      </c>
      <c r="C672" s="2" t="str">
        <f>IFERROR(__xludf.DUMMYFUNCTION("""COMPUTED_VALUE"""),"00135")</f>
        <v>00135</v>
      </c>
      <c r="D672" s="2" t="str">
        <f>IFERROR(__xludf.DUMMYFUNCTION("""COMPUTED_VALUE"""),"Ben Franklin Academy")</f>
        <v>Ben Franklin Academy</v>
      </c>
      <c r="E672" s="3"/>
      <c r="F672" s="3" t="str">
        <f>IFERROR(__xludf.DUMMYFUNCTION("""COMPUTED_VALUE"""),"Y")</f>
        <v>Y</v>
      </c>
      <c r="G672" s="3"/>
      <c r="H672" s="3"/>
      <c r="I672" s="3" t="str">
        <f>IFERROR(__xludf.DUMMYFUNCTION("""COMPUTED_VALUE""")," ")</f>
        <v> </v>
      </c>
      <c r="J672" s="3" t="str">
        <f>IFERROR(__xludf.DUMMYFUNCTION("""COMPUTED_VALUE""")," ")</f>
        <v> </v>
      </c>
      <c r="K672" s="3" t="str">
        <f>IFERROR(__xludf.DUMMYFUNCTION("""COMPUTED_VALUE"""),"Y")</f>
        <v>Y</v>
      </c>
      <c r="L672" s="3" t="str">
        <f>IFERROR(__xludf.DUMMYFUNCTION("""COMPUTED_VALUE""")," ")</f>
        <v> </v>
      </c>
      <c r="M672" s="3"/>
      <c r="N672" s="5" t="str">
        <f>IFERROR(__xludf.DUMMYFUNCTION("""COMPUTED_VALUE""")," ")</f>
        <v> </v>
      </c>
      <c r="O672" s="5"/>
    </row>
    <row r="673">
      <c r="A673" s="2" t="str">
        <f>IFERROR(__xludf.DUMMYFUNCTION("""COMPUTED_VALUE"""),"0900")</f>
        <v>0900</v>
      </c>
      <c r="B673" s="2" t="str">
        <f>IFERROR(__xludf.DUMMYFUNCTION("""COMPUTED_VALUE"""),"DOUGLAS COUNTY      RE 1")</f>
        <v>DOUGLAS COUNTY      RE 1</v>
      </c>
      <c r="C673" s="2" t="str">
        <f>IFERROR(__xludf.DUMMYFUNCTION("""COMPUTED_VALUE"""),"00201")</f>
        <v>00201</v>
      </c>
      <c r="D673" s="2" t="str">
        <f>IFERROR(__xludf.DUMMYFUNCTION("""COMPUTED_VALUE"""),"Daniel C Oaks High School")</f>
        <v>Daniel C Oaks High School</v>
      </c>
      <c r="E673" s="3" t="str">
        <f>IFERROR(__xludf.DUMMYFUNCTION("""COMPUTED_VALUE"""),"Y")</f>
        <v>Y</v>
      </c>
      <c r="F673" s="3" t="str">
        <f>IFERROR(__xludf.DUMMYFUNCTION("""COMPUTED_VALUE"""),"Y")</f>
        <v>Y</v>
      </c>
      <c r="G673" s="3"/>
      <c r="H673" s="3"/>
      <c r="I673" s="3" t="str">
        <f>IFERROR(__xludf.DUMMYFUNCTION("""COMPUTED_VALUE""")," ")</f>
        <v> </v>
      </c>
      <c r="J673" s="3" t="str">
        <f>IFERROR(__xludf.DUMMYFUNCTION("""COMPUTED_VALUE""")," ")</f>
        <v> </v>
      </c>
      <c r="K673" s="3" t="str">
        <f>IFERROR(__xludf.DUMMYFUNCTION("""COMPUTED_VALUE"""),"Y")</f>
        <v>Y</v>
      </c>
      <c r="L673" s="3" t="str">
        <f>IFERROR(__xludf.DUMMYFUNCTION("""COMPUTED_VALUE"""),"Group 1")</f>
        <v>Group 1</v>
      </c>
      <c r="M673" s="3"/>
      <c r="N673" s="5" t="str">
        <f>IFERROR(__xludf.DUMMYFUNCTION("""COMPUTED_VALUE""")," ")</f>
        <v> </v>
      </c>
      <c r="O673" s="5"/>
    </row>
    <row r="674">
      <c r="A674" s="2" t="str">
        <f>IFERROR(__xludf.DUMMYFUNCTION("""COMPUTED_VALUE"""),"0900")</f>
        <v>0900</v>
      </c>
      <c r="B674" s="2" t="str">
        <f>IFERROR(__xludf.DUMMYFUNCTION("""COMPUTED_VALUE"""),"DOUGLAS COUNTY      RE 1")</f>
        <v>DOUGLAS COUNTY      RE 1</v>
      </c>
      <c r="C674" s="2" t="str">
        <f>IFERROR(__xludf.DUMMYFUNCTION("""COMPUTED_VALUE"""),"00215")</f>
        <v>00215</v>
      </c>
      <c r="D674" s="2" t="str">
        <f>IFERROR(__xludf.DUMMYFUNCTION("""COMPUTED_VALUE"""),"AMERICAN ACADEMY")</f>
        <v>AMERICAN ACADEMY</v>
      </c>
      <c r="E674" s="3"/>
      <c r="F674" s="3" t="str">
        <f>IFERROR(__xludf.DUMMYFUNCTION("""COMPUTED_VALUE"""),"Y")</f>
        <v>Y</v>
      </c>
      <c r="G674" s="3"/>
      <c r="H674" s="3"/>
      <c r="I674" s="3" t="str">
        <f>IFERROR(__xludf.DUMMYFUNCTION("""COMPUTED_VALUE""")," ")</f>
        <v> </v>
      </c>
      <c r="J674" s="3" t="str">
        <f>IFERROR(__xludf.DUMMYFUNCTION("""COMPUTED_VALUE""")," ")</f>
        <v> </v>
      </c>
      <c r="K674" s="3" t="str">
        <f>IFERROR(__xludf.DUMMYFUNCTION("""COMPUTED_VALUE"""),"Y")</f>
        <v>Y</v>
      </c>
      <c r="L674" s="3" t="str">
        <f>IFERROR(__xludf.DUMMYFUNCTION("""COMPUTED_VALUE""")," ")</f>
        <v> </v>
      </c>
      <c r="M674" s="3"/>
      <c r="N674" s="5" t="str">
        <f>IFERROR(__xludf.DUMMYFUNCTION("""COMPUTED_VALUE""")," ")</f>
        <v> </v>
      </c>
      <c r="O674" s="5"/>
    </row>
    <row r="675">
      <c r="A675" s="2" t="str">
        <f>IFERROR(__xludf.DUMMYFUNCTION("""COMPUTED_VALUE"""),"0900")</f>
        <v>0900</v>
      </c>
      <c r="B675" s="2" t="str">
        <f>IFERROR(__xludf.DUMMYFUNCTION("""COMPUTED_VALUE"""),"DOUGLAS COUNTY      RE 1")</f>
        <v>DOUGLAS COUNTY      RE 1</v>
      </c>
      <c r="C675" s="2" t="str">
        <f>IFERROR(__xludf.DUMMYFUNCTION("""COMPUTED_VALUE"""),"00264")</f>
        <v>00264</v>
      </c>
      <c r="D675" s="2" t="str">
        <f>IFERROR(__xludf.DUMMYFUNCTION("""COMPUTED_VALUE"""),"CIMARRON MIDDLE")</f>
        <v>CIMARRON MIDDLE</v>
      </c>
      <c r="E675" s="3" t="str">
        <f>IFERROR(__xludf.DUMMYFUNCTION("""COMPUTED_VALUE"""),"Y")</f>
        <v>Y</v>
      </c>
      <c r="F675" s="3" t="str">
        <f>IFERROR(__xludf.DUMMYFUNCTION("""COMPUTED_VALUE"""),"Y")</f>
        <v>Y</v>
      </c>
      <c r="G675" s="3"/>
      <c r="H675" s="3"/>
      <c r="I675" s="3" t="str">
        <f>IFERROR(__xludf.DUMMYFUNCTION("""COMPUTED_VALUE""")," ")</f>
        <v> </v>
      </c>
      <c r="J675" s="3" t="str">
        <f>IFERROR(__xludf.DUMMYFUNCTION("""COMPUTED_VALUE""")," ")</f>
        <v> </v>
      </c>
      <c r="K675" s="3" t="str">
        <f>IFERROR(__xludf.DUMMYFUNCTION("""COMPUTED_VALUE"""),"Y")</f>
        <v>Y</v>
      </c>
      <c r="L675" s="3" t="str">
        <f>IFERROR(__xludf.DUMMYFUNCTION("""COMPUTED_VALUE""")," ")</f>
        <v> </v>
      </c>
      <c r="M675" s="3"/>
      <c r="N675" s="5" t="str">
        <f>IFERROR(__xludf.DUMMYFUNCTION("""COMPUTED_VALUE""")," ")</f>
        <v> </v>
      </c>
      <c r="O675" s="5"/>
    </row>
    <row r="676">
      <c r="A676" s="2" t="str">
        <f>IFERROR(__xludf.DUMMYFUNCTION("""COMPUTED_VALUE"""),"0900")</f>
        <v>0900</v>
      </c>
      <c r="B676" s="2" t="str">
        <f>IFERROR(__xludf.DUMMYFUNCTION("""COMPUTED_VALUE"""),"DOUGLAS COUNTY      RE 1")</f>
        <v>DOUGLAS COUNTY      RE 1</v>
      </c>
      <c r="C676" s="2" t="str">
        <f>IFERROR(__xludf.DUMMYFUNCTION("""COMPUTED_VALUE"""),"00265")</f>
        <v>00265</v>
      </c>
      <c r="D676" s="2" t="str">
        <f>IFERROR(__xludf.DUMMYFUNCTION("""COMPUTED_VALUE"""),"CLEAR SKY ELEMENTARY")</f>
        <v>CLEAR SKY ELEMENTARY</v>
      </c>
      <c r="E676" s="3" t="str">
        <f>IFERROR(__xludf.DUMMYFUNCTION("""COMPUTED_VALUE"""),"Y")</f>
        <v>Y</v>
      </c>
      <c r="F676" s="3" t="str">
        <f>IFERROR(__xludf.DUMMYFUNCTION("""COMPUTED_VALUE"""),"Y")</f>
        <v>Y</v>
      </c>
      <c r="G676" s="3"/>
      <c r="H676" s="3"/>
      <c r="I676" s="3" t="str">
        <f>IFERROR(__xludf.DUMMYFUNCTION("""COMPUTED_VALUE""")," ")</f>
        <v> </v>
      </c>
      <c r="J676" s="3" t="str">
        <f>IFERROR(__xludf.DUMMYFUNCTION("""COMPUTED_VALUE""")," ")</f>
        <v> </v>
      </c>
      <c r="K676" s="3" t="str">
        <f>IFERROR(__xludf.DUMMYFUNCTION("""COMPUTED_VALUE"""),"Y")</f>
        <v>Y</v>
      </c>
      <c r="L676" s="3" t="str">
        <f>IFERROR(__xludf.DUMMYFUNCTION("""COMPUTED_VALUE""")," ")</f>
        <v> </v>
      </c>
      <c r="M676" s="3"/>
      <c r="N676" s="5" t="str">
        <f>IFERROR(__xludf.DUMMYFUNCTION("""COMPUTED_VALUE""")," ")</f>
        <v> </v>
      </c>
      <c r="O676" s="5"/>
    </row>
    <row r="677">
      <c r="A677" s="2" t="str">
        <f>IFERROR(__xludf.DUMMYFUNCTION("""COMPUTED_VALUE"""),"0900")</f>
        <v>0900</v>
      </c>
      <c r="B677" s="2" t="str">
        <f>IFERROR(__xludf.DUMMYFUNCTION("""COMPUTED_VALUE"""),"DOUGLAS COUNTY      RE 1")</f>
        <v>DOUGLAS COUNTY      RE 1</v>
      </c>
      <c r="C677" s="2" t="str">
        <f>IFERROR(__xludf.DUMMYFUNCTION("""COMPUTED_VALUE"""),"00266")</f>
        <v>00266</v>
      </c>
      <c r="D677" s="2" t="str">
        <f>IFERROR(__xludf.DUMMYFUNCTION("""COMPUTED_VALUE"""),"GOLD RUSH ELEMENTARY")</f>
        <v>GOLD RUSH ELEMENTARY</v>
      </c>
      <c r="E677" s="3" t="str">
        <f>IFERROR(__xludf.DUMMYFUNCTION("""COMPUTED_VALUE"""),"Y")</f>
        <v>Y</v>
      </c>
      <c r="F677" s="3" t="str">
        <f>IFERROR(__xludf.DUMMYFUNCTION("""COMPUTED_VALUE"""),"Y")</f>
        <v>Y</v>
      </c>
      <c r="G677" s="3"/>
      <c r="H677" s="3"/>
      <c r="I677" s="3" t="str">
        <f>IFERROR(__xludf.DUMMYFUNCTION("""COMPUTED_VALUE""")," ")</f>
        <v> </v>
      </c>
      <c r="J677" s="3" t="str">
        <f>IFERROR(__xludf.DUMMYFUNCTION("""COMPUTED_VALUE""")," ")</f>
        <v> </v>
      </c>
      <c r="K677" s="3" t="str">
        <f>IFERROR(__xludf.DUMMYFUNCTION("""COMPUTED_VALUE"""),"Y")</f>
        <v>Y</v>
      </c>
      <c r="L677" s="3" t="str">
        <f>IFERROR(__xludf.DUMMYFUNCTION("""COMPUTED_VALUE""")," ")</f>
        <v> </v>
      </c>
      <c r="M677" s="3"/>
      <c r="N677" s="5" t="str">
        <f>IFERROR(__xludf.DUMMYFUNCTION("""COMPUTED_VALUE""")," ")</f>
        <v> </v>
      </c>
      <c r="O677" s="5"/>
    </row>
    <row r="678">
      <c r="A678" s="2" t="str">
        <f>IFERROR(__xludf.DUMMYFUNCTION("""COMPUTED_VALUE"""),"0900")</f>
        <v>0900</v>
      </c>
      <c r="B678" s="2" t="str">
        <f>IFERROR(__xludf.DUMMYFUNCTION("""COMPUTED_VALUE"""),"DOUGLAS COUNTY      RE 1")</f>
        <v>DOUGLAS COUNTY      RE 1</v>
      </c>
      <c r="C678" s="2" t="str">
        <f>IFERROR(__xludf.DUMMYFUNCTION("""COMPUTED_VALUE"""),"00267")</f>
        <v>00267</v>
      </c>
      <c r="D678" s="2" t="str">
        <f>IFERROR(__xludf.DUMMYFUNCTION("""COMPUTED_VALUE"""),"MESA MIDDLE SCHOOL")</f>
        <v>MESA MIDDLE SCHOOL</v>
      </c>
      <c r="E678" s="3" t="str">
        <f>IFERROR(__xludf.DUMMYFUNCTION("""COMPUTED_VALUE"""),"Y")</f>
        <v>Y</v>
      </c>
      <c r="F678" s="3" t="str">
        <f>IFERROR(__xludf.DUMMYFUNCTION("""COMPUTED_VALUE"""),"Y")</f>
        <v>Y</v>
      </c>
      <c r="G678" s="3"/>
      <c r="H678" s="3"/>
      <c r="I678" s="3" t="str">
        <f>IFERROR(__xludf.DUMMYFUNCTION("""COMPUTED_VALUE""")," ")</f>
        <v> </v>
      </c>
      <c r="J678" s="3" t="str">
        <f>IFERROR(__xludf.DUMMYFUNCTION("""COMPUTED_VALUE""")," ")</f>
        <v> </v>
      </c>
      <c r="K678" s="3" t="str">
        <f>IFERROR(__xludf.DUMMYFUNCTION("""COMPUTED_VALUE"""),"Y")</f>
        <v>Y</v>
      </c>
      <c r="L678" s="3" t="str">
        <f>IFERROR(__xludf.DUMMYFUNCTION("""COMPUTED_VALUE""")," ")</f>
        <v> </v>
      </c>
      <c r="M678" s="3"/>
      <c r="N678" s="5" t="str">
        <f>IFERROR(__xludf.DUMMYFUNCTION("""COMPUTED_VALUE""")," ")</f>
        <v> </v>
      </c>
      <c r="O678" s="5"/>
    </row>
    <row r="679">
      <c r="A679" s="2" t="str">
        <f>IFERROR(__xludf.DUMMYFUNCTION("""COMPUTED_VALUE"""),"0900")</f>
        <v>0900</v>
      </c>
      <c r="B679" s="2" t="str">
        <f>IFERROR(__xludf.DUMMYFUNCTION("""COMPUTED_VALUE"""),"DOUGLAS COUNTY      RE 1")</f>
        <v>DOUGLAS COUNTY      RE 1</v>
      </c>
      <c r="C679" s="2" t="str">
        <f>IFERROR(__xludf.DUMMYFUNCTION("""COMPUTED_VALUE"""),"00354")</f>
        <v>00354</v>
      </c>
      <c r="D679" s="2" t="str">
        <f>IFERROR(__xludf.DUMMYFUNCTION("""COMPUTED_VALUE"""),"ARROWWOOD ELEMENTARY SCHOOL")</f>
        <v>ARROWWOOD ELEMENTARY SCHOOL</v>
      </c>
      <c r="E679" s="3" t="str">
        <f>IFERROR(__xludf.DUMMYFUNCTION("""COMPUTED_VALUE"""),"Y")</f>
        <v>Y</v>
      </c>
      <c r="F679" s="3" t="str">
        <f>IFERROR(__xludf.DUMMYFUNCTION("""COMPUTED_VALUE"""),"Y")</f>
        <v>Y</v>
      </c>
      <c r="G679" s="3"/>
      <c r="H679" s="3"/>
      <c r="I679" s="3" t="str">
        <f>IFERROR(__xludf.DUMMYFUNCTION("""COMPUTED_VALUE""")," ")</f>
        <v> </v>
      </c>
      <c r="J679" s="3" t="str">
        <f>IFERROR(__xludf.DUMMYFUNCTION("""COMPUTED_VALUE""")," ")</f>
        <v> </v>
      </c>
      <c r="K679" s="3" t="str">
        <f>IFERROR(__xludf.DUMMYFUNCTION("""COMPUTED_VALUE"""),"Y")</f>
        <v>Y</v>
      </c>
      <c r="L679" s="3" t="str">
        <f>IFERROR(__xludf.DUMMYFUNCTION("""COMPUTED_VALUE"""),"Group 1")</f>
        <v>Group 1</v>
      </c>
      <c r="M679" s="3"/>
      <c r="N679" s="5" t="str">
        <f>IFERROR(__xludf.DUMMYFUNCTION("""COMPUTED_VALUE""")," ")</f>
        <v> </v>
      </c>
      <c r="O679" s="5"/>
    </row>
    <row r="680">
      <c r="A680" s="2" t="str">
        <f>IFERROR(__xludf.DUMMYFUNCTION("""COMPUTED_VALUE"""),"0900")</f>
        <v>0900</v>
      </c>
      <c r="B680" s="2" t="str">
        <f>IFERROR(__xludf.DUMMYFUNCTION("""COMPUTED_VALUE"""),"DOUGLAS COUNTY      RE 1")</f>
        <v>DOUGLAS COUNTY      RE 1</v>
      </c>
      <c r="C680" s="2" t="str">
        <f>IFERROR(__xludf.DUMMYFUNCTION("""COMPUTED_VALUE"""),"00651")</f>
        <v>00651</v>
      </c>
      <c r="D680" s="2" t="str">
        <f>IFERROR(__xludf.DUMMYFUNCTION("""COMPUTED_VALUE"""),"BEAR CANYON ELEMENTARY SCHOOL")</f>
        <v>BEAR CANYON ELEMENTARY SCHOOL</v>
      </c>
      <c r="E680" s="3" t="str">
        <f>IFERROR(__xludf.DUMMYFUNCTION("""COMPUTED_VALUE"""),"Y")</f>
        <v>Y</v>
      </c>
      <c r="F680" s="3" t="str">
        <f>IFERROR(__xludf.DUMMYFUNCTION("""COMPUTED_VALUE"""),"Y")</f>
        <v>Y</v>
      </c>
      <c r="G680" s="3"/>
      <c r="H680" s="3"/>
      <c r="I680" s="3" t="str">
        <f>IFERROR(__xludf.DUMMYFUNCTION("""COMPUTED_VALUE""")," ")</f>
        <v> </v>
      </c>
      <c r="J680" s="3" t="str">
        <f>IFERROR(__xludf.DUMMYFUNCTION("""COMPUTED_VALUE""")," ")</f>
        <v> </v>
      </c>
      <c r="K680" s="3" t="str">
        <f>IFERROR(__xludf.DUMMYFUNCTION("""COMPUTED_VALUE"""),"Y")</f>
        <v>Y</v>
      </c>
      <c r="L680" s="3" t="str">
        <f>IFERROR(__xludf.DUMMYFUNCTION("""COMPUTED_VALUE""")," ")</f>
        <v> </v>
      </c>
      <c r="M680" s="3"/>
      <c r="N680" s="5" t="str">
        <f>IFERROR(__xludf.DUMMYFUNCTION("""COMPUTED_VALUE""")," ")</f>
        <v> </v>
      </c>
      <c r="O680" s="5"/>
    </row>
    <row r="681">
      <c r="A681" s="2" t="str">
        <f>IFERROR(__xludf.DUMMYFUNCTION("""COMPUTED_VALUE"""),"0900")</f>
        <v>0900</v>
      </c>
      <c r="B681" s="2" t="str">
        <f>IFERROR(__xludf.DUMMYFUNCTION("""COMPUTED_VALUE"""),"DOUGLAS COUNTY      RE 1")</f>
        <v>DOUGLAS COUNTY      RE 1</v>
      </c>
      <c r="C681" s="2" t="str">
        <f>IFERROR(__xludf.DUMMYFUNCTION("""COMPUTED_VALUE"""),"01131")</f>
        <v>01131</v>
      </c>
      <c r="D681" s="2" t="str">
        <f>IFERROR(__xludf.DUMMYFUNCTION("""COMPUTED_VALUE"""),"BUFFALO RIDGE ELEMENTARY SCHOOL")</f>
        <v>BUFFALO RIDGE ELEMENTARY SCHOOL</v>
      </c>
      <c r="E681" s="3" t="str">
        <f>IFERROR(__xludf.DUMMYFUNCTION("""COMPUTED_VALUE"""),"Y")</f>
        <v>Y</v>
      </c>
      <c r="F681" s="3" t="str">
        <f>IFERROR(__xludf.DUMMYFUNCTION("""COMPUTED_VALUE"""),"Y")</f>
        <v>Y</v>
      </c>
      <c r="G681" s="3"/>
      <c r="H681" s="3"/>
      <c r="I681" s="3" t="str">
        <f>IFERROR(__xludf.DUMMYFUNCTION("""COMPUTED_VALUE""")," ")</f>
        <v> </v>
      </c>
      <c r="J681" s="3" t="str">
        <f>IFERROR(__xludf.DUMMYFUNCTION("""COMPUTED_VALUE""")," ")</f>
        <v> </v>
      </c>
      <c r="K681" s="3" t="str">
        <f>IFERROR(__xludf.DUMMYFUNCTION("""COMPUTED_VALUE"""),"Y")</f>
        <v>Y</v>
      </c>
      <c r="L681" s="3" t="str">
        <f>IFERROR(__xludf.DUMMYFUNCTION("""COMPUTED_VALUE""")," ")</f>
        <v> </v>
      </c>
      <c r="M681" s="3"/>
      <c r="N681" s="5" t="str">
        <f>IFERROR(__xludf.DUMMYFUNCTION("""COMPUTED_VALUE""")," ")</f>
        <v> </v>
      </c>
      <c r="O681" s="5"/>
    </row>
    <row r="682">
      <c r="A682" s="2" t="str">
        <f>IFERROR(__xludf.DUMMYFUNCTION("""COMPUTED_VALUE"""),"0900")</f>
        <v>0900</v>
      </c>
      <c r="B682" s="2" t="str">
        <f>IFERROR(__xludf.DUMMYFUNCTION("""COMPUTED_VALUE"""),"DOUGLAS COUNTY      RE 1")</f>
        <v>DOUGLAS COUNTY      RE 1</v>
      </c>
      <c r="C682" s="2" t="str">
        <f>IFERROR(__xludf.DUMMYFUNCTION("""COMPUTED_VALUE"""),"01362")</f>
        <v>01362</v>
      </c>
      <c r="D682" s="2" t="str">
        <f>IFERROR(__xludf.DUMMYFUNCTION("""COMPUTED_VALUE"""),"CASTLE ROCK ELEMENTARY SCHOOL")</f>
        <v>CASTLE ROCK ELEMENTARY SCHOOL</v>
      </c>
      <c r="E682" s="3" t="str">
        <f>IFERROR(__xludf.DUMMYFUNCTION("""COMPUTED_VALUE"""),"Y")</f>
        <v>Y</v>
      </c>
      <c r="F682" s="3" t="str">
        <f>IFERROR(__xludf.DUMMYFUNCTION("""COMPUTED_VALUE"""),"Y")</f>
        <v>Y</v>
      </c>
      <c r="G682" s="3"/>
      <c r="H682" s="3"/>
      <c r="I682" s="3" t="str">
        <f>IFERROR(__xludf.DUMMYFUNCTION("""COMPUTED_VALUE""")," ")</f>
        <v> </v>
      </c>
      <c r="J682" s="3" t="str">
        <f>IFERROR(__xludf.DUMMYFUNCTION("""COMPUTED_VALUE""")," ")</f>
        <v> </v>
      </c>
      <c r="K682" s="3" t="str">
        <f>IFERROR(__xludf.DUMMYFUNCTION("""COMPUTED_VALUE"""),"Y")</f>
        <v>Y</v>
      </c>
      <c r="L682" s="3" t="str">
        <f>IFERROR(__xludf.DUMMYFUNCTION("""COMPUTED_VALUE"""),"Group 1")</f>
        <v>Group 1</v>
      </c>
      <c r="M682" s="3"/>
      <c r="N682" s="5" t="str">
        <f>IFERROR(__xludf.DUMMYFUNCTION("""COMPUTED_VALUE""")," ")</f>
        <v> </v>
      </c>
      <c r="O682" s="5"/>
    </row>
    <row r="683">
      <c r="A683" s="2" t="str">
        <f>IFERROR(__xludf.DUMMYFUNCTION("""COMPUTED_VALUE"""),"0900")</f>
        <v>0900</v>
      </c>
      <c r="B683" s="2" t="str">
        <f>IFERROR(__xludf.DUMMYFUNCTION("""COMPUTED_VALUE"""),"DOUGLAS COUNTY      RE 1")</f>
        <v>DOUGLAS COUNTY      RE 1</v>
      </c>
      <c r="C683" s="2" t="str">
        <f>IFERROR(__xludf.DUMMYFUNCTION("""COMPUTED_VALUE"""),"01367")</f>
        <v>01367</v>
      </c>
      <c r="D683" s="2" t="str">
        <f>IFERROR(__xludf.DUMMYFUNCTION("""COMPUTED_VALUE"""),"CASTLE VIEW HIGH SCHOOL")</f>
        <v>CASTLE VIEW HIGH SCHOOL</v>
      </c>
      <c r="E683" s="3" t="str">
        <f>IFERROR(__xludf.DUMMYFUNCTION("""COMPUTED_VALUE"""),"Y")</f>
        <v>Y</v>
      </c>
      <c r="F683" s="3" t="str">
        <f>IFERROR(__xludf.DUMMYFUNCTION("""COMPUTED_VALUE"""),"Y")</f>
        <v>Y</v>
      </c>
      <c r="G683" s="3"/>
      <c r="H683" s="3"/>
      <c r="I683" s="3" t="str">
        <f>IFERROR(__xludf.DUMMYFUNCTION("""COMPUTED_VALUE""")," ")</f>
        <v> </v>
      </c>
      <c r="J683" s="3" t="str">
        <f>IFERROR(__xludf.DUMMYFUNCTION("""COMPUTED_VALUE""")," ")</f>
        <v> </v>
      </c>
      <c r="K683" s="3" t="str">
        <f>IFERROR(__xludf.DUMMYFUNCTION("""COMPUTED_VALUE"""),"Y")</f>
        <v>Y</v>
      </c>
      <c r="L683" s="3" t="str">
        <f>IFERROR(__xludf.DUMMYFUNCTION("""COMPUTED_VALUE""")," ")</f>
        <v> </v>
      </c>
      <c r="M683" s="3"/>
      <c r="N683" s="5" t="str">
        <f>IFERROR(__xludf.DUMMYFUNCTION("""COMPUTED_VALUE"""),"Y")</f>
        <v>Y</v>
      </c>
      <c r="O683" s="5"/>
    </row>
    <row r="684">
      <c r="A684" s="2" t="str">
        <f>IFERROR(__xludf.DUMMYFUNCTION("""COMPUTED_VALUE"""),"0900")</f>
        <v>0900</v>
      </c>
      <c r="B684" s="2" t="str">
        <f>IFERROR(__xludf.DUMMYFUNCTION("""COMPUTED_VALUE"""),"DOUGLAS COUNTY      RE 1")</f>
        <v>DOUGLAS COUNTY      RE 1</v>
      </c>
      <c r="C684" s="2" t="str">
        <f>IFERROR(__xludf.DUMMYFUNCTION("""COMPUTED_VALUE"""),"01503")</f>
        <v>01503</v>
      </c>
      <c r="D684" s="2" t="str">
        <f>IFERROR(__xludf.DUMMYFUNCTION("""COMPUTED_VALUE"""),"CHAPARRAL HIGH SCHOOL")</f>
        <v>CHAPARRAL HIGH SCHOOL</v>
      </c>
      <c r="E684" s="3" t="str">
        <f>IFERROR(__xludf.DUMMYFUNCTION("""COMPUTED_VALUE"""),"Y")</f>
        <v>Y</v>
      </c>
      <c r="F684" s="3" t="str">
        <f>IFERROR(__xludf.DUMMYFUNCTION("""COMPUTED_VALUE"""),"Y")</f>
        <v>Y</v>
      </c>
      <c r="G684" s="3"/>
      <c r="H684" s="3"/>
      <c r="I684" s="3" t="str">
        <f>IFERROR(__xludf.DUMMYFUNCTION("""COMPUTED_VALUE""")," ")</f>
        <v> </v>
      </c>
      <c r="J684" s="3" t="str">
        <f>IFERROR(__xludf.DUMMYFUNCTION("""COMPUTED_VALUE""")," ")</f>
        <v> </v>
      </c>
      <c r="K684" s="3" t="str">
        <f>IFERROR(__xludf.DUMMYFUNCTION("""COMPUTED_VALUE"""),"Y")</f>
        <v>Y</v>
      </c>
      <c r="L684" s="3" t="str">
        <f>IFERROR(__xludf.DUMMYFUNCTION("""COMPUTED_VALUE""")," ")</f>
        <v> </v>
      </c>
      <c r="M684" s="3"/>
      <c r="N684" s="5" t="str">
        <f>IFERROR(__xludf.DUMMYFUNCTION("""COMPUTED_VALUE""")," ")</f>
        <v> </v>
      </c>
      <c r="O684" s="5"/>
    </row>
    <row r="685">
      <c r="A685" s="2" t="str">
        <f>IFERROR(__xludf.DUMMYFUNCTION("""COMPUTED_VALUE"""),"0900")</f>
        <v>0900</v>
      </c>
      <c r="B685" s="2" t="str">
        <f>IFERROR(__xludf.DUMMYFUNCTION("""COMPUTED_VALUE"""),"DOUGLAS COUNTY      RE 1")</f>
        <v>DOUGLAS COUNTY      RE 1</v>
      </c>
      <c r="C685" s="2" t="str">
        <f>IFERROR(__xludf.DUMMYFUNCTION("""COMPUTED_VALUE"""),"01512")</f>
        <v>01512</v>
      </c>
      <c r="D685" s="2" t="str">
        <f>IFERROR(__xludf.DUMMYFUNCTION("""COMPUTED_VALUE"""),"CHALLENGE TO EXCELLENCE CHARTER SCHOOL")</f>
        <v>CHALLENGE TO EXCELLENCE CHARTER SCHOOL</v>
      </c>
      <c r="E685" s="3"/>
      <c r="F685" s="3" t="str">
        <f>IFERROR(__xludf.DUMMYFUNCTION("""COMPUTED_VALUE"""),"Y")</f>
        <v>Y</v>
      </c>
      <c r="G685" s="3"/>
      <c r="H685" s="3"/>
      <c r="I685" s="3" t="str">
        <f>IFERROR(__xludf.DUMMYFUNCTION("""COMPUTED_VALUE""")," ")</f>
        <v> </v>
      </c>
      <c r="J685" s="3" t="str">
        <f>IFERROR(__xludf.DUMMYFUNCTION("""COMPUTED_VALUE""")," ")</f>
        <v> </v>
      </c>
      <c r="K685" s="3" t="str">
        <f>IFERROR(__xludf.DUMMYFUNCTION("""COMPUTED_VALUE"""),"Y")</f>
        <v>Y</v>
      </c>
      <c r="L685" s="3" t="str">
        <f>IFERROR(__xludf.DUMMYFUNCTION("""COMPUTED_VALUE""")," ")</f>
        <v> </v>
      </c>
      <c r="M685" s="3"/>
      <c r="N685" s="5" t="str">
        <f>IFERROR(__xludf.DUMMYFUNCTION("""COMPUTED_VALUE""")," ")</f>
        <v> </v>
      </c>
      <c r="O685" s="5"/>
    </row>
    <row r="686">
      <c r="A686" s="2" t="str">
        <f>IFERROR(__xludf.DUMMYFUNCTION("""COMPUTED_VALUE"""),"0900")</f>
        <v>0900</v>
      </c>
      <c r="B686" s="2" t="str">
        <f>IFERROR(__xludf.DUMMYFUNCTION("""COMPUTED_VALUE"""),"DOUGLAS COUNTY      RE 1")</f>
        <v>DOUGLAS COUNTY      RE 1</v>
      </c>
      <c r="C686" s="2" t="str">
        <f>IFERROR(__xludf.DUMMYFUNCTION("""COMPUTED_VALUE"""),"01578")</f>
        <v>01578</v>
      </c>
      <c r="D686" s="2" t="str">
        <f>IFERROR(__xludf.DUMMYFUNCTION("""COMPUTED_VALUE"""),"CHERRY VALLEY ELEMENTARY SCHOOL")</f>
        <v>CHERRY VALLEY ELEMENTARY SCHOOL</v>
      </c>
      <c r="E686" s="3" t="str">
        <f>IFERROR(__xludf.DUMMYFUNCTION("""COMPUTED_VALUE"""),"Y")</f>
        <v>Y</v>
      </c>
      <c r="F686" s="3" t="str">
        <f>IFERROR(__xludf.DUMMYFUNCTION("""COMPUTED_VALUE"""),"Y")</f>
        <v>Y</v>
      </c>
      <c r="G686" s="3"/>
      <c r="H686" s="3"/>
      <c r="I686" s="3" t="str">
        <f>IFERROR(__xludf.DUMMYFUNCTION("""COMPUTED_VALUE""")," ")</f>
        <v> </v>
      </c>
      <c r="J686" s="3" t="str">
        <f>IFERROR(__xludf.DUMMYFUNCTION("""COMPUTED_VALUE""")," ")</f>
        <v> </v>
      </c>
      <c r="K686" s="3" t="str">
        <f>IFERROR(__xludf.DUMMYFUNCTION("""COMPUTED_VALUE"""),"Y")</f>
        <v>Y</v>
      </c>
      <c r="L686" s="3" t="str">
        <f>IFERROR(__xludf.DUMMYFUNCTION("""COMPUTED_VALUE""")," ")</f>
        <v> </v>
      </c>
      <c r="M686" s="3"/>
      <c r="N686" s="5" t="str">
        <f>IFERROR(__xludf.DUMMYFUNCTION("""COMPUTED_VALUE""")," ")</f>
        <v> </v>
      </c>
      <c r="O686" s="5"/>
    </row>
    <row r="687">
      <c r="A687" s="2" t="str">
        <f>IFERROR(__xludf.DUMMYFUNCTION("""COMPUTED_VALUE"""),"0900")</f>
        <v>0900</v>
      </c>
      <c r="B687" s="2" t="str">
        <f>IFERROR(__xludf.DUMMYFUNCTION("""COMPUTED_VALUE"""),"DOUGLAS COUNTY      RE 1")</f>
        <v>DOUGLAS COUNTY      RE 1</v>
      </c>
      <c r="C687" s="2" t="str">
        <f>IFERROR(__xludf.DUMMYFUNCTION("""COMPUTED_VALUE"""),"01579")</f>
        <v>01579</v>
      </c>
      <c r="D687" s="2" t="str">
        <f>IFERROR(__xludf.DUMMYFUNCTION("""COMPUTED_VALUE"""),"NORTH STAR ACADEMY")</f>
        <v>NORTH STAR ACADEMY</v>
      </c>
      <c r="E687" s="3"/>
      <c r="F687" s="3" t="str">
        <f>IFERROR(__xludf.DUMMYFUNCTION("""COMPUTED_VALUE"""),"Y")</f>
        <v>Y</v>
      </c>
      <c r="G687" s="3"/>
      <c r="H687" s="3"/>
      <c r="I687" s="3" t="str">
        <f>IFERROR(__xludf.DUMMYFUNCTION("""COMPUTED_VALUE""")," ")</f>
        <v> </v>
      </c>
      <c r="J687" s="3" t="str">
        <f>IFERROR(__xludf.DUMMYFUNCTION("""COMPUTED_VALUE""")," ")</f>
        <v> </v>
      </c>
      <c r="K687" s="3" t="str">
        <f>IFERROR(__xludf.DUMMYFUNCTION("""COMPUTED_VALUE"""),"Y")</f>
        <v>Y</v>
      </c>
      <c r="L687" s="3" t="str">
        <f>IFERROR(__xludf.DUMMYFUNCTION("""COMPUTED_VALUE""")," ")</f>
        <v> </v>
      </c>
      <c r="M687" s="3"/>
      <c r="N687" s="5" t="str">
        <f>IFERROR(__xludf.DUMMYFUNCTION("""COMPUTED_VALUE""")," ")</f>
        <v> </v>
      </c>
      <c r="O687" s="5"/>
    </row>
    <row r="688">
      <c r="A688" s="2" t="str">
        <f>IFERROR(__xludf.DUMMYFUNCTION("""COMPUTED_VALUE"""),"0900")</f>
        <v>0900</v>
      </c>
      <c r="B688" s="2" t="str">
        <f>IFERROR(__xludf.DUMMYFUNCTION("""COMPUTED_VALUE"""),"DOUGLAS COUNTY      RE 1")</f>
        <v>DOUGLAS COUNTY      RE 1</v>
      </c>
      <c r="C688" s="2" t="str">
        <f>IFERROR(__xludf.DUMMYFUNCTION("""COMPUTED_VALUE"""),"01873")</f>
        <v>01873</v>
      </c>
      <c r="D688" s="2" t="str">
        <f>IFERROR(__xludf.DUMMYFUNCTION("""COMPUTED_VALUE"""),"Parker Core Knowledge")</f>
        <v>Parker Core Knowledge</v>
      </c>
      <c r="E688" s="3"/>
      <c r="F688" s="3" t="str">
        <f>IFERROR(__xludf.DUMMYFUNCTION("""COMPUTED_VALUE"""),"Y")</f>
        <v>Y</v>
      </c>
      <c r="G688" s="3"/>
      <c r="H688" s="3"/>
      <c r="I688" s="3" t="str">
        <f>IFERROR(__xludf.DUMMYFUNCTION("""COMPUTED_VALUE""")," ")</f>
        <v> </v>
      </c>
      <c r="J688" s="3" t="str">
        <f>IFERROR(__xludf.DUMMYFUNCTION("""COMPUTED_VALUE""")," ")</f>
        <v> </v>
      </c>
      <c r="K688" s="3" t="str">
        <f>IFERROR(__xludf.DUMMYFUNCTION("""COMPUTED_VALUE"""),"Y")</f>
        <v>Y</v>
      </c>
      <c r="L688" s="3" t="str">
        <f>IFERROR(__xludf.DUMMYFUNCTION("""COMPUTED_VALUE""")," ")</f>
        <v> </v>
      </c>
      <c r="M688" s="3"/>
      <c r="N688" s="5" t="str">
        <f>IFERROR(__xludf.DUMMYFUNCTION("""COMPUTED_VALUE""")," ")</f>
        <v> </v>
      </c>
      <c r="O688" s="5"/>
    </row>
    <row r="689">
      <c r="A689" s="2" t="str">
        <f>IFERROR(__xludf.DUMMYFUNCTION("""COMPUTED_VALUE"""),"0900")</f>
        <v>0900</v>
      </c>
      <c r="B689" s="2" t="str">
        <f>IFERROR(__xludf.DUMMYFUNCTION("""COMPUTED_VALUE"""),"DOUGLAS COUNTY      RE 1")</f>
        <v>DOUGLAS COUNTY      RE 1</v>
      </c>
      <c r="C689" s="2" t="str">
        <f>IFERROR(__xludf.DUMMYFUNCTION("""COMPUTED_VALUE"""),"01899")</f>
        <v>01899</v>
      </c>
      <c r="D689" s="2" t="str">
        <f>IFERROR(__xludf.DUMMYFUNCTION("""COMPUTED_VALUE"""),"COPPER MESA ELEMENTARY")</f>
        <v>COPPER MESA ELEMENTARY</v>
      </c>
      <c r="E689" s="3" t="str">
        <f>IFERROR(__xludf.DUMMYFUNCTION("""COMPUTED_VALUE"""),"Y")</f>
        <v>Y</v>
      </c>
      <c r="F689" s="3" t="str">
        <f>IFERROR(__xludf.DUMMYFUNCTION("""COMPUTED_VALUE"""),"Y")</f>
        <v>Y</v>
      </c>
      <c r="G689" s="3"/>
      <c r="H689" s="3"/>
      <c r="I689" s="3" t="str">
        <f>IFERROR(__xludf.DUMMYFUNCTION("""COMPUTED_VALUE""")," ")</f>
        <v> </v>
      </c>
      <c r="J689" s="3" t="str">
        <f>IFERROR(__xludf.DUMMYFUNCTION("""COMPUTED_VALUE""")," ")</f>
        <v> </v>
      </c>
      <c r="K689" s="3" t="str">
        <f>IFERROR(__xludf.DUMMYFUNCTION("""COMPUTED_VALUE"""),"Y")</f>
        <v>Y</v>
      </c>
      <c r="L689" s="3" t="str">
        <f>IFERROR(__xludf.DUMMYFUNCTION("""COMPUTED_VALUE""")," ")</f>
        <v> </v>
      </c>
      <c r="M689" s="3"/>
      <c r="N689" s="5" t="str">
        <f>IFERROR(__xludf.DUMMYFUNCTION("""COMPUTED_VALUE""")," ")</f>
        <v> </v>
      </c>
      <c r="O689" s="5"/>
    </row>
    <row r="690">
      <c r="A690" s="2" t="str">
        <f>IFERROR(__xludf.DUMMYFUNCTION("""COMPUTED_VALUE"""),"0900")</f>
        <v>0900</v>
      </c>
      <c r="B690" s="2" t="str">
        <f>IFERROR(__xludf.DUMMYFUNCTION("""COMPUTED_VALUE"""),"DOUGLAS COUNTY      RE 1")</f>
        <v>DOUGLAS COUNTY      RE 1</v>
      </c>
      <c r="C690" s="2" t="str">
        <f>IFERROR(__xludf.DUMMYFUNCTION("""COMPUTED_VALUE"""),"01925")</f>
        <v>01925</v>
      </c>
      <c r="D690" s="2" t="str">
        <f>IFERROR(__xludf.DUMMYFUNCTION("""COMPUTED_VALUE"""),"COUGAR RUN ELEMENTARY SCHOOL")</f>
        <v>COUGAR RUN ELEMENTARY SCHOOL</v>
      </c>
      <c r="E690" s="3" t="str">
        <f>IFERROR(__xludf.DUMMYFUNCTION("""COMPUTED_VALUE"""),"Y")</f>
        <v>Y</v>
      </c>
      <c r="F690" s="3" t="str">
        <f>IFERROR(__xludf.DUMMYFUNCTION("""COMPUTED_VALUE"""),"Y")</f>
        <v>Y</v>
      </c>
      <c r="G690" s="3"/>
      <c r="H690" s="3"/>
      <c r="I690" s="3" t="str">
        <f>IFERROR(__xludf.DUMMYFUNCTION("""COMPUTED_VALUE""")," ")</f>
        <v> </v>
      </c>
      <c r="J690" s="3" t="str">
        <f>IFERROR(__xludf.DUMMYFUNCTION("""COMPUTED_VALUE""")," ")</f>
        <v> </v>
      </c>
      <c r="K690" s="3" t="str">
        <f>IFERROR(__xludf.DUMMYFUNCTION("""COMPUTED_VALUE"""),"Y")</f>
        <v>Y</v>
      </c>
      <c r="L690" s="3" t="str">
        <f>IFERROR(__xludf.DUMMYFUNCTION("""COMPUTED_VALUE"""),"Group 1")</f>
        <v>Group 1</v>
      </c>
      <c r="M690" s="3"/>
      <c r="N690" s="5" t="str">
        <f>IFERROR(__xludf.DUMMYFUNCTION("""COMPUTED_VALUE""")," ")</f>
        <v> </v>
      </c>
      <c r="O690" s="5"/>
    </row>
    <row r="691">
      <c r="A691" s="2" t="str">
        <f>IFERROR(__xludf.DUMMYFUNCTION("""COMPUTED_VALUE"""),"0900")</f>
        <v>0900</v>
      </c>
      <c r="B691" s="2" t="str">
        <f>IFERROR(__xludf.DUMMYFUNCTION("""COMPUTED_VALUE"""),"DOUGLAS COUNTY      RE 1")</f>
        <v>DOUGLAS COUNTY      RE 1</v>
      </c>
      <c r="C691" s="2" t="str">
        <f>IFERROR(__xludf.DUMMYFUNCTION("""COMPUTED_VALUE"""),"01934")</f>
        <v>01934</v>
      </c>
      <c r="D691" s="2" t="str">
        <f>IFERROR(__xludf.DUMMYFUNCTION("""COMPUTED_VALUE"""),"COYOTE CREEK ELEMENTARY SCHOOL")</f>
        <v>COYOTE CREEK ELEMENTARY SCHOOL</v>
      </c>
      <c r="E691" s="3" t="str">
        <f>IFERROR(__xludf.DUMMYFUNCTION("""COMPUTED_VALUE"""),"Y")</f>
        <v>Y</v>
      </c>
      <c r="F691" s="3" t="str">
        <f>IFERROR(__xludf.DUMMYFUNCTION("""COMPUTED_VALUE"""),"Y")</f>
        <v>Y</v>
      </c>
      <c r="G691" s="3"/>
      <c r="H691" s="3"/>
      <c r="I691" s="3" t="str">
        <f>IFERROR(__xludf.DUMMYFUNCTION("""COMPUTED_VALUE""")," ")</f>
        <v> </v>
      </c>
      <c r="J691" s="3" t="str">
        <f>IFERROR(__xludf.DUMMYFUNCTION("""COMPUTED_VALUE""")," ")</f>
        <v> </v>
      </c>
      <c r="K691" s="3" t="str">
        <f>IFERROR(__xludf.DUMMYFUNCTION("""COMPUTED_VALUE"""),"Y")</f>
        <v>Y</v>
      </c>
      <c r="L691" s="3" t="str">
        <f>IFERROR(__xludf.DUMMYFUNCTION("""COMPUTED_VALUE""")," ")</f>
        <v> </v>
      </c>
      <c r="M691" s="3"/>
      <c r="N691" s="5" t="str">
        <f>IFERROR(__xludf.DUMMYFUNCTION("""COMPUTED_VALUE""")," ")</f>
        <v> </v>
      </c>
      <c r="O691" s="5"/>
    </row>
    <row r="692">
      <c r="A692" s="2" t="str">
        <f>IFERROR(__xludf.DUMMYFUNCTION("""COMPUTED_VALUE"""),"0900")</f>
        <v>0900</v>
      </c>
      <c r="B692" s="2" t="str">
        <f>IFERROR(__xludf.DUMMYFUNCTION("""COMPUTED_VALUE"""),"DOUGLAS COUNTY      RE 1")</f>
        <v>DOUGLAS COUNTY      RE 1</v>
      </c>
      <c r="C692" s="2" t="str">
        <f>IFERROR(__xludf.DUMMYFUNCTION("""COMPUTED_VALUE"""),"01963")</f>
        <v>01963</v>
      </c>
      <c r="D692" s="2" t="str">
        <f>IFERROR(__xludf.DUMMYFUNCTION("""COMPUTED_VALUE"""),"Venture Academy of Leadership and Entrepreneurship (VALE)")</f>
        <v>Venture Academy of Leadership and Entrepreneurship (VALE)</v>
      </c>
      <c r="E692" s="3" t="str">
        <f>IFERROR(__xludf.DUMMYFUNCTION("""COMPUTED_VALUE"""),"Y")</f>
        <v>Y</v>
      </c>
      <c r="F692" s="3" t="str">
        <f>IFERROR(__xludf.DUMMYFUNCTION("""COMPUTED_VALUE"""),"Y")</f>
        <v>Y</v>
      </c>
      <c r="G692" s="3"/>
      <c r="H692" s="3"/>
      <c r="I692" s="3" t="str">
        <f>IFERROR(__xludf.DUMMYFUNCTION("""COMPUTED_VALUE""")," ")</f>
        <v> </v>
      </c>
      <c r="J692" s="3" t="str">
        <f>IFERROR(__xludf.DUMMYFUNCTION("""COMPUTED_VALUE""")," ")</f>
        <v> </v>
      </c>
      <c r="K692" s="3" t="str">
        <f>IFERROR(__xludf.DUMMYFUNCTION("""COMPUTED_VALUE"""),"Y")</f>
        <v>Y</v>
      </c>
      <c r="L692" s="3" t="str">
        <f>IFERROR(__xludf.DUMMYFUNCTION("""COMPUTED_VALUE""")," ")</f>
        <v> </v>
      </c>
      <c r="M692" s="3"/>
      <c r="N692" s="5" t="str">
        <f>IFERROR(__xludf.DUMMYFUNCTION("""COMPUTED_VALUE""")," ")</f>
        <v> </v>
      </c>
      <c r="O692" s="5"/>
    </row>
    <row r="693">
      <c r="A693" s="2" t="str">
        <f>IFERROR(__xludf.DUMMYFUNCTION("""COMPUTED_VALUE"""),"0900")</f>
        <v>0900</v>
      </c>
      <c r="B693" s="2" t="str">
        <f>IFERROR(__xludf.DUMMYFUNCTION("""COMPUTED_VALUE"""),"DOUGLAS COUNTY      RE 1")</f>
        <v>DOUGLAS COUNTY      RE 1</v>
      </c>
      <c r="C693" s="2" t="str">
        <f>IFERROR(__xludf.DUMMYFUNCTION("""COMPUTED_VALUE"""),"02012")</f>
        <v>02012</v>
      </c>
      <c r="D693" s="2" t="str">
        <f>IFERROR(__xludf.DUMMYFUNCTION("""COMPUTED_VALUE"""),"CRESTHILL MIDDLE SCHOOL")</f>
        <v>CRESTHILL MIDDLE SCHOOL</v>
      </c>
      <c r="E693" s="3" t="str">
        <f>IFERROR(__xludf.DUMMYFUNCTION("""COMPUTED_VALUE"""),"Y")</f>
        <v>Y</v>
      </c>
      <c r="F693" s="3" t="str">
        <f>IFERROR(__xludf.DUMMYFUNCTION("""COMPUTED_VALUE"""),"Y")</f>
        <v>Y</v>
      </c>
      <c r="G693" s="3"/>
      <c r="H693" s="3"/>
      <c r="I693" s="3" t="str">
        <f>IFERROR(__xludf.DUMMYFUNCTION("""COMPUTED_VALUE""")," ")</f>
        <v> </v>
      </c>
      <c r="J693" s="3" t="str">
        <f>IFERROR(__xludf.DUMMYFUNCTION("""COMPUTED_VALUE""")," ")</f>
        <v> </v>
      </c>
      <c r="K693" s="3" t="str">
        <f>IFERROR(__xludf.DUMMYFUNCTION("""COMPUTED_VALUE"""),"Y")</f>
        <v>Y</v>
      </c>
      <c r="L693" s="3" t="str">
        <f>IFERROR(__xludf.DUMMYFUNCTION("""COMPUTED_VALUE"""),"Group 1")</f>
        <v>Group 1</v>
      </c>
      <c r="M693" s="3"/>
      <c r="N693" s="5" t="str">
        <f>IFERROR(__xludf.DUMMYFUNCTION("""COMPUTED_VALUE""")," ")</f>
        <v> </v>
      </c>
      <c r="O693" s="5"/>
    </row>
    <row r="694">
      <c r="A694" s="2" t="str">
        <f>IFERROR(__xludf.DUMMYFUNCTION("""COMPUTED_VALUE"""),"0900")</f>
        <v>0900</v>
      </c>
      <c r="B694" s="2" t="str">
        <f>IFERROR(__xludf.DUMMYFUNCTION("""COMPUTED_VALUE"""),"DOUGLAS COUNTY      RE 1")</f>
        <v>DOUGLAS COUNTY      RE 1</v>
      </c>
      <c r="C694" s="2" t="str">
        <f>IFERROR(__xludf.DUMMYFUNCTION("""COMPUTED_VALUE"""),"02226")</f>
        <v>02226</v>
      </c>
      <c r="D694" s="2" t="str">
        <f>IFERROR(__xludf.DUMMYFUNCTION("""COMPUTED_VALUE"""),"CASTLE ROCK MIDDLE SCHOOL")</f>
        <v>CASTLE ROCK MIDDLE SCHOOL</v>
      </c>
      <c r="E694" s="3" t="str">
        <f>IFERROR(__xludf.DUMMYFUNCTION("""COMPUTED_VALUE"""),"Y")</f>
        <v>Y</v>
      </c>
      <c r="F694" s="3" t="str">
        <f>IFERROR(__xludf.DUMMYFUNCTION("""COMPUTED_VALUE"""),"Y")</f>
        <v>Y</v>
      </c>
      <c r="G694" s="3"/>
      <c r="H694" s="3"/>
      <c r="I694" s="3" t="str">
        <f>IFERROR(__xludf.DUMMYFUNCTION("""COMPUTED_VALUE""")," ")</f>
        <v> </v>
      </c>
      <c r="J694" s="3" t="str">
        <f>IFERROR(__xludf.DUMMYFUNCTION("""COMPUTED_VALUE""")," ")</f>
        <v> </v>
      </c>
      <c r="K694" s="3" t="str">
        <f>IFERROR(__xludf.DUMMYFUNCTION("""COMPUTED_VALUE"""),"Y")</f>
        <v>Y</v>
      </c>
      <c r="L694" s="3" t="str">
        <f>IFERROR(__xludf.DUMMYFUNCTION("""COMPUTED_VALUE"""),"Group 1")</f>
        <v>Group 1</v>
      </c>
      <c r="M694" s="3"/>
      <c r="N694" s="5" t="str">
        <f>IFERROR(__xludf.DUMMYFUNCTION("""COMPUTED_VALUE""")," ")</f>
        <v> </v>
      </c>
      <c r="O694" s="5"/>
    </row>
    <row r="695">
      <c r="A695" s="2" t="str">
        <f>IFERROR(__xludf.DUMMYFUNCTION("""COMPUTED_VALUE"""),"0900")</f>
        <v>0900</v>
      </c>
      <c r="B695" s="2" t="str">
        <f>IFERROR(__xludf.DUMMYFUNCTION("""COMPUTED_VALUE"""),"DOUGLAS COUNTY      RE 1")</f>
        <v>DOUGLAS COUNTY      RE 1</v>
      </c>
      <c r="C695" s="2" t="str">
        <f>IFERROR(__xludf.DUMMYFUNCTION("""COMPUTED_VALUE"""),"02230")</f>
        <v>02230</v>
      </c>
      <c r="D695" s="2" t="str">
        <f>IFERROR(__xludf.DUMMYFUNCTION("""COMPUTED_VALUE"""),"DOUGLAS COUNTY HIGH SCHOOL")</f>
        <v>DOUGLAS COUNTY HIGH SCHOOL</v>
      </c>
      <c r="E695" s="3" t="str">
        <f>IFERROR(__xludf.DUMMYFUNCTION("""COMPUTED_VALUE"""),"Y")</f>
        <v>Y</v>
      </c>
      <c r="F695" s="3" t="str">
        <f>IFERROR(__xludf.DUMMYFUNCTION("""COMPUTED_VALUE"""),"Y")</f>
        <v>Y</v>
      </c>
      <c r="G695" s="3"/>
      <c r="H695" s="3"/>
      <c r="I695" s="3" t="str">
        <f>IFERROR(__xludf.DUMMYFUNCTION("""COMPUTED_VALUE""")," ")</f>
        <v> </v>
      </c>
      <c r="J695" s="3" t="str">
        <f>IFERROR(__xludf.DUMMYFUNCTION("""COMPUTED_VALUE""")," ")</f>
        <v> </v>
      </c>
      <c r="K695" s="3" t="str">
        <f>IFERROR(__xludf.DUMMYFUNCTION("""COMPUTED_VALUE"""),"Y")</f>
        <v>Y</v>
      </c>
      <c r="L695" s="3" t="str">
        <f>IFERROR(__xludf.DUMMYFUNCTION("""COMPUTED_VALUE""")," ")</f>
        <v> </v>
      </c>
      <c r="M695" s="3"/>
      <c r="N695" s="5" t="str">
        <f>IFERROR(__xludf.DUMMYFUNCTION("""COMPUTED_VALUE"""),"Y")</f>
        <v>Y</v>
      </c>
      <c r="O695" s="5"/>
    </row>
    <row r="696">
      <c r="A696" s="2" t="str">
        <f>IFERROR(__xludf.DUMMYFUNCTION("""COMPUTED_VALUE"""),"0900")</f>
        <v>0900</v>
      </c>
      <c r="B696" s="2" t="str">
        <f>IFERROR(__xludf.DUMMYFUNCTION("""COMPUTED_VALUE"""),"DOUGLAS COUNTY      RE 1")</f>
        <v>DOUGLAS COUNTY      RE 1</v>
      </c>
      <c r="C696" s="2" t="str">
        <f>IFERROR(__xludf.DUMMYFUNCTION("""COMPUTED_VALUE"""),"02232")</f>
        <v>02232</v>
      </c>
      <c r="D696" s="2" t="str">
        <f>IFERROR(__xludf.DUMMYFUNCTION("""COMPUTED_VALUE"""),"ROCK RIDGE ELEMENTARY SCHOOL")</f>
        <v>ROCK RIDGE ELEMENTARY SCHOOL</v>
      </c>
      <c r="E696" s="3" t="str">
        <f>IFERROR(__xludf.DUMMYFUNCTION("""COMPUTED_VALUE"""),"Y")</f>
        <v>Y</v>
      </c>
      <c r="F696" s="3" t="str">
        <f>IFERROR(__xludf.DUMMYFUNCTION("""COMPUTED_VALUE"""),"Y")</f>
        <v>Y</v>
      </c>
      <c r="G696" s="3"/>
      <c r="H696" s="3"/>
      <c r="I696" s="3" t="str">
        <f>IFERROR(__xludf.DUMMYFUNCTION("""COMPUTED_VALUE""")," ")</f>
        <v> </v>
      </c>
      <c r="J696" s="3" t="str">
        <f>IFERROR(__xludf.DUMMYFUNCTION("""COMPUTED_VALUE""")," ")</f>
        <v> </v>
      </c>
      <c r="K696" s="3" t="str">
        <f>IFERROR(__xludf.DUMMYFUNCTION("""COMPUTED_VALUE"""),"Y")</f>
        <v>Y</v>
      </c>
      <c r="L696" s="3" t="str">
        <f>IFERROR(__xludf.DUMMYFUNCTION("""COMPUTED_VALUE"""),"Group 3")</f>
        <v>Group 3</v>
      </c>
      <c r="M696" s="3"/>
      <c r="N696" s="5" t="str">
        <f>IFERROR(__xludf.DUMMYFUNCTION("""COMPUTED_VALUE""")," ")</f>
        <v> </v>
      </c>
      <c r="O696" s="5"/>
    </row>
    <row r="697">
      <c r="A697" s="2" t="str">
        <f>IFERROR(__xludf.DUMMYFUNCTION("""COMPUTED_VALUE"""),"0900")</f>
        <v>0900</v>
      </c>
      <c r="B697" s="2" t="str">
        <f>IFERROR(__xludf.DUMMYFUNCTION("""COMPUTED_VALUE"""),"DOUGLAS COUNTY      RE 1")</f>
        <v>DOUGLAS COUNTY      RE 1</v>
      </c>
      <c r="C697" s="2" t="str">
        <f>IFERROR(__xludf.DUMMYFUNCTION("""COMPUTED_VALUE"""),"02233")</f>
        <v>02233</v>
      </c>
      <c r="D697" s="2" t="str">
        <f>IFERROR(__xludf.DUMMYFUNCTION("""COMPUTED_VALUE"""),"CHEROKEE TRAIL ELEMENTARY SCHOOL")</f>
        <v>CHEROKEE TRAIL ELEMENTARY SCHOOL</v>
      </c>
      <c r="E697" s="3" t="str">
        <f>IFERROR(__xludf.DUMMYFUNCTION("""COMPUTED_VALUE"""),"Y")</f>
        <v>Y</v>
      </c>
      <c r="F697" s="3" t="str">
        <f>IFERROR(__xludf.DUMMYFUNCTION("""COMPUTED_VALUE"""),"Y")</f>
        <v>Y</v>
      </c>
      <c r="G697" s="3"/>
      <c r="H697" s="3"/>
      <c r="I697" s="3" t="str">
        <f>IFERROR(__xludf.DUMMYFUNCTION("""COMPUTED_VALUE""")," ")</f>
        <v> </v>
      </c>
      <c r="J697" s="3" t="str">
        <f>IFERROR(__xludf.DUMMYFUNCTION("""COMPUTED_VALUE""")," ")</f>
        <v> </v>
      </c>
      <c r="K697" s="3" t="str">
        <f>IFERROR(__xludf.DUMMYFUNCTION("""COMPUTED_VALUE"""),"Y")</f>
        <v>Y</v>
      </c>
      <c r="L697" s="3" t="str">
        <f>IFERROR(__xludf.DUMMYFUNCTION("""COMPUTED_VALUE"""),"Group 1")</f>
        <v>Group 1</v>
      </c>
      <c r="M697" s="3"/>
      <c r="N697" s="5" t="str">
        <f>IFERROR(__xludf.DUMMYFUNCTION("""COMPUTED_VALUE""")," ")</f>
        <v> </v>
      </c>
      <c r="O697" s="5"/>
    </row>
    <row r="698">
      <c r="A698" s="2" t="str">
        <f>IFERROR(__xludf.DUMMYFUNCTION("""COMPUTED_VALUE"""),"0900")</f>
        <v>0900</v>
      </c>
      <c r="B698" s="2" t="str">
        <f>IFERROR(__xludf.DUMMYFUNCTION("""COMPUTED_VALUE"""),"DOUGLAS COUNTY      RE 1")</f>
        <v>DOUGLAS COUNTY      RE 1</v>
      </c>
      <c r="C698" s="2" t="str">
        <f>IFERROR(__xludf.DUMMYFUNCTION("""COMPUTED_VALUE"""),"02234")</f>
        <v>02234</v>
      </c>
      <c r="D698" s="2" t="str">
        <f>IFERROR(__xludf.DUMMYFUNCTION("""COMPUTED_VALUE"""),"EAGLE RIDGE ELEMENTARY SCHOOL")</f>
        <v>EAGLE RIDGE ELEMENTARY SCHOOL</v>
      </c>
      <c r="E698" s="3" t="str">
        <f>IFERROR(__xludf.DUMMYFUNCTION("""COMPUTED_VALUE"""),"Y")</f>
        <v>Y</v>
      </c>
      <c r="F698" s="3" t="str">
        <f>IFERROR(__xludf.DUMMYFUNCTION("""COMPUTED_VALUE"""),"Y")</f>
        <v>Y</v>
      </c>
      <c r="G698" s="3"/>
      <c r="H698" s="3"/>
      <c r="I698" s="3" t="str">
        <f>IFERROR(__xludf.DUMMYFUNCTION("""COMPUTED_VALUE""")," ")</f>
        <v> </v>
      </c>
      <c r="J698" s="3" t="str">
        <f>IFERROR(__xludf.DUMMYFUNCTION("""COMPUTED_VALUE""")," ")</f>
        <v> </v>
      </c>
      <c r="K698" s="3" t="str">
        <f>IFERROR(__xludf.DUMMYFUNCTION("""COMPUTED_VALUE"""),"Y")</f>
        <v>Y</v>
      </c>
      <c r="L698" s="3" t="str">
        <f>IFERROR(__xludf.DUMMYFUNCTION("""COMPUTED_VALUE"""),"Group 1")</f>
        <v>Group 1</v>
      </c>
      <c r="M698" s="3"/>
      <c r="N698" s="5" t="str">
        <f>IFERROR(__xludf.DUMMYFUNCTION("""COMPUTED_VALUE""")," ")</f>
        <v> </v>
      </c>
      <c r="O698" s="5"/>
    </row>
    <row r="699">
      <c r="A699" s="2" t="str">
        <f>IFERROR(__xludf.DUMMYFUNCTION("""COMPUTED_VALUE"""),"0900")</f>
        <v>0900</v>
      </c>
      <c r="B699" s="2" t="str">
        <f>IFERROR(__xludf.DUMMYFUNCTION("""COMPUTED_VALUE"""),"DOUGLAS COUNTY      RE 1")</f>
        <v>DOUGLAS COUNTY      RE 1</v>
      </c>
      <c r="C699" s="2" t="str">
        <f>IFERROR(__xludf.DUMMYFUNCTION("""COMPUTED_VALUE"""),"02656")</f>
        <v>02656</v>
      </c>
      <c r="D699" s="2" t="str">
        <f>IFERROR(__xludf.DUMMYFUNCTION("""COMPUTED_VALUE"""),"ELDORADO ELEMENTARY SCHOOL")</f>
        <v>ELDORADO ELEMENTARY SCHOOL</v>
      </c>
      <c r="E699" s="3" t="str">
        <f>IFERROR(__xludf.DUMMYFUNCTION("""COMPUTED_VALUE"""),"Y")</f>
        <v>Y</v>
      </c>
      <c r="F699" s="3" t="str">
        <f>IFERROR(__xludf.DUMMYFUNCTION("""COMPUTED_VALUE"""),"Y")</f>
        <v>Y</v>
      </c>
      <c r="G699" s="3"/>
      <c r="H699" s="3"/>
      <c r="I699" s="3" t="str">
        <f>IFERROR(__xludf.DUMMYFUNCTION("""COMPUTED_VALUE""")," ")</f>
        <v> </v>
      </c>
      <c r="J699" s="3" t="str">
        <f>IFERROR(__xludf.DUMMYFUNCTION("""COMPUTED_VALUE""")," ")</f>
        <v> </v>
      </c>
      <c r="K699" s="3" t="str">
        <f>IFERROR(__xludf.DUMMYFUNCTION("""COMPUTED_VALUE"""),"Y")</f>
        <v>Y</v>
      </c>
      <c r="L699" s="3" t="str">
        <f>IFERROR(__xludf.DUMMYFUNCTION("""COMPUTED_VALUE""")," ")</f>
        <v> </v>
      </c>
      <c r="M699" s="3"/>
      <c r="N699" s="5" t="str">
        <f>IFERROR(__xludf.DUMMYFUNCTION("""COMPUTED_VALUE""")," ")</f>
        <v> </v>
      </c>
      <c r="O699" s="5"/>
    </row>
    <row r="700">
      <c r="A700" s="2" t="str">
        <f>IFERROR(__xludf.DUMMYFUNCTION("""COMPUTED_VALUE"""),"0900")</f>
        <v>0900</v>
      </c>
      <c r="B700" s="2" t="str">
        <f>IFERROR(__xludf.DUMMYFUNCTION("""COMPUTED_VALUE"""),"DOUGLAS COUNTY      RE 1")</f>
        <v>DOUGLAS COUNTY      RE 1</v>
      </c>
      <c r="C700" s="2" t="str">
        <f>IFERROR(__xludf.DUMMYFUNCTION("""COMPUTED_VALUE"""),"02952")</f>
        <v>02952</v>
      </c>
      <c r="D700" s="2" t="str">
        <f>IFERROR(__xludf.DUMMYFUNCTION("""COMPUTED_VALUE"""),"MAMMOTH HEIGHTS ELEMENTARY")</f>
        <v>MAMMOTH HEIGHTS ELEMENTARY</v>
      </c>
      <c r="E700" s="3" t="str">
        <f>IFERROR(__xludf.DUMMYFUNCTION("""COMPUTED_VALUE"""),"Y")</f>
        <v>Y</v>
      </c>
      <c r="F700" s="3" t="str">
        <f>IFERROR(__xludf.DUMMYFUNCTION("""COMPUTED_VALUE"""),"Y")</f>
        <v>Y</v>
      </c>
      <c r="G700" s="3"/>
      <c r="H700" s="3"/>
      <c r="I700" s="3" t="str">
        <f>IFERROR(__xludf.DUMMYFUNCTION("""COMPUTED_VALUE""")," ")</f>
        <v> </v>
      </c>
      <c r="J700" s="3" t="str">
        <f>IFERROR(__xludf.DUMMYFUNCTION("""COMPUTED_VALUE""")," ")</f>
        <v> </v>
      </c>
      <c r="K700" s="3" t="str">
        <f>IFERROR(__xludf.DUMMYFUNCTION("""COMPUTED_VALUE"""),"Y")</f>
        <v>Y</v>
      </c>
      <c r="L700" s="3" t="str">
        <f>IFERROR(__xludf.DUMMYFUNCTION("""COMPUTED_VALUE"""),"Group 1")</f>
        <v>Group 1</v>
      </c>
      <c r="M700" s="3"/>
      <c r="N700" s="5" t="str">
        <f>IFERROR(__xludf.DUMMYFUNCTION("""COMPUTED_VALUE""")," ")</f>
        <v> </v>
      </c>
      <c r="O700" s="5"/>
    </row>
    <row r="701">
      <c r="A701" s="2" t="str">
        <f>IFERROR(__xludf.DUMMYFUNCTION("""COMPUTED_VALUE"""),"0900")</f>
        <v>0900</v>
      </c>
      <c r="B701" s="2" t="str">
        <f>IFERROR(__xludf.DUMMYFUNCTION("""COMPUTED_VALUE"""),"DOUGLAS COUNTY      RE 1")</f>
        <v>DOUGLAS COUNTY      RE 1</v>
      </c>
      <c r="C701" s="2" t="str">
        <f>IFERROR(__xludf.DUMMYFUNCTION("""COMPUTED_VALUE"""),"02953")</f>
        <v>02953</v>
      </c>
      <c r="D701" s="2" t="str">
        <f>IFERROR(__xludf.DUMMYFUNCTION("""COMPUTED_VALUE"""),"STONE MOUNTAIN ELEMENTARY")</f>
        <v>STONE MOUNTAIN ELEMENTARY</v>
      </c>
      <c r="E701" s="3" t="str">
        <f>IFERROR(__xludf.DUMMYFUNCTION("""COMPUTED_VALUE"""),"Y")</f>
        <v>Y</v>
      </c>
      <c r="F701" s="3" t="str">
        <f>IFERROR(__xludf.DUMMYFUNCTION("""COMPUTED_VALUE"""),"Y")</f>
        <v>Y</v>
      </c>
      <c r="G701" s="3"/>
      <c r="H701" s="3"/>
      <c r="I701" s="3" t="str">
        <f>IFERROR(__xludf.DUMMYFUNCTION("""COMPUTED_VALUE""")," ")</f>
        <v> </v>
      </c>
      <c r="J701" s="3" t="str">
        <f>IFERROR(__xludf.DUMMYFUNCTION("""COMPUTED_VALUE""")," ")</f>
        <v> </v>
      </c>
      <c r="K701" s="3" t="str">
        <f>IFERROR(__xludf.DUMMYFUNCTION("""COMPUTED_VALUE"""),"Y")</f>
        <v>Y</v>
      </c>
      <c r="L701" s="3" t="str">
        <f>IFERROR(__xludf.DUMMYFUNCTION("""COMPUTED_VALUE""")," ")</f>
        <v> </v>
      </c>
      <c r="M701" s="3"/>
      <c r="N701" s="5" t="str">
        <f>IFERROR(__xludf.DUMMYFUNCTION("""COMPUTED_VALUE""")," ")</f>
        <v> </v>
      </c>
      <c r="O701" s="5"/>
    </row>
    <row r="702">
      <c r="A702" s="2" t="str">
        <f>IFERROR(__xludf.DUMMYFUNCTION("""COMPUTED_VALUE"""),"0900")</f>
        <v>0900</v>
      </c>
      <c r="B702" s="2" t="str">
        <f>IFERROR(__xludf.DUMMYFUNCTION("""COMPUTED_VALUE"""),"DOUGLAS COUNTY      RE 1")</f>
        <v>DOUGLAS COUNTY      RE 1</v>
      </c>
      <c r="C702" s="2" t="str">
        <f>IFERROR(__xludf.DUMMYFUNCTION("""COMPUTED_VALUE"""),"02954")</f>
        <v>02954</v>
      </c>
      <c r="D702" s="2" t="str">
        <f>IFERROR(__xludf.DUMMYFUNCTION("""COMPUTED_VALUE"""),"ROXBOROUGH INTERMEDIATE")</f>
        <v>ROXBOROUGH INTERMEDIATE</v>
      </c>
      <c r="E702" s="3" t="str">
        <f>IFERROR(__xludf.DUMMYFUNCTION("""COMPUTED_VALUE"""),"Y")</f>
        <v>Y</v>
      </c>
      <c r="F702" s="3" t="str">
        <f>IFERROR(__xludf.DUMMYFUNCTION("""COMPUTED_VALUE"""),"Y")</f>
        <v>Y</v>
      </c>
      <c r="G702" s="3"/>
      <c r="H702" s="3"/>
      <c r="I702" s="3" t="str">
        <f>IFERROR(__xludf.DUMMYFUNCTION("""COMPUTED_VALUE""")," ")</f>
        <v> </v>
      </c>
      <c r="J702" s="3" t="str">
        <f>IFERROR(__xludf.DUMMYFUNCTION("""COMPUTED_VALUE""")," ")</f>
        <v> </v>
      </c>
      <c r="K702" s="3" t="str">
        <f>IFERROR(__xludf.DUMMYFUNCTION("""COMPUTED_VALUE"""),"Y")</f>
        <v>Y</v>
      </c>
      <c r="L702" s="3" t="str">
        <f>IFERROR(__xludf.DUMMYFUNCTION("""COMPUTED_VALUE""")," ")</f>
        <v> </v>
      </c>
      <c r="M702" s="3"/>
      <c r="N702" s="5" t="str">
        <f>IFERROR(__xludf.DUMMYFUNCTION("""COMPUTED_VALUE""")," ")</f>
        <v> </v>
      </c>
      <c r="O702" s="5"/>
    </row>
    <row r="703">
      <c r="A703" s="2" t="str">
        <f>IFERROR(__xludf.DUMMYFUNCTION("""COMPUTED_VALUE"""),"0900")</f>
        <v>0900</v>
      </c>
      <c r="B703" s="2" t="str">
        <f>IFERROR(__xludf.DUMMYFUNCTION("""COMPUTED_VALUE"""),"DOUGLAS COUNTY      RE 1")</f>
        <v>DOUGLAS COUNTY      RE 1</v>
      </c>
      <c r="C703" s="2" t="str">
        <f>IFERROR(__xludf.DUMMYFUNCTION("""COMPUTED_VALUE"""),"02965")</f>
        <v>02965</v>
      </c>
      <c r="D703" s="2" t="str">
        <f>IFERROR(__xludf.DUMMYFUNCTION("""COMPUTED_VALUE"""),"FLAGSTONE ELEMENTARY")</f>
        <v>FLAGSTONE ELEMENTARY</v>
      </c>
      <c r="E703" s="3" t="str">
        <f>IFERROR(__xludf.DUMMYFUNCTION("""COMPUTED_VALUE"""),"Y")</f>
        <v>Y</v>
      </c>
      <c r="F703" s="3" t="str">
        <f>IFERROR(__xludf.DUMMYFUNCTION("""COMPUTED_VALUE"""),"Y")</f>
        <v>Y</v>
      </c>
      <c r="G703" s="3"/>
      <c r="H703" s="3"/>
      <c r="I703" s="3" t="str">
        <f>IFERROR(__xludf.DUMMYFUNCTION("""COMPUTED_VALUE""")," ")</f>
        <v> </v>
      </c>
      <c r="J703" s="3" t="str">
        <f>IFERROR(__xludf.DUMMYFUNCTION("""COMPUTED_VALUE""")," ")</f>
        <v> </v>
      </c>
      <c r="K703" s="3" t="str">
        <f>IFERROR(__xludf.DUMMYFUNCTION("""COMPUTED_VALUE"""),"Y")</f>
        <v>Y</v>
      </c>
      <c r="L703" s="3" t="str">
        <f>IFERROR(__xludf.DUMMYFUNCTION("""COMPUTED_VALUE""")," ")</f>
        <v> </v>
      </c>
      <c r="M703" s="3"/>
      <c r="N703" s="5" t="str">
        <f>IFERROR(__xludf.DUMMYFUNCTION("""COMPUTED_VALUE""")," ")</f>
        <v> </v>
      </c>
      <c r="O703" s="5"/>
    </row>
    <row r="704">
      <c r="A704" s="2" t="str">
        <f>IFERROR(__xludf.DUMMYFUNCTION("""COMPUTED_VALUE"""),"0900")</f>
        <v>0900</v>
      </c>
      <c r="B704" s="2" t="str">
        <f>IFERROR(__xludf.DUMMYFUNCTION("""COMPUTED_VALUE"""),"DOUGLAS COUNTY      RE 1")</f>
        <v>DOUGLAS COUNTY      RE 1</v>
      </c>
      <c r="C704" s="2" t="str">
        <f>IFERROR(__xludf.DUMMYFUNCTION("""COMPUTED_VALUE"""),"03138")</f>
        <v>03138</v>
      </c>
      <c r="D704" s="2" t="str">
        <f>IFERROR(__xludf.DUMMYFUNCTION("""COMPUTED_VALUE"""),"FOX CREEK ELEMENTARY SCHOOL")</f>
        <v>FOX CREEK ELEMENTARY SCHOOL</v>
      </c>
      <c r="E704" s="3" t="str">
        <f>IFERROR(__xludf.DUMMYFUNCTION("""COMPUTED_VALUE"""),"Y")</f>
        <v>Y</v>
      </c>
      <c r="F704" s="3" t="str">
        <f>IFERROR(__xludf.DUMMYFUNCTION("""COMPUTED_VALUE"""),"Y")</f>
        <v>Y</v>
      </c>
      <c r="G704" s="3"/>
      <c r="H704" s="3"/>
      <c r="I704" s="3" t="str">
        <f>IFERROR(__xludf.DUMMYFUNCTION("""COMPUTED_VALUE""")," ")</f>
        <v> </v>
      </c>
      <c r="J704" s="3" t="str">
        <f>IFERROR(__xludf.DUMMYFUNCTION("""COMPUTED_VALUE""")," ")</f>
        <v> </v>
      </c>
      <c r="K704" s="3" t="str">
        <f>IFERROR(__xludf.DUMMYFUNCTION("""COMPUTED_VALUE"""),"Y")</f>
        <v>Y</v>
      </c>
      <c r="L704" s="3" t="str">
        <f>IFERROR(__xludf.DUMMYFUNCTION("""COMPUTED_VALUE""")," ")</f>
        <v> </v>
      </c>
      <c r="M704" s="3"/>
      <c r="N704" s="5" t="str">
        <f>IFERROR(__xludf.DUMMYFUNCTION("""COMPUTED_VALUE""")," ")</f>
        <v> </v>
      </c>
      <c r="O704" s="5"/>
    </row>
    <row r="705">
      <c r="A705" s="2" t="str">
        <f>IFERROR(__xludf.DUMMYFUNCTION("""COMPUTED_VALUE"""),"0900")</f>
        <v>0900</v>
      </c>
      <c r="B705" s="2" t="str">
        <f>IFERROR(__xludf.DUMMYFUNCTION("""COMPUTED_VALUE"""),"DOUGLAS COUNTY      RE 1")</f>
        <v>DOUGLAS COUNTY      RE 1</v>
      </c>
      <c r="C705" s="2" t="str">
        <f>IFERROR(__xludf.DUMMYFUNCTION("""COMPUTED_VALUE"""),"03172")</f>
        <v>03172</v>
      </c>
      <c r="D705" s="2" t="str">
        <f>IFERROR(__xludf.DUMMYFUNCTION("""COMPUTED_VALUE"""),"FRANKTOWN ELEMENTARY SCHOOL")</f>
        <v>FRANKTOWN ELEMENTARY SCHOOL</v>
      </c>
      <c r="E705" s="3" t="str">
        <f>IFERROR(__xludf.DUMMYFUNCTION("""COMPUTED_VALUE"""),"Y")</f>
        <v>Y</v>
      </c>
      <c r="F705" s="3" t="str">
        <f>IFERROR(__xludf.DUMMYFUNCTION("""COMPUTED_VALUE"""),"Y")</f>
        <v>Y</v>
      </c>
      <c r="G705" s="3"/>
      <c r="H705" s="3"/>
      <c r="I705" s="3" t="str">
        <f>IFERROR(__xludf.DUMMYFUNCTION("""COMPUTED_VALUE""")," ")</f>
        <v> </v>
      </c>
      <c r="J705" s="3" t="str">
        <f>IFERROR(__xludf.DUMMYFUNCTION("""COMPUTED_VALUE""")," ")</f>
        <v> </v>
      </c>
      <c r="K705" s="3" t="str">
        <f>IFERROR(__xludf.DUMMYFUNCTION("""COMPUTED_VALUE"""),"Y")</f>
        <v>Y</v>
      </c>
      <c r="L705" s="3" t="str">
        <f>IFERROR(__xludf.DUMMYFUNCTION("""COMPUTED_VALUE""")," ")</f>
        <v> </v>
      </c>
      <c r="M705" s="3"/>
      <c r="N705" s="5" t="str">
        <f>IFERROR(__xludf.DUMMYFUNCTION("""COMPUTED_VALUE""")," ")</f>
        <v> </v>
      </c>
      <c r="O705" s="5"/>
    </row>
    <row r="706">
      <c r="A706" s="2" t="str">
        <f>IFERROR(__xludf.DUMMYFUNCTION("""COMPUTED_VALUE"""),"0900")</f>
        <v>0900</v>
      </c>
      <c r="B706" s="2" t="str">
        <f>IFERROR(__xludf.DUMMYFUNCTION("""COMPUTED_VALUE"""),"DOUGLAS COUNTY      RE 1")</f>
        <v>DOUGLAS COUNTY      RE 1</v>
      </c>
      <c r="C706" s="2" t="str">
        <f>IFERROR(__xludf.DUMMYFUNCTION("""COMPUTED_VALUE"""),"03241")</f>
        <v>03241</v>
      </c>
      <c r="D706" s="2" t="str">
        <f>IFERROR(__xludf.DUMMYFUNCTION("""COMPUTED_VALUE"""),"FRONTIER VALLEY ELEMENTARY SCHOOL")</f>
        <v>FRONTIER VALLEY ELEMENTARY SCHOOL</v>
      </c>
      <c r="E706" s="3" t="str">
        <f>IFERROR(__xludf.DUMMYFUNCTION("""COMPUTED_VALUE"""),"Y")</f>
        <v>Y</v>
      </c>
      <c r="F706" s="3" t="str">
        <f>IFERROR(__xludf.DUMMYFUNCTION("""COMPUTED_VALUE"""),"Y")</f>
        <v>Y</v>
      </c>
      <c r="G706" s="3"/>
      <c r="H706" s="3"/>
      <c r="I706" s="3" t="str">
        <f>IFERROR(__xludf.DUMMYFUNCTION("""COMPUTED_VALUE""")," ")</f>
        <v> </v>
      </c>
      <c r="J706" s="3" t="str">
        <f>IFERROR(__xludf.DUMMYFUNCTION("""COMPUTED_VALUE""")," ")</f>
        <v> </v>
      </c>
      <c r="K706" s="3" t="str">
        <f>IFERROR(__xludf.DUMMYFUNCTION("""COMPUTED_VALUE"""),"Y")</f>
        <v>Y</v>
      </c>
      <c r="L706" s="3" t="str">
        <f>IFERROR(__xludf.DUMMYFUNCTION("""COMPUTED_VALUE""")," ")</f>
        <v> </v>
      </c>
      <c r="M706" s="3"/>
      <c r="N706" s="5" t="str">
        <f>IFERROR(__xludf.DUMMYFUNCTION("""COMPUTED_VALUE""")," ")</f>
        <v> </v>
      </c>
      <c r="O706" s="5"/>
    </row>
    <row r="707">
      <c r="A707" s="2" t="str">
        <f>IFERROR(__xludf.DUMMYFUNCTION("""COMPUTED_VALUE"""),"0900")</f>
        <v>0900</v>
      </c>
      <c r="B707" s="2" t="str">
        <f>IFERROR(__xludf.DUMMYFUNCTION("""COMPUTED_VALUE"""),"DOUGLAS COUNTY      RE 1")</f>
        <v>DOUGLAS COUNTY      RE 1</v>
      </c>
      <c r="C707" s="2" t="str">
        <f>IFERROR(__xludf.DUMMYFUNCTION("""COMPUTED_VALUE"""),"03327")</f>
        <v>03327</v>
      </c>
      <c r="D707" s="2" t="str">
        <f>IFERROR(__xludf.DUMMYFUNCTION("""COMPUTED_VALUE"""),"GLOBAL VILLAGE ACADMEY - DOUGLAS")</f>
        <v>GLOBAL VILLAGE ACADMEY - DOUGLAS</v>
      </c>
      <c r="E707" s="3"/>
      <c r="F707" s="3" t="str">
        <f>IFERROR(__xludf.DUMMYFUNCTION("""COMPUTED_VALUE"""),"Y")</f>
        <v>Y</v>
      </c>
      <c r="G707" s="3"/>
      <c r="H707" s="3"/>
      <c r="I707" s="3" t="str">
        <f>IFERROR(__xludf.DUMMYFUNCTION("""COMPUTED_VALUE""")," ")</f>
        <v> </v>
      </c>
      <c r="J707" s="3" t="str">
        <f>IFERROR(__xludf.DUMMYFUNCTION("""COMPUTED_VALUE""")," ")</f>
        <v> </v>
      </c>
      <c r="K707" s="3" t="str">
        <f>IFERROR(__xludf.DUMMYFUNCTION("""COMPUTED_VALUE"""),"Y")</f>
        <v>Y</v>
      </c>
      <c r="L707" s="3" t="str">
        <f>IFERROR(__xludf.DUMMYFUNCTION("""COMPUTED_VALUE""")," ")</f>
        <v> </v>
      </c>
      <c r="M707" s="3"/>
      <c r="N707" s="5"/>
      <c r="O707" s="5"/>
    </row>
    <row r="708">
      <c r="A708" s="2" t="str">
        <f>IFERROR(__xludf.DUMMYFUNCTION("""COMPUTED_VALUE"""),"0900")</f>
        <v>0900</v>
      </c>
      <c r="B708" s="2" t="str">
        <f>IFERROR(__xludf.DUMMYFUNCTION("""COMPUTED_VALUE"""),"DOUGLAS COUNTY      RE 1")</f>
        <v>DOUGLAS COUNTY      RE 1</v>
      </c>
      <c r="C708" s="2" t="str">
        <f>IFERROR(__xludf.DUMMYFUNCTION("""COMPUTED_VALUE"""),"03928")</f>
        <v>03928</v>
      </c>
      <c r="D708" s="2" t="str">
        <f>IFERROR(__xludf.DUMMYFUNCTION("""COMPUTED_VALUE"""),"HERITAGE ELEMENTARY SCHOOL")</f>
        <v>HERITAGE ELEMENTARY SCHOOL</v>
      </c>
      <c r="E708" s="3" t="str">
        <f>IFERROR(__xludf.DUMMYFUNCTION("""COMPUTED_VALUE"""),"Y")</f>
        <v>Y</v>
      </c>
      <c r="F708" s="3" t="str">
        <f>IFERROR(__xludf.DUMMYFUNCTION("""COMPUTED_VALUE"""),"Y")</f>
        <v>Y</v>
      </c>
      <c r="G708" s="3"/>
      <c r="H708" s="3"/>
      <c r="I708" s="3" t="str">
        <f>IFERROR(__xludf.DUMMYFUNCTION("""COMPUTED_VALUE""")," ")</f>
        <v> </v>
      </c>
      <c r="J708" s="3" t="str">
        <f>IFERROR(__xludf.DUMMYFUNCTION("""COMPUTED_VALUE""")," ")</f>
        <v> </v>
      </c>
      <c r="K708" s="3" t="str">
        <f>IFERROR(__xludf.DUMMYFUNCTION("""COMPUTED_VALUE"""),"Y")</f>
        <v>Y</v>
      </c>
      <c r="L708" s="3" t="str">
        <f>IFERROR(__xludf.DUMMYFUNCTION("""COMPUTED_VALUE""")," ")</f>
        <v> </v>
      </c>
      <c r="M708" s="3"/>
      <c r="N708" s="5" t="str">
        <f>IFERROR(__xludf.DUMMYFUNCTION("""COMPUTED_VALUE""")," ")</f>
        <v> </v>
      </c>
      <c r="O708" s="5"/>
    </row>
    <row r="709">
      <c r="A709" s="2" t="str">
        <f>IFERROR(__xludf.DUMMYFUNCTION("""COMPUTED_VALUE"""),"0900")</f>
        <v>0900</v>
      </c>
      <c r="B709" s="2" t="str">
        <f>IFERROR(__xludf.DUMMYFUNCTION("""COMPUTED_VALUE"""),"DOUGLAS COUNTY      RE 1")</f>
        <v>DOUGLAS COUNTY      RE 1</v>
      </c>
      <c r="C709" s="2" t="str">
        <f>IFERROR(__xludf.DUMMYFUNCTION("""COMPUTED_VALUE"""),"03980")</f>
        <v>03980</v>
      </c>
      <c r="D709" s="2" t="str">
        <f>IFERROR(__xludf.DUMMYFUNCTION("""COMPUTED_VALUE"""),"HIGHLANDS RANCH HIGH SCHOOL")</f>
        <v>HIGHLANDS RANCH HIGH SCHOOL</v>
      </c>
      <c r="E709" s="3" t="str">
        <f>IFERROR(__xludf.DUMMYFUNCTION("""COMPUTED_VALUE"""),"Y")</f>
        <v>Y</v>
      </c>
      <c r="F709" s="3" t="str">
        <f>IFERROR(__xludf.DUMMYFUNCTION("""COMPUTED_VALUE"""),"Y")</f>
        <v>Y</v>
      </c>
      <c r="G709" s="3"/>
      <c r="H709" s="3"/>
      <c r="I709" s="3" t="str">
        <f>IFERROR(__xludf.DUMMYFUNCTION("""COMPUTED_VALUE""")," ")</f>
        <v> </v>
      </c>
      <c r="J709" s="3" t="str">
        <f>IFERROR(__xludf.DUMMYFUNCTION("""COMPUTED_VALUE""")," ")</f>
        <v> </v>
      </c>
      <c r="K709" s="3" t="str">
        <f>IFERROR(__xludf.DUMMYFUNCTION("""COMPUTED_VALUE"""),"Y")</f>
        <v>Y</v>
      </c>
      <c r="L709" s="3" t="str">
        <f>IFERROR(__xludf.DUMMYFUNCTION("""COMPUTED_VALUE""")," ")</f>
        <v> </v>
      </c>
      <c r="M709" s="3"/>
      <c r="N709" s="5" t="str">
        <f>IFERROR(__xludf.DUMMYFUNCTION("""COMPUTED_VALUE""")," ")</f>
        <v> </v>
      </c>
      <c r="O709" s="5"/>
    </row>
    <row r="710">
      <c r="A710" s="2" t="str">
        <f>IFERROR(__xludf.DUMMYFUNCTION("""COMPUTED_VALUE"""),"0900")</f>
        <v>0900</v>
      </c>
      <c r="B710" s="2" t="str">
        <f>IFERROR(__xludf.DUMMYFUNCTION("""COMPUTED_VALUE"""),"DOUGLAS COUNTY      RE 1")</f>
        <v>DOUGLAS COUNTY      RE 1</v>
      </c>
      <c r="C710" s="2" t="str">
        <f>IFERROR(__xludf.DUMMYFUNCTION("""COMPUTED_VALUE"""),"04271")</f>
        <v>04271</v>
      </c>
      <c r="D710" s="2" t="str">
        <f>IFERROR(__xludf.DUMMYFUNCTION("""COMPUTED_VALUE"""),"LEGEND HIGH SCHOOL")</f>
        <v>LEGEND HIGH SCHOOL</v>
      </c>
      <c r="E710" s="3" t="str">
        <f>IFERROR(__xludf.DUMMYFUNCTION("""COMPUTED_VALUE"""),"Y")</f>
        <v>Y</v>
      </c>
      <c r="F710" s="3" t="str">
        <f>IFERROR(__xludf.DUMMYFUNCTION("""COMPUTED_VALUE"""),"Y")</f>
        <v>Y</v>
      </c>
      <c r="G710" s="3"/>
      <c r="H710" s="3"/>
      <c r="I710" s="3" t="str">
        <f>IFERROR(__xludf.DUMMYFUNCTION("""COMPUTED_VALUE""")," ")</f>
        <v> </v>
      </c>
      <c r="J710" s="3" t="str">
        <f>IFERROR(__xludf.DUMMYFUNCTION("""COMPUTED_VALUE""")," ")</f>
        <v> </v>
      </c>
      <c r="K710" s="3" t="str">
        <f>IFERROR(__xludf.DUMMYFUNCTION("""COMPUTED_VALUE"""),"Y")</f>
        <v>Y</v>
      </c>
      <c r="L710" s="3" t="str">
        <f>IFERROR(__xludf.DUMMYFUNCTION("""COMPUTED_VALUE""")," ")</f>
        <v> </v>
      </c>
      <c r="M710" s="3"/>
      <c r="N710" s="5" t="str">
        <f>IFERROR(__xludf.DUMMYFUNCTION("""COMPUTED_VALUE""")," ")</f>
        <v> </v>
      </c>
      <c r="O710" s="5"/>
    </row>
    <row r="711">
      <c r="A711" s="2" t="str">
        <f>IFERROR(__xludf.DUMMYFUNCTION("""COMPUTED_VALUE"""),"0900")</f>
        <v>0900</v>
      </c>
      <c r="B711" s="2" t="str">
        <f>IFERROR(__xludf.DUMMYFUNCTION("""COMPUTED_VALUE"""),"DOUGLAS COUNTY      RE 1")</f>
        <v>DOUGLAS COUNTY      RE 1</v>
      </c>
      <c r="C711" s="2" t="str">
        <f>IFERROR(__xludf.DUMMYFUNCTION("""COMPUTED_VALUE"""),"04292")</f>
        <v>04292</v>
      </c>
      <c r="D711" s="2" t="str">
        <f>IFERROR(__xludf.DUMMYFUNCTION("""COMPUTED_VALUE"""),"IRON HORSE ELEMENTARY SCHOOL")</f>
        <v>IRON HORSE ELEMENTARY SCHOOL</v>
      </c>
      <c r="E711" s="3" t="str">
        <f>IFERROR(__xludf.DUMMYFUNCTION("""COMPUTED_VALUE"""),"Y")</f>
        <v>Y</v>
      </c>
      <c r="F711" s="3" t="str">
        <f>IFERROR(__xludf.DUMMYFUNCTION("""COMPUTED_VALUE"""),"Y")</f>
        <v>Y</v>
      </c>
      <c r="G711" s="3"/>
      <c r="H711" s="3"/>
      <c r="I711" s="3" t="str">
        <f>IFERROR(__xludf.DUMMYFUNCTION("""COMPUTED_VALUE""")," ")</f>
        <v> </v>
      </c>
      <c r="J711" s="3" t="str">
        <f>IFERROR(__xludf.DUMMYFUNCTION("""COMPUTED_VALUE""")," ")</f>
        <v> </v>
      </c>
      <c r="K711" s="3" t="str">
        <f>IFERROR(__xludf.DUMMYFUNCTION("""COMPUTED_VALUE"""),"Y")</f>
        <v>Y</v>
      </c>
      <c r="L711" s="3" t="str">
        <f>IFERROR(__xludf.DUMMYFUNCTION("""COMPUTED_VALUE""")," ")</f>
        <v> </v>
      </c>
      <c r="M711" s="3"/>
      <c r="N711" s="5" t="str">
        <f>IFERROR(__xludf.DUMMYFUNCTION("""COMPUTED_VALUE""")," ")</f>
        <v> </v>
      </c>
      <c r="O711" s="5"/>
    </row>
    <row r="712">
      <c r="A712" s="2" t="str">
        <f>IFERROR(__xludf.DUMMYFUNCTION("""COMPUTED_VALUE"""),"0900")</f>
        <v>0900</v>
      </c>
      <c r="B712" s="2" t="str">
        <f>IFERROR(__xludf.DUMMYFUNCTION("""COMPUTED_VALUE"""),"DOUGLAS COUNTY      RE 1")</f>
        <v>DOUGLAS COUNTY      RE 1</v>
      </c>
      <c r="C712" s="2" t="str">
        <f>IFERROR(__xludf.DUMMYFUNCTION("""COMPUTED_VALUE"""),"04980")</f>
        <v>04980</v>
      </c>
      <c r="D712" s="2" t="str">
        <f>IFERROR(__xludf.DUMMYFUNCTION("""COMPUTED_VALUE"""),"LARKSPUR ELEMENTARY SCHOOL")</f>
        <v>LARKSPUR ELEMENTARY SCHOOL</v>
      </c>
      <c r="E712" s="3" t="str">
        <f>IFERROR(__xludf.DUMMYFUNCTION("""COMPUTED_VALUE"""),"Y")</f>
        <v>Y</v>
      </c>
      <c r="F712" s="3" t="str">
        <f>IFERROR(__xludf.DUMMYFUNCTION("""COMPUTED_VALUE"""),"Y")</f>
        <v>Y</v>
      </c>
      <c r="G712" s="3"/>
      <c r="H712" s="3"/>
      <c r="I712" s="3" t="str">
        <f>IFERROR(__xludf.DUMMYFUNCTION("""COMPUTED_VALUE""")," ")</f>
        <v> </v>
      </c>
      <c r="J712" s="3" t="str">
        <f>IFERROR(__xludf.DUMMYFUNCTION("""COMPUTED_VALUE""")," ")</f>
        <v> </v>
      </c>
      <c r="K712" s="3" t="str">
        <f>IFERROR(__xludf.DUMMYFUNCTION("""COMPUTED_VALUE"""),"Y")</f>
        <v>Y</v>
      </c>
      <c r="L712" s="3" t="str">
        <f>IFERROR(__xludf.DUMMYFUNCTION("""COMPUTED_VALUE""")," ")</f>
        <v> </v>
      </c>
      <c r="M712" s="3"/>
      <c r="N712" s="5" t="str">
        <f>IFERROR(__xludf.DUMMYFUNCTION("""COMPUTED_VALUE""")," ")</f>
        <v> </v>
      </c>
      <c r="O712" s="5"/>
    </row>
    <row r="713">
      <c r="A713" s="2" t="str">
        <f>IFERROR(__xludf.DUMMYFUNCTION("""COMPUTED_VALUE"""),"0900")</f>
        <v>0900</v>
      </c>
      <c r="B713" s="2" t="str">
        <f>IFERROR(__xludf.DUMMYFUNCTION("""COMPUTED_VALUE"""),"DOUGLAS COUNTY      RE 1")</f>
        <v>DOUGLAS COUNTY      RE 1</v>
      </c>
      <c r="C713" s="2" t="str">
        <f>IFERROR(__xludf.DUMMYFUNCTION("""COMPUTED_VALUE"""),"05045")</f>
        <v>05045</v>
      </c>
      <c r="D713" s="2" t="str">
        <f>IFERROR(__xludf.DUMMYFUNCTION("""COMPUTED_VALUE"""),"LEGACY POINT ELEMENTARY")</f>
        <v>LEGACY POINT ELEMENTARY</v>
      </c>
      <c r="E713" s="3" t="str">
        <f>IFERROR(__xludf.DUMMYFUNCTION("""COMPUTED_VALUE"""),"Y")</f>
        <v>Y</v>
      </c>
      <c r="F713" s="3" t="str">
        <f>IFERROR(__xludf.DUMMYFUNCTION("""COMPUTED_VALUE"""),"Y")</f>
        <v>Y</v>
      </c>
      <c r="G713" s="3"/>
      <c r="H713" s="3"/>
      <c r="I713" s="3" t="str">
        <f>IFERROR(__xludf.DUMMYFUNCTION("""COMPUTED_VALUE""")," ")</f>
        <v> </v>
      </c>
      <c r="J713" s="3" t="str">
        <f>IFERROR(__xludf.DUMMYFUNCTION("""COMPUTED_VALUE""")," ")</f>
        <v> </v>
      </c>
      <c r="K713" s="3" t="str">
        <f>IFERROR(__xludf.DUMMYFUNCTION("""COMPUTED_VALUE"""),"Y")</f>
        <v>Y</v>
      </c>
      <c r="L713" s="3" t="str">
        <f>IFERROR(__xludf.DUMMYFUNCTION("""COMPUTED_VALUE""")," ")</f>
        <v> </v>
      </c>
      <c r="M713" s="3"/>
      <c r="N713" s="5" t="str">
        <f>IFERROR(__xludf.DUMMYFUNCTION("""COMPUTED_VALUE""")," ")</f>
        <v> </v>
      </c>
      <c r="O713" s="5"/>
    </row>
    <row r="714">
      <c r="A714" s="2" t="str">
        <f>IFERROR(__xludf.DUMMYFUNCTION("""COMPUTED_VALUE"""),"0900")</f>
        <v>0900</v>
      </c>
      <c r="B714" s="2" t="str">
        <f>IFERROR(__xludf.DUMMYFUNCTION("""COMPUTED_VALUE"""),"DOUGLAS COUNTY      RE 1")</f>
        <v>DOUGLAS COUNTY      RE 1</v>
      </c>
      <c r="C714" s="2" t="str">
        <f>IFERROR(__xludf.DUMMYFUNCTION("""COMPUTED_VALUE"""),"05225")</f>
        <v>05225</v>
      </c>
      <c r="D714" s="2" t="str">
        <f>IFERROR(__xludf.DUMMYFUNCTION("""COMPUTED_VALUE"""),"Leman Classical Academy")</f>
        <v>Leman Classical Academy</v>
      </c>
      <c r="E714" s="3"/>
      <c r="F714" s="3" t="str">
        <f>IFERROR(__xludf.DUMMYFUNCTION("""COMPUTED_VALUE"""),"Y")</f>
        <v>Y</v>
      </c>
      <c r="G714" s="3"/>
      <c r="H714" s="3"/>
      <c r="I714" s="3" t="str">
        <f>IFERROR(__xludf.DUMMYFUNCTION("""COMPUTED_VALUE""")," ")</f>
        <v> </v>
      </c>
      <c r="J714" s="3" t="str">
        <f>IFERROR(__xludf.DUMMYFUNCTION("""COMPUTED_VALUE""")," ")</f>
        <v> </v>
      </c>
      <c r="K714" s="3" t="str">
        <f>IFERROR(__xludf.DUMMYFUNCTION("""COMPUTED_VALUE"""),"Y")</f>
        <v>Y</v>
      </c>
      <c r="L714" s="3" t="str">
        <f>IFERROR(__xludf.DUMMYFUNCTION("""COMPUTED_VALUE""")," ")</f>
        <v> </v>
      </c>
      <c r="M714" s="3"/>
      <c r="N714" s="5" t="str">
        <f>IFERROR(__xludf.DUMMYFUNCTION("""COMPUTED_VALUE""")," ")</f>
        <v> </v>
      </c>
      <c r="O714" s="5"/>
    </row>
    <row r="715">
      <c r="A715" s="2" t="str">
        <f>IFERROR(__xludf.DUMMYFUNCTION("""COMPUTED_VALUE"""),"0900")</f>
        <v>0900</v>
      </c>
      <c r="B715" s="2" t="str">
        <f>IFERROR(__xludf.DUMMYFUNCTION("""COMPUTED_VALUE"""),"DOUGLAS COUNTY      RE 1")</f>
        <v>DOUGLAS COUNTY      RE 1</v>
      </c>
      <c r="C715" s="2" t="str">
        <f>IFERROR(__xludf.DUMMYFUNCTION("""COMPUTED_VALUE"""),"05259")</f>
        <v>05259</v>
      </c>
      <c r="D715" s="2" t="str">
        <f>IFERROR(__xludf.DUMMYFUNCTION("""COMPUTED_VALUE"""),"STEM School Highlands Ranch")</f>
        <v>STEM School Highlands Ranch</v>
      </c>
      <c r="E715" s="3"/>
      <c r="F715" s="3" t="str">
        <f>IFERROR(__xludf.DUMMYFUNCTION("""COMPUTED_VALUE"""),"Y")</f>
        <v>Y</v>
      </c>
      <c r="G715" s="3"/>
      <c r="H715" s="3"/>
      <c r="I715" s="3" t="str">
        <f>IFERROR(__xludf.DUMMYFUNCTION("""COMPUTED_VALUE""")," ")</f>
        <v> </v>
      </c>
      <c r="J715" s="3" t="str">
        <f>IFERROR(__xludf.DUMMYFUNCTION("""COMPUTED_VALUE""")," ")</f>
        <v> </v>
      </c>
      <c r="K715" s="3" t="str">
        <f>IFERROR(__xludf.DUMMYFUNCTION("""COMPUTED_VALUE"""),"Y")</f>
        <v>Y</v>
      </c>
      <c r="L715" s="3" t="str">
        <f>IFERROR(__xludf.DUMMYFUNCTION("""COMPUTED_VALUE""")," ")</f>
        <v> </v>
      </c>
      <c r="M715" s="3"/>
      <c r="N715" s="5" t="str">
        <f>IFERROR(__xludf.DUMMYFUNCTION("""COMPUTED_VALUE""")," ")</f>
        <v> </v>
      </c>
      <c r="O715" s="5"/>
    </row>
    <row r="716">
      <c r="A716" s="2" t="str">
        <f>IFERROR(__xludf.DUMMYFUNCTION("""COMPUTED_VALUE"""),"0900")</f>
        <v>0900</v>
      </c>
      <c r="B716" s="2" t="str">
        <f>IFERROR(__xludf.DUMMYFUNCTION("""COMPUTED_VALUE"""),"DOUGLAS COUNTY      RE 1")</f>
        <v>DOUGLAS COUNTY      RE 1</v>
      </c>
      <c r="C716" s="2" t="str">
        <f>IFERROR(__xludf.DUMMYFUNCTION("""COMPUTED_VALUE"""),"05405")</f>
        <v>05405</v>
      </c>
      <c r="D716" s="2" t="str">
        <f>IFERROR(__xludf.DUMMYFUNCTION("""COMPUTED_VALUE"""),"eDCSD")</f>
        <v>eDCSD</v>
      </c>
      <c r="E716" s="3"/>
      <c r="F716" s="3" t="str">
        <f>IFERROR(__xludf.DUMMYFUNCTION("""COMPUTED_VALUE"""),"Y")</f>
        <v>Y</v>
      </c>
      <c r="G716" s="3"/>
      <c r="H716" s="3"/>
      <c r="I716" s="3" t="str">
        <f>IFERROR(__xludf.DUMMYFUNCTION("""COMPUTED_VALUE""")," ")</f>
        <v> </v>
      </c>
      <c r="J716" s="3" t="str">
        <f>IFERROR(__xludf.DUMMYFUNCTION("""COMPUTED_VALUE""")," ")</f>
        <v> </v>
      </c>
      <c r="K716" s="3" t="str">
        <f>IFERROR(__xludf.DUMMYFUNCTION("""COMPUTED_VALUE"""),"Y")</f>
        <v>Y</v>
      </c>
      <c r="L716" s="3" t="str">
        <f>IFERROR(__xludf.DUMMYFUNCTION("""COMPUTED_VALUE""")," ")</f>
        <v> </v>
      </c>
      <c r="M716" s="3"/>
      <c r="N716" s="5" t="str">
        <f>IFERROR(__xludf.DUMMYFUNCTION("""COMPUTED_VALUE""")," ")</f>
        <v> </v>
      </c>
      <c r="O716" s="5"/>
    </row>
    <row r="717">
      <c r="A717" s="2" t="str">
        <f>IFERROR(__xludf.DUMMYFUNCTION("""COMPUTED_VALUE"""),"0900")</f>
        <v>0900</v>
      </c>
      <c r="B717" s="2" t="str">
        <f>IFERROR(__xludf.DUMMYFUNCTION("""COMPUTED_VALUE"""),"DOUGLAS COUNTY      RE 1")</f>
        <v>DOUGLAS COUNTY      RE 1</v>
      </c>
      <c r="C717" s="2" t="str">
        <f>IFERROR(__xludf.DUMMYFUNCTION("""COMPUTED_VALUE"""),"05607")</f>
        <v>05607</v>
      </c>
      <c r="D717" s="2" t="str">
        <f>IFERROR(__xludf.DUMMYFUNCTION("""COMPUTED_VALUE"""),"SAGE CANYON")</f>
        <v>SAGE CANYON</v>
      </c>
      <c r="E717" s="3" t="str">
        <f>IFERROR(__xludf.DUMMYFUNCTION("""COMPUTED_VALUE"""),"Y")</f>
        <v>Y</v>
      </c>
      <c r="F717" s="3" t="str">
        <f>IFERROR(__xludf.DUMMYFUNCTION("""COMPUTED_VALUE"""),"Y")</f>
        <v>Y</v>
      </c>
      <c r="G717" s="3"/>
      <c r="H717" s="3"/>
      <c r="I717" s="3" t="str">
        <f>IFERROR(__xludf.DUMMYFUNCTION("""COMPUTED_VALUE""")," ")</f>
        <v> </v>
      </c>
      <c r="J717" s="3" t="str">
        <f>IFERROR(__xludf.DUMMYFUNCTION("""COMPUTED_VALUE""")," ")</f>
        <v> </v>
      </c>
      <c r="K717" s="3" t="str">
        <f>IFERROR(__xludf.DUMMYFUNCTION("""COMPUTED_VALUE"""),"Y")</f>
        <v>Y</v>
      </c>
      <c r="L717" s="3" t="str">
        <f>IFERROR(__xludf.DUMMYFUNCTION("""COMPUTED_VALUE""")," ")</f>
        <v> </v>
      </c>
      <c r="M717" s="3"/>
      <c r="N717" s="5" t="str">
        <f>IFERROR(__xludf.DUMMYFUNCTION("""COMPUTED_VALUE""")," ")</f>
        <v> </v>
      </c>
      <c r="O717" s="5"/>
    </row>
    <row r="718">
      <c r="A718" s="2" t="str">
        <f>IFERROR(__xludf.DUMMYFUNCTION("""COMPUTED_VALUE"""),"0900")</f>
        <v>0900</v>
      </c>
      <c r="B718" s="2" t="str">
        <f>IFERROR(__xludf.DUMMYFUNCTION("""COMPUTED_VALUE"""),"DOUGLAS COUNTY      RE 1")</f>
        <v>DOUGLAS COUNTY      RE 1</v>
      </c>
      <c r="C718" s="2" t="str">
        <f>IFERROR(__xludf.DUMMYFUNCTION("""COMPUTED_VALUE"""),"05745")</f>
        <v>05745</v>
      </c>
      <c r="D718" s="2" t="str">
        <f>IFERROR(__xludf.DUMMYFUNCTION("""COMPUTED_VALUE"""),"MEADOW VIEW ELEMENTARY SCHOOL")</f>
        <v>MEADOW VIEW ELEMENTARY SCHOOL</v>
      </c>
      <c r="E718" s="3" t="str">
        <f>IFERROR(__xludf.DUMMYFUNCTION("""COMPUTED_VALUE"""),"Y")</f>
        <v>Y</v>
      </c>
      <c r="F718" s="3" t="str">
        <f>IFERROR(__xludf.DUMMYFUNCTION("""COMPUTED_VALUE"""),"Y")</f>
        <v>Y</v>
      </c>
      <c r="G718" s="3"/>
      <c r="H718" s="3"/>
      <c r="I718" s="3" t="str">
        <f>IFERROR(__xludf.DUMMYFUNCTION("""COMPUTED_VALUE""")," ")</f>
        <v> </v>
      </c>
      <c r="J718" s="3" t="str">
        <f>IFERROR(__xludf.DUMMYFUNCTION("""COMPUTED_VALUE""")," ")</f>
        <v> </v>
      </c>
      <c r="K718" s="3" t="str">
        <f>IFERROR(__xludf.DUMMYFUNCTION("""COMPUTED_VALUE"""),"Y")</f>
        <v>Y</v>
      </c>
      <c r="L718" s="3" t="str">
        <f>IFERROR(__xludf.DUMMYFUNCTION("""COMPUTED_VALUE"""),"Group 1")</f>
        <v>Group 1</v>
      </c>
      <c r="M718" s="3"/>
      <c r="N718" s="5" t="str">
        <f>IFERROR(__xludf.DUMMYFUNCTION("""COMPUTED_VALUE""")," ")</f>
        <v> </v>
      </c>
      <c r="O718" s="5"/>
    </row>
    <row r="719">
      <c r="A719" s="2" t="str">
        <f>IFERROR(__xludf.DUMMYFUNCTION("""COMPUTED_VALUE"""),"0900")</f>
        <v>0900</v>
      </c>
      <c r="B719" s="2" t="str">
        <f>IFERROR(__xludf.DUMMYFUNCTION("""COMPUTED_VALUE"""),"DOUGLAS COUNTY      RE 1")</f>
        <v>DOUGLAS COUNTY      RE 1</v>
      </c>
      <c r="C719" s="2" t="str">
        <f>IFERROR(__xludf.DUMMYFUNCTION("""COMPUTED_VALUE"""),"05843")</f>
        <v>05843</v>
      </c>
      <c r="D719" s="2" t="str">
        <f>IFERROR(__xludf.DUMMYFUNCTION("""COMPUTED_VALUE"""),"LONE TREE ELEMENTARY")</f>
        <v>LONE TREE ELEMENTARY</v>
      </c>
      <c r="E719" s="3" t="str">
        <f>IFERROR(__xludf.DUMMYFUNCTION("""COMPUTED_VALUE"""),"Y")</f>
        <v>Y</v>
      </c>
      <c r="F719" s="3" t="str">
        <f>IFERROR(__xludf.DUMMYFUNCTION("""COMPUTED_VALUE"""),"Y")</f>
        <v>Y</v>
      </c>
      <c r="G719" s="3"/>
      <c r="H719" s="3"/>
      <c r="I719" s="3" t="str">
        <f>IFERROR(__xludf.DUMMYFUNCTION("""COMPUTED_VALUE""")," ")</f>
        <v> </v>
      </c>
      <c r="J719" s="3" t="str">
        <f>IFERROR(__xludf.DUMMYFUNCTION("""COMPUTED_VALUE""")," ")</f>
        <v> </v>
      </c>
      <c r="K719" s="3" t="str">
        <f>IFERROR(__xludf.DUMMYFUNCTION("""COMPUTED_VALUE"""),"Y")</f>
        <v>Y</v>
      </c>
      <c r="L719" s="3" t="str">
        <f>IFERROR(__xludf.DUMMYFUNCTION("""COMPUTED_VALUE""")," ")</f>
        <v> </v>
      </c>
      <c r="M719" s="3"/>
      <c r="N719" s="5" t="str">
        <f>IFERROR(__xludf.DUMMYFUNCTION("""COMPUTED_VALUE""")," ")</f>
        <v> </v>
      </c>
      <c r="O719" s="5"/>
    </row>
    <row r="720">
      <c r="A720" s="2" t="str">
        <f>IFERROR(__xludf.DUMMYFUNCTION("""COMPUTED_VALUE"""),"0900")</f>
        <v>0900</v>
      </c>
      <c r="B720" s="2" t="str">
        <f>IFERROR(__xludf.DUMMYFUNCTION("""COMPUTED_VALUE"""),"DOUGLAS COUNTY      RE 1")</f>
        <v>DOUGLAS COUNTY      RE 1</v>
      </c>
      <c r="C720" s="2" t="str">
        <f>IFERROR(__xludf.DUMMYFUNCTION("""COMPUTED_VALUE"""),"05997")</f>
        <v>05997</v>
      </c>
      <c r="D720" s="2" t="str">
        <f>IFERROR(__xludf.DUMMYFUNCTION("""COMPUTED_VALUE"""),"D C S MONTESSORI CHARTER SCHOOL")</f>
        <v>D C S MONTESSORI CHARTER SCHOOL</v>
      </c>
      <c r="E720" s="3" t="str">
        <f>IFERROR(__xludf.DUMMYFUNCTION("""COMPUTED_VALUE"""),"Y")</f>
        <v>Y</v>
      </c>
      <c r="F720" s="3" t="str">
        <f>IFERROR(__xludf.DUMMYFUNCTION("""COMPUTED_VALUE"""),"Y")</f>
        <v>Y</v>
      </c>
      <c r="G720" s="3"/>
      <c r="H720" s="3"/>
      <c r="I720" s="3" t="str">
        <f>IFERROR(__xludf.DUMMYFUNCTION("""COMPUTED_VALUE""")," ")</f>
        <v> </v>
      </c>
      <c r="J720" s="3" t="str">
        <f>IFERROR(__xludf.DUMMYFUNCTION("""COMPUTED_VALUE""")," ")</f>
        <v> </v>
      </c>
      <c r="K720" s="3" t="str">
        <f>IFERROR(__xludf.DUMMYFUNCTION("""COMPUTED_VALUE"""),"Y")</f>
        <v>Y</v>
      </c>
      <c r="L720" s="3" t="str">
        <f>IFERROR(__xludf.DUMMYFUNCTION("""COMPUTED_VALUE""")," ")</f>
        <v> </v>
      </c>
      <c r="M720" s="3"/>
      <c r="N720" s="5" t="str">
        <f>IFERROR(__xludf.DUMMYFUNCTION("""COMPUTED_VALUE""")," ")</f>
        <v> </v>
      </c>
      <c r="O720" s="5"/>
    </row>
    <row r="721">
      <c r="A721" s="2" t="str">
        <f>IFERROR(__xludf.DUMMYFUNCTION("""COMPUTED_VALUE"""),"0900")</f>
        <v>0900</v>
      </c>
      <c r="B721" s="2" t="str">
        <f>IFERROR(__xludf.DUMMYFUNCTION("""COMPUTED_VALUE"""),"DOUGLAS COUNTY      RE 1")</f>
        <v>DOUGLAS COUNTY      RE 1</v>
      </c>
      <c r="C721" s="2" t="str">
        <f>IFERROR(__xludf.DUMMYFUNCTION("""COMPUTED_VALUE"""),"06019")</f>
        <v>06019</v>
      </c>
      <c r="D721" s="2" t="str">
        <f>IFERROR(__xludf.DUMMYFUNCTION("""COMPUTED_VALUE"""),"Aspen View Academy")</f>
        <v>Aspen View Academy</v>
      </c>
      <c r="E721" s="3"/>
      <c r="F721" s="3" t="str">
        <f>IFERROR(__xludf.DUMMYFUNCTION("""COMPUTED_VALUE"""),"Y")</f>
        <v>Y</v>
      </c>
      <c r="G721" s="3"/>
      <c r="H721" s="3"/>
      <c r="I721" s="3" t="str">
        <f>IFERROR(__xludf.DUMMYFUNCTION("""COMPUTED_VALUE""")," ")</f>
        <v> </v>
      </c>
      <c r="J721" s="3" t="str">
        <f>IFERROR(__xludf.DUMMYFUNCTION("""COMPUTED_VALUE""")," ")</f>
        <v> </v>
      </c>
      <c r="K721" s="3" t="str">
        <f>IFERROR(__xludf.DUMMYFUNCTION("""COMPUTED_VALUE"""),"Y")</f>
        <v>Y</v>
      </c>
      <c r="L721" s="3" t="str">
        <f>IFERROR(__xludf.DUMMYFUNCTION("""COMPUTED_VALUE""")," ")</f>
        <v> </v>
      </c>
      <c r="M721" s="3"/>
      <c r="N721" s="5" t="str">
        <f>IFERROR(__xludf.DUMMYFUNCTION("""COMPUTED_VALUE""")," ")</f>
        <v> </v>
      </c>
      <c r="O721" s="5"/>
    </row>
    <row r="722">
      <c r="A722" s="2" t="str">
        <f>IFERROR(__xludf.DUMMYFUNCTION("""COMPUTED_VALUE"""),"0900")</f>
        <v>0900</v>
      </c>
      <c r="B722" s="2" t="str">
        <f>IFERROR(__xludf.DUMMYFUNCTION("""COMPUTED_VALUE"""),"DOUGLAS COUNTY      RE 1")</f>
        <v>DOUGLAS COUNTY      RE 1</v>
      </c>
      <c r="C722" s="2" t="str">
        <f>IFERROR(__xludf.DUMMYFUNCTION("""COMPUTED_VALUE"""),"06152")</f>
        <v>06152</v>
      </c>
      <c r="D722" s="2" t="str">
        <f>IFERROR(__xludf.DUMMYFUNCTION("""COMPUTED_VALUE"""),"MOUNTAIN VIEW ELEMENTARY SCHOOL")</f>
        <v>MOUNTAIN VIEW ELEMENTARY SCHOOL</v>
      </c>
      <c r="E722" s="3" t="str">
        <f>IFERROR(__xludf.DUMMYFUNCTION("""COMPUTED_VALUE"""),"Y")</f>
        <v>Y</v>
      </c>
      <c r="F722" s="3" t="str">
        <f>IFERROR(__xludf.DUMMYFUNCTION("""COMPUTED_VALUE"""),"Y")</f>
        <v>Y</v>
      </c>
      <c r="G722" s="3"/>
      <c r="H722" s="3"/>
      <c r="I722" s="3" t="str">
        <f>IFERROR(__xludf.DUMMYFUNCTION("""COMPUTED_VALUE""")," ")</f>
        <v> </v>
      </c>
      <c r="J722" s="3" t="str">
        <f>IFERROR(__xludf.DUMMYFUNCTION("""COMPUTED_VALUE""")," ")</f>
        <v> </v>
      </c>
      <c r="K722" s="3" t="str">
        <f>IFERROR(__xludf.DUMMYFUNCTION("""COMPUTED_VALUE"""),"Y")</f>
        <v>Y</v>
      </c>
      <c r="L722" s="3" t="str">
        <f>IFERROR(__xludf.DUMMYFUNCTION("""COMPUTED_VALUE""")," ")</f>
        <v> </v>
      </c>
      <c r="M722" s="3"/>
      <c r="N722" s="5" t="str">
        <f>IFERROR(__xludf.DUMMYFUNCTION("""COMPUTED_VALUE""")," ")</f>
        <v> </v>
      </c>
      <c r="O722" s="5"/>
    </row>
    <row r="723">
      <c r="A723" s="2" t="str">
        <f>IFERROR(__xludf.DUMMYFUNCTION("""COMPUTED_VALUE"""),"0900")</f>
        <v>0900</v>
      </c>
      <c r="B723" s="2" t="str">
        <f>IFERROR(__xludf.DUMMYFUNCTION("""COMPUTED_VALUE"""),"DOUGLAS COUNTY      RE 1")</f>
        <v>DOUGLAS COUNTY      RE 1</v>
      </c>
      <c r="C723" s="2" t="str">
        <f>IFERROR(__xludf.DUMMYFUNCTION("""COMPUTED_VALUE"""),"06164")</f>
        <v>06164</v>
      </c>
      <c r="D723" s="2" t="str">
        <f>IFERROR(__xludf.DUMMYFUNCTION("""COMPUTED_VALUE"""),"MOUNTAIN RIDGE MIDDLE SCHOOL")</f>
        <v>MOUNTAIN RIDGE MIDDLE SCHOOL</v>
      </c>
      <c r="E723" s="3" t="str">
        <f>IFERROR(__xludf.DUMMYFUNCTION("""COMPUTED_VALUE"""),"Y")</f>
        <v>Y</v>
      </c>
      <c r="F723" s="3" t="str">
        <f>IFERROR(__xludf.DUMMYFUNCTION("""COMPUTED_VALUE"""),"Y")</f>
        <v>Y</v>
      </c>
      <c r="G723" s="3"/>
      <c r="H723" s="3"/>
      <c r="I723" s="3" t="str">
        <f>IFERROR(__xludf.DUMMYFUNCTION("""COMPUTED_VALUE""")," ")</f>
        <v> </v>
      </c>
      <c r="J723" s="3" t="str">
        <f>IFERROR(__xludf.DUMMYFUNCTION("""COMPUTED_VALUE""")," ")</f>
        <v> </v>
      </c>
      <c r="K723" s="3" t="str">
        <f>IFERROR(__xludf.DUMMYFUNCTION("""COMPUTED_VALUE"""),"Y")</f>
        <v>Y</v>
      </c>
      <c r="L723" s="3" t="str">
        <f>IFERROR(__xludf.DUMMYFUNCTION("""COMPUTED_VALUE""")," ")</f>
        <v> </v>
      </c>
      <c r="M723" s="3"/>
      <c r="N723" s="5" t="str">
        <f>IFERROR(__xludf.DUMMYFUNCTION("""COMPUTED_VALUE""")," ")</f>
        <v> </v>
      </c>
      <c r="O723" s="5"/>
    </row>
    <row r="724">
      <c r="A724" s="2" t="str">
        <f>IFERROR(__xludf.DUMMYFUNCTION("""COMPUTED_VALUE"""),"0900")</f>
        <v>0900</v>
      </c>
      <c r="B724" s="2" t="str">
        <f>IFERROR(__xludf.DUMMYFUNCTION("""COMPUTED_VALUE"""),"DOUGLAS COUNTY      RE 1")</f>
        <v>DOUGLAS COUNTY      RE 1</v>
      </c>
      <c r="C724" s="2" t="str">
        <f>IFERROR(__xludf.DUMMYFUNCTION("""COMPUTED_VALUE"""),"06165")</f>
        <v>06165</v>
      </c>
      <c r="D724" s="2" t="str">
        <f>IFERROR(__xludf.DUMMYFUNCTION("""COMPUTED_VALUE"""),"MOUNTAIN VISTA HIGH SCHOOL")</f>
        <v>MOUNTAIN VISTA HIGH SCHOOL</v>
      </c>
      <c r="E724" s="3" t="str">
        <f>IFERROR(__xludf.DUMMYFUNCTION("""COMPUTED_VALUE"""),"Y")</f>
        <v>Y</v>
      </c>
      <c r="F724" s="3" t="str">
        <f>IFERROR(__xludf.DUMMYFUNCTION("""COMPUTED_VALUE"""),"Y")</f>
        <v>Y</v>
      </c>
      <c r="G724" s="3"/>
      <c r="H724" s="3"/>
      <c r="I724" s="3" t="str">
        <f>IFERROR(__xludf.DUMMYFUNCTION("""COMPUTED_VALUE""")," ")</f>
        <v> </v>
      </c>
      <c r="J724" s="3" t="str">
        <f>IFERROR(__xludf.DUMMYFUNCTION("""COMPUTED_VALUE""")," ")</f>
        <v> </v>
      </c>
      <c r="K724" s="3" t="str">
        <f>IFERROR(__xludf.DUMMYFUNCTION("""COMPUTED_VALUE"""),"Y")</f>
        <v>Y</v>
      </c>
      <c r="L724" s="3" t="str">
        <f>IFERROR(__xludf.DUMMYFUNCTION("""COMPUTED_VALUE""")," ")</f>
        <v> </v>
      </c>
      <c r="M724" s="3"/>
      <c r="N724" s="5" t="str">
        <f>IFERROR(__xludf.DUMMYFUNCTION("""COMPUTED_VALUE""")," ")</f>
        <v> </v>
      </c>
      <c r="O724" s="5"/>
    </row>
    <row r="725">
      <c r="A725" s="2" t="str">
        <f>IFERROR(__xludf.DUMMYFUNCTION("""COMPUTED_VALUE"""),"0900")</f>
        <v>0900</v>
      </c>
      <c r="B725" s="2" t="str">
        <f>IFERROR(__xludf.DUMMYFUNCTION("""COMPUTED_VALUE"""),"DOUGLAS COUNTY      RE 1")</f>
        <v>DOUGLAS COUNTY      RE 1</v>
      </c>
      <c r="C725" s="2" t="str">
        <f>IFERROR(__xludf.DUMMYFUNCTION("""COMPUTED_VALUE"""),"06365")</f>
        <v>06365</v>
      </c>
      <c r="D725" s="2" t="str">
        <f>IFERROR(__xludf.DUMMYFUNCTION("""COMPUTED_VALUE"""),"SkyView Academy")</f>
        <v>SkyView Academy</v>
      </c>
      <c r="E725" s="3"/>
      <c r="F725" s="3" t="str">
        <f>IFERROR(__xludf.DUMMYFUNCTION("""COMPUTED_VALUE"""),"Y")</f>
        <v>Y</v>
      </c>
      <c r="G725" s="3"/>
      <c r="H725" s="3"/>
      <c r="I725" s="3" t="str">
        <f>IFERROR(__xludf.DUMMYFUNCTION("""COMPUTED_VALUE""")," ")</f>
        <v> </v>
      </c>
      <c r="J725" s="3" t="str">
        <f>IFERROR(__xludf.DUMMYFUNCTION("""COMPUTED_VALUE""")," ")</f>
        <v> </v>
      </c>
      <c r="K725" s="3" t="str">
        <f>IFERROR(__xludf.DUMMYFUNCTION("""COMPUTED_VALUE"""),"Y")</f>
        <v>Y</v>
      </c>
      <c r="L725" s="3" t="str">
        <f>IFERROR(__xludf.DUMMYFUNCTION("""COMPUTED_VALUE""")," ")</f>
        <v> </v>
      </c>
      <c r="M725" s="3"/>
      <c r="N725" s="5" t="str">
        <f>IFERROR(__xludf.DUMMYFUNCTION("""COMPUTED_VALUE""")," ")</f>
        <v> </v>
      </c>
      <c r="O725" s="5"/>
    </row>
    <row r="726">
      <c r="A726" s="2" t="str">
        <f>IFERROR(__xludf.DUMMYFUNCTION("""COMPUTED_VALUE"""),"0900")</f>
        <v>0900</v>
      </c>
      <c r="B726" s="2" t="str">
        <f>IFERROR(__xludf.DUMMYFUNCTION("""COMPUTED_VALUE"""),"DOUGLAS COUNTY      RE 1")</f>
        <v>DOUGLAS COUNTY      RE 1</v>
      </c>
      <c r="C726" s="2" t="str">
        <f>IFERROR(__xludf.DUMMYFUNCTION("""COMPUTED_VALUE"""),"06396")</f>
        <v>06396</v>
      </c>
      <c r="D726" s="2" t="str">
        <f>IFERROR(__xludf.DUMMYFUNCTION("""COMPUTED_VALUE"""),"NORTHEAST ELEMENTARY SCHOOL")</f>
        <v>NORTHEAST ELEMENTARY SCHOOL</v>
      </c>
      <c r="E726" s="3" t="str">
        <f>IFERROR(__xludf.DUMMYFUNCTION("""COMPUTED_VALUE"""),"Y")</f>
        <v>Y</v>
      </c>
      <c r="F726" s="3" t="str">
        <f>IFERROR(__xludf.DUMMYFUNCTION("""COMPUTED_VALUE"""),"Y")</f>
        <v>Y</v>
      </c>
      <c r="G726" s="3"/>
      <c r="H726" s="3"/>
      <c r="I726" s="3" t="str">
        <f>IFERROR(__xludf.DUMMYFUNCTION("""COMPUTED_VALUE""")," ")</f>
        <v> </v>
      </c>
      <c r="J726" s="3" t="str">
        <f>IFERROR(__xludf.DUMMYFUNCTION("""COMPUTED_VALUE""")," ")</f>
        <v> </v>
      </c>
      <c r="K726" s="3" t="str">
        <f>IFERROR(__xludf.DUMMYFUNCTION("""COMPUTED_VALUE"""),"Y")</f>
        <v>Y</v>
      </c>
      <c r="L726" s="3" t="str">
        <f>IFERROR(__xludf.DUMMYFUNCTION("""COMPUTED_VALUE""")," ")</f>
        <v> </v>
      </c>
      <c r="M726" s="3"/>
      <c r="N726" s="5" t="str">
        <f>IFERROR(__xludf.DUMMYFUNCTION("""COMPUTED_VALUE""")," ")</f>
        <v> </v>
      </c>
      <c r="O726" s="5"/>
    </row>
    <row r="727">
      <c r="A727" s="2" t="str">
        <f>IFERROR(__xludf.DUMMYFUNCTION("""COMPUTED_VALUE"""),"0900")</f>
        <v>0900</v>
      </c>
      <c r="B727" s="2" t="str">
        <f>IFERROR(__xludf.DUMMYFUNCTION("""COMPUTED_VALUE"""),"DOUGLAS COUNTY      RE 1")</f>
        <v>DOUGLAS COUNTY      RE 1</v>
      </c>
      <c r="C727" s="2" t="str">
        <f>IFERROR(__xludf.DUMMYFUNCTION("""COMPUTED_VALUE"""),"06406")</f>
        <v>06406</v>
      </c>
      <c r="D727" s="2" t="str">
        <f>IFERROR(__xludf.DUMMYFUNCTION("""COMPUTED_VALUE"""),"NORTHRIDGE ELEMENTARY SCHOOL")</f>
        <v>NORTHRIDGE ELEMENTARY SCHOOL</v>
      </c>
      <c r="E727" s="3" t="str">
        <f>IFERROR(__xludf.DUMMYFUNCTION("""COMPUTED_VALUE"""),"Y")</f>
        <v>Y</v>
      </c>
      <c r="F727" s="3" t="str">
        <f>IFERROR(__xludf.DUMMYFUNCTION("""COMPUTED_VALUE"""),"Y")</f>
        <v>Y</v>
      </c>
      <c r="G727" s="3"/>
      <c r="H727" s="3"/>
      <c r="I727" s="3" t="str">
        <f>IFERROR(__xludf.DUMMYFUNCTION("""COMPUTED_VALUE""")," ")</f>
        <v> </v>
      </c>
      <c r="J727" s="3" t="str">
        <f>IFERROR(__xludf.DUMMYFUNCTION("""COMPUTED_VALUE""")," ")</f>
        <v> </v>
      </c>
      <c r="K727" s="3" t="str">
        <f>IFERROR(__xludf.DUMMYFUNCTION("""COMPUTED_VALUE"""),"Y")</f>
        <v>Y</v>
      </c>
      <c r="L727" s="3" t="str">
        <f>IFERROR(__xludf.DUMMYFUNCTION("""COMPUTED_VALUE""")," ")</f>
        <v> </v>
      </c>
      <c r="M727" s="3"/>
      <c r="N727" s="5" t="str">
        <f>IFERROR(__xludf.DUMMYFUNCTION("""COMPUTED_VALUE""")," ")</f>
        <v> </v>
      </c>
      <c r="O727" s="5"/>
    </row>
    <row r="728">
      <c r="A728" s="2" t="str">
        <f>IFERROR(__xludf.DUMMYFUNCTION("""COMPUTED_VALUE"""),"0900")</f>
        <v>0900</v>
      </c>
      <c r="B728" s="2" t="str">
        <f>IFERROR(__xludf.DUMMYFUNCTION("""COMPUTED_VALUE"""),"DOUGLAS COUNTY      RE 1")</f>
        <v>DOUGLAS COUNTY      RE 1</v>
      </c>
      <c r="C728" s="2" t="str">
        <f>IFERROR(__xludf.DUMMYFUNCTION("""COMPUTED_VALUE"""),"06719")</f>
        <v>06719</v>
      </c>
      <c r="D728" s="2" t="str">
        <f>IFERROR(__xludf.DUMMYFUNCTION("""COMPUTED_VALUE"""),"Parker Performing Arts")</f>
        <v>Parker Performing Arts</v>
      </c>
      <c r="E728" s="3"/>
      <c r="F728" s="3" t="str">
        <f>IFERROR(__xludf.DUMMYFUNCTION("""COMPUTED_VALUE"""),"Y")</f>
        <v>Y</v>
      </c>
      <c r="G728" s="3"/>
      <c r="H728" s="3"/>
      <c r="I728" s="3" t="str">
        <f>IFERROR(__xludf.DUMMYFUNCTION("""COMPUTED_VALUE""")," ")</f>
        <v> </v>
      </c>
      <c r="J728" s="3" t="str">
        <f>IFERROR(__xludf.DUMMYFUNCTION("""COMPUTED_VALUE""")," ")</f>
        <v> </v>
      </c>
      <c r="K728" s="3" t="str">
        <f>IFERROR(__xludf.DUMMYFUNCTION("""COMPUTED_VALUE"""),"Y")</f>
        <v>Y</v>
      </c>
      <c r="L728" s="3" t="str">
        <f>IFERROR(__xludf.DUMMYFUNCTION("""COMPUTED_VALUE""")," ")</f>
        <v> </v>
      </c>
      <c r="M728" s="3"/>
      <c r="N728" s="5" t="str">
        <f>IFERROR(__xludf.DUMMYFUNCTION("""COMPUTED_VALUE""")," ")</f>
        <v> </v>
      </c>
      <c r="O728" s="5"/>
    </row>
    <row r="729">
      <c r="A729" s="2" t="str">
        <f>IFERROR(__xludf.DUMMYFUNCTION("""COMPUTED_VALUE"""),"0900")</f>
        <v>0900</v>
      </c>
      <c r="B729" s="2" t="str">
        <f>IFERROR(__xludf.DUMMYFUNCTION("""COMPUTED_VALUE"""),"DOUGLAS COUNTY      RE 1")</f>
        <v>DOUGLAS COUNTY      RE 1</v>
      </c>
      <c r="C729" s="2" t="str">
        <f>IFERROR(__xludf.DUMMYFUNCTION("""COMPUTED_VALUE"""),"06772")</f>
        <v>06772</v>
      </c>
      <c r="D729" s="2" t="str">
        <f>IFERROR(__xludf.DUMMYFUNCTION("""COMPUTED_VALUE"""),"SAGEWOOD MIDDLE SCHOOL")</f>
        <v>SAGEWOOD MIDDLE SCHOOL</v>
      </c>
      <c r="E729" s="3" t="str">
        <f>IFERROR(__xludf.DUMMYFUNCTION("""COMPUTED_VALUE"""),"Y")</f>
        <v>Y</v>
      </c>
      <c r="F729" s="3" t="str">
        <f>IFERROR(__xludf.DUMMYFUNCTION("""COMPUTED_VALUE"""),"Y")</f>
        <v>Y</v>
      </c>
      <c r="G729" s="3"/>
      <c r="H729" s="3"/>
      <c r="I729" s="3" t="str">
        <f>IFERROR(__xludf.DUMMYFUNCTION("""COMPUTED_VALUE""")," ")</f>
        <v> </v>
      </c>
      <c r="J729" s="3" t="str">
        <f>IFERROR(__xludf.DUMMYFUNCTION("""COMPUTED_VALUE""")," ")</f>
        <v> </v>
      </c>
      <c r="K729" s="3" t="str">
        <f>IFERROR(__xludf.DUMMYFUNCTION("""COMPUTED_VALUE"""),"Y")</f>
        <v>Y</v>
      </c>
      <c r="L729" s="3" t="str">
        <f>IFERROR(__xludf.DUMMYFUNCTION("""COMPUTED_VALUE""")," ")</f>
        <v> </v>
      </c>
      <c r="M729" s="3"/>
      <c r="N729" s="5" t="str">
        <f>IFERROR(__xludf.DUMMYFUNCTION("""COMPUTED_VALUE""")," ")</f>
        <v> </v>
      </c>
      <c r="O729" s="5"/>
    </row>
    <row r="730">
      <c r="A730" s="2" t="str">
        <f>IFERROR(__xludf.DUMMYFUNCTION("""COMPUTED_VALUE"""),"0900")</f>
        <v>0900</v>
      </c>
      <c r="B730" s="2" t="str">
        <f>IFERROR(__xludf.DUMMYFUNCTION("""COMPUTED_VALUE"""),"DOUGLAS COUNTY      RE 1")</f>
        <v>DOUGLAS COUNTY      RE 1</v>
      </c>
      <c r="C730" s="2" t="str">
        <f>IFERROR(__xludf.DUMMYFUNCTION("""COMPUTED_VALUE"""),"06773")</f>
        <v>06773</v>
      </c>
      <c r="D730" s="2" t="str">
        <f>IFERROR(__xludf.DUMMYFUNCTION("""COMPUTED_VALUE"""),"SIERRA MIDDLE SCHOOL")</f>
        <v>SIERRA MIDDLE SCHOOL</v>
      </c>
      <c r="E730" s="3" t="str">
        <f>IFERROR(__xludf.DUMMYFUNCTION("""COMPUTED_VALUE"""),"Y")</f>
        <v>Y</v>
      </c>
      <c r="F730" s="3" t="str">
        <f>IFERROR(__xludf.DUMMYFUNCTION("""COMPUTED_VALUE"""),"Y")</f>
        <v>Y</v>
      </c>
      <c r="G730" s="3"/>
      <c r="H730" s="3"/>
      <c r="I730" s="3" t="str">
        <f>IFERROR(__xludf.DUMMYFUNCTION("""COMPUTED_VALUE""")," ")</f>
        <v> </v>
      </c>
      <c r="J730" s="3" t="str">
        <f>IFERROR(__xludf.DUMMYFUNCTION("""COMPUTED_VALUE""")," ")</f>
        <v> </v>
      </c>
      <c r="K730" s="3" t="str">
        <f>IFERROR(__xludf.DUMMYFUNCTION("""COMPUTED_VALUE"""),"Y")</f>
        <v>Y</v>
      </c>
      <c r="L730" s="3" t="str">
        <f>IFERROR(__xludf.DUMMYFUNCTION("""COMPUTED_VALUE""")," ")</f>
        <v> </v>
      </c>
      <c r="M730" s="3"/>
      <c r="N730" s="5" t="str">
        <f>IFERROR(__xludf.DUMMYFUNCTION("""COMPUTED_VALUE""")," ")</f>
        <v> </v>
      </c>
      <c r="O730" s="5"/>
    </row>
    <row r="731">
      <c r="A731" s="2" t="str">
        <f>IFERROR(__xludf.DUMMYFUNCTION("""COMPUTED_VALUE"""),"0900")</f>
        <v>0900</v>
      </c>
      <c r="B731" s="2" t="str">
        <f>IFERROR(__xludf.DUMMYFUNCTION("""COMPUTED_VALUE"""),"DOUGLAS COUNTY      RE 1")</f>
        <v>DOUGLAS COUNTY      RE 1</v>
      </c>
      <c r="C731" s="2" t="str">
        <f>IFERROR(__xludf.DUMMYFUNCTION("""COMPUTED_VALUE"""),"06938")</f>
        <v>06938</v>
      </c>
      <c r="D731" s="2" t="str">
        <f>IFERROR(__xludf.DUMMYFUNCTION("""COMPUTED_VALUE"""),"PINE GROVE ELEMENTARY SCHOOL")</f>
        <v>PINE GROVE ELEMENTARY SCHOOL</v>
      </c>
      <c r="E731" s="3" t="str">
        <f>IFERROR(__xludf.DUMMYFUNCTION("""COMPUTED_VALUE"""),"Y")</f>
        <v>Y</v>
      </c>
      <c r="F731" s="3" t="str">
        <f>IFERROR(__xludf.DUMMYFUNCTION("""COMPUTED_VALUE"""),"Y")</f>
        <v>Y</v>
      </c>
      <c r="G731" s="3"/>
      <c r="H731" s="3"/>
      <c r="I731" s="3" t="str">
        <f>IFERROR(__xludf.DUMMYFUNCTION("""COMPUTED_VALUE""")," ")</f>
        <v> </v>
      </c>
      <c r="J731" s="3" t="str">
        <f>IFERROR(__xludf.DUMMYFUNCTION("""COMPUTED_VALUE""")," ")</f>
        <v> </v>
      </c>
      <c r="K731" s="3" t="str">
        <f>IFERROR(__xludf.DUMMYFUNCTION("""COMPUTED_VALUE"""),"Y")</f>
        <v>Y</v>
      </c>
      <c r="L731" s="3" t="str">
        <f>IFERROR(__xludf.DUMMYFUNCTION("""COMPUTED_VALUE""")," ")</f>
        <v> </v>
      </c>
      <c r="M731" s="3"/>
      <c r="N731" s="5" t="str">
        <f>IFERROR(__xludf.DUMMYFUNCTION("""COMPUTED_VALUE""")," ")</f>
        <v> </v>
      </c>
      <c r="O731" s="5"/>
    </row>
    <row r="732">
      <c r="A732" s="2" t="str">
        <f>IFERROR(__xludf.DUMMYFUNCTION("""COMPUTED_VALUE"""),"0900")</f>
        <v>0900</v>
      </c>
      <c r="B732" s="2" t="str">
        <f>IFERROR(__xludf.DUMMYFUNCTION("""COMPUTED_VALUE"""),"DOUGLAS COUNTY      RE 1")</f>
        <v>DOUGLAS COUNTY      RE 1</v>
      </c>
      <c r="C732" s="2" t="str">
        <f>IFERROR(__xludf.DUMMYFUNCTION("""COMPUTED_VALUE"""),"06940")</f>
        <v>06940</v>
      </c>
      <c r="D732" s="2" t="str">
        <f>IFERROR(__xludf.DUMMYFUNCTION("""COMPUTED_VALUE"""),"PINE LANE ELEMENTARY")</f>
        <v>PINE LANE ELEMENTARY</v>
      </c>
      <c r="E732" s="3" t="str">
        <f>IFERROR(__xludf.DUMMYFUNCTION("""COMPUTED_VALUE"""),"Y")</f>
        <v>Y</v>
      </c>
      <c r="F732" s="3" t="str">
        <f>IFERROR(__xludf.DUMMYFUNCTION("""COMPUTED_VALUE"""),"Y")</f>
        <v>Y</v>
      </c>
      <c r="G732" s="3"/>
      <c r="H732" s="3"/>
      <c r="I732" s="3" t="str">
        <f>IFERROR(__xludf.DUMMYFUNCTION("""COMPUTED_VALUE""")," ")</f>
        <v> </v>
      </c>
      <c r="J732" s="3" t="str">
        <f>IFERROR(__xludf.DUMMYFUNCTION("""COMPUTED_VALUE""")," ")</f>
        <v> </v>
      </c>
      <c r="K732" s="3" t="str">
        <f>IFERROR(__xludf.DUMMYFUNCTION("""COMPUTED_VALUE"""),"Y")</f>
        <v>Y</v>
      </c>
      <c r="L732" s="3" t="str">
        <f>IFERROR(__xludf.DUMMYFUNCTION("""COMPUTED_VALUE"""),"Group 1")</f>
        <v>Group 1</v>
      </c>
      <c r="M732" s="3"/>
      <c r="N732" s="5" t="str">
        <f>IFERROR(__xludf.DUMMYFUNCTION("""COMPUTED_VALUE""")," ")</f>
        <v> </v>
      </c>
      <c r="O732" s="5"/>
    </row>
    <row r="733">
      <c r="A733" s="2" t="str">
        <f>IFERROR(__xludf.DUMMYFUNCTION("""COMPUTED_VALUE"""),"0900")</f>
        <v>0900</v>
      </c>
      <c r="B733" s="2" t="str">
        <f>IFERROR(__xludf.DUMMYFUNCTION("""COMPUTED_VALUE"""),"DOUGLAS COUNTY      RE 1")</f>
        <v>DOUGLAS COUNTY      RE 1</v>
      </c>
      <c r="C733" s="2" t="str">
        <f>IFERROR(__xludf.DUMMYFUNCTION("""COMPUTED_VALUE"""),"06961")</f>
        <v>06961</v>
      </c>
      <c r="D733" s="2" t="str">
        <f>IFERROR(__xludf.DUMMYFUNCTION("""COMPUTED_VALUE"""),"PIONEER ELEMENTARY SCHOOL")</f>
        <v>PIONEER ELEMENTARY SCHOOL</v>
      </c>
      <c r="E733" s="3" t="str">
        <f>IFERROR(__xludf.DUMMYFUNCTION("""COMPUTED_VALUE"""),"Y")</f>
        <v>Y</v>
      </c>
      <c r="F733" s="3" t="str">
        <f>IFERROR(__xludf.DUMMYFUNCTION("""COMPUTED_VALUE"""),"Y")</f>
        <v>Y</v>
      </c>
      <c r="G733" s="3"/>
      <c r="H733" s="3"/>
      <c r="I733" s="3" t="str">
        <f>IFERROR(__xludf.DUMMYFUNCTION("""COMPUTED_VALUE""")," ")</f>
        <v> </v>
      </c>
      <c r="J733" s="3" t="str">
        <f>IFERROR(__xludf.DUMMYFUNCTION("""COMPUTED_VALUE""")," ")</f>
        <v> </v>
      </c>
      <c r="K733" s="3" t="str">
        <f>IFERROR(__xludf.DUMMYFUNCTION("""COMPUTED_VALUE"""),"Y")</f>
        <v>Y</v>
      </c>
      <c r="L733" s="3" t="str">
        <f>IFERROR(__xludf.DUMMYFUNCTION("""COMPUTED_VALUE""")," ")</f>
        <v> </v>
      </c>
      <c r="M733" s="3"/>
      <c r="N733" s="5" t="str">
        <f>IFERROR(__xludf.DUMMYFUNCTION("""COMPUTED_VALUE""")," ")</f>
        <v> </v>
      </c>
      <c r="O733" s="5"/>
    </row>
    <row r="734">
      <c r="A734" s="2" t="str">
        <f>IFERROR(__xludf.DUMMYFUNCTION("""COMPUTED_VALUE"""),"0900")</f>
        <v>0900</v>
      </c>
      <c r="B734" s="2" t="str">
        <f>IFERROR(__xludf.DUMMYFUNCTION("""COMPUTED_VALUE"""),"DOUGLAS COUNTY      RE 1")</f>
        <v>DOUGLAS COUNTY      RE 1</v>
      </c>
      <c r="C734" s="2" t="str">
        <f>IFERROR(__xludf.DUMMYFUNCTION("""COMPUTED_VALUE"""),"07096")</f>
        <v>07096</v>
      </c>
      <c r="D734" s="2" t="str">
        <f>IFERROR(__xludf.DUMMYFUNCTION("""COMPUTED_VALUE"""),"ROXBOROUGH ELEMENTARY SCHOOL")</f>
        <v>ROXBOROUGH ELEMENTARY SCHOOL</v>
      </c>
      <c r="E734" s="3" t="str">
        <f>IFERROR(__xludf.DUMMYFUNCTION("""COMPUTED_VALUE"""),"Y")</f>
        <v>Y</v>
      </c>
      <c r="F734" s="3" t="str">
        <f>IFERROR(__xludf.DUMMYFUNCTION("""COMPUTED_VALUE"""),"Y")</f>
        <v>Y</v>
      </c>
      <c r="G734" s="3"/>
      <c r="H734" s="3"/>
      <c r="I734" s="3" t="str">
        <f>IFERROR(__xludf.DUMMYFUNCTION("""COMPUTED_VALUE""")," ")</f>
        <v> </v>
      </c>
      <c r="J734" s="3" t="str">
        <f>IFERROR(__xludf.DUMMYFUNCTION("""COMPUTED_VALUE""")," ")</f>
        <v> </v>
      </c>
      <c r="K734" s="3" t="str">
        <f>IFERROR(__xludf.DUMMYFUNCTION("""COMPUTED_VALUE"""),"Y")</f>
        <v>Y</v>
      </c>
      <c r="L734" s="3" t="str">
        <f>IFERROR(__xludf.DUMMYFUNCTION("""COMPUTED_VALUE""")," ")</f>
        <v> </v>
      </c>
      <c r="M734" s="3"/>
      <c r="N734" s="5" t="str">
        <f>IFERROR(__xludf.DUMMYFUNCTION("""COMPUTED_VALUE""")," ")</f>
        <v> </v>
      </c>
      <c r="O734" s="5"/>
    </row>
    <row r="735">
      <c r="A735" s="2" t="str">
        <f>IFERROR(__xludf.DUMMYFUNCTION("""COMPUTED_VALUE"""),"0900")</f>
        <v>0900</v>
      </c>
      <c r="B735" s="2" t="str">
        <f>IFERROR(__xludf.DUMMYFUNCTION("""COMPUTED_VALUE"""),"DOUGLAS COUNTY      RE 1")</f>
        <v>DOUGLAS COUNTY      RE 1</v>
      </c>
      <c r="C735" s="2" t="str">
        <f>IFERROR(__xludf.DUMMYFUNCTION("""COMPUTED_VALUE"""),"07118")</f>
        <v>07118</v>
      </c>
      <c r="D735" s="2" t="str">
        <f>IFERROR(__xludf.DUMMYFUNCTION("""COMPUTED_VALUE"""),"PONDEROSA HIGH SCHOOL")</f>
        <v>PONDEROSA HIGH SCHOOL</v>
      </c>
      <c r="E735" s="3" t="str">
        <f>IFERROR(__xludf.DUMMYFUNCTION("""COMPUTED_VALUE"""),"Y")</f>
        <v>Y</v>
      </c>
      <c r="F735" s="3" t="str">
        <f>IFERROR(__xludf.DUMMYFUNCTION("""COMPUTED_VALUE"""),"Y")</f>
        <v>Y</v>
      </c>
      <c r="G735" s="3"/>
      <c r="H735" s="3"/>
      <c r="I735" s="3" t="str">
        <f>IFERROR(__xludf.DUMMYFUNCTION("""COMPUTED_VALUE""")," ")</f>
        <v> </v>
      </c>
      <c r="J735" s="3" t="str">
        <f>IFERROR(__xludf.DUMMYFUNCTION("""COMPUTED_VALUE""")," ")</f>
        <v> </v>
      </c>
      <c r="K735" s="3" t="str">
        <f>IFERROR(__xludf.DUMMYFUNCTION("""COMPUTED_VALUE"""),"Y")</f>
        <v>Y</v>
      </c>
      <c r="L735" s="3" t="str">
        <f>IFERROR(__xludf.DUMMYFUNCTION("""COMPUTED_VALUE""")," ")</f>
        <v> </v>
      </c>
      <c r="M735" s="3"/>
      <c r="N735" s="5" t="str">
        <f>IFERROR(__xludf.DUMMYFUNCTION("""COMPUTED_VALUE""")," ")</f>
        <v> </v>
      </c>
      <c r="O735" s="5"/>
    </row>
    <row r="736">
      <c r="A736" s="2" t="str">
        <f>IFERROR(__xludf.DUMMYFUNCTION("""COMPUTED_VALUE"""),"0900")</f>
        <v>0900</v>
      </c>
      <c r="B736" s="2" t="str">
        <f>IFERROR(__xludf.DUMMYFUNCTION("""COMPUTED_VALUE"""),"DOUGLAS COUNTY      RE 1")</f>
        <v>DOUGLAS COUNTY      RE 1</v>
      </c>
      <c r="C736" s="2" t="str">
        <f>IFERROR(__xludf.DUMMYFUNCTION("""COMPUTED_VALUE"""),"07134")</f>
        <v>07134</v>
      </c>
      <c r="D736" s="2" t="str">
        <f>IFERROR(__xludf.DUMMYFUNCTION("""COMPUTED_VALUE"""),"PRAIRIE CROSSING ELEMENTARY SCHOOL")</f>
        <v>PRAIRIE CROSSING ELEMENTARY SCHOOL</v>
      </c>
      <c r="E736" s="3" t="str">
        <f>IFERROR(__xludf.DUMMYFUNCTION("""COMPUTED_VALUE"""),"Y")</f>
        <v>Y</v>
      </c>
      <c r="F736" s="3" t="str">
        <f>IFERROR(__xludf.DUMMYFUNCTION("""COMPUTED_VALUE"""),"Y")</f>
        <v>Y</v>
      </c>
      <c r="G736" s="3"/>
      <c r="H736" s="3"/>
      <c r="I736" s="3" t="str">
        <f>IFERROR(__xludf.DUMMYFUNCTION("""COMPUTED_VALUE""")," ")</f>
        <v> </v>
      </c>
      <c r="J736" s="3" t="str">
        <f>IFERROR(__xludf.DUMMYFUNCTION("""COMPUTED_VALUE""")," ")</f>
        <v> </v>
      </c>
      <c r="K736" s="3" t="str">
        <f>IFERROR(__xludf.DUMMYFUNCTION("""COMPUTED_VALUE"""),"Y")</f>
        <v>Y</v>
      </c>
      <c r="L736" s="3" t="str">
        <f>IFERROR(__xludf.DUMMYFUNCTION("""COMPUTED_VALUE""")," ")</f>
        <v> </v>
      </c>
      <c r="M736" s="3"/>
      <c r="N736" s="5" t="str">
        <f>IFERROR(__xludf.DUMMYFUNCTION("""COMPUTED_VALUE""")," ")</f>
        <v> </v>
      </c>
      <c r="O736" s="5"/>
    </row>
    <row r="737">
      <c r="A737" s="2" t="str">
        <f>IFERROR(__xludf.DUMMYFUNCTION("""COMPUTED_VALUE"""),"0900")</f>
        <v>0900</v>
      </c>
      <c r="B737" s="2" t="str">
        <f>IFERROR(__xludf.DUMMYFUNCTION("""COMPUTED_VALUE"""),"DOUGLAS COUNTY      RE 1")</f>
        <v>DOUGLAS COUNTY      RE 1</v>
      </c>
      <c r="C737" s="2" t="str">
        <f>IFERROR(__xludf.DUMMYFUNCTION("""COMPUTED_VALUE"""),"07244")</f>
        <v>07244</v>
      </c>
      <c r="D737" s="2" t="str">
        <f>IFERROR(__xludf.DUMMYFUNCTION("""COMPUTED_VALUE"""),"Renaissance Secondary School")</f>
        <v>Renaissance Secondary School</v>
      </c>
      <c r="E737" s="3"/>
      <c r="F737" s="3" t="str">
        <f>IFERROR(__xludf.DUMMYFUNCTION("""COMPUTED_VALUE"""),"Y")</f>
        <v>Y</v>
      </c>
      <c r="G737" s="3"/>
      <c r="H737" s="3"/>
      <c r="I737" s="3" t="str">
        <f>IFERROR(__xludf.DUMMYFUNCTION("""COMPUTED_VALUE""")," ")</f>
        <v> </v>
      </c>
      <c r="J737" s="3" t="str">
        <f>IFERROR(__xludf.DUMMYFUNCTION("""COMPUTED_VALUE""")," ")</f>
        <v> </v>
      </c>
      <c r="K737" s="3" t="str">
        <f>IFERROR(__xludf.DUMMYFUNCTION("""COMPUTED_VALUE"""),"Y")</f>
        <v>Y</v>
      </c>
      <c r="L737" s="3" t="str">
        <f>IFERROR(__xludf.DUMMYFUNCTION("""COMPUTED_VALUE""")," ")</f>
        <v> </v>
      </c>
      <c r="M737" s="3"/>
      <c r="N737" s="5" t="str">
        <f>IFERROR(__xludf.DUMMYFUNCTION("""COMPUTED_VALUE""")," ")</f>
        <v> </v>
      </c>
      <c r="O737" s="5"/>
    </row>
    <row r="738">
      <c r="A738" s="2" t="str">
        <f>IFERROR(__xludf.DUMMYFUNCTION("""COMPUTED_VALUE"""),"0900")</f>
        <v>0900</v>
      </c>
      <c r="B738" s="2" t="str">
        <f>IFERROR(__xludf.DUMMYFUNCTION("""COMPUTED_VALUE"""),"DOUGLAS COUNTY      RE 1")</f>
        <v>DOUGLAS COUNTY      RE 1</v>
      </c>
      <c r="C738" s="2" t="str">
        <f>IFERROR(__xludf.DUMMYFUNCTION("""COMPUTED_VALUE"""),"07245")</f>
        <v>07245</v>
      </c>
      <c r="D738" s="2" t="str">
        <f>IFERROR(__xludf.DUMMYFUNCTION("""COMPUTED_VALUE"""),"RANCH VIEW MIDDLE SCHOOL")</f>
        <v>RANCH VIEW MIDDLE SCHOOL</v>
      </c>
      <c r="E738" s="3" t="str">
        <f>IFERROR(__xludf.DUMMYFUNCTION("""COMPUTED_VALUE"""),"Y")</f>
        <v>Y</v>
      </c>
      <c r="F738" s="3" t="str">
        <f>IFERROR(__xludf.DUMMYFUNCTION("""COMPUTED_VALUE"""),"Y")</f>
        <v>Y</v>
      </c>
      <c r="G738" s="3"/>
      <c r="H738" s="3"/>
      <c r="I738" s="3" t="str">
        <f>IFERROR(__xludf.DUMMYFUNCTION("""COMPUTED_VALUE""")," ")</f>
        <v> </v>
      </c>
      <c r="J738" s="3" t="str">
        <f>IFERROR(__xludf.DUMMYFUNCTION("""COMPUTED_VALUE""")," ")</f>
        <v> </v>
      </c>
      <c r="K738" s="3" t="str">
        <f>IFERROR(__xludf.DUMMYFUNCTION("""COMPUTED_VALUE"""),"Y")</f>
        <v>Y</v>
      </c>
      <c r="L738" s="3" t="str">
        <f>IFERROR(__xludf.DUMMYFUNCTION("""COMPUTED_VALUE""")," ")</f>
        <v> </v>
      </c>
      <c r="M738" s="3"/>
      <c r="N738" s="5" t="str">
        <f>IFERROR(__xludf.DUMMYFUNCTION("""COMPUTED_VALUE""")," ")</f>
        <v> </v>
      </c>
      <c r="O738" s="5"/>
    </row>
    <row r="739">
      <c r="A739" s="2" t="str">
        <f>IFERROR(__xludf.DUMMYFUNCTION("""COMPUTED_VALUE"""),"0900")</f>
        <v>0900</v>
      </c>
      <c r="B739" s="2" t="str">
        <f>IFERROR(__xludf.DUMMYFUNCTION("""COMPUTED_VALUE"""),"DOUGLAS COUNTY      RE 1")</f>
        <v>DOUGLAS COUNTY      RE 1</v>
      </c>
      <c r="C739" s="2" t="str">
        <f>IFERROR(__xludf.DUMMYFUNCTION("""COMPUTED_VALUE"""),"07297")</f>
        <v>07297</v>
      </c>
      <c r="D739" s="2" t="str">
        <f>IFERROR(__xludf.DUMMYFUNCTION("""COMPUTED_VALUE"""),"REDSTONE ELEMENTARY")</f>
        <v>REDSTONE ELEMENTARY</v>
      </c>
      <c r="E739" s="3" t="str">
        <f>IFERROR(__xludf.DUMMYFUNCTION("""COMPUTED_VALUE"""),"Y")</f>
        <v>Y</v>
      </c>
      <c r="F739" s="3" t="str">
        <f>IFERROR(__xludf.DUMMYFUNCTION("""COMPUTED_VALUE"""),"Y")</f>
        <v>Y</v>
      </c>
      <c r="G739" s="3"/>
      <c r="H739" s="3"/>
      <c r="I739" s="3" t="str">
        <f>IFERROR(__xludf.DUMMYFUNCTION("""COMPUTED_VALUE""")," ")</f>
        <v> </v>
      </c>
      <c r="J739" s="3" t="str">
        <f>IFERROR(__xludf.DUMMYFUNCTION("""COMPUTED_VALUE""")," ")</f>
        <v> </v>
      </c>
      <c r="K739" s="3" t="str">
        <f>IFERROR(__xludf.DUMMYFUNCTION("""COMPUTED_VALUE"""),"Y")</f>
        <v>Y</v>
      </c>
      <c r="L739" s="3" t="str">
        <f>IFERROR(__xludf.DUMMYFUNCTION("""COMPUTED_VALUE""")," ")</f>
        <v> </v>
      </c>
      <c r="M739" s="3"/>
      <c r="N739" s="5" t="str">
        <f>IFERROR(__xludf.DUMMYFUNCTION("""COMPUTED_VALUE""")," ")</f>
        <v> </v>
      </c>
      <c r="O739" s="5"/>
    </row>
    <row r="740">
      <c r="A740" s="2" t="str">
        <f>IFERROR(__xludf.DUMMYFUNCTION("""COMPUTED_VALUE"""),"0900")</f>
        <v>0900</v>
      </c>
      <c r="B740" s="2" t="str">
        <f>IFERROR(__xludf.DUMMYFUNCTION("""COMPUTED_VALUE"""),"DOUGLAS COUNTY      RE 1")</f>
        <v>DOUGLAS COUNTY      RE 1</v>
      </c>
      <c r="C740" s="2" t="str">
        <f>IFERROR(__xludf.DUMMYFUNCTION("""COMPUTED_VALUE"""),"07319")</f>
        <v>07319</v>
      </c>
      <c r="D740" s="2" t="str">
        <f>IFERROR(__xludf.DUMMYFUNCTION("""COMPUTED_VALUE"""),"RENAISSANCE EXPEDITION LEARN OUTWARD BOUND SCHOOL")</f>
        <v>RENAISSANCE EXPEDITION LEARN OUTWARD BOUND SCHOOL</v>
      </c>
      <c r="E740" s="3" t="str">
        <f>IFERROR(__xludf.DUMMYFUNCTION("""COMPUTED_VALUE"""),"Y")</f>
        <v>Y</v>
      </c>
      <c r="F740" s="3" t="str">
        <f>IFERROR(__xludf.DUMMYFUNCTION("""COMPUTED_VALUE"""),"Y")</f>
        <v>Y</v>
      </c>
      <c r="G740" s="3"/>
      <c r="H740" s="3"/>
      <c r="I740" s="3" t="str">
        <f>IFERROR(__xludf.DUMMYFUNCTION("""COMPUTED_VALUE""")," ")</f>
        <v> </v>
      </c>
      <c r="J740" s="3" t="str">
        <f>IFERROR(__xludf.DUMMYFUNCTION("""COMPUTED_VALUE""")," ")</f>
        <v> </v>
      </c>
      <c r="K740" s="3" t="str">
        <f>IFERROR(__xludf.DUMMYFUNCTION("""COMPUTED_VALUE"""),"Y")</f>
        <v>Y</v>
      </c>
      <c r="L740" s="3" t="str">
        <f>IFERROR(__xludf.DUMMYFUNCTION("""COMPUTED_VALUE""")," ")</f>
        <v> </v>
      </c>
      <c r="M740" s="3"/>
      <c r="N740" s="5" t="str">
        <f>IFERROR(__xludf.DUMMYFUNCTION("""COMPUTED_VALUE""")," ")</f>
        <v> </v>
      </c>
      <c r="O740" s="5"/>
    </row>
    <row r="741">
      <c r="A741" s="2" t="str">
        <f>IFERROR(__xludf.DUMMYFUNCTION("""COMPUTED_VALUE"""),"0900")</f>
        <v>0900</v>
      </c>
      <c r="B741" s="2" t="str">
        <f>IFERROR(__xludf.DUMMYFUNCTION("""COMPUTED_VALUE"""),"DOUGLAS COUNTY      RE 1")</f>
        <v>DOUGLAS COUNTY      RE 1</v>
      </c>
      <c r="C741" s="2" t="str">
        <f>IFERROR(__xludf.DUMMYFUNCTION("""COMPUTED_VALUE"""),"07435")</f>
        <v>07435</v>
      </c>
      <c r="D741" s="2" t="str">
        <f>IFERROR(__xludf.DUMMYFUNCTION("""COMPUTED_VALUE"""),"ROCK CANYON HIGH SCHOOL")</f>
        <v>ROCK CANYON HIGH SCHOOL</v>
      </c>
      <c r="E741" s="3" t="str">
        <f>IFERROR(__xludf.DUMMYFUNCTION("""COMPUTED_VALUE"""),"Y")</f>
        <v>Y</v>
      </c>
      <c r="F741" s="3" t="str">
        <f>IFERROR(__xludf.DUMMYFUNCTION("""COMPUTED_VALUE"""),"Y")</f>
        <v>Y</v>
      </c>
      <c r="G741" s="3"/>
      <c r="H741" s="3"/>
      <c r="I741" s="3" t="str">
        <f>IFERROR(__xludf.DUMMYFUNCTION("""COMPUTED_VALUE""")," ")</f>
        <v> </v>
      </c>
      <c r="J741" s="3" t="str">
        <f>IFERROR(__xludf.DUMMYFUNCTION("""COMPUTED_VALUE""")," ")</f>
        <v> </v>
      </c>
      <c r="K741" s="3" t="str">
        <f>IFERROR(__xludf.DUMMYFUNCTION("""COMPUTED_VALUE"""),"Y")</f>
        <v>Y</v>
      </c>
      <c r="L741" s="3" t="str">
        <f>IFERROR(__xludf.DUMMYFUNCTION("""COMPUTED_VALUE""")," ")</f>
        <v> </v>
      </c>
      <c r="M741" s="3"/>
      <c r="N741" s="5" t="str">
        <f>IFERROR(__xludf.DUMMYFUNCTION("""COMPUTED_VALUE""")," ")</f>
        <v> </v>
      </c>
      <c r="O741" s="5"/>
    </row>
    <row r="742">
      <c r="A742" s="2" t="str">
        <f>IFERROR(__xludf.DUMMYFUNCTION("""COMPUTED_VALUE"""),"0900")</f>
        <v>0900</v>
      </c>
      <c r="B742" s="2" t="str">
        <f>IFERROR(__xludf.DUMMYFUNCTION("""COMPUTED_VALUE"""),"DOUGLAS COUNTY      RE 1")</f>
        <v>DOUGLAS COUNTY      RE 1</v>
      </c>
      <c r="C742" s="2" t="str">
        <f>IFERROR(__xludf.DUMMYFUNCTION("""COMPUTED_VALUE"""),"07448")</f>
        <v>07448</v>
      </c>
      <c r="D742" s="2" t="str">
        <f>IFERROR(__xludf.DUMMYFUNCTION("""COMPUTED_VALUE"""),"ROCKY HEIGHTS MIDDLE SCHOOL")</f>
        <v>ROCKY HEIGHTS MIDDLE SCHOOL</v>
      </c>
      <c r="E742" s="3" t="str">
        <f>IFERROR(__xludf.DUMMYFUNCTION("""COMPUTED_VALUE"""),"Y")</f>
        <v>Y</v>
      </c>
      <c r="F742" s="3" t="str">
        <f>IFERROR(__xludf.DUMMYFUNCTION("""COMPUTED_VALUE"""),"Y")</f>
        <v>Y</v>
      </c>
      <c r="G742" s="3"/>
      <c r="H742" s="3"/>
      <c r="I742" s="3" t="str">
        <f>IFERROR(__xludf.DUMMYFUNCTION("""COMPUTED_VALUE""")," ")</f>
        <v> </v>
      </c>
      <c r="J742" s="3" t="str">
        <f>IFERROR(__xludf.DUMMYFUNCTION("""COMPUTED_VALUE""")," ")</f>
        <v> </v>
      </c>
      <c r="K742" s="3" t="str">
        <f>IFERROR(__xludf.DUMMYFUNCTION("""COMPUTED_VALUE"""),"Y")</f>
        <v>Y</v>
      </c>
      <c r="L742" s="3" t="str">
        <f>IFERROR(__xludf.DUMMYFUNCTION("""COMPUTED_VALUE""")," ")</f>
        <v> </v>
      </c>
      <c r="M742" s="3"/>
      <c r="N742" s="5" t="str">
        <f>IFERROR(__xludf.DUMMYFUNCTION("""COMPUTED_VALUE""")," ")</f>
        <v> </v>
      </c>
      <c r="O742" s="5"/>
    </row>
    <row r="743">
      <c r="A743" s="2" t="str">
        <f>IFERROR(__xludf.DUMMYFUNCTION("""COMPUTED_VALUE"""),"0900")</f>
        <v>0900</v>
      </c>
      <c r="B743" s="2" t="str">
        <f>IFERROR(__xludf.DUMMYFUNCTION("""COMPUTED_VALUE"""),"DOUGLAS COUNTY      RE 1")</f>
        <v>DOUGLAS COUNTY      RE 1</v>
      </c>
      <c r="C743" s="2" t="str">
        <f>IFERROR(__xludf.DUMMYFUNCTION("""COMPUTED_VALUE"""),"07562")</f>
        <v>07562</v>
      </c>
      <c r="D743" s="2" t="str">
        <f>IFERROR(__xludf.DUMMYFUNCTION("""COMPUTED_VALUE"""),"SADDLE RANCH ELEMENTARY SCHOOL")</f>
        <v>SADDLE RANCH ELEMENTARY SCHOOL</v>
      </c>
      <c r="E743" s="3" t="str">
        <f>IFERROR(__xludf.DUMMYFUNCTION("""COMPUTED_VALUE"""),"Y")</f>
        <v>Y</v>
      </c>
      <c r="F743" s="3" t="str">
        <f>IFERROR(__xludf.DUMMYFUNCTION("""COMPUTED_VALUE"""),"Y")</f>
        <v>Y</v>
      </c>
      <c r="G743" s="3"/>
      <c r="H743" s="3"/>
      <c r="I743" s="3" t="str">
        <f>IFERROR(__xludf.DUMMYFUNCTION("""COMPUTED_VALUE""")," ")</f>
        <v> </v>
      </c>
      <c r="J743" s="3" t="str">
        <f>IFERROR(__xludf.DUMMYFUNCTION("""COMPUTED_VALUE""")," ")</f>
        <v> </v>
      </c>
      <c r="K743" s="3" t="str">
        <f>IFERROR(__xludf.DUMMYFUNCTION("""COMPUTED_VALUE"""),"Y")</f>
        <v>Y</v>
      </c>
      <c r="L743" s="3" t="str">
        <f>IFERROR(__xludf.DUMMYFUNCTION("""COMPUTED_VALUE""")," ")</f>
        <v> </v>
      </c>
      <c r="M743" s="3"/>
      <c r="N743" s="5" t="str">
        <f>IFERROR(__xludf.DUMMYFUNCTION("""COMPUTED_VALUE""")," ")</f>
        <v> </v>
      </c>
      <c r="O743" s="5"/>
    </row>
    <row r="744">
      <c r="A744" s="2" t="str">
        <f>IFERROR(__xludf.DUMMYFUNCTION("""COMPUTED_VALUE"""),"0900")</f>
        <v>0900</v>
      </c>
      <c r="B744" s="2" t="str">
        <f>IFERROR(__xludf.DUMMYFUNCTION("""COMPUTED_VALUE"""),"DOUGLAS COUNTY      RE 1")</f>
        <v>DOUGLAS COUNTY      RE 1</v>
      </c>
      <c r="C744" s="2" t="str">
        <f>IFERROR(__xludf.DUMMYFUNCTION("""COMPUTED_VALUE"""),"07610")</f>
        <v>07610</v>
      </c>
      <c r="D744" s="2" t="str">
        <f>IFERROR(__xludf.DUMMYFUNCTION("""COMPUTED_VALUE"""),"SAND CREEK ELEMENTARY SCHOOL")</f>
        <v>SAND CREEK ELEMENTARY SCHOOL</v>
      </c>
      <c r="E744" s="3" t="str">
        <f>IFERROR(__xludf.DUMMYFUNCTION("""COMPUTED_VALUE"""),"Y")</f>
        <v>Y</v>
      </c>
      <c r="F744" s="3" t="str">
        <f>IFERROR(__xludf.DUMMYFUNCTION("""COMPUTED_VALUE"""),"Y")</f>
        <v>Y</v>
      </c>
      <c r="G744" s="3"/>
      <c r="H744" s="3"/>
      <c r="I744" s="3" t="str">
        <f>IFERROR(__xludf.DUMMYFUNCTION("""COMPUTED_VALUE""")," ")</f>
        <v> </v>
      </c>
      <c r="J744" s="3" t="str">
        <f>IFERROR(__xludf.DUMMYFUNCTION("""COMPUTED_VALUE""")," ")</f>
        <v> </v>
      </c>
      <c r="K744" s="3" t="str">
        <f>IFERROR(__xludf.DUMMYFUNCTION("""COMPUTED_VALUE"""),"Y")</f>
        <v>Y</v>
      </c>
      <c r="L744" s="3" t="str">
        <f>IFERROR(__xludf.DUMMYFUNCTION("""COMPUTED_VALUE"""),"Group 1")</f>
        <v>Group 1</v>
      </c>
      <c r="M744" s="3"/>
      <c r="N744" s="5" t="str">
        <f>IFERROR(__xludf.DUMMYFUNCTION("""COMPUTED_VALUE""")," ")</f>
        <v> </v>
      </c>
      <c r="O744" s="5"/>
    </row>
    <row r="745">
      <c r="A745" s="2" t="str">
        <f>IFERROR(__xludf.DUMMYFUNCTION("""COMPUTED_VALUE"""),"0900")</f>
        <v>0900</v>
      </c>
      <c r="B745" s="2" t="str">
        <f>IFERROR(__xludf.DUMMYFUNCTION("""COMPUTED_VALUE"""),"DOUGLAS COUNTY      RE 1")</f>
        <v>DOUGLAS COUNTY      RE 1</v>
      </c>
      <c r="C745" s="2" t="str">
        <f>IFERROR(__xludf.DUMMYFUNCTION("""COMPUTED_VALUE"""),"07718")</f>
        <v>07718</v>
      </c>
      <c r="D745" s="2" t="str">
        <f>IFERROR(__xludf.DUMMYFUNCTION("""COMPUTED_VALUE"""),"SEDALIA ELEMENTARY SCHOOL")</f>
        <v>SEDALIA ELEMENTARY SCHOOL</v>
      </c>
      <c r="E745" s="3" t="str">
        <f>IFERROR(__xludf.DUMMYFUNCTION("""COMPUTED_VALUE"""),"Y")</f>
        <v>Y</v>
      </c>
      <c r="F745" s="3" t="str">
        <f>IFERROR(__xludf.DUMMYFUNCTION("""COMPUTED_VALUE"""),"Y")</f>
        <v>Y</v>
      </c>
      <c r="G745" s="3"/>
      <c r="H745" s="3"/>
      <c r="I745" s="3" t="str">
        <f>IFERROR(__xludf.DUMMYFUNCTION("""COMPUTED_VALUE""")," ")</f>
        <v> </v>
      </c>
      <c r="J745" s="3" t="str">
        <f>IFERROR(__xludf.DUMMYFUNCTION("""COMPUTED_VALUE""")," ")</f>
        <v> </v>
      </c>
      <c r="K745" s="3" t="str">
        <f>IFERROR(__xludf.DUMMYFUNCTION("""COMPUTED_VALUE"""),"Y")</f>
        <v>Y</v>
      </c>
      <c r="L745" s="3" t="str">
        <f>IFERROR(__xludf.DUMMYFUNCTION("""COMPUTED_VALUE"""),"Group 1")</f>
        <v>Group 1</v>
      </c>
      <c r="M745" s="3"/>
      <c r="N745" s="5" t="str">
        <f>IFERROR(__xludf.DUMMYFUNCTION("""COMPUTED_VALUE"""),"Y")</f>
        <v>Y</v>
      </c>
      <c r="O745" s="5"/>
    </row>
    <row r="746">
      <c r="A746" s="2" t="str">
        <f>IFERROR(__xludf.DUMMYFUNCTION("""COMPUTED_VALUE"""),"0900")</f>
        <v>0900</v>
      </c>
      <c r="B746" s="2" t="str">
        <f>IFERROR(__xludf.DUMMYFUNCTION("""COMPUTED_VALUE"""),"DOUGLAS COUNTY      RE 1")</f>
        <v>DOUGLAS COUNTY      RE 1</v>
      </c>
      <c r="C746" s="2" t="str">
        <f>IFERROR(__xludf.DUMMYFUNCTION("""COMPUTED_VALUE"""),"08106")</f>
        <v>08106</v>
      </c>
      <c r="D746" s="2" t="str">
        <f>IFERROR(__xludf.DUMMYFUNCTION("""COMPUTED_VALUE"""),"SOARING HAWK ELEMENTARY")</f>
        <v>SOARING HAWK ELEMENTARY</v>
      </c>
      <c r="E746" s="3" t="str">
        <f>IFERROR(__xludf.DUMMYFUNCTION("""COMPUTED_VALUE"""),"Y")</f>
        <v>Y</v>
      </c>
      <c r="F746" s="3" t="str">
        <f>IFERROR(__xludf.DUMMYFUNCTION("""COMPUTED_VALUE"""),"Y")</f>
        <v>Y</v>
      </c>
      <c r="G746" s="3"/>
      <c r="H746" s="3"/>
      <c r="I746" s="3" t="str">
        <f>IFERROR(__xludf.DUMMYFUNCTION("""COMPUTED_VALUE""")," ")</f>
        <v> </v>
      </c>
      <c r="J746" s="3" t="str">
        <f>IFERROR(__xludf.DUMMYFUNCTION("""COMPUTED_VALUE""")," ")</f>
        <v> </v>
      </c>
      <c r="K746" s="3" t="str">
        <f>IFERROR(__xludf.DUMMYFUNCTION("""COMPUTED_VALUE"""),"Y")</f>
        <v>Y</v>
      </c>
      <c r="L746" s="3" t="str">
        <f>IFERROR(__xludf.DUMMYFUNCTION("""COMPUTED_VALUE""")," ")</f>
        <v> </v>
      </c>
      <c r="M746" s="3"/>
      <c r="N746" s="5" t="str">
        <f>IFERROR(__xludf.DUMMYFUNCTION("""COMPUTED_VALUE""")," ")</f>
        <v> </v>
      </c>
      <c r="O746" s="5"/>
    </row>
    <row r="747">
      <c r="A747" s="2" t="str">
        <f>IFERROR(__xludf.DUMMYFUNCTION("""COMPUTED_VALUE"""),"0900")</f>
        <v>0900</v>
      </c>
      <c r="B747" s="2" t="str">
        <f>IFERROR(__xludf.DUMMYFUNCTION("""COMPUTED_VALUE"""),"DOUGLAS COUNTY      RE 1")</f>
        <v>DOUGLAS COUNTY      RE 1</v>
      </c>
      <c r="C747" s="2" t="str">
        <f>IFERROR(__xludf.DUMMYFUNCTION("""COMPUTED_VALUE"""),"08126")</f>
        <v>08126</v>
      </c>
      <c r="D747" s="2" t="str">
        <f>IFERROR(__xludf.DUMMYFUNCTION("""COMPUTED_VALUE"""),"SOUTH RIDGE ELEMENTARY SCHOOL")</f>
        <v>SOUTH RIDGE ELEMENTARY SCHOOL</v>
      </c>
      <c r="E747" s="3" t="str">
        <f>IFERROR(__xludf.DUMMYFUNCTION("""COMPUTED_VALUE"""),"Y")</f>
        <v>Y</v>
      </c>
      <c r="F747" s="3" t="str">
        <f>IFERROR(__xludf.DUMMYFUNCTION("""COMPUTED_VALUE"""),"Y")</f>
        <v>Y</v>
      </c>
      <c r="G747" s="3"/>
      <c r="H747" s="3"/>
      <c r="I747" s="3" t="str">
        <f>IFERROR(__xludf.DUMMYFUNCTION("""COMPUTED_VALUE""")," ")</f>
        <v> </v>
      </c>
      <c r="J747" s="3" t="str">
        <f>IFERROR(__xludf.DUMMYFUNCTION("""COMPUTED_VALUE""")," ")</f>
        <v> </v>
      </c>
      <c r="K747" s="3" t="str">
        <f>IFERROR(__xludf.DUMMYFUNCTION("""COMPUTED_VALUE"""),"Y")</f>
        <v>Y</v>
      </c>
      <c r="L747" s="3" t="str">
        <f>IFERROR(__xludf.DUMMYFUNCTION("""COMPUTED_VALUE"""),"Group 1")</f>
        <v>Group 1</v>
      </c>
      <c r="M747" s="3"/>
      <c r="N747" s="5" t="str">
        <f>IFERROR(__xludf.DUMMYFUNCTION("""COMPUTED_VALUE"""),"Y")</f>
        <v>Y</v>
      </c>
      <c r="O747" s="5"/>
    </row>
    <row r="748">
      <c r="A748" s="2" t="str">
        <f>IFERROR(__xludf.DUMMYFUNCTION("""COMPUTED_VALUE"""),"0900")</f>
        <v>0900</v>
      </c>
      <c r="B748" s="2" t="str">
        <f>IFERROR(__xludf.DUMMYFUNCTION("""COMPUTED_VALUE"""),"DOUGLAS COUNTY      RE 1")</f>
        <v>DOUGLAS COUNTY      RE 1</v>
      </c>
      <c r="C748" s="2" t="str">
        <f>IFERROR(__xludf.DUMMYFUNCTION("""COMPUTED_VALUE"""),"08382")</f>
        <v>08382</v>
      </c>
      <c r="D748" s="2" t="str">
        <f>IFERROR(__xludf.DUMMYFUNCTION("""COMPUTED_VALUE"""),"SUMMIT VIEW ELEMENTARY SCHOOL")</f>
        <v>SUMMIT VIEW ELEMENTARY SCHOOL</v>
      </c>
      <c r="E748" s="3" t="str">
        <f>IFERROR(__xludf.DUMMYFUNCTION("""COMPUTED_VALUE"""),"Y")</f>
        <v>Y</v>
      </c>
      <c r="F748" s="3" t="str">
        <f>IFERROR(__xludf.DUMMYFUNCTION("""COMPUTED_VALUE"""),"Y")</f>
        <v>Y</v>
      </c>
      <c r="G748" s="3"/>
      <c r="H748" s="3"/>
      <c r="I748" s="3" t="str">
        <f>IFERROR(__xludf.DUMMYFUNCTION("""COMPUTED_VALUE""")," ")</f>
        <v> </v>
      </c>
      <c r="J748" s="3" t="str">
        <f>IFERROR(__xludf.DUMMYFUNCTION("""COMPUTED_VALUE""")," ")</f>
        <v> </v>
      </c>
      <c r="K748" s="3" t="str">
        <f>IFERROR(__xludf.DUMMYFUNCTION("""COMPUTED_VALUE"""),"Y")</f>
        <v>Y</v>
      </c>
      <c r="L748" s="3" t="str">
        <f>IFERROR(__xludf.DUMMYFUNCTION("""COMPUTED_VALUE""")," ")</f>
        <v> </v>
      </c>
      <c r="M748" s="3"/>
      <c r="N748" s="5" t="str">
        <f>IFERROR(__xludf.DUMMYFUNCTION("""COMPUTED_VALUE""")," ")</f>
        <v> </v>
      </c>
      <c r="O748" s="5"/>
    </row>
    <row r="749">
      <c r="A749" s="2" t="str">
        <f>IFERROR(__xludf.DUMMYFUNCTION("""COMPUTED_VALUE"""),"0900")</f>
        <v>0900</v>
      </c>
      <c r="B749" s="2" t="str">
        <f>IFERROR(__xludf.DUMMYFUNCTION("""COMPUTED_VALUE"""),"DOUGLAS COUNTY      RE 1")</f>
        <v>DOUGLAS COUNTY      RE 1</v>
      </c>
      <c r="C749" s="2" t="str">
        <f>IFERROR(__xludf.DUMMYFUNCTION("""COMPUTED_VALUE"""),"08847")</f>
        <v>08847</v>
      </c>
      <c r="D749" s="2" t="str">
        <f>IFERROR(__xludf.DUMMYFUNCTION("""COMPUTED_VALUE"""),"THUNDERRIDGE HIGH SCHOOL")</f>
        <v>THUNDERRIDGE HIGH SCHOOL</v>
      </c>
      <c r="E749" s="3" t="str">
        <f>IFERROR(__xludf.DUMMYFUNCTION("""COMPUTED_VALUE"""),"Y")</f>
        <v>Y</v>
      </c>
      <c r="F749" s="3" t="str">
        <f>IFERROR(__xludf.DUMMYFUNCTION("""COMPUTED_VALUE"""),"Y")</f>
        <v>Y</v>
      </c>
      <c r="G749" s="3"/>
      <c r="H749" s="3"/>
      <c r="I749" s="3" t="str">
        <f>IFERROR(__xludf.DUMMYFUNCTION("""COMPUTED_VALUE""")," ")</f>
        <v> </v>
      </c>
      <c r="J749" s="3" t="str">
        <f>IFERROR(__xludf.DUMMYFUNCTION("""COMPUTED_VALUE""")," ")</f>
        <v> </v>
      </c>
      <c r="K749" s="3" t="str">
        <f>IFERROR(__xludf.DUMMYFUNCTION("""COMPUTED_VALUE"""),"Y")</f>
        <v>Y</v>
      </c>
      <c r="L749" s="3" t="str">
        <f>IFERROR(__xludf.DUMMYFUNCTION("""COMPUTED_VALUE""")," ")</f>
        <v> </v>
      </c>
      <c r="M749" s="3"/>
      <c r="N749" s="5" t="str">
        <f>IFERROR(__xludf.DUMMYFUNCTION("""COMPUTED_VALUE""")," ")</f>
        <v> </v>
      </c>
      <c r="O749" s="5"/>
    </row>
    <row r="750">
      <c r="A750" s="2" t="str">
        <f>IFERROR(__xludf.DUMMYFUNCTION("""COMPUTED_VALUE"""),"0900")</f>
        <v>0900</v>
      </c>
      <c r="B750" s="2" t="str">
        <f>IFERROR(__xludf.DUMMYFUNCTION("""COMPUTED_VALUE"""),"DOUGLAS COUNTY      RE 1")</f>
        <v>DOUGLAS COUNTY      RE 1</v>
      </c>
      <c r="C750" s="2" t="str">
        <f>IFERROR(__xludf.DUMMYFUNCTION("""COMPUTED_VALUE"""),"08853")</f>
        <v>08853</v>
      </c>
      <c r="D750" s="2" t="str">
        <f>IFERROR(__xludf.DUMMYFUNCTION("""COMPUTED_VALUE"""),"TIMBER TRAIL ELEMENTARY")</f>
        <v>TIMBER TRAIL ELEMENTARY</v>
      </c>
      <c r="E750" s="3" t="str">
        <f>IFERROR(__xludf.DUMMYFUNCTION("""COMPUTED_VALUE"""),"Y")</f>
        <v>Y</v>
      </c>
      <c r="F750" s="3" t="str">
        <f>IFERROR(__xludf.DUMMYFUNCTION("""COMPUTED_VALUE"""),"Y")</f>
        <v>Y</v>
      </c>
      <c r="G750" s="3"/>
      <c r="H750" s="3"/>
      <c r="I750" s="3" t="str">
        <f>IFERROR(__xludf.DUMMYFUNCTION("""COMPUTED_VALUE""")," ")</f>
        <v> </v>
      </c>
      <c r="J750" s="3" t="str">
        <f>IFERROR(__xludf.DUMMYFUNCTION("""COMPUTED_VALUE""")," ")</f>
        <v> </v>
      </c>
      <c r="K750" s="3" t="str">
        <f>IFERROR(__xludf.DUMMYFUNCTION("""COMPUTED_VALUE"""),"Y")</f>
        <v>Y</v>
      </c>
      <c r="L750" s="3" t="str">
        <f>IFERROR(__xludf.DUMMYFUNCTION("""COMPUTED_VALUE""")," ")</f>
        <v> </v>
      </c>
      <c r="M750" s="3"/>
      <c r="N750" s="5" t="str">
        <f>IFERROR(__xludf.DUMMYFUNCTION("""COMPUTED_VALUE""")," ")</f>
        <v> </v>
      </c>
      <c r="O750" s="5"/>
    </row>
    <row r="751">
      <c r="A751" s="2" t="str">
        <f>IFERROR(__xludf.DUMMYFUNCTION("""COMPUTED_VALUE"""),"0900")</f>
        <v>0900</v>
      </c>
      <c r="B751" s="2" t="str">
        <f>IFERROR(__xludf.DUMMYFUNCTION("""COMPUTED_VALUE"""),"DOUGLAS COUNTY      RE 1")</f>
        <v>DOUGLAS COUNTY      RE 1</v>
      </c>
      <c r="C751" s="2" t="str">
        <f>IFERROR(__xludf.DUMMYFUNCTION("""COMPUTED_VALUE"""),"08897")</f>
        <v>08897</v>
      </c>
      <c r="D751" s="2" t="str">
        <f>IFERROR(__xludf.DUMMYFUNCTION("""COMPUTED_VALUE"""),"TRAILBLAZER ELEMENTARY SCHOOL")</f>
        <v>TRAILBLAZER ELEMENTARY SCHOOL</v>
      </c>
      <c r="E751" s="3" t="str">
        <f>IFERROR(__xludf.DUMMYFUNCTION("""COMPUTED_VALUE"""),"Y")</f>
        <v>Y</v>
      </c>
      <c r="F751" s="3" t="str">
        <f>IFERROR(__xludf.DUMMYFUNCTION("""COMPUTED_VALUE"""),"Y")</f>
        <v>Y</v>
      </c>
      <c r="G751" s="3"/>
      <c r="H751" s="3"/>
      <c r="I751" s="3" t="str">
        <f>IFERROR(__xludf.DUMMYFUNCTION("""COMPUTED_VALUE""")," ")</f>
        <v> </v>
      </c>
      <c r="J751" s="3" t="str">
        <f>IFERROR(__xludf.DUMMYFUNCTION("""COMPUTED_VALUE""")," ")</f>
        <v> </v>
      </c>
      <c r="K751" s="3" t="str">
        <f>IFERROR(__xludf.DUMMYFUNCTION("""COMPUTED_VALUE"""),"Y")</f>
        <v>Y</v>
      </c>
      <c r="L751" s="3" t="str">
        <f>IFERROR(__xludf.DUMMYFUNCTION("""COMPUTED_VALUE""")," ")</f>
        <v> </v>
      </c>
      <c r="M751" s="3"/>
      <c r="N751" s="5" t="str">
        <f>IFERROR(__xludf.DUMMYFUNCTION("""COMPUTED_VALUE""")," ")</f>
        <v> </v>
      </c>
      <c r="O751" s="5"/>
    </row>
    <row r="752">
      <c r="A752" s="2" t="str">
        <f>IFERROR(__xludf.DUMMYFUNCTION("""COMPUTED_VALUE"""),"0900")</f>
        <v>0900</v>
      </c>
      <c r="B752" s="2" t="str">
        <f>IFERROR(__xludf.DUMMYFUNCTION("""COMPUTED_VALUE"""),"DOUGLAS COUNTY      RE 1")</f>
        <v>DOUGLAS COUNTY      RE 1</v>
      </c>
      <c r="C752" s="2" t="str">
        <f>IFERROR(__xludf.DUMMYFUNCTION("""COMPUTED_VALUE"""),"09397")</f>
        <v>09397</v>
      </c>
      <c r="D752" s="2" t="str">
        <f>IFERROR(__xludf.DUMMYFUNCTION("""COMPUTED_VALUE"""),"World Compass Academy")</f>
        <v>World Compass Academy</v>
      </c>
      <c r="E752" s="3"/>
      <c r="F752" s="3" t="str">
        <f>IFERROR(__xludf.DUMMYFUNCTION("""COMPUTED_VALUE"""),"Y")</f>
        <v>Y</v>
      </c>
      <c r="G752" s="3"/>
      <c r="H752" s="3"/>
      <c r="I752" s="3" t="str">
        <f>IFERROR(__xludf.DUMMYFUNCTION("""COMPUTED_VALUE""")," ")</f>
        <v> </v>
      </c>
      <c r="J752" s="3" t="str">
        <f>IFERROR(__xludf.DUMMYFUNCTION("""COMPUTED_VALUE""")," ")</f>
        <v> </v>
      </c>
      <c r="K752" s="3" t="str">
        <f>IFERROR(__xludf.DUMMYFUNCTION("""COMPUTED_VALUE"""),"Y")</f>
        <v>Y</v>
      </c>
      <c r="L752" s="3" t="str">
        <f>IFERROR(__xludf.DUMMYFUNCTION("""COMPUTED_VALUE""")," ")</f>
        <v> </v>
      </c>
      <c r="M752" s="3"/>
      <c r="N752" s="5" t="str">
        <f>IFERROR(__xludf.DUMMYFUNCTION("""COMPUTED_VALUE""")," ")</f>
        <v> </v>
      </c>
      <c r="O752" s="5"/>
    </row>
    <row r="753">
      <c r="A753" s="2" t="str">
        <f>IFERROR(__xludf.DUMMYFUNCTION("""COMPUTED_VALUE"""),"0900")</f>
        <v>0900</v>
      </c>
      <c r="B753" s="2" t="str">
        <f>IFERROR(__xludf.DUMMYFUNCTION("""COMPUTED_VALUE"""),"DOUGLAS COUNTY      RE 1")</f>
        <v>DOUGLAS COUNTY      RE 1</v>
      </c>
      <c r="C753" s="2" t="str">
        <f>IFERROR(__xludf.DUMMYFUNCTION("""COMPUTED_VALUE"""),"09592")</f>
        <v>09592</v>
      </c>
      <c r="D753" s="2" t="str">
        <f>IFERROR(__xludf.DUMMYFUNCTION("""COMPUTED_VALUE"""),"WILDCAT MOUNTAIN ELEMENTARY SCHOOL")</f>
        <v>WILDCAT MOUNTAIN ELEMENTARY SCHOOL</v>
      </c>
      <c r="E753" s="3" t="str">
        <f>IFERROR(__xludf.DUMMYFUNCTION("""COMPUTED_VALUE"""),"Y")</f>
        <v>Y</v>
      </c>
      <c r="F753" s="3" t="str">
        <f>IFERROR(__xludf.DUMMYFUNCTION("""COMPUTED_VALUE"""),"Y")</f>
        <v>Y</v>
      </c>
      <c r="G753" s="3"/>
      <c r="H753" s="3"/>
      <c r="I753" s="3" t="str">
        <f>IFERROR(__xludf.DUMMYFUNCTION("""COMPUTED_VALUE""")," ")</f>
        <v> </v>
      </c>
      <c r="J753" s="3" t="str">
        <f>IFERROR(__xludf.DUMMYFUNCTION("""COMPUTED_VALUE""")," ")</f>
        <v> </v>
      </c>
      <c r="K753" s="3" t="str">
        <f>IFERROR(__xludf.DUMMYFUNCTION("""COMPUTED_VALUE"""),"Y")</f>
        <v>Y</v>
      </c>
      <c r="L753" s="3" t="str">
        <f>IFERROR(__xludf.DUMMYFUNCTION("""COMPUTED_VALUE""")," ")</f>
        <v> </v>
      </c>
      <c r="M753" s="3"/>
      <c r="N753" s="5" t="str">
        <f>IFERROR(__xludf.DUMMYFUNCTION("""COMPUTED_VALUE""")," ")</f>
        <v> </v>
      </c>
      <c r="O753" s="5"/>
    </row>
    <row r="754">
      <c r="A754" s="2" t="str">
        <f>IFERROR(__xludf.DUMMYFUNCTION("""COMPUTED_VALUE"""),"0910")</f>
        <v>0910</v>
      </c>
      <c r="B754" s="2" t="str">
        <f>IFERROR(__xludf.DUMMYFUNCTION("""COMPUTED_VALUE"""),"EAGLE COUNTY RE 50")</f>
        <v>EAGLE COUNTY RE 50</v>
      </c>
      <c r="C754" s="2" t="str">
        <f>IFERROR(__xludf.DUMMYFUNCTION("""COMPUTED_VALUE"""),"00037")</f>
        <v>00037</v>
      </c>
      <c r="D754" s="2" t="str">
        <f>IFERROR(__xludf.DUMMYFUNCTION("""COMPUTED_VALUE"""),"RED HILL ELEMENTARY SCHOOL")</f>
        <v>RED HILL ELEMENTARY SCHOOL</v>
      </c>
      <c r="E754" s="3" t="str">
        <f>IFERROR(__xludf.DUMMYFUNCTION("""COMPUTED_VALUE"""),"Y")</f>
        <v>Y</v>
      </c>
      <c r="F754" s="3" t="str">
        <f>IFERROR(__xludf.DUMMYFUNCTION("""COMPUTED_VALUE"""),"Y")</f>
        <v>Y</v>
      </c>
      <c r="G754" s="3"/>
      <c r="H754" s="3"/>
      <c r="I754" s="3" t="str">
        <f>IFERROR(__xludf.DUMMYFUNCTION("""COMPUTED_VALUE""")," ")</f>
        <v> </v>
      </c>
      <c r="J754" s="3" t="str">
        <f>IFERROR(__xludf.DUMMYFUNCTION("""COMPUTED_VALUE""")," ")</f>
        <v> </v>
      </c>
      <c r="K754" s="3" t="str">
        <f>IFERROR(__xludf.DUMMYFUNCTION("""COMPUTED_VALUE"""),"Y")</f>
        <v>Y</v>
      </c>
      <c r="L754" s="3" t="str">
        <f>IFERROR(__xludf.DUMMYFUNCTION("""COMPUTED_VALUE""")," ")</f>
        <v> </v>
      </c>
      <c r="M754" s="3"/>
      <c r="N754" s="5" t="str">
        <f>IFERROR(__xludf.DUMMYFUNCTION("""COMPUTED_VALUE""")," ")</f>
        <v> </v>
      </c>
      <c r="O754" s="5"/>
    </row>
    <row r="755">
      <c r="A755" s="2" t="str">
        <f>IFERROR(__xludf.DUMMYFUNCTION("""COMPUTED_VALUE"""),"0910")</f>
        <v>0910</v>
      </c>
      <c r="B755" s="2" t="str">
        <f>IFERROR(__xludf.DUMMYFUNCTION("""COMPUTED_VALUE"""),"EAGLE COUNTY RE 50")</f>
        <v>EAGLE COUNTY RE 50</v>
      </c>
      <c r="C755" s="2" t="str">
        <f>IFERROR(__xludf.DUMMYFUNCTION("""COMPUTED_VALUE"""),"00038")</f>
        <v>00038</v>
      </c>
      <c r="D755" s="2" t="str">
        <f>IFERROR(__xludf.DUMMYFUNCTION("""COMPUTED_VALUE"""),"BRUSH CREEK ELEMENTARY SCHOOL")</f>
        <v>BRUSH CREEK ELEMENTARY SCHOOL</v>
      </c>
      <c r="E755" s="3" t="str">
        <f>IFERROR(__xludf.DUMMYFUNCTION("""COMPUTED_VALUE"""),"Y")</f>
        <v>Y</v>
      </c>
      <c r="F755" s="3" t="str">
        <f>IFERROR(__xludf.DUMMYFUNCTION("""COMPUTED_VALUE"""),"Y")</f>
        <v>Y</v>
      </c>
      <c r="G755" s="3"/>
      <c r="H755" s="3"/>
      <c r="I755" s="3" t="str">
        <f>IFERROR(__xludf.DUMMYFUNCTION("""COMPUTED_VALUE""")," ")</f>
        <v> </v>
      </c>
      <c r="J755" s="3" t="str">
        <f>IFERROR(__xludf.DUMMYFUNCTION("""COMPUTED_VALUE""")," ")</f>
        <v> </v>
      </c>
      <c r="K755" s="3" t="str">
        <f>IFERROR(__xludf.DUMMYFUNCTION("""COMPUTED_VALUE"""),"Y")</f>
        <v>Y</v>
      </c>
      <c r="L755" s="3" t="str">
        <f>IFERROR(__xludf.DUMMYFUNCTION("""COMPUTED_VALUE"""),"Group 1")</f>
        <v>Group 1</v>
      </c>
      <c r="M755" s="3"/>
      <c r="N755" s="5" t="str">
        <f>IFERROR(__xludf.DUMMYFUNCTION("""COMPUTED_VALUE""")," ")</f>
        <v> </v>
      </c>
      <c r="O755" s="5"/>
    </row>
    <row r="756">
      <c r="A756" s="2" t="str">
        <f>IFERROR(__xludf.DUMMYFUNCTION("""COMPUTED_VALUE"""),"0910")</f>
        <v>0910</v>
      </c>
      <c r="B756" s="2" t="str">
        <f>IFERROR(__xludf.DUMMYFUNCTION("""COMPUTED_VALUE"""),"EAGLE COUNTY RE 50")</f>
        <v>EAGLE COUNTY RE 50</v>
      </c>
      <c r="C756" s="2" t="str">
        <f>IFERROR(__xludf.DUMMYFUNCTION("""COMPUTED_VALUE"""),"00039")</f>
        <v>00039</v>
      </c>
      <c r="D756" s="2" t="str">
        <f>IFERROR(__xludf.DUMMYFUNCTION("""COMPUTED_VALUE"""),"GYPSUM CREEK MIDDLE SCHOOL")</f>
        <v>GYPSUM CREEK MIDDLE SCHOOL</v>
      </c>
      <c r="E756" s="3" t="str">
        <f>IFERROR(__xludf.DUMMYFUNCTION("""COMPUTED_VALUE"""),"Y")</f>
        <v>Y</v>
      </c>
      <c r="F756" s="3" t="str">
        <f>IFERROR(__xludf.DUMMYFUNCTION("""COMPUTED_VALUE"""),"Y")</f>
        <v>Y</v>
      </c>
      <c r="G756" s="3"/>
      <c r="H756" s="3"/>
      <c r="I756" s="3" t="str">
        <f>IFERROR(__xludf.DUMMYFUNCTION("""COMPUTED_VALUE""")," ")</f>
        <v> </v>
      </c>
      <c r="J756" s="3" t="str">
        <f>IFERROR(__xludf.DUMMYFUNCTION("""COMPUTED_VALUE""")," ")</f>
        <v> </v>
      </c>
      <c r="K756" s="3" t="str">
        <f>IFERROR(__xludf.DUMMYFUNCTION("""COMPUTED_VALUE"""),"Y")</f>
        <v>Y</v>
      </c>
      <c r="L756" s="3" t="str">
        <f>IFERROR(__xludf.DUMMYFUNCTION("""COMPUTED_VALUE""")," ")</f>
        <v> </v>
      </c>
      <c r="M756" s="3"/>
      <c r="N756" s="5" t="str">
        <f>IFERROR(__xludf.DUMMYFUNCTION("""COMPUTED_VALUE""")," ")</f>
        <v> </v>
      </c>
      <c r="O756" s="5"/>
    </row>
    <row r="757">
      <c r="A757" s="2" t="str">
        <f>IFERROR(__xludf.DUMMYFUNCTION("""COMPUTED_VALUE"""),"0910")</f>
        <v>0910</v>
      </c>
      <c r="B757" s="2" t="str">
        <f>IFERROR(__xludf.DUMMYFUNCTION("""COMPUTED_VALUE"""),"EAGLE COUNTY RE 50")</f>
        <v>EAGLE COUNTY RE 50</v>
      </c>
      <c r="C757" s="2" t="str">
        <f>IFERROR(__xludf.DUMMYFUNCTION("""COMPUTED_VALUE"""),"00205")</f>
        <v>00205</v>
      </c>
      <c r="D757" s="2" t="str">
        <f>IFERROR(__xludf.DUMMYFUNCTION("""COMPUTED_VALUE"""),"RED CANYON HIGH SCHOOL")</f>
        <v>RED CANYON HIGH SCHOOL</v>
      </c>
      <c r="E757" s="3" t="str">
        <f>IFERROR(__xludf.DUMMYFUNCTION("""COMPUTED_VALUE"""),"Y")</f>
        <v>Y</v>
      </c>
      <c r="F757" s="3" t="str">
        <f>IFERROR(__xludf.DUMMYFUNCTION("""COMPUTED_VALUE"""),"Y")</f>
        <v>Y</v>
      </c>
      <c r="G757" s="3"/>
      <c r="H757" s="3"/>
      <c r="I757" s="3" t="str">
        <f>IFERROR(__xludf.DUMMYFUNCTION("""COMPUTED_VALUE""")," ")</f>
        <v> </v>
      </c>
      <c r="J757" s="3" t="str">
        <f>IFERROR(__xludf.DUMMYFUNCTION("""COMPUTED_VALUE""")," ")</f>
        <v> </v>
      </c>
      <c r="K757" s="3" t="str">
        <f>IFERROR(__xludf.DUMMYFUNCTION("""COMPUTED_VALUE"""),"Y")</f>
        <v>Y</v>
      </c>
      <c r="L757" s="3" t="str">
        <f>IFERROR(__xludf.DUMMYFUNCTION("""COMPUTED_VALUE""")," ")</f>
        <v> </v>
      </c>
      <c r="M757" s="3"/>
      <c r="N757" s="5" t="str">
        <f>IFERROR(__xludf.DUMMYFUNCTION("""COMPUTED_VALUE""")," ")</f>
        <v> </v>
      </c>
      <c r="O757" s="5"/>
    </row>
    <row r="758">
      <c r="A758" s="2" t="str">
        <f>IFERROR(__xludf.DUMMYFUNCTION("""COMPUTED_VALUE"""),"0910")</f>
        <v>0910</v>
      </c>
      <c r="B758" s="2" t="str">
        <f>IFERROR(__xludf.DUMMYFUNCTION("""COMPUTED_VALUE"""),"EAGLE COUNTY RE 50")</f>
        <v>EAGLE COUNTY RE 50</v>
      </c>
      <c r="C758" s="2" t="str">
        <f>IFERROR(__xludf.DUMMYFUNCTION("""COMPUTED_VALUE"""),"00471")</f>
        <v>00471</v>
      </c>
      <c r="D758" s="2" t="str">
        <f>IFERROR(__xludf.DUMMYFUNCTION("""COMPUTED_VALUE"""),"AVON ELEMENTARY SCHOOL")</f>
        <v>AVON ELEMENTARY SCHOOL</v>
      </c>
      <c r="E758" s="3" t="str">
        <f>IFERROR(__xludf.DUMMYFUNCTION("""COMPUTED_VALUE"""),"Y")</f>
        <v>Y</v>
      </c>
      <c r="F758" s="3" t="str">
        <f>IFERROR(__xludf.DUMMYFUNCTION("""COMPUTED_VALUE"""),"Y")</f>
        <v>Y</v>
      </c>
      <c r="G758" s="3"/>
      <c r="H758" s="3"/>
      <c r="I758" s="3" t="str">
        <f>IFERROR(__xludf.DUMMYFUNCTION("""COMPUTED_VALUE""")," ")</f>
        <v> </v>
      </c>
      <c r="J758" s="3" t="str">
        <f>IFERROR(__xludf.DUMMYFUNCTION("""COMPUTED_VALUE"""),"Y")</f>
        <v>Y</v>
      </c>
      <c r="K758" s="3" t="str">
        <f>IFERROR(__xludf.DUMMYFUNCTION("""COMPUTED_VALUE"""),"Y")</f>
        <v>Y</v>
      </c>
      <c r="L758" s="3" t="str">
        <f>IFERROR(__xludf.DUMMYFUNCTION("""COMPUTED_VALUE"""),"Group 1")</f>
        <v>Group 1</v>
      </c>
      <c r="M758" s="3"/>
      <c r="N758" s="5" t="str">
        <f>IFERROR(__xludf.DUMMYFUNCTION("""COMPUTED_VALUE""")," ")</f>
        <v> </v>
      </c>
      <c r="O758" s="5"/>
    </row>
    <row r="759">
      <c r="A759" s="2" t="str">
        <f>IFERROR(__xludf.DUMMYFUNCTION("""COMPUTED_VALUE"""),"0910")</f>
        <v>0910</v>
      </c>
      <c r="B759" s="2" t="str">
        <f>IFERROR(__xludf.DUMMYFUNCTION("""COMPUTED_VALUE"""),"EAGLE COUNTY RE 50")</f>
        <v>EAGLE COUNTY RE 50</v>
      </c>
      <c r="C759" s="2" t="str">
        <f>IFERROR(__xludf.DUMMYFUNCTION("""COMPUTED_VALUE"""),"00479")</f>
        <v>00479</v>
      </c>
      <c r="D759" s="2" t="str">
        <f>IFERROR(__xludf.DUMMYFUNCTION("""COMPUTED_VALUE"""),"Edwards Early Learning Center")</f>
        <v>Edwards Early Learning Center</v>
      </c>
      <c r="E759" s="3" t="str">
        <f>IFERROR(__xludf.DUMMYFUNCTION("""COMPUTED_VALUE"""),"Y")</f>
        <v>Y</v>
      </c>
      <c r="F759" s="3" t="str">
        <f>IFERROR(__xludf.DUMMYFUNCTION("""COMPUTED_VALUE"""),"Y")</f>
        <v>Y</v>
      </c>
      <c r="G759" s="3"/>
      <c r="H759" s="3"/>
      <c r="I759" s="3" t="str">
        <f>IFERROR(__xludf.DUMMYFUNCTION("""COMPUTED_VALUE""")," ")</f>
        <v> </v>
      </c>
      <c r="J759" s="3" t="str">
        <f>IFERROR(__xludf.DUMMYFUNCTION("""COMPUTED_VALUE""")," ")</f>
        <v> </v>
      </c>
      <c r="K759" s="3" t="str">
        <f>IFERROR(__xludf.DUMMYFUNCTION("""COMPUTED_VALUE"""),"Y")</f>
        <v>Y</v>
      </c>
      <c r="L759" s="3" t="str">
        <f>IFERROR(__xludf.DUMMYFUNCTION("""COMPUTED_VALUE"""),"Group 2")</f>
        <v>Group 2</v>
      </c>
      <c r="M759" s="3"/>
      <c r="N759" s="5" t="str">
        <f>IFERROR(__xludf.DUMMYFUNCTION("""COMPUTED_VALUE""")," ")</f>
        <v> </v>
      </c>
      <c r="O759" s="5"/>
    </row>
    <row r="760">
      <c r="A760" s="2" t="str">
        <f>IFERROR(__xludf.DUMMYFUNCTION("""COMPUTED_VALUE"""),"0910")</f>
        <v>0910</v>
      </c>
      <c r="B760" s="2" t="str">
        <f>IFERROR(__xludf.DUMMYFUNCTION("""COMPUTED_VALUE"""),"EAGLE COUNTY RE 50")</f>
        <v>EAGLE COUNTY RE 50</v>
      </c>
      <c r="C760" s="2" t="str">
        <f>IFERROR(__xludf.DUMMYFUNCTION("""COMPUTED_VALUE"""),"00604")</f>
        <v>00604</v>
      </c>
      <c r="D760" s="2" t="str">
        <f>IFERROR(__xludf.DUMMYFUNCTION("""COMPUTED_VALUE"""),"BATTLE MOUNTAIN HIGH SCHOOL")</f>
        <v>BATTLE MOUNTAIN HIGH SCHOOL</v>
      </c>
      <c r="E760" s="3" t="str">
        <f>IFERROR(__xludf.DUMMYFUNCTION("""COMPUTED_VALUE"""),"Y")</f>
        <v>Y</v>
      </c>
      <c r="F760" s="3" t="str">
        <f>IFERROR(__xludf.DUMMYFUNCTION("""COMPUTED_VALUE"""),"Y")</f>
        <v>Y</v>
      </c>
      <c r="G760" s="3"/>
      <c r="H760" s="3"/>
      <c r="I760" s="3" t="str">
        <f>IFERROR(__xludf.DUMMYFUNCTION("""COMPUTED_VALUE""")," ")</f>
        <v> </v>
      </c>
      <c r="J760" s="3" t="str">
        <f>IFERROR(__xludf.DUMMYFUNCTION("""COMPUTED_VALUE""")," ")</f>
        <v> </v>
      </c>
      <c r="K760" s="3" t="str">
        <f>IFERROR(__xludf.DUMMYFUNCTION("""COMPUTED_VALUE"""),"Y")</f>
        <v>Y</v>
      </c>
      <c r="L760" s="3" t="str">
        <f>IFERROR(__xludf.DUMMYFUNCTION("""COMPUTED_VALUE""")," ")</f>
        <v> </v>
      </c>
      <c r="M760" s="3"/>
      <c r="N760" s="5" t="str">
        <f>IFERROR(__xludf.DUMMYFUNCTION("""COMPUTED_VALUE""")," ")</f>
        <v> </v>
      </c>
      <c r="O760" s="5"/>
    </row>
    <row r="761">
      <c r="A761" s="2" t="str">
        <f>IFERROR(__xludf.DUMMYFUNCTION("""COMPUTED_VALUE"""),"0910")</f>
        <v>0910</v>
      </c>
      <c r="B761" s="2" t="str">
        <f>IFERROR(__xludf.DUMMYFUNCTION("""COMPUTED_VALUE"""),"EAGLE COUNTY RE 50")</f>
        <v>EAGLE COUNTY RE 50</v>
      </c>
      <c r="C761" s="2" t="str">
        <f>IFERROR(__xludf.DUMMYFUNCTION("""COMPUTED_VALUE"""),"00793")</f>
        <v>00793</v>
      </c>
      <c r="D761" s="2" t="str">
        <f>IFERROR(__xludf.DUMMYFUNCTION("""COMPUTED_VALUE"""),"BERRY CREEK MIDDLE SCHOOL")</f>
        <v>BERRY CREEK MIDDLE SCHOOL</v>
      </c>
      <c r="E761" s="3" t="str">
        <f>IFERROR(__xludf.DUMMYFUNCTION("""COMPUTED_VALUE"""),"Y")</f>
        <v>Y</v>
      </c>
      <c r="F761" s="3" t="str">
        <f>IFERROR(__xludf.DUMMYFUNCTION("""COMPUTED_VALUE"""),"Y")</f>
        <v>Y</v>
      </c>
      <c r="G761" s="3"/>
      <c r="H761" s="3"/>
      <c r="I761" s="3" t="str">
        <f>IFERROR(__xludf.DUMMYFUNCTION("""COMPUTED_VALUE""")," ")</f>
        <v> </v>
      </c>
      <c r="J761" s="3" t="str">
        <f>IFERROR(__xludf.DUMMYFUNCTION("""COMPUTED_VALUE""")," ")</f>
        <v> </v>
      </c>
      <c r="K761" s="3" t="str">
        <f>IFERROR(__xludf.DUMMYFUNCTION("""COMPUTED_VALUE"""),"Y")</f>
        <v>Y</v>
      </c>
      <c r="L761" s="3" t="str">
        <f>IFERROR(__xludf.DUMMYFUNCTION("""COMPUTED_VALUE"""),"Group 1")</f>
        <v>Group 1</v>
      </c>
      <c r="M761" s="3"/>
      <c r="N761" s="5" t="str">
        <f>IFERROR(__xludf.DUMMYFUNCTION("""COMPUTED_VALUE""")," ")</f>
        <v> </v>
      </c>
      <c r="O761" s="5"/>
    </row>
    <row r="762">
      <c r="A762" s="2" t="str">
        <f>IFERROR(__xludf.DUMMYFUNCTION("""COMPUTED_VALUE"""),"0910")</f>
        <v>0910</v>
      </c>
      <c r="B762" s="2" t="str">
        <f>IFERROR(__xludf.DUMMYFUNCTION("""COMPUTED_VALUE"""),"EAGLE COUNTY RE 50")</f>
        <v>EAGLE COUNTY RE 50</v>
      </c>
      <c r="C762" s="2" t="str">
        <f>IFERROR(__xludf.DUMMYFUNCTION("""COMPUTED_VALUE"""),"02340")</f>
        <v>02340</v>
      </c>
      <c r="D762" s="2" t="str">
        <f>IFERROR(__xludf.DUMMYFUNCTION("""COMPUTED_VALUE"""),"Eagle County Charter Academy")</f>
        <v>Eagle County Charter Academy</v>
      </c>
      <c r="E762" s="3"/>
      <c r="F762" s="3" t="str">
        <f>IFERROR(__xludf.DUMMYFUNCTION("""COMPUTED_VALUE"""),"Y")</f>
        <v>Y</v>
      </c>
      <c r="G762" s="3"/>
      <c r="H762" s="3"/>
      <c r="I762" s="3" t="str">
        <f>IFERROR(__xludf.DUMMYFUNCTION("""COMPUTED_VALUE""")," ")</f>
        <v> </v>
      </c>
      <c r="J762" s="3" t="str">
        <f>IFERROR(__xludf.DUMMYFUNCTION("""COMPUTED_VALUE""")," ")</f>
        <v> </v>
      </c>
      <c r="K762" s="3" t="str">
        <f>IFERROR(__xludf.DUMMYFUNCTION("""COMPUTED_VALUE"""),"Y")</f>
        <v>Y</v>
      </c>
      <c r="L762" s="3" t="str">
        <f>IFERROR(__xludf.DUMMYFUNCTION("""COMPUTED_VALUE""")," ")</f>
        <v> </v>
      </c>
      <c r="M762" s="3"/>
      <c r="N762" s="5" t="str">
        <f>IFERROR(__xludf.DUMMYFUNCTION("""COMPUTED_VALUE""")," ")</f>
        <v> </v>
      </c>
      <c r="O762" s="5"/>
    </row>
    <row r="763">
      <c r="A763" s="2" t="str">
        <f>IFERROR(__xludf.DUMMYFUNCTION("""COMPUTED_VALUE"""),"0910")</f>
        <v>0910</v>
      </c>
      <c r="B763" s="2" t="str">
        <f>IFERROR(__xludf.DUMMYFUNCTION("""COMPUTED_VALUE"""),"EAGLE COUNTY RE 50")</f>
        <v>EAGLE COUNTY RE 50</v>
      </c>
      <c r="C763" s="2" t="str">
        <f>IFERROR(__xludf.DUMMYFUNCTION("""COMPUTED_VALUE"""),"02346")</f>
        <v>02346</v>
      </c>
      <c r="D763" s="2" t="str">
        <f>IFERROR(__xludf.DUMMYFUNCTION("""COMPUTED_VALUE"""),"EAGLE VALLEY ELEMENTARY SCHOOL")</f>
        <v>EAGLE VALLEY ELEMENTARY SCHOOL</v>
      </c>
      <c r="E763" s="3" t="str">
        <f>IFERROR(__xludf.DUMMYFUNCTION("""COMPUTED_VALUE"""),"Y")</f>
        <v>Y</v>
      </c>
      <c r="F763" s="3" t="str">
        <f>IFERROR(__xludf.DUMMYFUNCTION("""COMPUTED_VALUE"""),"Y")</f>
        <v>Y</v>
      </c>
      <c r="G763" s="3"/>
      <c r="H763" s="3"/>
      <c r="I763" s="3" t="str">
        <f>IFERROR(__xludf.DUMMYFUNCTION("""COMPUTED_VALUE""")," ")</f>
        <v> </v>
      </c>
      <c r="J763" s="3" t="str">
        <f>IFERROR(__xludf.DUMMYFUNCTION("""COMPUTED_VALUE""")," ")</f>
        <v> </v>
      </c>
      <c r="K763" s="3" t="str">
        <f>IFERROR(__xludf.DUMMYFUNCTION("""COMPUTED_VALUE"""),"Y")</f>
        <v>Y</v>
      </c>
      <c r="L763" s="3" t="str">
        <f>IFERROR(__xludf.DUMMYFUNCTION("""COMPUTED_VALUE"""),"Group 3")</f>
        <v>Group 3</v>
      </c>
      <c r="M763" s="3"/>
      <c r="N763" s="5" t="str">
        <f>IFERROR(__xludf.DUMMYFUNCTION("""COMPUTED_VALUE""")," ")</f>
        <v> </v>
      </c>
      <c r="O763" s="5"/>
    </row>
    <row r="764">
      <c r="A764" s="2" t="str">
        <f>IFERROR(__xludf.DUMMYFUNCTION("""COMPUTED_VALUE"""),"0910")</f>
        <v>0910</v>
      </c>
      <c r="B764" s="2" t="str">
        <f>IFERROR(__xludf.DUMMYFUNCTION("""COMPUTED_VALUE"""),"EAGLE COUNTY RE 50")</f>
        <v>EAGLE COUNTY RE 50</v>
      </c>
      <c r="C764" s="2" t="str">
        <f>IFERROR(__xludf.DUMMYFUNCTION("""COMPUTED_VALUE"""),"02350")</f>
        <v>02350</v>
      </c>
      <c r="D764" s="2" t="str">
        <f>IFERROR(__xludf.DUMMYFUNCTION("""COMPUTED_VALUE"""),"EAGLE VALLEY HIGH SCHOOL")</f>
        <v>EAGLE VALLEY HIGH SCHOOL</v>
      </c>
      <c r="E764" s="3" t="str">
        <f>IFERROR(__xludf.DUMMYFUNCTION("""COMPUTED_VALUE"""),"Y")</f>
        <v>Y</v>
      </c>
      <c r="F764" s="3" t="str">
        <f>IFERROR(__xludf.DUMMYFUNCTION("""COMPUTED_VALUE"""),"Y")</f>
        <v>Y</v>
      </c>
      <c r="G764" s="3"/>
      <c r="H764" s="3"/>
      <c r="I764" s="3" t="str">
        <f>IFERROR(__xludf.DUMMYFUNCTION("""COMPUTED_VALUE""")," ")</f>
        <v> </v>
      </c>
      <c r="J764" s="3" t="str">
        <f>IFERROR(__xludf.DUMMYFUNCTION("""COMPUTED_VALUE""")," ")</f>
        <v> </v>
      </c>
      <c r="K764" s="3" t="str">
        <f>IFERROR(__xludf.DUMMYFUNCTION("""COMPUTED_VALUE"""),"Y")</f>
        <v>Y</v>
      </c>
      <c r="L764" s="3" t="str">
        <f>IFERROR(__xludf.DUMMYFUNCTION("""COMPUTED_VALUE""")," ")</f>
        <v> </v>
      </c>
      <c r="M764" s="3"/>
      <c r="N764" s="5" t="str">
        <f>IFERROR(__xludf.DUMMYFUNCTION("""COMPUTED_VALUE""")," ")</f>
        <v> </v>
      </c>
      <c r="O764" s="5"/>
    </row>
    <row r="765">
      <c r="A765" s="2" t="str">
        <f>IFERROR(__xludf.DUMMYFUNCTION("""COMPUTED_VALUE"""),"0910")</f>
        <v>0910</v>
      </c>
      <c r="B765" s="2" t="str">
        <f>IFERROR(__xludf.DUMMYFUNCTION("""COMPUTED_VALUE"""),"EAGLE COUNTY RE 50")</f>
        <v>EAGLE COUNTY RE 50</v>
      </c>
      <c r="C765" s="2" t="str">
        <f>IFERROR(__xludf.DUMMYFUNCTION("""COMPUTED_VALUE"""),"02355")</f>
        <v>02355</v>
      </c>
      <c r="D765" s="2" t="str">
        <f>IFERROR(__xludf.DUMMYFUNCTION("""COMPUTED_VALUE"""),"EAGLE VALLEY MIDDLE SCHOOL")</f>
        <v>EAGLE VALLEY MIDDLE SCHOOL</v>
      </c>
      <c r="E765" s="3" t="str">
        <f>IFERROR(__xludf.DUMMYFUNCTION("""COMPUTED_VALUE"""),"Y")</f>
        <v>Y</v>
      </c>
      <c r="F765" s="3" t="str">
        <f>IFERROR(__xludf.DUMMYFUNCTION("""COMPUTED_VALUE"""),"Y")</f>
        <v>Y</v>
      </c>
      <c r="G765" s="3"/>
      <c r="H765" s="3"/>
      <c r="I765" s="3" t="str">
        <f>IFERROR(__xludf.DUMMYFUNCTION("""COMPUTED_VALUE""")," ")</f>
        <v> </v>
      </c>
      <c r="J765" s="3" t="str">
        <f>IFERROR(__xludf.DUMMYFUNCTION("""COMPUTED_VALUE""")," ")</f>
        <v> </v>
      </c>
      <c r="K765" s="3" t="str">
        <f>IFERROR(__xludf.DUMMYFUNCTION("""COMPUTED_VALUE"""),"Y")</f>
        <v>Y</v>
      </c>
      <c r="L765" s="3" t="str">
        <f>IFERROR(__xludf.DUMMYFUNCTION("""COMPUTED_VALUE""")," ")</f>
        <v> </v>
      </c>
      <c r="M765" s="3"/>
      <c r="N765" s="5" t="str">
        <f>IFERROR(__xludf.DUMMYFUNCTION("""COMPUTED_VALUE""")," ")</f>
        <v> </v>
      </c>
      <c r="O765" s="5"/>
    </row>
    <row r="766">
      <c r="A766" s="2" t="str">
        <f>IFERROR(__xludf.DUMMYFUNCTION("""COMPUTED_VALUE"""),"0910")</f>
        <v>0910</v>
      </c>
      <c r="B766" s="2" t="str">
        <f>IFERROR(__xludf.DUMMYFUNCTION("""COMPUTED_VALUE"""),"EAGLE COUNTY RE 50")</f>
        <v>EAGLE COUNTY RE 50</v>
      </c>
      <c r="C766" s="2" t="str">
        <f>IFERROR(__xludf.DUMMYFUNCTION("""COMPUTED_VALUE"""),"02530")</f>
        <v>02530</v>
      </c>
      <c r="D766" s="2" t="str">
        <f>IFERROR(__xludf.DUMMYFUNCTION("""COMPUTED_VALUE"""),"EDWARDS ELEMENTARY SCHOOL")</f>
        <v>EDWARDS ELEMENTARY SCHOOL</v>
      </c>
      <c r="E766" s="3" t="str">
        <f>IFERROR(__xludf.DUMMYFUNCTION("""COMPUTED_VALUE"""),"Y")</f>
        <v>Y</v>
      </c>
      <c r="F766" s="3" t="str">
        <f>IFERROR(__xludf.DUMMYFUNCTION("""COMPUTED_VALUE"""),"Y")</f>
        <v>Y</v>
      </c>
      <c r="G766" s="3"/>
      <c r="H766" s="3"/>
      <c r="I766" s="3" t="str">
        <f>IFERROR(__xludf.DUMMYFUNCTION("""COMPUTED_VALUE""")," ")</f>
        <v> </v>
      </c>
      <c r="J766" s="3" t="str">
        <f>IFERROR(__xludf.DUMMYFUNCTION("""COMPUTED_VALUE""")," ")</f>
        <v> </v>
      </c>
      <c r="K766" s="3" t="str">
        <f>IFERROR(__xludf.DUMMYFUNCTION("""COMPUTED_VALUE"""),"Y")</f>
        <v>Y</v>
      </c>
      <c r="L766" s="3" t="str">
        <f>IFERROR(__xludf.DUMMYFUNCTION("""COMPUTED_VALUE""")," ")</f>
        <v> </v>
      </c>
      <c r="M766" s="3"/>
      <c r="N766" s="5" t="str">
        <f>IFERROR(__xludf.DUMMYFUNCTION("""COMPUTED_VALUE""")," ")</f>
        <v> </v>
      </c>
      <c r="O766" s="5"/>
    </row>
    <row r="767">
      <c r="A767" s="2" t="str">
        <f>IFERROR(__xludf.DUMMYFUNCTION("""COMPUTED_VALUE"""),"0910")</f>
        <v>0910</v>
      </c>
      <c r="B767" s="2" t="str">
        <f>IFERROR(__xludf.DUMMYFUNCTION("""COMPUTED_VALUE"""),"EAGLE COUNTY RE 50")</f>
        <v>EAGLE COUNTY RE 50</v>
      </c>
      <c r="C767" s="2" t="str">
        <f>IFERROR(__xludf.DUMMYFUNCTION("""COMPUTED_VALUE"""),"03710")</f>
        <v>03710</v>
      </c>
      <c r="D767" s="2" t="str">
        <f>IFERROR(__xludf.DUMMYFUNCTION("""COMPUTED_VALUE"""),"GYPSUM ELEMENTARY SCHOOL")</f>
        <v>GYPSUM ELEMENTARY SCHOOL</v>
      </c>
      <c r="E767" s="3" t="str">
        <f>IFERROR(__xludf.DUMMYFUNCTION("""COMPUTED_VALUE"""),"Y")</f>
        <v>Y</v>
      </c>
      <c r="F767" s="3" t="str">
        <f>IFERROR(__xludf.DUMMYFUNCTION("""COMPUTED_VALUE"""),"Y")</f>
        <v>Y</v>
      </c>
      <c r="G767" s="3"/>
      <c r="H767" s="3"/>
      <c r="I767" s="3" t="str">
        <f>IFERROR(__xludf.DUMMYFUNCTION("""COMPUTED_VALUE""")," ")</f>
        <v> </v>
      </c>
      <c r="J767" s="3" t="str">
        <f>IFERROR(__xludf.DUMMYFUNCTION("""COMPUTED_VALUE"""),"Y")</f>
        <v>Y</v>
      </c>
      <c r="K767" s="3" t="str">
        <f>IFERROR(__xludf.DUMMYFUNCTION("""COMPUTED_VALUE"""),"Y")</f>
        <v>Y</v>
      </c>
      <c r="L767" s="3" t="str">
        <f>IFERROR(__xludf.DUMMYFUNCTION("""COMPUTED_VALUE""")," ")</f>
        <v> </v>
      </c>
      <c r="M767" s="3"/>
      <c r="N767" s="5" t="str">
        <f>IFERROR(__xludf.DUMMYFUNCTION("""COMPUTED_VALUE""")," ")</f>
        <v> </v>
      </c>
      <c r="O767" s="5"/>
    </row>
    <row r="768">
      <c r="A768" s="2" t="str">
        <f>IFERROR(__xludf.DUMMYFUNCTION("""COMPUTED_VALUE"""),"0910")</f>
        <v>0910</v>
      </c>
      <c r="B768" s="2" t="str">
        <f>IFERROR(__xludf.DUMMYFUNCTION("""COMPUTED_VALUE"""),"EAGLE COUNTY RE 50")</f>
        <v>EAGLE COUNTY RE 50</v>
      </c>
      <c r="C768" s="2" t="str">
        <f>IFERROR(__xludf.DUMMYFUNCTION("""COMPUTED_VALUE"""),"05742")</f>
        <v>05742</v>
      </c>
      <c r="D768" s="2" t="str">
        <f>IFERROR(__xludf.DUMMYFUNCTION("""COMPUTED_VALUE"""),"HOMESTAKE PEAK SCHOOL")</f>
        <v>HOMESTAKE PEAK SCHOOL</v>
      </c>
      <c r="E768" s="3" t="str">
        <f>IFERROR(__xludf.DUMMYFUNCTION("""COMPUTED_VALUE"""),"Y")</f>
        <v>Y</v>
      </c>
      <c r="F768" s="3" t="str">
        <f>IFERROR(__xludf.DUMMYFUNCTION("""COMPUTED_VALUE"""),"Y")</f>
        <v>Y</v>
      </c>
      <c r="G768" s="3"/>
      <c r="H768" s="3"/>
      <c r="I768" s="3" t="str">
        <f>IFERROR(__xludf.DUMMYFUNCTION("""COMPUTED_VALUE""")," ")</f>
        <v> </v>
      </c>
      <c r="J768" s="3" t="str">
        <f>IFERROR(__xludf.DUMMYFUNCTION("""COMPUTED_VALUE""")," ")</f>
        <v> </v>
      </c>
      <c r="K768" s="3" t="str">
        <f>IFERROR(__xludf.DUMMYFUNCTION("""COMPUTED_VALUE"""),"Y")</f>
        <v>Y</v>
      </c>
      <c r="L768" s="3" t="str">
        <f>IFERROR(__xludf.DUMMYFUNCTION("""COMPUTED_VALUE""")," ")</f>
        <v> </v>
      </c>
      <c r="M768" s="3"/>
      <c r="N768" s="5" t="str">
        <f>IFERROR(__xludf.DUMMYFUNCTION("""COMPUTED_VALUE""")," ")</f>
        <v> </v>
      </c>
      <c r="O768" s="5"/>
    </row>
    <row r="769">
      <c r="A769" s="2" t="str">
        <f>IFERROR(__xludf.DUMMYFUNCTION("""COMPUTED_VALUE"""),"0910")</f>
        <v>0910</v>
      </c>
      <c r="B769" s="2" t="str">
        <f>IFERROR(__xludf.DUMMYFUNCTION("""COMPUTED_VALUE"""),"EAGLE COUNTY RE 50")</f>
        <v>EAGLE COUNTY RE 50</v>
      </c>
      <c r="C769" s="2" t="str">
        <f>IFERROR(__xludf.DUMMYFUNCTION("""COMPUTED_VALUE"""),"07296")</f>
        <v>07296</v>
      </c>
      <c r="D769" s="2" t="str">
        <f>IFERROR(__xludf.DUMMYFUNCTION("""COMPUTED_VALUE"""),"RED SANDSTONE ELEMENTARY SCHOOL")</f>
        <v>RED SANDSTONE ELEMENTARY SCHOOL</v>
      </c>
      <c r="E769" s="3" t="str">
        <f>IFERROR(__xludf.DUMMYFUNCTION("""COMPUTED_VALUE"""),"Y")</f>
        <v>Y</v>
      </c>
      <c r="F769" s="3" t="str">
        <f>IFERROR(__xludf.DUMMYFUNCTION("""COMPUTED_VALUE"""),"Y")</f>
        <v>Y</v>
      </c>
      <c r="G769" s="3"/>
      <c r="H769" s="3"/>
      <c r="I769" s="3" t="str">
        <f>IFERROR(__xludf.DUMMYFUNCTION("""COMPUTED_VALUE""")," ")</f>
        <v> </v>
      </c>
      <c r="J769" s="3" t="str">
        <f>IFERROR(__xludf.DUMMYFUNCTION("""COMPUTED_VALUE""")," ")</f>
        <v> </v>
      </c>
      <c r="K769" s="3" t="str">
        <f>IFERROR(__xludf.DUMMYFUNCTION("""COMPUTED_VALUE"""),"Y")</f>
        <v>Y</v>
      </c>
      <c r="L769" s="3" t="str">
        <f>IFERROR(__xludf.DUMMYFUNCTION("""COMPUTED_VALUE""")," ")</f>
        <v> </v>
      </c>
      <c r="M769" s="3"/>
      <c r="N769" s="5" t="str">
        <f>IFERROR(__xludf.DUMMYFUNCTION("""COMPUTED_VALUE""")," ")</f>
        <v> </v>
      </c>
      <c r="O769" s="5"/>
    </row>
    <row r="770">
      <c r="A770" s="2" t="str">
        <f>IFERROR(__xludf.DUMMYFUNCTION("""COMPUTED_VALUE"""),"0920")</f>
        <v>0920</v>
      </c>
      <c r="B770" s="2" t="str">
        <f>IFERROR(__xludf.DUMMYFUNCTION("""COMPUTED_VALUE"""),"ELIZABETH SCHOOL DISTRICT")</f>
        <v>ELIZABETH SCHOOL DISTRICT</v>
      </c>
      <c r="C770" s="2" t="str">
        <f>IFERROR(__xludf.DUMMYFUNCTION("""COMPUTED_VALUE"""),"02572")</f>
        <v>02572</v>
      </c>
      <c r="D770" s="2" t="str">
        <f>IFERROR(__xludf.DUMMYFUNCTION("""COMPUTED_VALUE"""),"LEGACY ACADEMY")</f>
        <v>LEGACY ACADEMY</v>
      </c>
      <c r="E770" s="3"/>
      <c r="F770" s="3" t="str">
        <f>IFERROR(__xludf.DUMMYFUNCTION("""COMPUTED_VALUE"""),"Y")</f>
        <v>Y</v>
      </c>
      <c r="G770" s="3"/>
      <c r="H770" s="3"/>
      <c r="I770" s="3" t="str">
        <f>IFERROR(__xludf.DUMMYFUNCTION("""COMPUTED_VALUE""")," ")</f>
        <v> </v>
      </c>
      <c r="J770" s="3" t="str">
        <f>IFERROR(__xludf.DUMMYFUNCTION("""COMPUTED_VALUE""")," ")</f>
        <v> </v>
      </c>
      <c r="K770" s="3" t="str">
        <f>IFERROR(__xludf.DUMMYFUNCTION("""COMPUTED_VALUE"""),"Y")</f>
        <v>Y</v>
      </c>
      <c r="L770" s="3" t="str">
        <f>IFERROR(__xludf.DUMMYFUNCTION("""COMPUTED_VALUE""")," ")</f>
        <v> </v>
      </c>
      <c r="M770" s="3"/>
      <c r="N770" s="5" t="str">
        <f>IFERROR(__xludf.DUMMYFUNCTION("""COMPUTED_VALUE""")," ")</f>
        <v> </v>
      </c>
      <c r="O770" s="5"/>
    </row>
    <row r="771">
      <c r="A771" s="2" t="str">
        <f>IFERROR(__xludf.DUMMYFUNCTION("""COMPUTED_VALUE"""),"0920")</f>
        <v>0920</v>
      </c>
      <c r="B771" s="2" t="str">
        <f>IFERROR(__xludf.DUMMYFUNCTION("""COMPUTED_VALUE"""),"ELIZABETH SCHOOL DISTRICT")</f>
        <v>ELIZABETH SCHOOL DISTRICT</v>
      </c>
      <c r="C771" s="2" t="str">
        <f>IFERROR(__xludf.DUMMYFUNCTION("""COMPUTED_VALUE"""),"02604")</f>
        <v>02604</v>
      </c>
      <c r="D771" s="2" t="str">
        <f>IFERROR(__xludf.DUMMYFUNCTION("""COMPUTED_VALUE"""),"ELIZABETH MIDDLE SCHOOL")</f>
        <v>ELIZABETH MIDDLE SCHOOL</v>
      </c>
      <c r="E771" s="3" t="str">
        <f>IFERROR(__xludf.DUMMYFUNCTION("""COMPUTED_VALUE"""),"Y")</f>
        <v>Y</v>
      </c>
      <c r="F771" s="3" t="str">
        <f>IFERROR(__xludf.DUMMYFUNCTION("""COMPUTED_VALUE"""),"Y")</f>
        <v>Y</v>
      </c>
      <c r="G771" s="3"/>
      <c r="H771" s="3"/>
      <c r="I771" s="3" t="str">
        <f>IFERROR(__xludf.DUMMYFUNCTION("""COMPUTED_VALUE""")," ")</f>
        <v> </v>
      </c>
      <c r="J771" s="3" t="str">
        <f>IFERROR(__xludf.DUMMYFUNCTION("""COMPUTED_VALUE""")," ")</f>
        <v> </v>
      </c>
      <c r="K771" s="3" t="str">
        <f>IFERROR(__xludf.DUMMYFUNCTION("""COMPUTED_VALUE"""),"Y")</f>
        <v>Y</v>
      </c>
      <c r="L771" s="3" t="str">
        <f>IFERROR(__xludf.DUMMYFUNCTION("""COMPUTED_VALUE""")," ")</f>
        <v> </v>
      </c>
      <c r="M771" s="3"/>
      <c r="N771" s="5" t="str">
        <f>IFERROR(__xludf.DUMMYFUNCTION("""COMPUTED_VALUE""")," ")</f>
        <v> </v>
      </c>
      <c r="O771" s="5"/>
    </row>
    <row r="772">
      <c r="A772" s="2" t="str">
        <f>IFERROR(__xludf.DUMMYFUNCTION("""COMPUTED_VALUE"""),"0920")</f>
        <v>0920</v>
      </c>
      <c r="B772" s="2" t="str">
        <f>IFERROR(__xludf.DUMMYFUNCTION("""COMPUTED_VALUE"""),"ELIZABETH SCHOOL DISTRICT")</f>
        <v>ELIZABETH SCHOOL DISTRICT</v>
      </c>
      <c r="C772" s="2" t="str">
        <f>IFERROR(__xludf.DUMMYFUNCTION("""COMPUTED_VALUE"""),"02608")</f>
        <v>02608</v>
      </c>
      <c r="D772" s="2" t="str">
        <f>IFERROR(__xludf.DUMMYFUNCTION("""COMPUTED_VALUE"""),"ELIZABETH HIGH SCHOOL")</f>
        <v>ELIZABETH HIGH SCHOOL</v>
      </c>
      <c r="E772" s="3" t="str">
        <f>IFERROR(__xludf.DUMMYFUNCTION("""COMPUTED_VALUE"""),"Y")</f>
        <v>Y</v>
      </c>
      <c r="F772" s="3" t="str">
        <f>IFERROR(__xludf.DUMMYFUNCTION("""COMPUTED_VALUE"""),"Y")</f>
        <v>Y</v>
      </c>
      <c r="G772" s="3"/>
      <c r="H772" s="3"/>
      <c r="I772" s="3" t="str">
        <f>IFERROR(__xludf.DUMMYFUNCTION("""COMPUTED_VALUE""")," ")</f>
        <v> </v>
      </c>
      <c r="J772" s="3" t="str">
        <f>IFERROR(__xludf.DUMMYFUNCTION("""COMPUTED_VALUE""")," ")</f>
        <v> </v>
      </c>
      <c r="K772" s="3" t="str">
        <f>IFERROR(__xludf.DUMMYFUNCTION("""COMPUTED_VALUE"""),"Y")</f>
        <v>Y</v>
      </c>
      <c r="L772" s="3" t="str">
        <f>IFERROR(__xludf.DUMMYFUNCTION("""COMPUTED_VALUE""")," ")</f>
        <v> </v>
      </c>
      <c r="M772" s="3"/>
      <c r="N772" s="5" t="str">
        <f>IFERROR(__xludf.DUMMYFUNCTION("""COMPUTED_VALUE""")," ")</f>
        <v> </v>
      </c>
      <c r="O772" s="5"/>
    </row>
    <row r="773">
      <c r="A773" s="2" t="str">
        <f>IFERROR(__xludf.DUMMYFUNCTION("""COMPUTED_VALUE"""),"0920")</f>
        <v>0920</v>
      </c>
      <c r="B773" s="2" t="str">
        <f>IFERROR(__xludf.DUMMYFUNCTION("""COMPUTED_VALUE"""),"ELIZABETH SCHOOL DISTRICT")</f>
        <v>ELIZABETH SCHOOL DISTRICT</v>
      </c>
      <c r="C773" s="2" t="str">
        <f>IFERROR(__xludf.DUMMYFUNCTION("""COMPUTED_VALUE"""),"07517")</f>
        <v>07517</v>
      </c>
      <c r="D773" s="2" t="str">
        <f>IFERROR(__xludf.DUMMYFUNCTION("""COMPUTED_VALUE"""),"RUNNING CREEK ELEMENTARY SCHOOL")</f>
        <v>RUNNING CREEK ELEMENTARY SCHOOL</v>
      </c>
      <c r="E773" s="3" t="str">
        <f>IFERROR(__xludf.DUMMYFUNCTION("""COMPUTED_VALUE"""),"Y")</f>
        <v>Y</v>
      </c>
      <c r="F773" s="3" t="str">
        <f>IFERROR(__xludf.DUMMYFUNCTION("""COMPUTED_VALUE"""),"Y")</f>
        <v>Y</v>
      </c>
      <c r="G773" s="3"/>
      <c r="H773" s="3"/>
      <c r="I773" s="3" t="str">
        <f>IFERROR(__xludf.DUMMYFUNCTION("""COMPUTED_VALUE""")," ")</f>
        <v> </v>
      </c>
      <c r="J773" s="3" t="str">
        <f>IFERROR(__xludf.DUMMYFUNCTION("""COMPUTED_VALUE""")," ")</f>
        <v> </v>
      </c>
      <c r="K773" s="3" t="str">
        <f>IFERROR(__xludf.DUMMYFUNCTION("""COMPUTED_VALUE"""),"Y")</f>
        <v>Y</v>
      </c>
      <c r="L773" s="3" t="str">
        <f>IFERROR(__xludf.DUMMYFUNCTION("""COMPUTED_VALUE""")," ")</f>
        <v> </v>
      </c>
      <c r="M773" s="3"/>
      <c r="N773" s="5" t="str">
        <f>IFERROR(__xludf.DUMMYFUNCTION("""COMPUTED_VALUE""")," ")</f>
        <v> </v>
      </c>
      <c r="O773" s="5"/>
    </row>
    <row r="774">
      <c r="A774" s="2" t="str">
        <f>IFERROR(__xludf.DUMMYFUNCTION("""COMPUTED_VALUE"""),"0920")</f>
        <v>0920</v>
      </c>
      <c r="B774" s="2" t="str">
        <f>IFERROR(__xludf.DUMMYFUNCTION("""COMPUTED_VALUE"""),"ELIZABETH SCHOOL DISTRICT")</f>
        <v>ELIZABETH SCHOOL DISTRICT</v>
      </c>
      <c r="C774" s="2" t="str">
        <f>IFERROR(__xludf.DUMMYFUNCTION("""COMPUTED_VALUE"""),"07925")</f>
        <v>07925</v>
      </c>
      <c r="D774" s="2" t="str">
        <f>IFERROR(__xludf.DUMMYFUNCTION("""COMPUTED_VALUE"""),"SINGING HILLS ELEMENTARY SCHOOL")</f>
        <v>SINGING HILLS ELEMENTARY SCHOOL</v>
      </c>
      <c r="E774" s="3" t="str">
        <f>IFERROR(__xludf.DUMMYFUNCTION("""COMPUTED_VALUE"""),"Y")</f>
        <v>Y</v>
      </c>
      <c r="F774" s="3" t="str">
        <f>IFERROR(__xludf.DUMMYFUNCTION("""COMPUTED_VALUE"""),"Y")</f>
        <v>Y</v>
      </c>
      <c r="G774" s="3"/>
      <c r="H774" s="3"/>
      <c r="I774" s="3" t="str">
        <f>IFERROR(__xludf.DUMMYFUNCTION("""COMPUTED_VALUE""")," ")</f>
        <v> </v>
      </c>
      <c r="J774" s="3" t="str">
        <f>IFERROR(__xludf.DUMMYFUNCTION("""COMPUTED_VALUE""")," ")</f>
        <v> </v>
      </c>
      <c r="K774" s="3" t="str">
        <f>IFERROR(__xludf.DUMMYFUNCTION("""COMPUTED_VALUE"""),"Y")</f>
        <v>Y</v>
      </c>
      <c r="L774" s="3" t="str">
        <f>IFERROR(__xludf.DUMMYFUNCTION("""COMPUTED_VALUE""")," ")</f>
        <v> </v>
      </c>
      <c r="M774" s="3"/>
      <c r="N774" s="5" t="str">
        <f>IFERROR(__xludf.DUMMYFUNCTION("""COMPUTED_VALUE""")," ")</f>
        <v> </v>
      </c>
      <c r="O774" s="5"/>
    </row>
    <row r="775">
      <c r="A775" s="2" t="str">
        <f>IFERROR(__xludf.DUMMYFUNCTION("""COMPUTED_VALUE"""),"0930")</f>
        <v>0930</v>
      </c>
      <c r="B775" s="2" t="str">
        <f>IFERROR(__xludf.DUMMYFUNCTION("""COMPUTED_VALUE"""),"KIOWA               C-2")</f>
        <v>KIOWA               C-2</v>
      </c>
      <c r="C775" s="2" t="str">
        <f>IFERROR(__xludf.DUMMYFUNCTION("""COMPUTED_VALUE"""),"04724")</f>
        <v>04724</v>
      </c>
      <c r="D775" s="2" t="str">
        <f>IFERROR(__xludf.DUMMYFUNCTION("""COMPUTED_VALUE"""),"KIOWA ELEMENTARY SCHOOL")</f>
        <v>KIOWA ELEMENTARY SCHOOL</v>
      </c>
      <c r="E775" s="3" t="str">
        <f>IFERROR(__xludf.DUMMYFUNCTION("""COMPUTED_VALUE"""),"Y")</f>
        <v>Y</v>
      </c>
      <c r="F775" s="3" t="str">
        <f>IFERROR(__xludf.DUMMYFUNCTION("""COMPUTED_VALUE"""),"Y")</f>
        <v>Y</v>
      </c>
      <c r="G775" s="3"/>
      <c r="H775" s="3"/>
      <c r="I775" s="3" t="str">
        <f>IFERROR(__xludf.DUMMYFUNCTION("""COMPUTED_VALUE""")," ")</f>
        <v> </v>
      </c>
      <c r="J775" s="3" t="str">
        <f>IFERROR(__xludf.DUMMYFUNCTION("""COMPUTED_VALUE""")," ")</f>
        <v> </v>
      </c>
      <c r="K775" s="3" t="str">
        <f>IFERROR(__xludf.DUMMYFUNCTION("""COMPUTED_VALUE"""),"Y")</f>
        <v>Y</v>
      </c>
      <c r="L775" s="3" t="str">
        <f>IFERROR(__xludf.DUMMYFUNCTION("""COMPUTED_VALUE"""),"Group 1")</f>
        <v>Group 1</v>
      </c>
      <c r="M775" s="3"/>
      <c r="N775" s="5" t="str">
        <f>IFERROR(__xludf.DUMMYFUNCTION("""COMPUTED_VALUE""")," ")</f>
        <v> </v>
      </c>
      <c r="O775" s="5"/>
    </row>
    <row r="776">
      <c r="A776" s="2" t="str">
        <f>IFERROR(__xludf.DUMMYFUNCTION("""COMPUTED_VALUE"""),"0930")</f>
        <v>0930</v>
      </c>
      <c r="B776" s="2" t="str">
        <f>IFERROR(__xludf.DUMMYFUNCTION("""COMPUTED_VALUE"""),"KIOWA               C-2")</f>
        <v>KIOWA               C-2</v>
      </c>
      <c r="C776" s="2" t="str">
        <f>IFERROR(__xludf.DUMMYFUNCTION("""COMPUTED_VALUE"""),"04726")</f>
        <v>04726</v>
      </c>
      <c r="D776" s="2" t="str">
        <f>IFERROR(__xludf.DUMMYFUNCTION("""COMPUTED_VALUE"""),"KIOWA MIDDLE SCHOOL")</f>
        <v>KIOWA MIDDLE SCHOOL</v>
      </c>
      <c r="E776" s="3" t="str">
        <f>IFERROR(__xludf.DUMMYFUNCTION("""COMPUTED_VALUE"""),"Y")</f>
        <v>Y</v>
      </c>
      <c r="F776" s="3" t="str">
        <f>IFERROR(__xludf.DUMMYFUNCTION("""COMPUTED_VALUE"""),"Y")</f>
        <v>Y</v>
      </c>
      <c r="G776" s="3"/>
      <c r="H776" s="3"/>
      <c r="I776" s="3" t="str">
        <f>IFERROR(__xludf.DUMMYFUNCTION("""COMPUTED_VALUE""")," ")</f>
        <v> </v>
      </c>
      <c r="J776" s="3" t="str">
        <f>IFERROR(__xludf.DUMMYFUNCTION("""COMPUTED_VALUE""")," ")</f>
        <v> </v>
      </c>
      <c r="K776" s="3" t="str">
        <f>IFERROR(__xludf.DUMMYFUNCTION("""COMPUTED_VALUE"""),"Y")</f>
        <v>Y</v>
      </c>
      <c r="L776" s="3" t="str">
        <f>IFERROR(__xludf.DUMMYFUNCTION("""COMPUTED_VALUE"""),"Group 1")</f>
        <v>Group 1</v>
      </c>
      <c r="M776" s="3"/>
      <c r="N776" s="5" t="str">
        <f>IFERROR(__xludf.DUMMYFUNCTION("""COMPUTED_VALUE""")," ")</f>
        <v> </v>
      </c>
      <c r="O776" s="5"/>
    </row>
    <row r="777">
      <c r="A777" s="2" t="str">
        <f>IFERROR(__xludf.DUMMYFUNCTION("""COMPUTED_VALUE"""),"0930")</f>
        <v>0930</v>
      </c>
      <c r="B777" s="2" t="str">
        <f>IFERROR(__xludf.DUMMYFUNCTION("""COMPUTED_VALUE"""),"KIOWA               C-2")</f>
        <v>KIOWA               C-2</v>
      </c>
      <c r="C777" s="2" t="str">
        <f>IFERROR(__xludf.DUMMYFUNCTION("""COMPUTED_VALUE"""),"04728")</f>
        <v>04728</v>
      </c>
      <c r="D777" s="2" t="str">
        <f>IFERROR(__xludf.DUMMYFUNCTION("""COMPUTED_VALUE"""),"KIOWA HIGH SCHOOL")</f>
        <v>KIOWA HIGH SCHOOL</v>
      </c>
      <c r="E777" s="3" t="str">
        <f>IFERROR(__xludf.DUMMYFUNCTION("""COMPUTED_VALUE"""),"Y")</f>
        <v>Y</v>
      </c>
      <c r="F777" s="3" t="str">
        <f>IFERROR(__xludf.DUMMYFUNCTION("""COMPUTED_VALUE"""),"Y")</f>
        <v>Y</v>
      </c>
      <c r="G777" s="3"/>
      <c r="H777" s="3"/>
      <c r="I777" s="3" t="str">
        <f>IFERROR(__xludf.DUMMYFUNCTION("""COMPUTED_VALUE""")," ")</f>
        <v> </v>
      </c>
      <c r="J777" s="3" t="str">
        <f>IFERROR(__xludf.DUMMYFUNCTION("""COMPUTED_VALUE""")," ")</f>
        <v> </v>
      </c>
      <c r="K777" s="3" t="str">
        <f>IFERROR(__xludf.DUMMYFUNCTION("""COMPUTED_VALUE"""),"Y")</f>
        <v>Y</v>
      </c>
      <c r="L777" s="3" t="str">
        <f>IFERROR(__xludf.DUMMYFUNCTION("""COMPUTED_VALUE"""),"Group 1")</f>
        <v>Group 1</v>
      </c>
      <c r="M777" s="3"/>
      <c r="N777" s="5" t="str">
        <f>IFERROR(__xludf.DUMMYFUNCTION("""COMPUTED_VALUE""")," ")</f>
        <v> </v>
      </c>
      <c r="O777" s="5"/>
    </row>
    <row r="778">
      <c r="A778" s="2" t="str">
        <f>IFERROR(__xludf.DUMMYFUNCTION("""COMPUTED_VALUE"""),"0940")</f>
        <v>0940</v>
      </c>
      <c r="B778" s="2" t="str">
        <f>IFERROR(__xludf.DUMMYFUNCTION("""COMPUTED_VALUE"""),"BIG SANDY 100J")</f>
        <v>BIG SANDY 100J</v>
      </c>
      <c r="C778" s="2" t="str">
        <f>IFERROR(__xludf.DUMMYFUNCTION("""COMPUTED_VALUE"""),"07914")</f>
        <v>07914</v>
      </c>
      <c r="D778" s="2" t="str">
        <f>IFERROR(__xludf.DUMMYFUNCTION("""COMPUTED_VALUE"""),"SIMLA ELEMENTARY SCHOOL")</f>
        <v>SIMLA ELEMENTARY SCHOOL</v>
      </c>
      <c r="E778" s="3"/>
      <c r="F778" s="3" t="str">
        <f>IFERROR(__xludf.DUMMYFUNCTION("""COMPUTED_VALUE"""),"Y")</f>
        <v>Y</v>
      </c>
      <c r="G778" s="3"/>
      <c r="H778" s="3" t="str">
        <f>IFERROR(__xludf.DUMMYFUNCTION("""COMPUTED_VALUE"""),"Y")</f>
        <v>Y</v>
      </c>
      <c r="I778" s="3" t="str">
        <f>IFERROR(__xludf.DUMMYFUNCTION("""COMPUTED_VALUE""")," ")</f>
        <v> </v>
      </c>
      <c r="J778" s="3" t="str">
        <f>IFERROR(__xludf.DUMMYFUNCTION("""COMPUTED_VALUE""")," ")</f>
        <v> </v>
      </c>
      <c r="K778" s="3" t="str">
        <f>IFERROR(__xludf.DUMMYFUNCTION("""COMPUTED_VALUE"""),"Y")</f>
        <v>Y</v>
      </c>
      <c r="L778" s="3" t="str">
        <f>IFERROR(__xludf.DUMMYFUNCTION("""COMPUTED_VALUE""")," ")</f>
        <v> </v>
      </c>
      <c r="M778" s="3"/>
      <c r="N778" s="5" t="str">
        <f>IFERROR(__xludf.DUMMYFUNCTION("""COMPUTED_VALUE""")," ")</f>
        <v> </v>
      </c>
      <c r="O778" s="5"/>
    </row>
    <row r="779">
      <c r="A779" s="2" t="str">
        <f>IFERROR(__xludf.DUMMYFUNCTION("""COMPUTED_VALUE"""),"0940")</f>
        <v>0940</v>
      </c>
      <c r="B779" s="2" t="str">
        <f>IFERROR(__xludf.DUMMYFUNCTION("""COMPUTED_VALUE"""),"BIG SANDY 100J")</f>
        <v>BIG SANDY 100J</v>
      </c>
      <c r="C779" s="2" t="str">
        <f>IFERROR(__xludf.DUMMYFUNCTION("""COMPUTED_VALUE"""),"07918")</f>
        <v>07918</v>
      </c>
      <c r="D779" s="2" t="str">
        <f>IFERROR(__xludf.DUMMYFUNCTION("""COMPUTED_VALUE"""),"SIMLA JUNIOR HIGH SCHOOL")</f>
        <v>SIMLA JUNIOR HIGH SCHOOL</v>
      </c>
      <c r="E779" s="3"/>
      <c r="F779" s="3" t="str">
        <f>IFERROR(__xludf.DUMMYFUNCTION("""COMPUTED_VALUE"""),"Y")</f>
        <v>Y</v>
      </c>
      <c r="G779" s="3"/>
      <c r="H779" s="3"/>
      <c r="I779" s="3" t="str">
        <f>IFERROR(__xludf.DUMMYFUNCTION("""COMPUTED_VALUE""")," ")</f>
        <v> </v>
      </c>
      <c r="J779" s="3" t="str">
        <f>IFERROR(__xludf.DUMMYFUNCTION("""COMPUTED_VALUE""")," ")</f>
        <v> </v>
      </c>
      <c r="K779" s="3" t="str">
        <f>IFERROR(__xludf.DUMMYFUNCTION("""COMPUTED_VALUE"""),"Y")</f>
        <v>Y</v>
      </c>
      <c r="L779" s="3" t="str">
        <f>IFERROR(__xludf.DUMMYFUNCTION("""COMPUTED_VALUE""")," ")</f>
        <v> </v>
      </c>
      <c r="M779" s="3"/>
      <c r="N779" s="5" t="str">
        <f>IFERROR(__xludf.DUMMYFUNCTION("""COMPUTED_VALUE""")," ")</f>
        <v> </v>
      </c>
      <c r="O779" s="5"/>
    </row>
    <row r="780">
      <c r="A780" s="2" t="str">
        <f>IFERROR(__xludf.DUMMYFUNCTION("""COMPUTED_VALUE"""),"0940")</f>
        <v>0940</v>
      </c>
      <c r="B780" s="2" t="str">
        <f>IFERROR(__xludf.DUMMYFUNCTION("""COMPUTED_VALUE"""),"BIG SANDY 100J")</f>
        <v>BIG SANDY 100J</v>
      </c>
      <c r="C780" s="2" t="str">
        <f>IFERROR(__xludf.DUMMYFUNCTION("""COMPUTED_VALUE"""),"07922")</f>
        <v>07922</v>
      </c>
      <c r="D780" s="2" t="str">
        <f>IFERROR(__xludf.DUMMYFUNCTION("""COMPUTED_VALUE"""),"SIMLA HIGH SCHOOL")</f>
        <v>SIMLA HIGH SCHOOL</v>
      </c>
      <c r="E780" s="3"/>
      <c r="F780" s="3" t="str">
        <f>IFERROR(__xludf.DUMMYFUNCTION("""COMPUTED_VALUE"""),"Y")</f>
        <v>Y</v>
      </c>
      <c r="G780" s="3"/>
      <c r="H780" s="3"/>
      <c r="I780" s="3" t="str">
        <f>IFERROR(__xludf.DUMMYFUNCTION("""COMPUTED_VALUE""")," ")</f>
        <v> </v>
      </c>
      <c r="J780" s="3" t="str">
        <f>IFERROR(__xludf.DUMMYFUNCTION("""COMPUTED_VALUE""")," ")</f>
        <v> </v>
      </c>
      <c r="K780" s="3" t="str">
        <f>IFERROR(__xludf.DUMMYFUNCTION("""COMPUTED_VALUE"""),"Y")</f>
        <v>Y</v>
      </c>
      <c r="L780" s="3" t="str">
        <f>IFERROR(__xludf.DUMMYFUNCTION("""COMPUTED_VALUE""")," ")</f>
        <v> </v>
      </c>
      <c r="M780" s="3"/>
      <c r="N780" s="5" t="str">
        <f>IFERROR(__xludf.DUMMYFUNCTION("""COMPUTED_VALUE""")," ")</f>
        <v> </v>
      </c>
      <c r="O780" s="5"/>
    </row>
    <row r="781">
      <c r="A781" s="2" t="str">
        <f>IFERROR(__xludf.DUMMYFUNCTION("""COMPUTED_VALUE"""),"0950")</f>
        <v>0950</v>
      </c>
      <c r="B781" s="2" t="str">
        <f>IFERROR(__xludf.DUMMYFUNCTION("""COMPUTED_VALUE"""),"ELBERT              200")</f>
        <v>ELBERT              200</v>
      </c>
      <c r="C781" s="2" t="str">
        <f>IFERROR(__xludf.DUMMYFUNCTION("""COMPUTED_VALUE"""),"02570")</f>
        <v>02570</v>
      </c>
      <c r="D781" s="2" t="str">
        <f>IFERROR(__xludf.DUMMYFUNCTION("""COMPUTED_VALUE"""),"ELBERT ELEMENTARY SCHOOL")</f>
        <v>ELBERT ELEMENTARY SCHOOL</v>
      </c>
      <c r="E781" s="3"/>
      <c r="F781" s="3" t="str">
        <f>IFERROR(__xludf.DUMMYFUNCTION("""COMPUTED_VALUE"""),"Y")</f>
        <v>Y</v>
      </c>
      <c r="G781" s="3"/>
      <c r="H781" s="3"/>
      <c r="I781" s="3" t="str">
        <f>IFERROR(__xludf.DUMMYFUNCTION("""COMPUTED_VALUE""")," ")</f>
        <v> </v>
      </c>
      <c r="J781" s="3" t="str">
        <f>IFERROR(__xludf.DUMMYFUNCTION("""COMPUTED_VALUE""")," ")</f>
        <v> </v>
      </c>
      <c r="K781" s="3" t="str">
        <f>IFERROR(__xludf.DUMMYFUNCTION("""COMPUTED_VALUE"""),"Y")</f>
        <v>Y</v>
      </c>
      <c r="L781" s="3" t="str">
        <f>IFERROR(__xludf.DUMMYFUNCTION("""COMPUTED_VALUE""")," ")</f>
        <v> </v>
      </c>
      <c r="M781" s="3"/>
      <c r="N781" s="5" t="str">
        <f>IFERROR(__xludf.DUMMYFUNCTION("""COMPUTED_VALUE""")," ")</f>
        <v> </v>
      </c>
      <c r="O781" s="5"/>
    </row>
    <row r="782">
      <c r="A782" s="2" t="str">
        <f>IFERROR(__xludf.DUMMYFUNCTION("""COMPUTED_VALUE"""),"0950")</f>
        <v>0950</v>
      </c>
      <c r="B782" s="2" t="str">
        <f>IFERROR(__xludf.DUMMYFUNCTION("""COMPUTED_VALUE"""),"ELBERT              200")</f>
        <v>ELBERT              200</v>
      </c>
      <c r="C782" s="2" t="str">
        <f>IFERROR(__xludf.DUMMYFUNCTION("""COMPUTED_VALUE"""),"02574")</f>
        <v>02574</v>
      </c>
      <c r="D782" s="2" t="str">
        <f>IFERROR(__xludf.DUMMYFUNCTION("""COMPUTED_VALUE"""),"ELBERT JUNIOR-SENIOR HIGH SCHOOL")</f>
        <v>ELBERT JUNIOR-SENIOR HIGH SCHOOL</v>
      </c>
      <c r="E782" s="3"/>
      <c r="F782" s="3" t="str">
        <f>IFERROR(__xludf.DUMMYFUNCTION("""COMPUTED_VALUE"""),"Y")</f>
        <v>Y</v>
      </c>
      <c r="G782" s="3"/>
      <c r="H782" s="3"/>
      <c r="I782" s="3" t="str">
        <f>IFERROR(__xludf.DUMMYFUNCTION("""COMPUTED_VALUE""")," ")</f>
        <v> </v>
      </c>
      <c r="J782" s="3" t="str">
        <f>IFERROR(__xludf.DUMMYFUNCTION("""COMPUTED_VALUE""")," ")</f>
        <v> </v>
      </c>
      <c r="K782" s="3" t="str">
        <f>IFERROR(__xludf.DUMMYFUNCTION("""COMPUTED_VALUE"""),"Y")</f>
        <v>Y</v>
      </c>
      <c r="L782" s="3" t="str">
        <f>IFERROR(__xludf.DUMMYFUNCTION("""COMPUTED_VALUE""")," ")</f>
        <v> </v>
      </c>
      <c r="M782" s="3"/>
      <c r="N782" s="5" t="str">
        <f>IFERROR(__xludf.DUMMYFUNCTION("""COMPUTED_VALUE""")," ")</f>
        <v> </v>
      </c>
      <c r="O782" s="5"/>
    </row>
    <row r="783">
      <c r="A783" s="2" t="str">
        <f>IFERROR(__xludf.DUMMYFUNCTION("""COMPUTED_VALUE"""),"0960")</f>
        <v>0960</v>
      </c>
      <c r="B783" s="2" t="str">
        <f>IFERROR(__xludf.DUMMYFUNCTION("""COMPUTED_VALUE"""),"AGATE               300")</f>
        <v>AGATE               300</v>
      </c>
      <c r="C783" s="2" t="str">
        <f>IFERROR(__xludf.DUMMYFUNCTION("""COMPUTED_VALUE"""),"00044")</f>
        <v>00044</v>
      </c>
      <c r="D783" s="2" t="str">
        <f>IFERROR(__xludf.DUMMYFUNCTION("""COMPUTED_VALUE"""),"AGATE ELEMENTARY SCHOOL")</f>
        <v>AGATE ELEMENTARY SCHOOL</v>
      </c>
      <c r="E783" s="3" t="str">
        <f>IFERROR(__xludf.DUMMYFUNCTION("""COMPUTED_VALUE"""),"Y")</f>
        <v>Y</v>
      </c>
      <c r="F783" s="3" t="str">
        <f>IFERROR(__xludf.DUMMYFUNCTION("""COMPUTED_VALUE"""),"Y")</f>
        <v>Y</v>
      </c>
      <c r="G783" s="3"/>
      <c r="H783" s="3"/>
      <c r="I783" s="3" t="str">
        <f>IFERROR(__xludf.DUMMYFUNCTION("""COMPUTED_VALUE""")," ")</f>
        <v> </v>
      </c>
      <c r="J783" s="3" t="str">
        <f>IFERROR(__xludf.DUMMYFUNCTION("""COMPUTED_VALUE""")," ")</f>
        <v> </v>
      </c>
      <c r="K783" s="3" t="str">
        <f>IFERROR(__xludf.DUMMYFUNCTION("""COMPUTED_VALUE"""),"Y")</f>
        <v>Y</v>
      </c>
      <c r="L783" s="3" t="str">
        <f>IFERROR(__xludf.DUMMYFUNCTION("""COMPUTED_VALUE"""),"Group 2")</f>
        <v>Group 2</v>
      </c>
      <c r="M783" s="3"/>
      <c r="N783" s="5" t="str">
        <f>IFERROR(__xludf.DUMMYFUNCTION("""COMPUTED_VALUE""")," ")</f>
        <v> </v>
      </c>
      <c r="O783" s="5"/>
    </row>
    <row r="784">
      <c r="A784" s="2" t="str">
        <f>IFERROR(__xludf.DUMMYFUNCTION("""COMPUTED_VALUE"""),"0960")</f>
        <v>0960</v>
      </c>
      <c r="B784" s="2" t="str">
        <f>IFERROR(__xludf.DUMMYFUNCTION("""COMPUTED_VALUE"""),"AGATE               300")</f>
        <v>AGATE               300</v>
      </c>
      <c r="C784" s="2" t="str">
        <f>IFERROR(__xludf.DUMMYFUNCTION("""COMPUTED_VALUE"""),"00048")</f>
        <v>00048</v>
      </c>
      <c r="D784" s="2" t="str">
        <f>IFERROR(__xludf.DUMMYFUNCTION("""COMPUTED_VALUE"""),"AGATE JUNIOR-SENIOR HIGH SCHOOL")</f>
        <v>AGATE JUNIOR-SENIOR HIGH SCHOOL</v>
      </c>
      <c r="E784" s="3" t="str">
        <f>IFERROR(__xludf.DUMMYFUNCTION("""COMPUTED_VALUE"""),"Y")</f>
        <v>Y</v>
      </c>
      <c r="F784" s="3" t="str">
        <f>IFERROR(__xludf.DUMMYFUNCTION("""COMPUTED_VALUE"""),"Y")</f>
        <v>Y</v>
      </c>
      <c r="G784" s="3"/>
      <c r="H784" s="3"/>
      <c r="I784" s="3" t="str">
        <f>IFERROR(__xludf.DUMMYFUNCTION("""COMPUTED_VALUE""")," ")</f>
        <v> </v>
      </c>
      <c r="J784" s="3" t="str">
        <f>IFERROR(__xludf.DUMMYFUNCTION("""COMPUTED_VALUE""")," ")</f>
        <v> </v>
      </c>
      <c r="K784" s="3" t="str">
        <f>IFERROR(__xludf.DUMMYFUNCTION("""COMPUTED_VALUE"""),"Y")</f>
        <v>Y</v>
      </c>
      <c r="L784" s="3" t="str">
        <f>IFERROR(__xludf.DUMMYFUNCTION("""COMPUTED_VALUE"""),"Group 1")</f>
        <v>Group 1</v>
      </c>
      <c r="M784" s="3"/>
      <c r="N784" s="5" t="str">
        <f>IFERROR(__xludf.DUMMYFUNCTION("""COMPUTED_VALUE""")," ")</f>
        <v> </v>
      </c>
      <c r="O784" s="5"/>
    </row>
    <row r="785">
      <c r="A785" s="2" t="str">
        <f>IFERROR(__xludf.DUMMYFUNCTION("""COMPUTED_VALUE"""),"0970")</f>
        <v>0970</v>
      </c>
      <c r="B785" s="2" t="str">
        <f>IFERROR(__xludf.DUMMYFUNCTION("""COMPUTED_VALUE"""),"CALHAN RJ-1")</f>
        <v>CALHAN RJ-1</v>
      </c>
      <c r="C785" s="2" t="str">
        <f>IFERROR(__xludf.DUMMYFUNCTION("""COMPUTED_VALUE"""),"01210")</f>
        <v>01210</v>
      </c>
      <c r="D785" s="2" t="str">
        <f>IFERROR(__xludf.DUMMYFUNCTION("""COMPUTED_VALUE"""),"CALHAN ELEMENTARY SCHOOL")</f>
        <v>CALHAN ELEMENTARY SCHOOL</v>
      </c>
      <c r="E785" s="3" t="str">
        <f>IFERROR(__xludf.DUMMYFUNCTION("""COMPUTED_VALUE"""),"Y")</f>
        <v>Y</v>
      </c>
      <c r="F785" s="3" t="str">
        <f>IFERROR(__xludf.DUMMYFUNCTION("""COMPUTED_VALUE"""),"Y")</f>
        <v>Y</v>
      </c>
      <c r="G785" s="3" t="str">
        <f>IFERROR(__xludf.DUMMYFUNCTION("""COMPUTED_VALUE"""),"Y")</f>
        <v>Y</v>
      </c>
      <c r="H785" s="3"/>
      <c r="I785" s="3" t="str">
        <f>IFERROR(__xludf.DUMMYFUNCTION("""COMPUTED_VALUE""")," ")</f>
        <v> </v>
      </c>
      <c r="J785" s="3" t="str">
        <f>IFERROR(__xludf.DUMMYFUNCTION("""COMPUTED_VALUE""")," ")</f>
        <v> </v>
      </c>
      <c r="K785" s="3" t="str">
        <f>IFERROR(__xludf.DUMMYFUNCTION("""COMPUTED_VALUE"""),"Y")</f>
        <v>Y</v>
      </c>
      <c r="L785" s="3" t="str">
        <f>IFERROR(__xludf.DUMMYFUNCTION("""COMPUTED_VALUE"""),"Group 1")</f>
        <v>Group 1</v>
      </c>
      <c r="M785" s="3"/>
      <c r="N785" s="5" t="str">
        <f>IFERROR(__xludf.DUMMYFUNCTION("""COMPUTED_VALUE""")," ")</f>
        <v> </v>
      </c>
      <c r="O785" s="5"/>
    </row>
    <row r="786">
      <c r="A786" s="2" t="str">
        <f>IFERROR(__xludf.DUMMYFUNCTION("""COMPUTED_VALUE"""),"0970")</f>
        <v>0970</v>
      </c>
      <c r="B786" s="2" t="str">
        <f>IFERROR(__xludf.DUMMYFUNCTION("""COMPUTED_VALUE"""),"CALHAN RJ-1")</f>
        <v>CALHAN RJ-1</v>
      </c>
      <c r="C786" s="2" t="str">
        <f>IFERROR(__xludf.DUMMYFUNCTION("""COMPUTED_VALUE"""),"01218")</f>
        <v>01218</v>
      </c>
      <c r="D786" s="2" t="str">
        <f>IFERROR(__xludf.DUMMYFUNCTION("""COMPUTED_VALUE"""),"CALHAN SECONDARY SCHOOL")</f>
        <v>CALHAN SECONDARY SCHOOL</v>
      </c>
      <c r="E786" s="3" t="str">
        <f>IFERROR(__xludf.DUMMYFUNCTION("""COMPUTED_VALUE"""),"Y")</f>
        <v>Y</v>
      </c>
      <c r="F786" s="3" t="str">
        <f>IFERROR(__xludf.DUMMYFUNCTION("""COMPUTED_VALUE"""),"Y")</f>
        <v>Y</v>
      </c>
      <c r="G786" s="3" t="str">
        <f>IFERROR(__xludf.DUMMYFUNCTION("""COMPUTED_VALUE"""),"Y")</f>
        <v>Y</v>
      </c>
      <c r="H786" s="3"/>
      <c r="I786" s="3" t="str">
        <f>IFERROR(__xludf.DUMMYFUNCTION("""COMPUTED_VALUE""")," ")</f>
        <v> </v>
      </c>
      <c r="J786" s="3" t="str">
        <f>IFERROR(__xludf.DUMMYFUNCTION("""COMPUTED_VALUE""")," ")</f>
        <v> </v>
      </c>
      <c r="K786" s="3" t="str">
        <f>IFERROR(__xludf.DUMMYFUNCTION("""COMPUTED_VALUE"""),"Y")</f>
        <v>Y</v>
      </c>
      <c r="L786" s="3" t="str">
        <f>IFERROR(__xludf.DUMMYFUNCTION("""COMPUTED_VALUE"""),"Group 2")</f>
        <v>Group 2</v>
      </c>
      <c r="M786" s="3"/>
      <c r="N786" s="5" t="str">
        <f>IFERROR(__xludf.DUMMYFUNCTION("""COMPUTED_VALUE""")," ")</f>
        <v> </v>
      </c>
      <c r="O786" s="5"/>
    </row>
    <row r="787">
      <c r="A787" s="2" t="str">
        <f>IFERROR(__xludf.DUMMYFUNCTION("""COMPUTED_VALUE"""),"0980")</f>
        <v>0980</v>
      </c>
      <c r="B787" s="2" t="str">
        <f>IFERROR(__xludf.DUMMYFUNCTION("""COMPUTED_VALUE"""),"HARRISON 2")</f>
        <v>HARRISON 2</v>
      </c>
      <c r="C787" s="2" t="str">
        <f>IFERROR(__xludf.DUMMYFUNCTION("""COMPUTED_VALUE"""),"01000")</f>
        <v>01000</v>
      </c>
      <c r="D787" s="2" t="str">
        <f>IFERROR(__xludf.DUMMYFUNCTION("""COMPUTED_VALUE"""),"BRICKER ELEMENTARY SCHOOL")</f>
        <v>BRICKER ELEMENTARY SCHOOL</v>
      </c>
      <c r="E787" s="3" t="str">
        <f>IFERROR(__xludf.DUMMYFUNCTION("""COMPUTED_VALUE"""),"Y")</f>
        <v>Y</v>
      </c>
      <c r="F787" s="3" t="str">
        <f>IFERROR(__xludf.DUMMYFUNCTION("""COMPUTED_VALUE"""),"Y")</f>
        <v>Y</v>
      </c>
      <c r="G787" s="3" t="str">
        <f>IFERROR(__xludf.DUMMYFUNCTION("""COMPUTED_VALUE"""),"Y")</f>
        <v>Y</v>
      </c>
      <c r="H787" s="3"/>
      <c r="I787" s="3" t="str">
        <f>IFERROR(__xludf.DUMMYFUNCTION("""COMPUTED_VALUE""")," ")</f>
        <v> </v>
      </c>
      <c r="J787" s="3" t="str">
        <f>IFERROR(__xludf.DUMMYFUNCTION("""COMPUTED_VALUE"""),"Y")</f>
        <v>Y</v>
      </c>
      <c r="K787" s="3" t="str">
        <f>IFERROR(__xludf.DUMMYFUNCTION("""COMPUTED_VALUE"""),"Y")</f>
        <v>Y</v>
      </c>
      <c r="L787" s="3" t="str">
        <f>IFERROR(__xludf.DUMMYFUNCTION("""COMPUTED_VALUE"""),"Group 1")</f>
        <v>Group 1</v>
      </c>
      <c r="M787" s="3"/>
      <c r="N787" s="5" t="str">
        <f>IFERROR(__xludf.DUMMYFUNCTION("""COMPUTED_VALUE"""),"Y")</f>
        <v>Y</v>
      </c>
      <c r="O787" s="5"/>
    </row>
    <row r="788">
      <c r="A788" s="2" t="str">
        <f>IFERROR(__xludf.DUMMYFUNCTION("""COMPUTED_VALUE"""),"0980")</f>
        <v>0980</v>
      </c>
      <c r="B788" s="2" t="str">
        <f>IFERROR(__xludf.DUMMYFUNCTION("""COMPUTED_VALUE"""),"HARRISON 2")</f>
        <v>HARRISON 2</v>
      </c>
      <c r="C788" s="2" t="str">
        <f>IFERROR(__xludf.DUMMYFUNCTION("""COMPUTED_VALUE"""),"01306")</f>
        <v>01306</v>
      </c>
      <c r="D788" s="2" t="str">
        <f>IFERROR(__xludf.DUMMYFUNCTION("""COMPUTED_VALUE"""),"CARMEL MIDDLE SCHOOL")</f>
        <v>CARMEL MIDDLE SCHOOL</v>
      </c>
      <c r="E788" s="3" t="str">
        <f>IFERROR(__xludf.DUMMYFUNCTION("""COMPUTED_VALUE"""),"Y")</f>
        <v>Y</v>
      </c>
      <c r="F788" s="3" t="str">
        <f>IFERROR(__xludf.DUMMYFUNCTION("""COMPUTED_VALUE"""),"Y")</f>
        <v>Y</v>
      </c>
      <c r="G788" s="3" t="str">
        <f>IFERROR(__xludf.DUMMYFUNCTION("""COMPUTED_VALUE"""),"Y")</f>
        <v>Y</v>
      </c>
      <c r="H788" s="3"/>
      <c r="I788" s="3" t="str">
        <f>IFERROR(__xludf.DUMMYFUNCTION("""COMPUTED_VALUE""")," ")</f>
        <v> </v>
      </c>
      <c r="J788" s="3" t="str">
        <f>IFERROR(__xludf.DUMMYFUNCTION("""COMPUTED_VALUE"""),"Y")</f>
        <v>Y</v>
      </c>
      <c r="K788" s="3" t="str">
        <f>IFERROR(__xludf.DUMMYFUNCTION("""COMPUTED_VALUE"""),"Y")</f>
        <v>Y</v>
      </c>
      <c r="L788" s="3" t="str">
        <f>IFERROR(__xludf.DUMMYFUNCTION("""COMPUTED_VALUE"""),"Group 2")</f>
        <v>Group 2</v>
      </c>
      <c r="M788" s="3"/>
      <c r="N788" s="5" t="str">
        <f>IFERROR(__xludf.DUMMYFUNCTION("""COMPUTED_VALUE""")," ")</f>
        <v> </v>
      </c>
      <c r="O788" s="5"/>
    </row>
    <row r="789">
      <c r="A789" s="2" t="str">
        <f>IFERROR(__xludf.DUMMYFUNCTION("""COMPUTED_VALUE"""),"0980")</f>
        <v>0980</v>
      </c>
      <c r="B789" s="2" t="str">
        <f>IFERROR(__xludf.DUMMYFUNCTION("""COMPUTED_VALUE"""),"HARRISON 2")</f>
        <v>HARRISON 2</v>
      </c>
      <c r="C789" s="2" t="str">
        <f>IFERROR(__xludf.DUMMYFUNCTION("""COMPUTED_VALUE"""),"01383")</f>
        <v>01383</v>
      </c>
      <c r="D789" s="2" t="str">
        <f>IFERROR(__xludf.DUMMYFUNCTION("""COMPUTED_VALUE"""),"CENTENNIAL ELEMENTARY SCHOOL")</f>
        <v>CENTENNIAL ELEMENTARY SCHOOL</v>
      </c>
      <c r="E789" s="3" t="str">
        <f>IFERROR(__xludf.DUMMYFUNCTION("""COMPUTED_VALUE"""),"Y")</f>
        <v>Y</v>
      </c>
      <c r="F789" s="3" t="str">
        <f>IFERROR(__xludf.DUMMYFUNCTION("""COMPUTED_VALUE"""),"Y")</f>
        <v>Y</v>
      </c>
      <c r="G789" s="3" t="str">
        <f>IFERROR(__xludf.DUMMYFUNCTION("""COMPUTED_VALUE"""),"Y")</f>
        <v>Y</v>
      </c>
      <c r="H789" s="3"/>
      <c r="I789" s="3" t="str">
        <f>IFERROR(__xludf.DUMMYFUNCTION("""COMPUTED_VALUE""")," ")</f>
        <v> </v>
      </c>
      <c r="J789" s="3" t="str">
        <f>IFERROR(__xludf.DUMMYFUNCTION("""COMPUTED_VALUE"""),"Y")</f>
        <v>Y</v>
      </c>
      <c r="K789" s="3" t="str">
        <f>IFERROR(__xludf.DUMMYFUNCTION("""COMPUTED_VALUE"""),"Y")</f>
        <v>Y</v>
      </c>
      <c r="L789" s="3" t="str">
        <f>IFERROR(__xludf.DUMMYFUNCTION("""COMPUTED_VALUE"""),"Group 3")</f>
        <v>Group 3</v>
      </c>
      <c r="M789" s="3"/>
      <c r="N789" s="5" t="str">
        <f>IFERROR(__xludf.DUMMYFUNCTION("""COMPUTED_VALUE""")," ")</f>
        <v> </v>
      </c>
      <c r="O789" s="5"/>
    </row>
    <row r="790">
      <c r="A790" s="2" t="str">
        <f>IFERROR(__xludf.DUMMYFUNCTION("""COMPUTED_VALUE"""),"0980")</f>
        <v>0980</v>
      </c>
      <c r="B790" s="2" t="str">
        <f>IFERROR(__xludf.DUMMYFUNCTION("""COMPUTED_VALUE"""),"HARRISON 2")</f>
        <v>HARRISON 2</v>
      </c>
      <c r="C790" s="2" t="str">
        <f>IFERROR(__xludf.DUMMYFUNCTION("""COMPUTED_VALUE"""),"03392")</f>
        <v>03392</v>
      </c>
      <c r="D790" s="2" t="str">
        <f>IFERROR(__xludf.DUMMYFUNCTION("""COMPUTED_VALUE"""),"GIBERSON ELEMENTARY SCHOOL")</f>
        <v>GIBERSON ELEMENTARY SCHOOL</v>
      </c>
      <c r="E790" s="3" t="str">
        <f>IFERROR(__xludf.DUMMYFUNCTION("""COMPUTED_VALUE"""),"Y")</f>
        <v>Y</v>
      </c>
      <c r="F790" s="3" t="str">
        <f>IFERROR(__xludf.DUMMYFUNCTION("""COMPUTED_VALUE"""),"Y")</f>
        <v>Y</v>
      </c>
      <c r="G790" s="3" t="str">
        <f>IFERROR(__xludf.DUMMYFUNCTION("""COMPUTED_VALUE"""),"Y")</f>
        <v>Y</v>
      </c>
      <c r="H790" s="3"/>
      <c r="I790" s="3" t="str">
        <f>IFERROR(__xludf.DUMMYFUNCTION("""COMPUTED_VALUE""")," ")</f>
        <v> </v>
      </c>
      <c r="J790" s="3" t="str">
        <f>IFERROR(__xludf.DUMMYFUNCTION("""COMPUTED_VALUE"""),"Y")</f>
        <v>Y</v>
      </c>
      <c r="K790" s="3" t="str">
        <f>IFERROR(__xludf.DUMMYFUNCTION("""COMPUTED_VALUE"""),"Y")</f>
        <v>Y</v>
      </c>
      <c r="L790" s="3" t="str">
        <f>IFERROR(__xludf.DUMMYFUNCTION("""COMPUTED_VALUE"""),"Group 1")</f>
        <v>Group 1</v>
      </c>
      <c r="M790" s="3"/>
      <c r="N790" s="5" t="str">
        <f>IFERROR(__xludf.DUMMYFUNCTION("""COMPUTED_VALUE""")," ")</f>
        <v> </v>
      </c>
      <c r="O790" s="5"/>
    </row>
    <row r="791">
      <c r="A791" s="2" t="str">
        <f>IFERROR(__xludf.DUMMYFUNCTION("""COMPUTED_VALUE"""),"0980")</f>
        <v>0980</v>
      </c>
      <c r="B791" s="2" t="str">
        <f>IFERROR(__xludf.DUMMYFUNCTION("""COMPUTED_VALUE"""),"HARRISON 2")</f>
        <v>HARRISON 2</v>
      </c>
      <c r="C791" s="2" t="str">
        <f>IFERROR(__xludf.DUMMYFUNCTION("""COMPUTED_VALUE"""),"03522")</f>
        <v>03522</v>
      </c>
      <c r="D791" s="2" t="str">
        <f>IFERROR(__xludf.DUMMYFUNCTION("""COMPUTED_VALUE"""),"FOX MEADOW MIDDLE SCHOOL")</f>
        <v>FOX MEADOW MIDDLE SCHOOL</v>
      </c>
      <c r="E791" s="3" t="str">
        <f>IFERROR(__xludf.DUMMYFUNCTION("""COMPUTED_VALUE"""),"Y")</f>
        <v>Y</v>
      </c>
      <c r="F791" s="3" t="str">
        <f>IFERROR(__xludf.DUMMYFUNCTION("""COMPUTED_VALUE"""),"Y")</f>
        <v>Y</v>
      </c>
      <c r="G791" s="3" t="str">
        <f>IFERROR(__xludf.DUMMYFUNCTION("""COMPUTED_VALUE"""),"Y")</f>
        <v>Y</v>
      </c>
      <c r="H791" s="3"/>
      <c r="I791" s="3" t="str">
        <f>IFERROR(__xludf.DUMMYFUNCTION("""COMPUTED_VALUE""")," ")</f>
        <v> </v>
      </c>
      <c r="J791" s="3" t="str">
        <f>IFERROR(__xludf.DUMMYFUNCTION("""COMPUTED_VALUE"""),"Y")</f>
        <v>Y</v>
      </c>
      <c r="K791" s="3" t="str">
        <f>IFERROR(__xludf.DUMMYFUNCTION("""COMPUTED_VALUE"""),"Y")</f>
        <v>Y</v>
      </c>
      <c r="L791" s="3" t="str">
        <f>IFERROR(__xludf.DUMMYFUNCTION("""COMPUTED_VALUE"""),"Group 3")</f>
        <v>Group 3</v>
      </c>
      <c r="M791" s="3"/>
      <c r="N791" s="5" t="str">
        <f>IFERROR(__xludf.DUMMYFUNCTION("""COMPUTED_VALUE""")," ")</f>
        <v> </v>
      </c>
      <c r="O791" s="5"/>
    </row>
    <row r="792">
      <c r="A792" s="2" t="str">
        <f>IFERROR(__xludf.DUMMYFUNCTION("""COMPUTED_VALUE"""),"0980")</f>
        <v>0980</v>
      </c>
      <c r="B792" s="2" t="str">
        <f>IFERROR(__xludf.DUMMYFUNCTION("""COMPUTED_VALUE"""),"HARRISON 2")</f>
        <v>HARRISON 2</v>
      </c>
      <c r="C792" s="2" t="str">
        <f>IFERROR(__xludf.DUMMYFUNCTION("""COMPUTED_VALUE"""),"03806")</f>
        <v>03806</v>
      </c>
      <c r="D792" s="2" t="str">
        <f>IFERROR(__xludf.DUMMYFUNCTION("""COMPUTED_VALUE"""),"HARRISON HIGH SCHOOL")</f>
        <v>HARRISON HIGH SCHOOL</v>
      </c>
      <c r="E792" s="3" t="str">
        <f>IFERROR(__xludf.DUMMYFUNCTION("""COMPUTED_VALUE"""),"Y")</f>
        <v>Y</v>
      </c>
      <c r="F792" s="3" t="str">
        <f>IFERROR(__xludf.DUMMYFUNCTION("""COMPUTED_VALUE"""),"Y")</f>
        <v>Y</v>
      </c>
      <c r="G792" s="3"/>
      <c r="H792" s="3"/>
      <c r="I792" s="3" t="str">
        <f>IFERROR(__xludf.DUMMYFUNCTION("""COMPUTED_VALUE""")," ")</f>
        <v> </v>
      </c>
      <c r="J792" s="3" t="str">
        <f>IFERROR(__xludf.DUMMYFUNCTION("""COMPUTED_VALUE"""),"Y")</f>
        <v>Y</v>
      </c>
      <c r="K792" s="3" t="str">
        <f>IFERROR(__xludf.DUMMYFUNCTION("""COMPUTED_VALUE"""),"Y")</f>
        <v>Y</v>
      </c>
      <c r="L792" s="3" t="str">
        <f>IFERROR(__xludf.DUMMYFUNCTION("""COMPUTED_VALUE"""),"Group 1")</f>
        <v>Group 1</v>
      </c>
      <c r="M792" s="3"/>
      <c r="N792" s="5" t="str">
        <f>IFERROR(__xludf.DUMMYFUNCTION("""COMPUTED_VALUE""")," ")</f>
        <v> </v>
      </c>
      <c r="O792" s="5"/>
    </row>
    <row r="793">
      <c r="A793" s="2" t="str">
        <f>IFERROR(__xludf.DUMMYFUNCTION("""COMPUTED_VALUE"""),"0980")</f>
        <v>0980</v>
      </c>
      <c r="B793" s="2" t="str">
        <f>IFERROR(__xludf.DUMMYFUNCTION("""COMPUTED_VALUE"""),"HARRISON 2")</f>
        <v>HARRISON 2</v>
      </c>
      <c r="C793" s="2" t="str">
        <f>IFERROR(__xludf.DUMMYFUNCTION("""COMPUTED_VALUE"""),"03870")</f>
        <v>03870</v>
      </c>
      <c r="D793" s="2" t="str">
        <f>IFERROR(__xludf.DUMMYFUNCTION("""COMPUTED_VALUE"""),"CAREER READINESS ACADEMY")</f>
        <v>CAREER READINESS ACADEMY</v>
      </c>
      <c r="E793" s="3" t="str">
        <f>IFERROR(__xludf.DUMMYFUNCTION("""COMPUTED_VALUE"""),"Y")</f>
        <v>Y</v>
      </c>
      <c r="F793" s="3" t="str">
        <f>IFERROR(__xludf.DUMMYFUNCTION("""COMPUTED_VALUE"""),"Y")</f>
        <v>Y</v>
      </c>
      <c r="G793" s="3"/>
      <c r="H793" s="3"/>
      <c r="I793" s="3" t="str">
        <f>IFERROR(__xludf.DUMMYFUNCTION("""COMPUTED_VALUE""")," ")</f>
        <v> </v>
      </c>
      <c r="J793" s="3" t="str">
        <f>IFERROR(__xludf.DUMMYFUNCTION("""COMPUTED_VALUE"""),"Y")</f>
        <v>Y</v>
      </c>
      <c r="K793" s="3" t="str">
        <f>IFERROR(__xludf.DUMMYFUNCTION("""COMPUTED_VALUE"""),"Y")</f>
        <v>Y</v>
      </c>
      <c r="L793" s="3" t="str">
        <f>IFERROR(__xludf.DUMMYFUNCTION("""COMPUTED_VALUE"""),"Group 6")</f>
        <v>Group 6</v>
      </c>
      <c r="M793" s="3"/>
      <c r="N793" s="5" t="str">
        <f>IFERROR(__xludf.DUMMYFUNCTION("""COMPUTED_VALUE""")," ")</f>
        <v> </v>
      </c>
      <c r="O793" s="5"/>
    </row>
    <row r="794">
      <c r="A794" s="2" t="str">
        <f>IFERROR(__xludf.DUMMYFUNCTION("""COMPUTED_VALUE"""),"0980")</f>
        <v>0980</v>
      </c>
      <c r="B794" s="2" t="str">
        <f>IFERROR(__xludf.DUMMYFUNCTION("""COMPUTED_VALUE"""),"HARRISON 2")</f>
        <v>HARRISON 2</v>
      </c>
      <c r="C794" s="2" t="str">
        <f>IFERROR(__xludf.DUMMYFUNCTION("""COMPUTED_VALUE"""),"05763")</f>
        <v>05763</v>
      </c>
      <c r="D794" s="2" t="str">
        <f>IFERROR(__xludf.DUMMYFUNCTION("""COMPUTED_VALUE"""),"MOUNTAIN VISTA HOMESCHOOL ACADEMY")</f>
        <v>MOUNTAIN VISTA HOMESCHOOL ACADEMY</v>
      </c>
      <c r="E794" s="3" t="str">
        <f>IFERROR(__xludf.DUMMYFUNCTION("""COMPUTED_VALUE"""),"Y")</f>
        <v>Y</v>
      </c>
      <c r="F794" s="3" t="str">
        <f>IFERROR(__xludf.DUMMYFUNCTION("""COMPUTED_VALUE"""),"Y")</f>
        <v>Y</v>
      </c>
      <c r="G794" s="3"/>
      <c r="H794" s="3"/>
      <c r="I794" s="3" t="str">
        <f>IFERROR(__xludf.DUMMYFUNCTION("""COMPUTED_VALUE""")," ")</f>
        <v> </v>
      </c>
      <c r="J794" s="3" t="str">
        <f>IFERROR(__xludf.DUMMYFUNCTION("""COMPUTED_VALUE""")," ")</f>
        <v> </v>
      </c>
      <c r="K794" s="3" t="str">
        <f>IFERROR(__xludf.DUMMYFUNCTION("""COMPUTED_VALUE"""),"Y")</f>
        <v>Y</v>
      </c>
      <c r="L794" s="3" t="str">
        <f>IFERROR(__xludf.DUMMYFUNCTION("""COMPUTED_VALUE"""),"Group 6")</f>
        <v>Group 6</v>
      </c>
      <c r="M794" s="3"/>
      <c r="N794" s="5" t="str">
        <f>IFERROR(__xludf.DUMMYFUNCTION("""COMPUTED_VALUE""")," ")</f>
        <v> </v>
      </c>
      <c r="O794" s="5"/>
    </row>
    <row r="795">
      <c r="A795" s="2" t="str">
        <f>IFERROR(__xludf.DUMMYFUNCTION("""COMPUTED_VALUE"""),"0980")</f>
        <v>0980</v>
      </c>
      <c r="B795" s="2" t="str">
        <f>IFERROR(__xludf.DUMMYFUNCTION("""COMPUTED_VALUE"""),"HARRISON 2")</f>
        <v>HARRISON 2</v>
      </c>
      <c r="C795" s="2" t="str">
        <f>IFERROR(__xludf.DUMMYFUNCTION("""COMPUTED_VALUE"""),"06018")</f>
        <v>06018</v>
      </c>
      <c r="D795" s="2" t="str">
        <f>IFERROR(__xludf.DUMMYFUNCTION("""COMPUTED_VALUE"""),"MONTEREY ELEMENTARY SCHOOL")</f>
        <v>MONTEREY ELEMENTARY SCHOOL</v>
      </c>
      <c r="E795" s="3" t="str">
        <f>IFERROR(__xludf.DUMMYFUNCTION("""COMPUTED_VALUE"""),"Y")</f>
        <v>Y</v>
      </c>
      <c r="F795" s="3" t="str">
        <f>IFERROR(__xludf.DUMMYFUNCTION("""COMPUTED_VALUE"""),"Y")</f>
        <v>Y</v>
      </c>
      <c r="G795" s="3" t="str">
        <f>IFERROR(__xludf.DUMMYFUNCTION("""COMPUTED_VALUE"""),"Y")</f>
        <v>Y</v>
      </c>
      <c r="H795" s="3"/>
      <c r="I795" s="3" t="str">
        <f>IFERROR(__xludf.DUMMYFUNCTION("""COMPUTED_VALUE""")," ")</f>
        <v> </v>
      </c>
      <c r="J795" s="3" t="str">
        <f>IFERROR(__xludf.DUMMYFUNCTION("""COMPUTED_VALUE"""),"Y")</f>
        <v>Y</v>
      </c>
      <c r="K795" s="3" t="str">
        <f>IFERROR(__xludf.DUMMYFUNCTION("""COMPUTED_VALUE"""),"Y")</f>
        <v>Y</v>
      </c>
      <c r="L795" s="3" t="str">
        <f>IFERROR(__xludf.DUMMYFUNCTION("""COMPUTED_VALUE"""),"Group 5")</f>
        <v>Group 5</v>
      </c>
      <c r="M795" s="3"/>
      <c r="N795" s="5" t="str">
        <f>IFERROR(__xludf.DUMMYFUNCTION("""COMPUTED_VALUE"""),"Y")</f>
        <v>Y</v>
      </c>
      <c r="O795" s="5"/>
    </row>
    <row r="796">
      <c r="A796" s="2" t="str">
        <f>IFERROR(__xludf.DUMMYFUNCTION("""COMPUTED_VALUE"""),"0980")</f>
        <v>0980</v>
      </c>
      <c r="B796" s="2" t="str">
        <f>IFERROR(__xludf.DUMMYFUNCTION("""COMPUTED_VALUE"""),"HARRISON 2")</f>
        <v>HARRISON 2</v>
      </c>
      <c r="C796" s="2" t="str">
        <f>IFERROR(__xludf.DUMMYFUNCTION("""COMPUTED_VALUE"""),"06162")</f>
        <v>06162</v>
      </c>
      <c r="D796" s="2" t="str">
        <f>IFERROR(__xludf.DUMMYFUNCTION("""COMPUTED_VALUE"""),"MOUNTAIN VISTA COMMUNITY SCHOOL")</f>
        <v>MOUNTAIN VISTA COMMUNITY SCHOOL</v>
      </c>
      <c r="E796" s="3" t="str">
        <f>IFERROR(__xludf.DUMMYFUNCTION("""COMPUTED_VALUE"""),"Y")</f>
        <v>Y</v>
      </c>
      <c r="F796" s="3" t="str">
        <f>IFERROR(__xludf.DUMMYFUNCTION("""COMPUTED_VALUE"""),"Y")</f>
        <v>Y</v>
      </c>
      <c r="G796" s="3" t="str">
        <f>IFERROR(__xludf.DUMMYFUNCTION("""COMPUTED_VALUE"""),"Y")</f>
        <v>Y</v>
      </c>
      <c r="H796" s="3"/>
      <c r="I796" s="3" t="str">
        <f>IFERROR(__xludf.DUMMYFUNCTION("""COMPUTED_VALUE""")," ")</f>
        <v> </v>
      </c>
      <c r="J796" s="3" t="str">
        <f>IFERROR(__xludf.DUMMYFUNCTION("""COMPUTED_VALUE"""),"Y")</f>
        <v>Y</v>
      </c>
      <c r="K796" s="3" t="str">
        <f>IFERROR(__xludf.DUMMYFUNCTION("""COMPUTED_VALUE"""),"Y")</f>
        <v>Y</v>
      </c>
      <c r="L796" s="3" t="str">
        <f>IFERROR(__xludf.DUMMYFUNCTION("""COMPUTED_VALUE"""),"Group 8")</f>
        <v>Group 8</v>
      </c>
      <c r="M796" s="3"/>
      <c r="N796" s="5" t="str">
        <f>IFERROR(__xludf.DUMMYFUNCTION("""COMPUTED_VALUE""")," ")</f>
        <v> </v>
      </c>
      <c r="O796" s="5"/>
    </row>
    <row r="797">
      <c r="A797" s="2" t="str">
        <f>IFERROR(__xludf.DUMMYFUNCTION("""COMPUTED_VALUE"""),"0980")</f>
        <v>0980</v>
      </c>
      <c r="B797" s="2" t="str">
        <f>IFERROR(__xludf.DUMMYFUNCTION("""COMPUTED_VALUE"""),"HARRISON 2")</f>
        <v>HARRISON 2</v>
      </c>
      <c r="C797" s="2" t="str">
        <f>IFERROR(__xludf.DUMMYFUNCTION("""COMPUTED_VALUE"""),"06218")</f>
        <v>06218</v>
      </c>
      <c r="D797" s="2" t="str">
        <f>IFERROR(__xludf.DUMMYFUNCTION("""COMPUTED_VALUE"""),"PIKES PEAK BOCES NEEDS PROGRAM")</f>
        <v>PIKES PEAK BOCES NEEDS PROGRAM</v>
      </c>
      <c r="E797" s="3" t="str">
        <f>IFERROR(__xludf.DUMMYFUNCTION("""COMPUTED_VALUE"""),"Y")</f>
        <v>Y</v>
      </c>
      <c r="F797" s="3" t="str">
        <f>IFERROR(__xludf.DUMMYFUNCTION("""COMPUTED_VALUE"""),"Y")</f>
        <v>Y</v>
      </c>
      <c r="G797" s="3"/>
      <c r="H797" s="3"/>
      <c r="I797" s="3" t="str">
        <f>IFERROR(__xludf.DUMMYFUNCTION("""COMPUTED_VALUE""")," ")</f>
        <v> </v>
      </c>
      <c r="J797" s="3" t="str">
        <f>IFERROR(__xludf.DUMMYFUNCTION("""COMPUTED_VALUE""")," ")</f>
        <v> </v>
      </c>
      <c r="K797" s="3" t="str">
        <f>IFERROR(__xludf.DUMMYFUNCTION("""COMPUTED_VALUE"""),"Y")</f>
        <v>Y</v>
      </c>
      <c r="L797" s="3" t="str">
        <f>IFERROR(__xludf.DUMMYFUNCTION("""COMPUTED_VALUE"""),"Group 3")</f>
        <v>Group 3</v>
      </c>
      <c r="M797" s="3"/>
      <c r="N797" s="5" t="str">
        <f>IFERROR(__xludf.DUMMYFUNCTION("""COMPUTED_VALUE""")," ")</f>
        <v> </v>
      </c>
      <c r="O797" s="5"/>
    </row>
    <row r="798">
      <c r="A798" s="2" t="str">
        <f>IFERROR(__xludf.DUMMYFUNCTION("""COMPUTED_VALUE"""),"0980")</f>
        <v>0980</v>
      </c>
      <c r="B798" s="2" t="str">
        <f>IFERROR(__xludf.DUMMYFUNCTION("""COMPUTED_VALUE"""),"HARRISON 2")</f>
        <v>HARRISON 2</v>
      </c>
      <c r="C798" s="2" t="str">
        <f>IFERROR(__xludf.DUMMYFUNCTION("""COMPUTED_VALUE"""),"06460")</f>
        <v>06460</v>
      </c>
      <c r="D798" s="2" t="str">
        <f>IFERROR(__xludf.DUMMYFUNCTION("""COMPUTED_VALUE"""),"OAK CREEK ELEMENTARY SCHOOL")</f>
        <v>OAK CREEK ELEMENTARY SCHOOL</v>
      </c>
      <c r="E798" s="3" t="str">
        <f>IFERROR(__xludf.DUMMYFUNCTION("""COMPUTED_VALUE"""),"Y")</f>
        <v>Y</v>
      </c>
      <c r="F798" s="3" t="str">
        <f>IFERROR(__xludf.DUMMYFUNCTION("""COMPUTED_VALUE"""),"Y")</f>
        <v>Y</v>
      </c>
      <c r="G798" s="3" t="str">
        <f>IFERROR(__xludf.DUMMYFUNCTION("""COMPUTED_VALUE"""),"Y")</f>
        <v>Y</v>
      </c>
      <c r="H798" s="3"/>
      <c r="I798" s="3" t="str">
        <f>IFERROR(__xludf.DUMMYFUNCTION("""COMPUTED_VALUE""")," ")</f>
        <v> </v>
      </c>
      <c r="J798" s="3" t="str">
        <f>IFERROR(__xludf.DUMMYFUNCTION("""COMPUTED_VALUE"""),"Y")</f>
        <v>Y</v>
      </c>
      <c r="K798" s="3" t="str">
        <f>IFERROR(__xludf.DUMMYFUNCTION("""COMPUTED_VALUE"""),"Y")</f>
        <v>Y</v>
      </c>
      <c r="L798" s="3" t="str">
        <f>IFERROR(__xludf.DUMMYFUNCTION("""COMPUTED_VALUE"""),"Group 2")</f>
        <v>Group 2</v>
      </c>
      <c r="M798" s="3"/>
      <c r="N798" s="5" t="str">
        <f>IFERROR(__xludf.DUMMYFUNCTION("""COMPUTED_VALUE""")," ")</f>
        <v> </v>
      </c>
      <c r="O798" s="5"/>
    </row>
    <row r="799">
      <c r="A799" s="2" t="str">
        <f>IFERROR(__xludf.DUMMYFUNCTION("""COMPUTED_VALUE"""),"0980")</f>
        <v>0980</v>
      </c>
      <c r="B799" s="2" t="str">
        <f>IFERROR(__xludf.DUMMYFUNCTION("""COMPUTED_VALUE"""),"HARRISON 2")</f>
        <v>HARRISON 2</v>
      </c>
      <c r="C799" s="2" t="str">
        <f>IFERROR(__xludf.DUMMYFUNCTION("""COMPUTED_VALUE"""),"06578")</f>
        <v>06578</v>
      </c>
      <c r="D799" s="2" t="str">
        <f>IFERROR(__xludf.DUMMYFUNCTION("""COMPUTED_VALUE"""),"OTERO ELEMENTARY SCHOOL")</f>
        <v>OTERO ELEMENTARY SCHOOL</v>
      </c>
      <c r="E799" s="3" t="str">
        <f>IFERROR(__xludf.DUMMYFUNCTION("""COMPUTED_VALUE"""),"Y")</f>
        <v>Y</v>
      </c>
      <c r="F799" s="3" t="str">
        <f>IFERROR(__xludf.DUMMYFUNCTION("""COMPUTED_VALUE"""),"Y")</f>
        <v>Y</v>
      </c>
      <c r="G799" s="3" t="str">
        <f>IFERROR(__xludf.DUMMYFUNCTION("""COMPUTED_VALUE"""),"Y")</f>
        <v>Y</v>
      </c>
      <c r="H799" s="3"/>
      <c r="I799" s="3" t="str">
        <f>IFERROR(__xludf.DUMMYFUNCTION("""COMPUTED_VALUE""")," ")</f>
        <v> </v>
      </c>
      <c r="J799" s="3" t="str">
        <f>IFERROR(__xludf.DUMMYFUNCTION("""COMPUTED_VALUE"""),"Y")</f>
        <v>Y</v>
      </c>
      <c r="K799" s="3" t="str">
        <f>IFERROR(__xludf.DUMMYFUNCTION("""COMPUTED_VALUE"""),"Y")</f>
        <v>Y</v>
      </c>
      <c r="L799" s="3" t="str">
        <f>IFERROR(__xludf.DUMMYFUNCTION("""COMPUTED_VALUE"""),"Group 2")</f>
        <v>Group 2</v>
      </c>
      <c r="M799" s="3"/>
      <c r="N799" s="5" t="str">
        <f>IFERROR(__xludf.DUMMYFUNCTION("""COMPUTED_VALUE""")," ")</f>
        <v> </v>
      </c>
      <c r="O799" s="5"/>
    </row>
    <row r="800">
      <c r="A800" s="2" t="str">
        <f>IFERROR(__xludf.DUMMYFUNCTION("""COMPUTED_VALUE"""),"0980")</f>
        <v>0980</v>
      </c>
      <c r="B800" s="2" t="str">
        <f>IFERROR(__xludf.DUMMYFUNCTION("""COMPUTED_VALUE"""),"HARRISON 2")</f>
        <v>HARRISON 2</v>
      </c>
      <c r="C800" s="2" t="str">
        <f>IFERROR(__xludf.DUMMYFUNCTION("""COMPUTED_VALUE"""),"06686")</f>
        <v>06686</v>
      </c>
      <c r="D800" s="2" t="str">
        <f>IFERROR(__xludf.DUMMYFUNCTION("""COMPUTED_VALUE"""),"PANORAMA MIDDLE SCHOOL")</f>
        <v>PANORAMA MIDDLE SCHOOL</v>
      </c>
      <c r="E800" s="3" t="str">
        <f>IFERROR(__xludf.DUMMYFUNCTION("""COMPUTED_VALUE"""),"Y")</f>
        <v>Y</v>
      </c>
      <c r="F800" s="3" t="str">
        <f>IFERROR(__xludf.DUMMYFUNCTION("""COMPUTED_VALUE"""),"Y")</f>
        <v>Y</v>
      </c>
      <c r="G800" s="3" t="str">
        <f>IFERROR(__xludf.DUMMYFUNCTION("""COMPUTED_VALUE"""),"Y")</f>
        <v>Y</v>
      </c>
      <c r="H800" s="3"/>
      <c r="I800" s="3" t="str">
        <f>IFERROR(__xludf.DUMMYFUNCTION("""COMPUTED_VALUE""")," ")</f>
        <v> </v>
      </c>
      <c r="J800" s="3" t="str">
        <f>IFERROR(__xludf.DUMMYFUNCTION("""COMPUTED_VALUE"""),"Y")</f>
        <v>Y</v>
      </c>
      <c r="K800" s="3" t="str">
        <f>IFERROR(__xludf.DUMMYFUNCTION("""COMPUTED_VALUE"""),"Y")</f>
        <v>Y</v>
      </c>
      <c r="L800" s="3" t="str">
        <f>IFERROR(__xludf.DUMMYFUNCTION("""COMPUTED_VALUE"""),"Group 8")</f>
        <v>Group 8</v>
      </c>
      <c r="M800" s="3"/>
      <c r="N800" s="5" t="str">
        <f>IFERROR(__xludf.DUMMYFUNCTION("""COMPUTED_VALUE""")," ")</f>
        <v> </v>
      </c>
      <c r="O800" s="5"/>
    </row>
    <row r="801">
      <c r="A801" s="2" t="str">
        <f>IFERROR(__xludf.DUMMYFUNCTION("""COMPUTED_VALUE"""),"0980")</f>
        <v>0980</v>
      </c>
      <c r="B801" s="2" t="str">
        <f>IFERROR(__xludf.DUMMYFUNCTION("""COMPUTED_VALUE"""),"HARRISON 2")</f>
        <v>HARRISON 2</v>
      </c>
      <c r="C801" s="2" t="str">
        <f>IFERROR(__xludf.DUMMYFUNCTION("""COMPUTED_VALUE"""),"07611")</f>
        <v>07611</v>
      </c>
      <c r="D801" s="2" t="str">
        <f>IFERROR(__xludf.DUMMYFUNCTION("""COMPUTED_VALUE"""),"SAND CREEK ELEMENTARY SCHOOL")</f>
        <v>SAND CREEK ELEMENTARY SCHOOL</v>
      </c>
      <c r="E801" s="3" t="str">
        <f>IFERROR(__xludf.DUMMYFUNCTION("""COMPUTED_VALUE"""),"Y")</f>
        <v>Y</v>
      </c>
      <c r="F801" s="3" t="str">
        <f>IFERROR(__xludf.DUMMYFUNCTION("""COMPUTED_VALUE"""),"Y")</f>
        <v>Y</v>
      </c>
      <c r="G801" s="3" t="str">
        <f>IFERROR(__xludf.DUMMYFUNCTION("""COMPUTED_VALUE"""),"Y")</f>
        <v>Y</v>
      </c>
      <c r="H801" s="3"/>
      <c r="I801" s="3" t="str">
        <f>IFERROR(__xludf.DUMMYFUNCTION("""COMPUTED_VALUE""")," ")</f>
        <v> </v>
      </c>
      <c r="J801" s="3" t="str">
        <f>IFERROR(__xludf.DUMMYFUNCTION("""COMPUTED_VALUE"""),"Y")</f>
        <v>Y</v>
      </c>
      <c r="K801" s="3" t="str">
        <f>IFERROR(__xludf.DUMMYFUNCTION("""COMPUTED_VALUE"""),"Y")</f>
        <v>Y</v>
      </c>
      <c r="L801" s="3" t="str">
        <f>IFERROR(__xludf.DUMMYFUNCTION("""COMPUTED_VALUE"""),"Group 3")</f>
        <v>Group 3</v>
      </c>
      <c r="M801" s="3"/>
      <c r="N801" s="5" t="str">
        <f>IFERROR(__xludf.DUMMYFUNCTION("""COMPUTED_VALUE"""),"Y")</f>
        <v>Y</v>
      </c>
      <c r="O801" s="5"/>
    </row>
    <row r="802">
      <c r="A802" s="2" t="str">
        <f>IFERROR(__xludf.DUMMYFUNCTION("""COMPUTED_VALUE"""),"0980")</f>
        <v>0980</v>
      </c>
      <c r="B802" s="2" t="str">
        <f>IFERROR(__xludf.DUMMYFUNCTION("""COMPUTED_VALUE"""),"HARRISON 2")</f>
        <v>HARRISON 2</v>
      </c>
      <c r="C802" s="2" t="str">
        <f>IFERROR(__xludf.DUMMYFUNCTION("""COMPUTED_VALUE"""),"07882")</f>
        <v>07882</v>
      </c>
      <c r="D802" s="2" t="str">
        <f>IFERROR(__xludf.DUMMYFUNCTION("""COMPUTED_VALUE"""),"SIERRA HIGH SCHOOL")</f>
        <v>SIERRA HIGH SCHOOL</v>
      </c>
      <c r="E802" s="3" t="str">
        <f>IFERROR(__xludf.DUMMYFUNCTION("""COMPUTED_VALUE"""),"Y")</f>
        <v>Y</v>
      </c>
      <c r="F802" s="3" t="str">
        <f>IFERROR(__xludf.DUMMYFUNCTION("""COMPUTED_VALUE"""),"Y")</f>
        <v>Y</v>
      </c>
      <c r="G802" s="3"/>
      <c r="H802" s="3"/>
      <c r="I802" s="3" t="str">
        <f>IFERROR(__xludf.DUMMYFUNCTION("""COMPUTED_VALUE""")," ")</f>
        <v> </v>
      </c>
      <c r="J802" s="3" t="str">
        <f>IFERROR(__xludf.DUMMYFUNCTION("""COMPUTED_VALUE"""),"Y")</f>
        <v>Y</v>
      </c>
      <c r="K802" s="3" t="str">
        <f>IFERROR(__xludf.DUMMYFUNCTION("""COMPUTED_VALUE"""),"Y")</f>
        <v>Y</v>
      </c>
      <c r="L802" s="3" t="str">
        <f>IFERROR(__xludf.DUMMYFUNCTION("""COMPUTED_VALUE"""),"Group 8")</f>
        <v>Group 8</v>
      </c>
      <c r="M802" s="3"/>
      <c r="N802" s="5" t="str">
        <f>IFERROR(__xludf.DUMMYFUNCTION("""COMPUTED_VALUE""")," ")</f>
        <v> </v>
      </c>
      <c r="O802" s="5"/>
    </row>
    <row r="803">
      <c r="A803" s="2" t="str">
        <f>IFERROR(__xludf.DUMMYFUNCTION("""COMPUTED_VALUE"""),"0980")</f>
        <v>0980</v>
      </c>
      <c r="B803" s="2" t="str">
        <f>IFERROR(__xludf.DUMMYFUNCTION("""COMPUTED_VALUE"""),"HARRISON 2")</f>
        <v>HARRISON 2</v>
      </c>
      <c r="C803" s="2" t="str">
        <f>IFERROR(__xludf.DUMMYFUNCTION("""COMPUTED_VALUE"""),"08034")</f>
        <v>08034</v>
      </c>
      <c r="D803" s="2" t="str">
        <f>IFERROR(__xludf.DUMMYFUNCTION("""COMPUTED_VALUE"""),"SOARING EAGLES ELEMENTARY SCHOOL")</f>
        <v>SOARING EAGLES ELEMENTARY SCHOOL</v>
      </c>
      <c r="E803" s="3" t="str">
        <f>IFERROR(__xludf.DUMMYFUNCTION("""COMPUTED_VALUE"""),"Y")</f>
        <v>Y</v>
      </c>
      <c r="F803" s="3" t="str">
        <f>IFERROR(__xludf.DUMMYFUNCTION("""COMPUTED_VALUE"""),"Y")</f>
        <v>Y</v>
      </c>
      <c r="G803" s="3" t="str">
        <f>IFERROR(__xludf.DUMMYFUNCTION("""COMPUTED_VALUE"""),"Y")</f>
        <v>Y</v>
      </c>
      <c r="H803" s="3"/>
      <c r="I803" s="3" t="str">
        <f>IFERROR(__xludf.DUMMYFUNCTION("""COMPUTED_VALUE""")," ")</f>
        <v> </v>
      </c>
      <c r="J803" s="3" t="str">
        <f>IFERROR(__xludf.DUMMYFUNCTION("""COMPUTED_VALUE""")," ")</f>
        <v> </v>
      </c>
      <c r="K803" s="3" t="str">
        <f>IFERROR(__xludf.DUMMYFUNCTION("""COMPUTED_VALUE"""),"Y")</f>
        <v>Y</v>
      </c>
      <c r="L803" s="3" t="str">
        <f>IFERROR(__xludf.DUMMYFUNCTION("""COMPUTED_VALUE"""),"Group 2")</f>
        <v>Group 2</v>
      </c>
      <c r="M803" s="3"/>
      <c r="N803" s="5" t="str">
        <f>IFERROR(__xludf.DUMMYFUNCTION("""COMPUTED_VALUE""")," ")</f>
        <v> </v>
      </c>
      <c r="O803" s="5"/>
    </row>
    <row r="804">
      <c r="A804" s="2" t="str">
        <f>IFERROR(__xludf.DUMMYFUNCTION("""COMPUTED_VALUE"""),"0980")</f>
        <v>0980</v>
      </c>
      <c r="B804" s="2" t="str">
        <f>IFERROR(__xludf.DUMMYFUNCTION("""COMPUTED_VALUE"""),"HARRISON 2")</f>
        <v>HARRISON 2</v>
      </c>
      <c r="C804" s="2" t="str">
        <f>IFERROR(__xludf.DUMMYFUNCTION("""COMPUTED_VALUE"""),"08350")</f>
        <v>08350</v>
      </c>
      <c r="D804" s="2" t="str">
        <f>IFERROR(__xludf.DUMMYFUNCTION("""COMPUTED_VALUE"""),"STRATTON MEADOWS ELEMENTARY SCHOOL")</f>
        <v>STRATTON MEADOWS ELEMENTARY SCHOOL</v>
      </c>
      <c r="E804" s="3" t="str">
        <f>IFERROR(__xludf.DUMMYFUNCTION("""COMPUTED_VALUE"""),"Y")</f>
        <v>Y</v>
      </c>
      <c r="F804" s="3" t="str">
        <f>IFERROR(__xludf.DUMMYFUNCTION("""COMPUTED_VALUE"""),"Y")</f>
        <v>Y</v>
      </c>
      <c r="G804" s="3" t="str">
        <f>IFERROR(__xludf.DUMMYFUNCTION("""COMPUTED_VALUE"""),"Y")</f>
        <v>Y</v>
      </c>
      <c r="H804" s="3"/>
      <c r="I804" s="3" t="str">
        <f>IFERROR(__xludf.DUMMYFUNCTION("""COMPUTED_VALUE""")," ")</f>
        <v> </v>
      </c>
      <c r="J804" s="3" t="str">
        <f>IFERROR(__xludf.DUMMYFUNCTION("""COMPUTED_VALUE"""),"Y")</f>
        <v>Y</v>
      </c>
      <c r="K804" s="3" t="str">
        <f>IFERROR(__xludf.DUMMYFUNCTION("""COMPUTED_VALUE"""),"Y")</f>
        <v>Y</v>
      </c>
      <c r="L804" s="3" t="str">
        <f>IFERROR(__xludf.DUMMYFUNCTION("""COMPUTED_VALUE"""),"Group 7")</f>
        <v>Group 7</v>
      </c>
      <c r="M804" s="3"/>
      <c r="N804" s="5" t="str">
        <f>IFERROR(__xludf.DUMMYFUNCTION("""COMPUTED_VALUE"""),"Y")</f>
        <v>Y</v>
      </c>
      <c r="O804" s="5"/>
    </row>
    <row r="805">
      <c r="A805" s="2" t="str">
        <f>IFERROR(__xludf.DUMMYFUNCTION("""COMPUTED_VALUE"""),"0980")</f>
        <v>0980</v>
      </c>
      <c r="B805" s="2" t="str">
        <f>IFERROR(__xludf.DUMMYFUNCTION("""COMPUTED_VALUE"""),"HARRISON 2")</f>
        <v>HARRISON 2</v>
      </c>
      <c r="C805" s="2" t="str">
        <f>IFERROR(__xludf.DUMMYFUNCTION("""COMPUTED_VALUE"""),"08923")</f>
        <v>08923</v>
      </c>
      <c r="D805" s="2" t="str">
        <f>IFERROR(__xludf.DUMMYFUNCTION("""COMPUTED_VALUE"""),"TURMAN ELEMENTARY SCHOOL")</f>
        <v>TURMAN ELEMENTARY SCHOOL</v>
      </c>
      <c r="E805" s="3" t="str">
        <f>IFERROR(__xludf.DUMMYFUNCTION("""COMPUTED_VALUE"""),"Y")</f>
        <v>Y</v>
      </c>
      <c r="F805" s="3" t="str">
        <f>IFERROR(__xludf.DUMMYFUNCTION("""COMPUTED_VALUE"""),"Y")</f>
        <v>Y</v>
      </c>
      <c r="G805" s="3" t="str">
        <f>IFERROR(__xludf.DUMMYFUNCTION("""COMPUTED_VALUE"""),"Y")</f>
        <v>Y</v>
      </c>
      <c r="H805" s="3"/>
      <c r="I805" s="3" t="str">
        <f>IFERROR(__xludf.DUMMYFUNCTION("""COMPUTED_VALUE""")," ")</f>
        <v> </v>
      </c>
      <c r="J805" s="3" t="str">
        <f>IFERROR(__xludf.DUMMYFUNCTION("""COMPUTED_VALUE"""),"Y")</f>
        <v>Y</v>
      </c>
      <c r="K805" s="3" t="str">
        <f>IFERROR(__xludf.DUMMYFUNCTION("""COMPUTED_VALUE"""),"Y")</f>
        <v>Y</v>
      </c>
      <c r="L805" s="3" t="str">
        <f>IFERROR(__xludf.DUMMYFUNCTION("""COMPUTED_VALUE"""),"Group 8")</f>
        <v>Group 8</v>
      </c>
      <c r="M805" s="3"/>
      <c r="N805" s="5" t="str">
        <f>IFERROR(__xludf.DUMMYFUNCTION("""COMPUTED_VALUE""")," ")</f>
        <v> </v>
      </c>
      <c r="O805" s="5"/>
    </row>
    <row r="806">
      <c r="A806" s="2" t="str">
        <f>IFERROR(__xludf.DUMMYFUNCTION("""COMPUTED_VALUE"""),"0980")</f>
        <v>0980</v>
      </c>
      <c r="B806" s="2" t="str">
        <f>IFERROR(__xludf.DUMMYFUNCTION("""COMPUTED_VALUE"""),"HARRISON 2")</f>
        <v>HARRISON 2</v>
      </c>
      <c r="C806" s="2" t="str">
        <f>IFERROR(__xludf.DUMMYFUNCTION("""COMPUTED_VALUE"""),"09602")</f>
        <v>09602</v>
      </c>
      <c r="D806" s="2" t="str">
        <f>IFERROR(__xludf.DUMMYFUNCTION("""COMPUTED_VALUE"""),"WILDFLOWER ELEMENTARY SCHOOL")</f>
        <v>WILDFLOWER ELEMENTARY SCHOOL</v>
      </c>
      <c r="E806" s="3" t="str">
        <f>IFERROR(__xludf.DUMMYFUNCTION("""COMPUTED_VALUE"""),"Y")</f>
        <v>Y</v>
      </c>
      <c r="F806" s="3" t="str">
        <f>IFERROR(__xludf.DUMMYFUNCTION("""COMPUTED_VALUE"""),"Y")</f>
        <v>Y</v>
      </c>
      <c r="G806" s="3" t="str">
        <f>IFERROR(__xludf.DUMMYFUNCTION("""COMPUTED_VALUE"""),"Y")</f>
        <v>Y</v>
      </c>
      <c r="H806" s="3"/>
      <c r="I806" s="3" t="str">
        <f>IFERROR(__xludf.DUMMYFUNCTION("""COMPUTED_VALUE""")," ")</f>
        <v> </v>
      </c>
      <c r="J806" s="3" t="str">
        <f>IFERROR(__xludf.DUMMYFUNCTION("""COMPUTED_VALUE"""),"Y")</f>
        <v>Y</v>
      </c>
      <c r="K806" s="3" t="str">
        <f>IFERROR(__xludf.DUMMYFUNCTION("""COMPUTED_VALUE"""),"Y")</f>
        <v>Y</v>
      </c>
      <c r="L806" s="3" t="str">
        <f>IFERROR(__xludf.DUMMYFUNCTION("""COMPUTED_VALUE"""),"Group 4")</f>
        <v>Group 4</v>
      </c>
      <c r="M806" s="3"/>
      <c r="N806" s="5" t="str">
        <f>IFERROR(__xludf.DUMMYFUNCTION("""COMPUTED_VALUE""")," ")</f>
        <v> </v>
      </c>
      <c r="O806" s="5"/>
    </row>
    <row r="807">
      <c r="A807" s="2" t="str">
        <f>IFERROR(__xludf.DUMMYFUNCTION("""COMPUTED_VALUE"""),"0990")</f>
        <v>0990</v>
      </c>
      <c r="B807" s="2" t="str">
        <f>IFERROR(__xludf.DUMMYFUNCTION("""COMPUTED_VALUE"""),"WIDEFIELD 3")</f>
        <v>WIDEFIELD 3</v>
      </c>
      <c r="C807" s="2" t="str">
        <f>IFERROR(__xludf.DUMMYFUNCTION("""COMPUTED_VALUE"""),"01249")</f>
        <v>01249</v>
      </c>
      <c r="D807" s="2" t="str">
        <f>IFERROR(__xludf.DUMMYFUNCTION("""COMPUTED_VALUE"""),"The Haven")</f>
        <v>The Haven</v>
      </c>
      <c r="E807" s="3" t="str">
        <f>IFERROR(__xludf.DUMMYFUNCTION("""COMPUTED_VALUE"""),"Y")</f>
        <v>Y</v>
      </c>
      <c r="F807" s="3" t="str">
        <f>IFERROR(__xludf.DUMMYFUNCTION("""COMPUTED_VALUE"""),"Y")</f>
        <v>Y</v>
      </c>
      <c r="G807" s="3"/>
      <c r="H807" s="3"/>
      <c r="I807" s="3" t="str">
        <f>IFERROR(__xludf.DUMMYFUNCTION("""COMPUTED_VALUE""")," ")</f>
        <v> </v>
      </c>
      <c r="J807" s="3" t="str">
        <f>IFERROR(__xludf.DUMMYFUNCTION("""COMPUTED_VALUE""")," ")</f>
        <v> </v>
      </c>
      <c r="K807" s="3" t="str">
        <f>IFERROR(__xludf.DUMMYFUNCTION("""COMPUTED_VALUE"""),"Y")</f>
        <v>Y</v>
      </c>
      <c r="L807" s="3" t="str">
        <f>IFERROR(__xludf.DUMMYFUNCTION("""COMPUTED_VALUE"""),"Group 4")</f>
        <v>Group 4</v>
      </c>
      <c r="M807" s="3"/>
      <c r="N807" s="5" t="str">
        <f>IFERROR(__xludf.DUMMYFUNCTION("""COMPUTED_VALUE""")," ")</f>
        <v> </v>
      </c>
      <c r="O807" s="5"/>
    </row>
    <row r="808">
      <c r="A808" s="2" t="str">
        <f>IFERROR(__xludf.DUMMYFUNCTION("""COMPUTED_VALUE"""),"0990")</f>
        <v>0990</v>
      </c>
      <c r="B808" s="2" t="str">
        <f>IFERROR(__xludf.DUMMYFUNCTION("""COMPUTED_VALUE"""),"WIDEFIELD 3")</f>
        <v>WIDEFIELD 3</v>
      </c>
      <c r="C808" s="2" t="str">
        <f>IFERROR(__xludf.DUMMYFUNCTION("""COMPUTED_VALUE"""),"03234")</f>
        <v>03234</v>
      </c>
      <c r="D808" s="2" t="str">
        <f>IFERROR(__xludf.DUMMYFUNCTION("""COMPUTED_VALUE"""),"FRENCH ELEMENTARY SCHOOL")</f>
        <v>FRENCH ELEMENTARY SCHOOL</v>
      </c>
      <c r="E808" s="3" t="str">
        <f>IFERROR(__xludf.DUMMYFUNCTION("""COMPUTED_VALUE"""),"Y")</f>
        <v>Y</v>
      </c>
      <c r="F808" s="3" t="str">
        <f>IFERROR(__xludf.DUMMYFUNCTION("""COMPUTED_VALUE"""),"Y")</f>
        <v>Y</v>
      </c>
      <c r="G808" s="3"/>
      <c r="H808" s="3"/>
      <c r="I808" s="3" t="str">
        <f>IFERROR(__xludf.DUMMYFUNCTION("""COMPUTED_VALUE""")," ")</f>
        <v> </v>
      </c>
      <c r="J808" s="3" t="str">
        <f>IFERROR(__xludf.DUMMYFUNCTION("""COMPUTED_VALUE""")," ")</f>
        <v> </v>
      </c>
      <c r="K808" s="3" t="str">
        <f>IFERROR(__xludf.DUMMYFUNCTION("""COMPUTED_VALUE"""),"Y")</f>
        <v>Y</v>
      </c>
      <c r="L808" s="3" t="str">
        <f>IFERROR(__xludf.DUMMYFUNCTION("""COMPUTED_VALUE"""),"Group 5")</f>
        <v>Group 5</v>
      </c>
      <c r="M808" s="3"/>
      <c r="N808" s="5" t="str">
        <f>IFERROR(__xludf.DUMMYFUNCTION("""COMPUTED_VALUE"""),"Y")</f>
        <v>Y</v>
      </c>
      <c r="O808" s="5"/>
    </row>
    <row r="809">
      <c r="A809" s="2" t="str">
        <f>IFERROR(__xludf.DUMMYFUNCTION("""COMPUTED_VALUE"""),"0990")</f>
        <v>0990</v>
      </c>
      <c r="B809" s="2" t="str">
        <f>IFERROR(__xludf.DUMMYFUNCTION("""COMPUTED_VALUE"""),"WIDEFIELD 3")</f>
        <v>WIDEFIELD 3</v>
      </c>
      <c r="C809" s="2" t="str">
        <f>IFERROR(__xludf.DUMMYFUNCTION("""COMPUTED_VALUE"""),"03692")</f>
        <v>03692</v>
      </c>
      <c r="D809" s="2" t="str">
        <f>IFERROR(__xludf.DUMMYFUNCTION("""COMPUTED_VALUE"""),"Grand Mountain School")</f>
        <v>Grand Mountain School</v>
      </c>
      <c r="E809" s="3" t="str">
        <f>IFERROR(__xludf.DUMMYFUNCTION("""COMPUTED_VALUE"""),"Y")</f>
        <v>Y</v>
      </c>
      <c r="F809" s="3" t="str">
        <f>IFERROR(__xludf.DUMMYFUNCTION("""COMPUTED_VALUE"""),"Y")</f>
        <v>Y</v>
      </c>
      <c r="G809" s="3"/>
      <c r="H809" s="3"/>
      <c r="I809" s="3" t="str">
        <f>IFERROR(__xludf.DUMMYFUNCTION("""COMPUTED_VALUE""")," ")</f>
        <v> </v>
      </c>
      <c r="J809" s="3" t="str">
        <f>IFERROR(__xludf.DUMMYFUNCTION("""COMPUTED_VALUE""")," ")</f>
        <v> </v>
      </c>
      <c r="K809" s="3" t="str">
        <f>IFERROR(__xludf.DUMMYFUNCTION("""COMPUTED_VALUE"""),"Y")</f>
        <v>Y</v>
      </c>
      <c r="L809" s="3" t="str">
        <f>IFERROR(__xludf.DUMMYFUNCTION("""COMPUTED_VALUE"""),"Group 4")</f>
        <v>Group 4</v>
      </c>
      <c r="M809" s="3"/>
      <c r="N809" s="5" t="str">
        <f>IFERROR(__xludf.DUMMYFUNCTION("""COMPUTED_VALUE""")," ")</f>
        <v> </v>
      </c>
      <c r="O809" s="5"/>
    </row>
    <row r="810">
      <c r="A810" s="2" t="str">
        <f>IFERROR(__xludf.DUMMYFUNCTION("""COMPUTED_VALUE"""),"0990")</f>
        <v>0990</v>
      </c>
      <c r="B810" s="2" t="str">
        <f>IFERROR(__xludf.DUMMYFUNCTION("""COMPUTED_VALUE"""),"WIDEFIELD 3")</f>
        <v>WIDEFIELD 3</v>
      </c>
      <c r="C810" s="2" t="str">
        <f>IFERROR(__xludf.DUMMYFUNCTION("""COMPUTED_VALUE"""),"04346")</f>
        <v>04346</v>
      </c>
      <c r="D810" s="2" t="str">
        <f>IFERROR(__xludf.DUMMYFUNCTION("""COMPUTED_VALUE"""),"TALBOTT ELEMENTARY SCHOOL")</f>
        <v>TALBOTT ELEMENTARY SCHOOL</v>
      </c>
      <c r="E810" s="3" t="str">
        <f>IFERROR(__xludf.DUMMYFUNCTION("""COMPUTED_VALUE"""),"Y")</f>
        <v>Y</v>
      </c>
      <c r="F810" s="3" t="str">
        <f>IFERROR(__xludf.DUMMYFUNCTION("""COMPUTED_VALUE"""),"Y")</f>
        <v>Y</v>
      </c>
      <c r="G810" s="3"/>
      <c r="H810" s="3"/>
      <c r="I810" s="3" t="str">
        <f>IFERROR(__xludf.DUMMYFUNCTION("""COMPUTED_VALUE""")," ")</f>
        <v> </v>
      </c>
      <c r="J810" s="3" t="str">
        <f>IFERROR(__xludf.DUMMYFUNCTION("""COMPUTED_VALUE""")," ")</f>
        <v> </v>
      </c>
      <c r="K810" s="3" t="str">
        <f>IFERROR(__xludf.DUMMYFUNCTION("""COMPUTED_VALUE"""),"Y")</f>
        <v>Y</v>
      </c>
      <c r="L810" s="3" t="str">
        <f>IFERROR(__xludf.DUMMYFUNCTION("""COMPUTED_VALUE"""),"Group 7")</f>
        <v>Group 7</v>
      </c>
      <c r="M810" s="3"/>
      <c r="N810" s="5" t="str">
        <f>IFERROR(__xludf.DUMMYFUNCTION("""COMPUTED_VALUE"""),"Y")</f>
        <v>Y</v>
      </c>
      <c r="O810" s="5"/>
    </row>
    <row r="811">
      <c r="A811" s="2" t="str">
        <f>IFERROR(__xludf.DUMMYFUNCTION("""COMPUTED_VALUE"""),"0990")</f>
        <v>0990</v>
      </c>
      <c r="B811" s="2" t="str">
        <f>IFERROR(__xludf.DUMMYFUNCTION("""COMPUTED_VALUE"""),"WIDEFIELD 3")</f>
        <v>WIDEFIELD 3</v>
      </c>
      <c r="C811" s="2" t="str">
        <f>IFERROR(__xludf.DUMMYFUNCTION("""COMPUTED_VALUE"""),"04394")</f>
        <v>04394</v>
      </c>
      <c r="D811" s="2" t="str">
        <f>IFERROR(__xludf.DUMMYFUNCTION("""COMPUTED_VALUE"""),"JANITELL JUNIOR HIGH SCHOOL")</f>
        <v>JANITELL JUNIOR HIGH SCHOOL</v>
      </c>
      <c r="E811" s="3" t="str">
        <f>IFERROR(__xludf.DUMMYFUNCTION("""COMPUTED_VALUE"""),"Y")</f>
        <v>Y</v>
      </c>
      <c r="F811" s="3" t="str">
        <f>IFERROR(__xludf.DUMMYFUNCTION("""COMPUTED_VALUE"""),"Y")</f>
        <v>Y</v>
      </c>
      <c r="G811" s="3"/>
      <c r="H811" s="3"/>
      <c r="I811" s="3" t="str">
        <f>IFERROR(__xludf.DUMMYFUNCTION("""COMPUTED_VALUE""")," ")</f>
        <v> </v>
      </c>
      <c r="J811" s="3" t="str">
        <f>IFERROR(__xludf.DUMMYFUNCTION("""COMPUTED_VALUE""")," ")</f>
        <v> </v>
      </c>
      <c r="K811" s="3" t="str">
        <f>IFERROR(__xludf.DUMMYFUNCTION("""COMPUTED_VALUE"""),"Y")</f>
        <v>Y</v>
      </c>
      <c r="L811" s="3" t="str">
        <f>IFERROR(__xludf.DUMMYFUNCTION("""COMPUTED_VALUE"""),"Group 2")</f>
        <v>Group 2</v>
      </c>
      <c r="M811" s="3"/>
      <c r="N811" s="5" t="str">
        <f>IFERROR(__xludf.DUMMYFUNCTION("""COMPUTED_VALUE""")," ")</f>
        <v> </v>
      </c>
      <c r="O811" s="5"/>
    </row>
    <row r="812">
      <c r="A812" s="2" t="str">
        <f>IFERROR(__xludf.DUMMYFUNCTION("""COMPUTED_VALUE"""),"0990")</f>
        <v>0990</v>
      </c>
      <c r="B812" s="2" t="str">
        <f>IFERROR(__xludf.DUMMYFUNCTION("""COMPUTED_VALUE"""),"WIDEFIELD 3")</f>
        <v>WIDEFIELD 3</v>
      </c>
      <c r="C812" s="2" t="str">
        <f>IFERROR(__xludf.DUMMYFUNCTION("""COMPUTED_VALUE"""),"05033")</f>
        <v>05033</v>
      </c>
      <c r="D812" s="2" t="str">
        <f>IFERROR(__xludf.DUMMYFUNCTION("""COMPUTED_VALUE"""),"James Madison Charter Academy")</f>
        <v>James Madison Charter Academy</v>
      </c>
      <c r="E812" s="3" t="str">
        <f>IFERROR(__xludf.DUMMYFUNCTION("""COMPUTED_VALUE"""),"Y")</f>
        <v>Y</v>
      </c>
      <c r="F812" s="3" t="str">
        <f>IFERROR(__xludf.DUMMYFUNCTION("""COMPUTED_VALUE"""),"Y")</f>
        <v>Y</v>
      </c>
      <c r="G812" s="3"/>
      <c r="H812" s="3"/>
      <c r="I812" s="3" t="str">
        <f>IFERROR(__xludf.DUMMYFUNCTION("""COMPUTED_VALUE""")," ")</f>
        <v> </v>
      </c>
      <c r="J812" s="3" t="str">
        <f>IFERROR(__xludf.DUMMYFUNCTION("""COMPUTED_VALUE""")," ")</f>
        <v> </v>
      </c>
      <c r="K812" s="3" t="str">
        <f>IFERROR(__xludf.DUMMYFUNCTION("""COMPUTED_VALUE"""),"Y")</f>
        <v>Y</v>
      </c>
      <c r="L812" s="3" t="str">
        <f>IFERROR(__xludf.DUMMYFUNCTION("""COMPUTED_VALUE"""),"Group 1")</f>
        <v>Group 1</v>
      </c>
      <c r="M812" s="3"/>
      <c r="N812" s="5" t="str">
        <f>IFERROR(__xludf.DUMMYFUNCTION("""COMPUTED_VALUE""")," ")</f>
        <v> </v>
      </c>
      <c r="O812" s="5"/>
    </row>
    <row r="813">
      <c r="A813" s="2" t="str">
        <f>IFERROR(__xludf.DUMMYFUNCTION("""COMPUTED_VALUE"""),"0990")</f>
        <v>0990</v>
      </c>
      <c r="B813" s="2" t="str">
        <f>IFERROR(__xludf.DUMMYFUNCTION("""COMPUTED_VALUE"""),"WIDEFIELD 3")</f>
        <v>WIDEFIELD 3</v>
      </c>
      <c r="C813" s="2" t="str">
        <f>IFERROR(__xludf.DUMMYFUNCTION("""COMPUTED_VALUE"""),"05602")</f>
        <v>05602</v>
      </c>
      <c r="D813" s="2" t="str">
        <f>IFERROR(__xludf.DUMMYFUNCTION("""COMPUTED_VALUE"""),"MARTIN LUTHER KING JR ELEMENTARY SCHOOL")</f>
        <v>MARTIN LUTHER KING JR ELEMENTARY SCHOOL</v>
      </c>
      <c r="E813" s="3" t="str">
        <f>IFERROR(__xludf.DUMMYFUNCTION("""COMPUTED_VALUE"""),"Y")</f>
        <v>Y</v>
      </c>
      <c r="F813" s="3" t="str">
        <f>IFERROR(__xludf.DUMMYFUNCTION("""COMPUTED_VALUE"""),"Y")</f>
        <v>Y</v>
      </c>
      <c r="G813" s="3"/>
      <c r="H813" s="3"/>
      <c r="I813" s="3" t="str">
        <f>IFERROR(__xludf.DUMMYFUNCTION("""COMPUTED_VALUE""")," ")</f>
        <v> </v>
      </c>
      <c r="J813" s="3" t="str">
        <f>IFERROR(__xludf.DUMMYFUNCTION("""COMPUTED_VALUE""")," ")</f>
        <v> </v>
      </c>
      <c r="K813" s="3" t="str">
        <f>IFERROR(__xludf.DUMMYFUNCTION("""COMPUTED_VALUE"""),"Y")</f>
        <v>Y</v>
      </c>
      <c r="L813" s="3" t="str">
        <f>IFERROR(__xludf.DUMMYFUNCTION("""COMPUTED_VALUE"""),"Group 6")</f>
        <v>Group 6</v>
      </c>
      <c r="M813" s="3"/>
      <c r="N813" s="5" t="str">
        <f>IFERROR(__xludf.DUMMYFUNCTION("""COMPUTED_VALUE""")," ")</f>
        <v> </v>
      </c>
      <c r="O813" s="5"/>
    </row>
    <row r="814">
      <c r="A814" s="2" t="str">
        <f>IFERROR(__xludf.DUMMYFUNCTION("""COMPUTED_VALUE"""),"0990")</f>
        <v>0990</v>
      </c>
      <c r="B814" s="2" t="str">
        <f>IFERROR(__xludf.DUMMYFUNCTION("""COMPUTED_VALUE"""),"WIDEFIELD 3")</f>
        <v>WIDEFIELD 3</v>
      </c>
      <c r="C814" s="2" t="str">
        <f>IFERROR(__xludf.DUMMYFUNCTION("""COMPUTED_VALUE"""),"05841")</f>
        <v>05841</v>
      </c>
      <c r="D814" s="2" t="str">
        <f>IFERROR(__xludf.DUMMYFUNCTION("""COMPUTED_VALUE"""),"MESA RIDGE HIGH SCHOOL")</f>
        <v>MESA RIDGE HIGH SCHOOL</v>
      </c>
      <c r="E814" s="3" t="str">
        <f>IFERROR(__xludf.DUMMYFUNCTION("""COMPUTED_VALUE"""),"Y")</f>
        <v>Y</v>
      </c>
      <c r="F814" s="3" t="str">
        <f>IFERROR(__xludf.DUMMYFUNCTION("""COMPUTED_VALUE"""),"Y")</f>
        <v>Y</v>
      </c>
      <c r="G814" s="3"/>
      <c r="H814" s="3"/>
      <c r="I814" s="3" t="str">
        <f>IFERROR(__xludf.DUMMYFUNCTION("""COMPUTED_VALUE""")," ")</f>
        <v> </v>
      </c>
      <c r="J814" s="3" t="str">
        <f>IFERROR(__xludf.DUMMYFUNCTION("""COMPUTED_VALUE""")," ")</f>
        <v> </v>
      </c>
      <c r="K814" s="3" t="str">
        <f>IFERROR(__xludf.DUMMYFUNCTION("""COMPUTED_VALUE"""),"Y")</f>
        <v>Y</v>
      </c>
      <c r="L814" s="3" t="str">
        <f>IFERROR(__xludf.DUMMYFUNCTION("""COMPUTED_VALUE"""),"Group 4")</f>
        <v>Group 4</v>
      </c>
      <c r="M814" s="3"/>
      <c r="N814" s="5" t="str">
        <f>IFERROR(__xludf.DUMMYFUNCTION("""COMPUTED_VALUE""")," ")</f>
        <v> </v>
      </c>
      <c r="O814" s="5"/>
    </row>
    <row r="815">
      <c r="A815" s="2" t="str">
        <f>IFERROR(__xludf.DUMMYFUNCTION("""COMPUTED_VALUE"""),"0990")</f>
        <v>0990</v>
      </c>
      <c r="B815" s="2" t="str">
        <f>IFERROR(__xludf.DUMMYFUNCTION("""COMPUTED_VALUE"""),"WIDEFIELD 3")</f>
        <v>WIDEFIELD 3</v>
      </c>
      <c r="C815" s="2" t="str">
        <f>IFERROR(__xludf.DUMMYFUNCTION("""COMPUTED_VALUE"""),"06952")</f>
        <v>06952</v>
      </c>
      <c r="D815" s="2" t="str">
        <f>IFERROR(__xludf.DUMMYFUNCTION("""COMPUTED_VALUE"""),"PINELLO ELEMENTARY SCHOOL")</f>
        <v>PINELLO ELEMENTARY SCHOOL</v>
      </c>
      <c r="E815" s="3" t="str">
        <f>IFERROR(__xludf.DUMMYFUNCTION("""COMPUTED_VALUE"""),"Y")</f>
        <v>Y</v>
      </c>
      <c r="F815" s="3" t="str">
        <f>IFERROR(__xludf.DUMMYFUNCTION("""COMPUTED_VALUE"""),"Y")</f>
        <v>Y</v>
      </c>
      <c r="G815" s="3"/>
      <c r="H815" s="3"/>
      <c r="I815" s="3" t="str">
        <f>IFERROR(__xludf.DUMMYFUNCTION("""COMPUTED_VALUE""")," ")</f>
        <v> </v>
      </c>
      <c r="J815" s="3" t="str">
        <f>IFERROR(__xludf.DUMMYFUNCTION("""COMPUTED_VALUE""")," ")</f>
        <v> </v>
      </c>
      <c r="K815" s="3" t="str">
        <f>IFERROR(__xludf.DUMMYFUNCTION("""COMPUTED_VALUE"""),"Y")</f>
        <v>Y</v>
      </c>
      <c r="L815" s="3" t="str">
        <f>IFERROR(__xludf.DUMMYFUNCTION("""COMPUTED_VALUE"""),"Group 8")</f>
        <v>Group 8</v>
      </c>
      <c r="M815" s="3"/>
      <c r="N815" s="5" t="str">
        <f>IFERROR(__xludf.DUMMYFUNCTION("""COMPUTED_VALUE"""),"Y")</f>
        <v>Y</v>
      </c>
      <c r="O815" s="5"/>
    </row>
    <row r="816">
      <c r="A816" s="2" t="str">
        <f>IFERROR(__xludf.DUMMYFUNCTION("""COMPUTED_VALUE"""),"0990")</f>
        <v>0990</v>
      </c>
      <c r="B816" s="2" t="str">
        <f>IFERROR(__xludf.DUMMYFUNCTION("""COMPUTED_VALUE"""),"WIDEFIELD 3")</f>
        <v>WIDEFIELD 3</v>
      </c>
      <c r="C816" s="2" t="str">
        <f>IFERROR(__xludf.DUMMYFUNCTION("""COMPUTED_VALUE"""),"08122")</f>
        <v>08122</v>
      </c>
      <c r="D816" s="2" t="str">
        <f>IFERROR(__xludf.DUMMYFUNCTION("""COMPUTED_VALUE"""),"VENETUCCI ELEMENTARY SCHOOL")</f>
        <v>VENETUCCI ELEMENTARY SCHOOL</v>
      </c>
      <c r="E816" s="3" t="str">
        <f>IFERROR(__xludf.DUMMYFUNCTION("""COMPUTED_VALUE"""),"Y")</f>
        <v>Y</v>
      </c>
      <c r="F816" s="3" t="str">
        <f>IFERROR(__xludf.DUMMYFUNCTION("""COMPUTED_VALUE"""),"Y")</f>
        <v>Y</v>
      </c>
      <c r="G816" s="3"/>
      <c r="H816" s="3"/>
      <c r="I816" s="3" t="str">
        <f>IFERROR(__xludf.DUMMYFUNCTION("""COMPUTED_VALUE""")," ")</f>
        <v> </v>
      </c>
      <c r="J816" s="3" t="str">
        <f>IFERROR(__xludf.DUMMYFUNCTION("""COMPUTED_VALUE"""),"Y")</f>
        <v>Y</v>
      </c>
      <c r="K816" s="3" t="str">
        <f>IFERROR(__xludf.DUMMYFUNCTION("""COMPUTED_VALUE"""),"Y")</f>
        <v>Y</v>
      </c>
      <c r="L816" s="3" t="str">
        <f>IFERROR(__xludf.DUMMYFUNCTION("""COMPUTED_VALUE"""),"Group 7")</f>
        <v>Group 7</v>
      </c>
      <c r="M816" s="3"/>
      <c r="N816" s="5" t="str">
        <f>IFERROR(__xludf.DUMMYFUNCTION("""COMPUTED_VALUE""")," ")</f>
        <v> </v>
      </c>
      <c r="O816" s="5"/>
    </row>
    <row r="817">
      <c r="A817" s="2" t="str">
        <f>IFERROR(__xludf.DUMMYFUNCTION("""COMPUTED_VALUE"""),"0990")</f>
        <v>0990</v>
      </c>
      <c r="B817" s="2" t="str">
        <f>IFERROR(__xludf.DUMMYFUNCTION("""COMPUTED_VALUE"""),"WIDEFIELD 3")</f>
        <v>WIDEFIELD 3</v>
      </c>
      <c r="C817" s="2" t="str">
        <f>IFERROR(__xludf.DUMMYFUNCTION("""COMPUTED_VALUE"""),"08178")</f>
        <v>08178</v>
      </c>
      <c r="D817" s="2" t="str">
        <f>IFERROR(__xludf.DUMMYFUNCTION("""COMPUTED_VALUE"""),"SPROUL JUNIOR HIGH SCHOOL")</f>
        <v>SPROUL JUNIOR HIGH SCHOOL</v>
      </c>
      <c r="E817" s="3" t="str">
        <f>IFERROR(__xludf.DUMMYFUNCTION("""COMPUTED_VALUE"""),"Y")</f>
        <v>Y</v>
      </c>
      <c r="F817" s="3" t="str">
        <f>IFERROR(__xludf.DUMMYFUNCTION("""COMPUTED_VALUE"""),"Y")</f>
        <v>Y</v>
      </c>
      <c r="G817" s="3"/>
      <c r="H817" s="3"/>
      <c r="I817" s="3" t="str">
        <f>IFERROR(__xludf.DUMMYFUNCTION("""COMPUTED_VALUE""")," ")</f>
        <v> </v>
      </c>
      <c r="J817" s="3" t="str">
        <f>IFERROR(__xludf.DUMMYFUNCTION("""COMPUTED_VALUE""")," ")</f>
        <v> </v>
      </c>
      <c r="K817" s="3" t="str">
        <f>IFERROR(__xludf.DUMMYFUNCTION("""COMPUTED_VALUE"""),"Y")</f>
        <v>Y</v>
      </c>
      <c r="L817" s="3" t="str">
        <f>IFERROR(__xludf.DUMMYFUNCTION("""COMPUTED_VALUE"""),"Group 3")</f>
        <v>Group 3</v>
      </c>
      <c r="M817" s="3"/>
      <c r="N817" s="5" t="str">
        <f>IFERROR(__xludf.DUMMYFUNCTION("""COMPUTED_VALUE""")," ")</f>
        <v> </v>
      </c>
      <c r="O817" s="5"/>
    </row>
    <row r="818">
      <c r="A818" s="2" t="str">
        <f>IFERROR(__xludf.DUMMYFUNCTION("""COMPUTED_VALUE"""),"0990")</f>
        <v>0990</v>
      </c>
      <c r="B818" s="2" t="str">
        <f>IFERROR(__xludf.DUMMYFUNCTION("""COMPUTED_VALUE"""),"WIDEFIELD 3")</f>
        <v>WIDEFIELD 3</v>
      </c>
      <c r="C818" s="2" t="str">
        <f>IFERROR(__xludf.DUMMYFUNCTION("""COMPUTED_VALUE"""),"08392")</f>
        <v>08392</v>
      </c>
      <c r="D818" s="2" t="str">
        <f>IFERROR(__xludf.DUMMYFUNCTION("""COMPUTED_VALUE"""),"SUNRISE ELEMENTARY SCHOOL")</f>
        <v>SUNRISE ELEMENTARY SCHOOL</v>
      </c>
      <c r="E818" s="3" t="str">
        <f>IFERROR(__xludf.DUMMYFUNCTION("""COMPUTED_VALUE"""),"Y")</f>
        <v>Y</v>
      </c>
      <c r="F818" s="3" t="str">
        <f>IFERROR(__xludf.DUMMYFUNCTION("""COMPUTED_VALUE"""),"Y")</f>
        <v>Y</v>
      </c>
      <c r="G818" s="3"/>
      <c r="H818" s="3"/>
      <c r="I818" s="3" t="str">
        <f>IFERROR(__xludf.DUMMYFUNCTION("""COMPUTED_VALUE""")," ")</f>
        <v> </v>
      </c>
      <c r="J818" s="3" t="str">
        <f>IFERROR(__xludf.DUMMYFUNCTION("""COMPUTED_VALUE""")," ")</f>
        <v> </v>
      </c>
      <c r="K818" s="3" t="str">
        <f>IFERROR(__xludf.DUMMYFUNCTION("""COMPUTED_VALUE"""),"Y")</f>
        <v>Y</v>
      </c>
      <c r="L818" s="3" t="str">
        <f>IFERROR(__xludf.DUMMYFUNCTION("""COMPUTED_VALUE"""),"Group 5")</f>
        <v>Group 5</v>
      </c>
      <c r="M818" s="3"/>
      <c r="N818" s="5" t="str">
        <f>IFERROR(__xludf.DUMMYFUNCTION("""COMPUTED_VALUE"""),"Y")</f>
        <v>Y</v>
      </c>
      <c r="O818" s="5"/>
    </row>
    <row r="819">
      <c r="A819" s="2" t="str">
        <f>IFERROR(__xludf.DUMMYFUNCTION("""COMPUTED_VALUE"""),"0990")</f>
        <v>0990</v>
      </c>
      <c r="B819" s="2" t="str">
        <f>IFERROR(__xludf.DUMMYFUNCTION("""COMPUTED_VALUE"""),"WIDEFIELD 3")</f>
        <v>WIDEFIELD 3</v>
      </c>
      <c r="C819" s="2" t="str">
        <f>IFERROR(__xludf.DUMMYFUNCTION("""COMPUTED_VALUE"""),"09294")</f>
        <v>09294</v>
      </c>
      <c r="D819" s="2" t="str">
        <f>IFERROR(__xludf.DUMMYFUNCTION("""COMPUTED_VALUE"""),"WATSON JUNIOR HIGH SCHOOL")</f>
        <v>WATSON JUNIOR HIGH SCHOOL</v>
      </c>
      <c r="E819" s="3" t="str">
        <f>IFERROR(__xludf.DUMMYFUNCTION("""COMPUTED_VALUE"""),"Y")</f>
        <v>Y</v>
      </c>
      <c r="F819" s="3" t="str">
        <f>IFERROR(__xludf.DUMMYFUNCTION("""COMPUTED_VALUE"""),"Y")</f>
        <v>Y</v>
      </c>
      <c r="G819" s="3"/>
      <c r="H819" s="3"/>
      <c r="I819" s="3" t="str">
        <f>IFERROR(__xludf.DUMMYFUNCTION("""COMPUTED_VALUE""")," ")</f>
        <v> </v>
      </c>
      <c r="J819" s="3" t="str">
        <f>IFERROR(__xludf.DUMMYFUNCTION("""COMPUTED_VALUE""")," ")</f>
        <v> </v>
      </c>
      <c r="K819" s="3" t="str">
        <f>IFERROR(__xludf.DUMMYFUNCTION("""COMPUTED_VALUE"""),"Y")</f>
        <v>Y</v>
      </c>
      <c r="L819" s="3" t="str">
        <f>IFERROR(__xludf.DUMMYFUNCTION("""COMPUTED_VALUE"""),"Group 1")</f>
        <v>Group 1</v>
      </c>
      <c r="M819" s="3"/>
      <c r="N819" s="5" t="str">
        <f>IFERROR(__xludf.DUMMYFUNCTION("""COMPUTED_VALUE""")," ")</f>
        <v> </v>
      </c>
      <c r="O819" s="5"/>
    </row>
    <row r="820">
      <c r="A820" s="2" t="str">
        <f>IFERROR(__xludf.DUMMYFUNCTION("""COMPUTED_VALUE"""),"0990")</f>
        <v>0990</v>
      </c>
      <c r="B820" s="2" t="str">
        <f>IFERROR(__xludf.DUMMYFUNCTION("""COMPUTED_VALUE"""),"WIDEFIELD 3")</f>
        <v>WIDEFIELD 3</v>
      </c>
      <c r="C820" s="2" t="str">
        <f>IFERROR(__xludf.DUMMYFUNCTION("""COMPUTED_VALUE"""),"09334")</f>
        <v>09334</v>
      </c>
      <c r="D820" s="2" t="str">
        <f>IFERROR(__xludf.DUMMYFUNCTION("""COMPUTED_VALUE"""),"WEBSTER ELEMENTARY SCHOOL")</f>
        <v>WEBSTER ELEMENTARY SCHOOL</v>
      </c>
      <c r="E820" s="3" t="str">
        <f>IFERROR(__xludf.DUMMYFUNCTION("""COMPUTED_VALUE"""),"Y")</f>
        <v>Y</v>
      </c>
      <c r="F820" s="3" t="str">
        <f>IFERROR(__xludf.DUMMYFUNCTION("""COMPUTED_VALUE"""),"Y")</f>
        <v>Y</v>
      </c>
      <c r="G820" s="3"/>
      <c r="H820" s="3"/>
      <c r="I820" s="3" t="str">
        <f>IFERROR(__xludf.DUMMYFUNCTION("""COMPUTED_VALUE""")," ")</f>
        <v> </v>
      </c>
      <c r="J820" s="3" t="str">
        <f>IFERROR(__xludf.DUMMYFUNCTION("""COMPUTED_VALUE""")," ")</f>
        <v> </v>
      </c>
      <c r="K820" s="3" t="str">
        <f>IFERROR(__xludf.DUMMYFUNCTION("""COMPUTED_VALUE"""),"Y")</f>
        <v>Y</v>
      </c>
      <c r="L820" s="3" t="str">
        <f>IFERROR(__xludf.DUMMYFUNCTION("""COMPUTED_VALUE"""),"Group 1")</f>
        <v>Group 1</v>
      </c>
      <c r="M820" s="3"/>
      <c r="N820" s="5" t="str">
        <f>IFERROR(__xludf.DUMMYFUNCTION("""COMPUTED_VALUE""")," ")</f>
        <v> </v>
      </c>
      <c r="O820" s="5"/>
    </row>
    <row r="821">
      <c r="A821" s="2" t="str">
        <f>IFERROR(__xludf.DUMMYFUNCTION("""COMPUTED_VALUE"""),"0990")</f>
        <v>0990</v>
      </c>
      <c r="B821" s="2" t="str">
        <f>IFERROR(__xludf.DUMMYFUNCTION("""COMPUTED_VALUE"""),"WIDEFIELD 3")</f>
        <v>WIDEFIELD 3</v>
      </c>
      <c r="C821" s="2" t="str">
        <f>IFERROR(__xludf.DUMMYFUNCTION("""COMPUTED_VALUE"""),"09560")</f>
        <v>09560</v>
      </c>
      <c r="D821" s="2" t="str">
        <f>IFERROR(__xludf.DUMMYFUNCTION("""COMPUTED_VALUE"""),"DISCOVERY HIGH SCHOOL")</f>
        <v>DISCOVERY HIGH SCHOOL</v>
      </c>
      <c r="E821" s="3" t="str">
        <f>IFERROR(__xludf.DUMMYFUNCTION("""COMPUTED_VALUE"""),"Y")</f>
        <v>Y</v>
      </c>
      <c r="F821" s="3" t="str">
        <f>IFERROR(__xludf.DUMMYFUNCTION("""COMPUTED_VALUE"""),"Y")</f>
        <v>Y</v>
      </c>
      <c r="G821" s="3" t="str">
        <f>IFERROR(__xludf.DUMMYFUNCTION("""COMPUTED_VALUE"""),"Y")</f>
        <v>Y</v>
      </c>
      <c r="H821" s="3"/>
      <c r="I821" s="3" t="str">
        <f>IFERROR(__xludf.DUMMYFUNCTION("""COMPUTED_VALUE""")," ")</f>
        <v> </v>
      </c>
      <c r="J821" s="3" t="str">
        <f>IFERROR(__xludf.DUMMYFUNCTION("""COMPUTED_VALUE"""),"Y")</f>
        <v>Y</v>
      </c>
      <c r="K821" s="3" t="str">
        <f>IFERROR(__xludf.DUMMYFUNCTION("""COMPUTED_VALUE"""),"Y")</f>
        <v>Y</v>
      </c>
      <c r="L821" s="3" t="str">
        <f>IFERROR(__xludf.DUMMYFUNCTION("""COMPUTED_VALUE"""),"Group 1")</f>
        <v>Group 1</v>
      </c>
      <c r="M821" s="3"/>
      <c r="N821" s="5" t="str">
        <f>IFERROR(__xludf.DUMMYFUNCTION("""COMPUTED_VALUE""")," ")</f>
        <v> </v>
      </c>
      <c r="O821" s="5"/>
    </row>
    <row r="822">
      <c r="A822" s="2" t="str">
        <f>IFERROR(__xludf.DUMMYFUNCTION("""COMPUTED_VALUE"""),"0990")</f>
        <v>0990</v>
      </c>
      <c r="B822" s="2" t="str">
        <f>IFERROR(__xludf.DUMMYFUNCTION("""COMPUTED_VALUE"""),"WIDEFIELD 3")</f>
        <v>WIDEFIELD 3</v>
      </c>
      <c r="C822" s="2" t="str">
        <f>IFERROR(__xludf.DUMMYFUNCTION("""COMPUTED_VALUE"""),"09562")</f>
        <v>09562</v>
      </c>
      <c r="D822" s="2" t="str">
        <f>IFERROR(__xludf.DUMMYFUNCTION("""COMPUTED_VALUE"""),"WIDEFIELD ELEMENTARY SCHOOL")</f>
        <v>WIDEFIELD ELEMENTARY SCHOOL</v>
      </c>
      <c r="E822" s="3" t="str">
        <f>IFERROR(__xludf.DUMMYFUNCTION("""COMPUTED_VALUE"""),"Y")</f>
        <v>Y</v>
      </c>
      <c r="F822" s="3" t="str">
        <f>IFERROR(__xludf.DUMMYFUNCTION("""COMPUTED_VALUE"""),"Y")</f>
        <v>Y</v>
      </c>
      <c r="G822" s="3"/>
      <c r="H822" s="3"/>
      <c r="I822" s="3" t="str">
        <f>IFERROR(__xludf.DUMMYFUNCTION("""COMPUTED_VALUE""")," ")</f>
        <v> </v>
      </c>
      <c r="J822" s="3" t="str">
        <f>IFERROR(__xludf.DUMMYFUNCTION("""COMPUTED_VALUE""")," ")</f>
        <v> </v>
      </c>
      <c r="K822" s="3" t="str">
        <f>IFERROR(__xludf.DUMMYFUNCTION("""COMPUTED_VALUE"""),"Y")</f>
        <v>Y</v>
      </c>
      <c r="L822" s="3" t="str">
        <f>IFERROR(__xludf.DUMMYFUNCTION("""COMPUTED_VALUE"""),"Group 1")</f>
        <v>Group 1</v>
      </c>
      <c r="M822" s="3"/>
      <c r="N822" s="5" t="str">
        <f>IFERROR(__xludf.DUMMYFUNCTION("""COMPUTED_VALUE""")," ")</f>
        <v> </v>
      </c>
      <c r="O822" s="5"/>
    </row>
    <row r="823">
      <c r="A823" s="2" t="str">
        <f>IFERROR(__xludf.DUMMYFUNCTION("""COMPUTED_VALUE"""),"0990")</f>
        <v>0990</v>
      </c>
      <c r="B823" s="2" t="str">
        <f>IFERROR(__xludf.DUMMYFUNCTION("""COMPUTED_VALUE"""),"WIDEFIELD 3")</f>
        <v>WIDEFIELD 3</v>
      </c>
      <c r="C823" s="2" t="str">
        <f>IFERROR(__xludf.DUMMYFUNCTION("""COMPUTED_VALUE"""),"09566")</f>
        <v>09566</v>
      </c>
      <c r="D823" s="2" t="str">
        <f>IFERROR(__xludf.DUMMYFUNCTION("""COMPUTED_VALUE"""),"WIDEFIELD HIGH SCHOOL")</f>
        <v>WIDEFIELD HIGH SCHOOL</v>
      </c>
      <c r="E823" s="3" t="str">
        <f>IFERROR(__xludf.DUMMYFUNCTION("""COMPUTED_VALUE"""),"Y")</f>
        <v>Y</v>
      </c>
      <c r="F823" s="3" t="str">
        <f>IFERROR(__xludf.DUMMYFUNCTION("""COMPUTED_VALUE"""),"Y")</f>
        <v>Y</v>
      </c>
      <c r="G823" s="3"/>
      <c r="H823" s="3"/>
      <c r="I823" s="3" t="str">
        <f>IFERROR(__xludf.DUMMYFUNCTION("""COMPUTED_VALUE""")," ")</f>
        <v> </v>
      </c>
      <c r="J823" s="3" t="str">
        <f>IFERROR(__xludf.DUMMYFUNCTION("""COMPUTED_VALUE""")," ")</f>
        <v> </v>
      </c>
      <c r="K823" s="3" t="str">
        <f>IFERROR(__xludf.DUMMYFUNCTION("""COMPUTED_VALUE"""),"Y")</f>
        <v>Y</v>
      </c>
      <c r="L823" s="3" t="str">
        <f>IFERROR(__xludf.DUMMYFUNCTION("""COMPUTED_VALUE"""),"Group 6")</f>
        <v>Group 6</v>
      </c>
      <c r="M823" s="3"/>
      <c r="N823" s="5" t="str">
        <f>IFERROR(__xludf.DUMMYFUNCTION("""COMPUTED_VALUE""")," ")</f>
        <v> </v>
      </c>
      <c r="O823" s="5"/>
    </row>
    <row r="824">
      <c r="A824" s="2" t="str">
        <f>IFERROR(__xludf.DUMMYFUNCTION("""COMPUTED_VALUE"""),"1000")</f>
        <v>1000</v>
      </c>
      <c r="B824" s="2" t="str">
        <f>IFERROR(__xludf.DUMMYFUNCTION("""COMPUTED_VALUE"""),"FOUNTAIN 8")</f>
        <v>FOUNTAIN 8</v>
      </c>
      <c r="C824" s="2" t="str">
        <f>IFERROR(__xludf.DUMMYFUNCTION("""COMPUTED_VALUE"""),"00203")</f>
        <v>00203</v>
      </c>
      <c r="D824" s="2" t="str">
        <f>IFERROR(__xludf.DUMMYFUNCTION("""COMPUTED_VALUE"""),"Welte Education Center")</f>
        <v>Welte Education Center</v>
      </c>
      <c r="E824" s="3" t="str">
        <f>IFERROR(__xludf.DUMMYFUNCTION("""COMPUTED_VALUE"""),"Y")</f>
        <v>Y</v>
      </c>
      <c r="F824" s="3" t="str">
        <f>IFERROR(__xludf.DUMMYFUNCTION("""COMPUTED_VALUE"""),"Y")</f>
        <v>Y</v>
      </c>
      <c r="G824" s="3"/>
      <c r="H824" s="3"/>
      <c r="I824" s="3" t="str">
        <f>IFERROR(__xludf.DUMMYFUNCTION("""COMPUTED_VALUE""")," ")</f>
        <v> </v>
      </c>
      <c r="J824" s="3" t="str">
        <f>IFERROR(__xludf.DUMMYFUNCTION("""COMPUTED_VALUE"""),"Y")</f>
        <v>Y</v>
      </c>
      <c r="K824" s="3" t="str">
        <f>IFERROR(__xludf.DUMMYFUNCTION("""COMPUTED_VALUE"""),"Y")</f>
        <v>Y</v>
      </c>
      <c r="L824" s="3" t="str">
        <f>IFERROR(__xludf.DUMMYFUNCTION("""COMPUTED_VALUE"""),"Group 3")</f>
        <v>Group 3</v>
      </c>
      <c r="M824" s="3"/>
      <c r="N824" s="5" t="str">
        <f>IFERROR(__xludf.DUMMYFUNCTION("""COMPUTED_VALUE""")," ")</f>
        <v> </v>
      </c>
      <c r="O824" s="5"/>
    </row>
    <row r="825">
      <c r="A825" s="2" t="str">
        <f>IFERROR(__xludf.DUMMYFUNCTION("""COMPUTED_VALUE"""),"1000")</f>
        <v>1000</v>
      </c>
      <c r="B825" s="2" t="str">
        <f>IFERROR(__xludf.DUMMYFUNCTION("""COMPUTED_VALUE"""),"FOUNTAIN 8")</f>
        <v>FOUNTAIN 8</v>
      </c>
      <c r="C825" s="2" t="str">
        <f>IFERROR(__xludf.DUMMYFUNCTION("""COMPUTED_VALUE"""),"01332")</f>
        <v>01332</v>
      </c>
      <c r="D825" s="2" t="str">
        <f>IFERROR(__xludf.DUMMYFUNCTION("""COMPUTED_VALUE"""),"CARSON MIDDLE SCHOOL")</f>
        <v>CARSON MIDDLE SCHOOL</v>
      </c>
      <c r="E825" s="3" t="str">
        <f>IFERROR(__xludf.DUMMYFUNCTION("""COMPUTED_VALUE"""),"Y")</f>
        <v>Y</v>
      </c>
      <c r="F825" s="3" t="str">
        <f>IFERROR(__xludf.DUMMYFUNCTION("""COMPUTED_VALUE"""),"Y")</f>
        <v>Y</v>
      </c>
      <c r="G825" s="3"/>
      <c r="H825" s="3"/>
      <c r="I825" s="3" t="str">
        <f>IFERROR(__xludf.DUMMYFUNCTION("""COMPUTED_VALUE""")," ")</f>
        <v> </v>
      </c>
      <c r="J825" s="3" t="str">
        <f>IFERROR(__xludf.DUMMYFUNCTION("""COMPUTED_VALUE""")," ")</f>
        <v> </v>
      </c>
      <c r="K825" s="3" t="str">
        <f>IFERROR(__xludf.DUMMYFUNCTION("""COMPUTED_VALUE"""),"Y")</f>
        <v>Y</v>
      </c>
      <c r="L825" s="3" t="str">
        <f>IFERROR(__xludf.DUMMYFUNCTION("""COMPUTED_VALUE""")," ")</f>
        <v> </v>
      </c>
      <c r="M825" s="3"/>
      <c r="N825" s="5" t="str">
        <f>IFERROR(__xludf.DUMMYFUNCTION("""COMPUTED_VALUE""")," ")</f>
        <v> </v>
      </c>
      <c r="O825" s="5"/>
    </row>
    <row r="826">
      <c r="A826" s="2" t="str">
        <f>IFERROR(__xludf.DUMMYFUNCTION("""COMPUTED_VALUE"""),"1000")</f>
        <v>1000</v>
      </c>
      <c r="B826" s="2" t="str">
        <f>IFERROR(__xludf.DUMMYFUNCTION("""COMPUTED_VALUE"""),"FOUNTAIN 8")</f>
        <v>FOUNTAIN 8</v>
      </c>
      <c r="C826" s="2" t="str">
        <f>IFERROR(__xludf.DUMMYFUNCTION("""COMPUTED_VALUE"""),"01334")</f>
        <v>01334</v>
      </c>
      <c r="D826" s="2" t="str">
        <f>IFERROR(__xludf.DUMMYFUNCTION("""COMPUTED_VALUE"""),"ABRAMS ELEMENTARY SCHOOL")</f>
        <v>ABRAMS ELEMENTARY SCHOOL</v>
      </c>
      <c r="E826" s="3" t="str">
        <f>IFERROR(__xludf.DUMMYFUNCTION("""COMPUTED_VALUE"""),"Y")</f>
        <v>Y</v>
      </c>
      <c r="F826" s="3" t="str">
        <f>IFERROR(__xludf.DUMMYFUNCTION("""COMPUTED_VALUE"""),"Y")</f>
        <v>Y</v>
      </c>
      <c r="G826" s="3"/>
      <c r="H826" s="3"/>
      <c r="I826" s="3" t="str">
        <f>IFERROR(__xludf.DUMMYFUNCTION("""COMPUTED_VALUE""")," ")</f>
        <v> </v>
      </c>
      <c r="J826" s="3" t="str">
        <f>IFERROR(__xludf.DUMMYFUNCTION("""COMPUTED_VALUE""")," ")</f>
        <v> </v>
      </c>
      <c r="K826" s="3" t="str">
        <f>IFERROR(__xludf.DUMMYFUNCTION("""COMPUTED_VALUE"""),"Y")</f>
        <v>Y</v>
      </c>
      <c r="L826" s="3" t="str">
        <f>IFERROR(__xludf.DUMMYFUNCTION("""COMPUTED_VALUE""")," ")</f>
        <v> </v>
      </c>
      <c r="M826" s="3"/>
      <c r="N826" s="5" t="str">
        <f>IFERROR(__xludf.DUMMYFUNCTION("""COMPUTED_VALUE""")," ")</f>
        <v> </v>
      </c>
      <c r="O826" s="5"/>
    </row>
    <row r="827">
      <c r="A827" s="2" t="str">
        <f>IFERROR(__xludf.DUMMYFUNCTION("""COMPUTED_VALUE"""),"1000")</f>
        <v>1000</v>
      </c>
      <c r="B827" s="2" t="str">
        <f>IFERROR(__xludf.DUMMYFUNCTION("""COMPUTED_VALUE"""),"FOUNTAIN 8")</f>
        <v>FOUNTAIN 8</v>
      </c>
      <c r="C827" s="2" t="str">
        <f>IFERROR(__xludf.DUMMYFUNCTION("""COMPUTED_VALUE"""),"01941")</f>
        <v>01941</v>
      </c>
      <c r="D827" s="2" t="str">
        <f>IFERROR(__xludf.DUMMYFUNCTION("""COMPUTED_VALUE"""),"Conrad Early Learning Center")</f>
        <v>Conrad Early Learning Center</v>
      </c>
      <c r="E827" s="3" t="str">
        <f>IFERROR(__xludf.DUMMYFUNCTION("""COMPUTED_VALUE"""),"Y")</f>
        <v>Y</v>
      </c>
      <c r="F827" s="3" t="str">
        <f>IFERROR(__xludf.DUMMYFUNCTION("""COMPUTED_VALUE"""),"Y")</f>
        <v>Y</v>
      </c>
      <c r="G827" s="3"/>
      <c r="H827" s="3" t="str">
        <f>IFERROR(__xludf.DUMMYFUNCTION("""COMPUTED_VALUE"""),"Y")</f>
        <v>Y</v>
      </c>
      <c r="I827" s="3" t="str">
        <f>IFERROR(__xludf.DUMMYFUNCTION("""COMPUTED_VALUE""")," ")</f>
        <v> </v>
      </c>
      <c r="J827" s="3" t="str">
        <f>IFERROR(__xludf.DUMMYFUNCTION("""COMPUTED_VALUE""")," ")</f>
        <v> </v>
      </c>
      <c r="K827" s="3" t="str">
        <f>IFERROR(__xludf.DUMMYFUNCTION("""COMPUTED_VALUE"""),"Y")</f>
        <v>Y</v>
      </c>
      <c r="L827" s="3" t="str">
        <f>IFERROR(__xludf.DUMMYFUNCTION("""COMPUTED_VALUE""")," ")</f>
        <v> </v>
      </c>
      <c r="M827" s="3"/>
      <c r="N827" s="5" t="str">
        <f>IFERROR(__xludf.DUMMYFUNCTION("""COMPUTED_VALUE""")," ")</f>
        <v> </v>
      </c>
      <c r="O827" s="5"/>
    </row>
    <row r="828">
      <c r="A828" s="2" t="str">
        <f>IFERROR(__xludf.DUMMYFUNCTION("""COMPUTED_VALUE"""),"1000")</f>
        <v>1000</v>
      </c>
      <c r="B828" s="2" t="str">
        <f>IFERROR(__xludf.DUMMYFUNCTION("""COMPUTED_VALUE"""),"FOUNTAIN 8")</f>
        <v>FOUNTAIN 8</v>
      </c>
      <c r="C828" s="2" t="str">
        <f>IFERROR(__xludf.DUMMYFUNCTION("""COMPUTED_VALUE"""),"03027")</f>
        <v>03027</v>
      </c>
      <c r="D828" s="2" t="str">
        <f>IFERROR(__xludf.DUMMYFUNCTION("""COMPUTED_VALUE"""),"EAGLESIDE ELEMENTARY SCHOOL")</f>
        <v>EAGLESIDE ELEMENTARY SCHOOL</v>
      </c>
      <c r="E828" s="3" t="str">
        <f>IFERROR(__xludf.DUMMYFUNCTION("""COMPUTED_VALUE"""),"Y")</f>
        <v>Y</v>
      </c>
      <c r="F828" s="3" t="str">
        <f>IFERROR(__xludf.DUMMYFUNCTION("""COMPUTED_VALUE"""),"Y")</f>
        <v>Y</v>
      </c>
      <c r="G828" s="3"/>
      <c r="H828" s="3"/>
      <c r="I828" s="3" t="str">
        <f>IFERROR(__xludf.DUMMYFUNCTION("""COMPUTED_VALUE""")," ")</f>
        <v> </v>
      </c>
      <c r="J828" s="3" t="str">
        <f>IFERROR(__xludf.DUMMYFUNCTION("""COMPUTED_VALUE""")," ")</f>
        <v> </v>
      </c>
      <c r="K828" s="3" t="str">
        <f>IFERROR(__xludf.DUMMYFUNCTION("""COMPUTED_VALUE"""),"Y")</f>
        <v>Y</v>
      </c>
      <c r="L828" s="3" t="str">
        <f>IFERROR(__xludf.DUMMYFUNCTION("""COMPUTED_VALUE"""),"Group 1")</f>
        <v>Group 1</v>
      </c>
      <c r="M828" s="3"/>
      <c r="N828" s="5" t="str">
        <f>IFERROR(__xludf.DUMMYFUNCTION("""COMPUTED_VALUE"""),"Y")</f>
        <v>Y</v>
      </c>
      <c r="O828" s="5"/>
    </row>
    <row r="829">
      <c r="A829" s="2" t="str">
        <f>IFERROR(__xludf.DUMMYFUNCTION("""COMPUTED_VALUE"""),"1000")</f>
        <v>1000</v>
      </c>
      <c r="B829" s="2" t="str">
        <f>IFERROR(__xludf.DUMMYFUNCTION("""COMPUTED_VALUE"""),"FOUNTAIN 8")</f>
        <v>FOUNTAIN 8</v>
      </c>
      <c r="C829" s="2" t="str">
        <f>IFERROR(__xludf.DUMMYFUNCTION("""COMPUTED_VALUE"""),"03102")</f>
        <v>03102</v>
      </c>
      <c r="D829" s="2" t="str">
        <f>IFERROR(__xludf.DUMMYFUNCTION("""COMPUTED_VALUE"""),"ARAGON ELEMENTARY SCHOOL")</f>
        <v>ARAGON ELEMENTARY SCHOOL</v>
      </c>
      <c r="E829" s="3" t="str">
        <f>IFERROR(__xludf.DUMMYFUNCTION("""COMPUTED_VALUE"""),"Y")</f>
        <v>Y</v>
      </c>
      <c r="F829" s="3" t="str">
        <f>IFERROR(__xludf.DUMMYFUNCTION("""COMPUTED_VALUE"""),"Y")</f>
        <v>Y</v>
      </c>
      <c r="G829" s="3" t="str">
        <f>IFERROR(__xludf.DUMMYFUNCTION("""COMPUTED_VALUE"""),"Y")</f>
        <v>Y</v>
      </c>
      <c r="H829" s="3"/>
      <c r="I829" s="3" t="str">
        <f>IFERROR(__xludf.DUMMYFUNCTION("""COMPUTED_VALUE""")," ")</f>
        <v> </v>
      </c>
      <c r="J829" s="3" t="str">
        <f>IFERROR(__xludf.DUMMYFUNCTION("""COMPUTED_VALUE"""),"Y")</f>
        <v>Y</v>
      </c>
      <c r="K829" s="3" t="str">
        <f>IFERROR(__xludf.DUMMYFUNCTION("""COMPUTED_VALUE"""),"Y")</f>
        <v>Y</v>
      </c>
      <c r="L829" s="3" t="str">
        <f>IFERROR(__xludf.DUMMYFUNCTION("""COMPUTED_VALUE"""),"Group 3")</f>
        <v>Group 3</v>
      </c>
      <c r="M829" s="3"/>
      <c r="N829" s="5" t="str">
        <f>IFERROR(__xludf.DUMMYFUNCTION("""COMPUTED_VALUE"""),"Y")</f>
        <v>Y</v>
      </c>
      <c r="O829" s="5"/>
    </row>
    <row r="830">
      <c r="A830" s="2" t="str">
        <f>IFERROR(__xludf.DUMMYFUNCTION("""COMPUTED_VALUE"""),"1000")</f>
        <v>1000</v>
      </c>
      <c r="B830" s="2" t="str">
        <f>IFERROR(__xludf.DUMMYFUNCTION("""COMPUTED_VALUE"""),"FOUNTAIN 8")</f>
        <v>FOUNTAIN 8</v>
      </c>
      <c r="C830" s="2" t="str">
        <f>IFERROR(__xludf.DUMMYFUNCTION("""COMPUTED_VALUE"""),"03106")</f>
        <v>03106</v>
      </c>
      <c r="D830" s="2" t="str">
        <f>IFERROR(__xludf.DUMMYFUNCTION("""COMPUTED_VALUE"""),"FOUNTAIN MIDDLE SCHOOL")</f>
        <v>FOUNTAIN MIDDLE SCHOOL</v>
      </c>
      <c r="E830" s="3" t="str">
        <f>IFERROR(__xludf.DUMMYFUNCTION("""COMPUTED_VALUE"""),"Y")</f>
        <v>Y</v>
      </c>
      <c r="F830" s="3" t="str">
        <f>IFERROR(__xludf.DUMMYFUNCTION("""COMPUTED_VALUE"""),"Y")</f>
        <v>Y</v>
      </c>
      <c r="G830" s="3"/>
      <c r="H830" s="3"/>
      <c r="I830" s="3" t="str">
        <f>IFERROR(__xludf.DUMMYFUNCTION("""COMPUTED_VALUE""")," ")</f>
        <v> </v>
      </c>
      <c r="J830" s="3" t="str">
        <f>IFERROR(__xludf.DUMMYFUNCTION("""COMPUTED_VALUE""")," ")</f>
        <v> </v>
      </c>
      <c r="K830" s="3" t="str">
        <f>IFERROR(__xludf.DUMMYFUNCTION("""COMPUTED_VALUE"""),"Y")</f>
        <v>Y</v>
      </c>
      <c r="L830" s="3" t="str">
        <f>IFERROR(__xludf.DUMMYFUNCTION("""COMPUTED_VALUE"""),"Group 1")</f>
        <v>Group 1</v>
      </c>
      <c r="M830" s="3"/>
      <c r="N830" s="5" t="str">
        <f>IFERROR(__xludf.DUMMYFUNCTION("""COMPUTED_VALUE"""),"Y")</f>
        <v>Y</v>
      </c>
      <c r="O830" s="5"/>
    </row>
    <row r="831">
      <c r="A831" s="2" t="str">
        <f>IFERROR(__xludf.DUMMYFUNCTION("""COMPUTED_VALUE"""),"1000")</f>
        <v>1000</v>
      </c>
      <c r="B831" s="2" t="str">
        <f>IFERROR(__xludf.DUMMYFUNCTION("""COMPUTED_VALUE"""),"FOUNTAIN 8")</f>
        <v>FOUNTAIN 8</v>
      </c>
      <c r="C831" s="2" t="str">
        <f>IFERROR(__xludf.DUMMYFUNCTION("""COMPUTED_VALUE"""),"03108")</f>
        <v>03108</v>
      </c>
      <c r="D831" s="2" t="str">
        <f>IFERROR(__xludf.DUMMYFUNCTION("""COMPUTED_VALUE"""),"MESA ELEMENTARY SCHOOL")</f>
        <v>MESA ELEMENTARY SCHOOL</v>
      </c>
      <c r="E831" s="3" t="str">
        <f>IFERROR(__xludf.DUMMYFUNCTION("""COMPUTED_VALUE"""),"Y")</f>
        <v>Y</v>
      </c>
      <c r="F831" s="3" t="str">
        <f>IFERROR(__xludf.DUMMYFUNCTION("""COMPUTED_VALUE"""),"Y")</f>
        <v>Y</v>
      </c>
      <c r="G831" s="3"/>
      <c r="H831" s="3"/>
      <c r="I831" s="3" t="str">
        <f>IFERROR(__xludf.DUMMYFUNCTION("""COMPUTED_VALUE""")," ")</f>
        <v> </v>
      </c>
      <c r="J831" s="3" t="str">
        <f>IFERROR(__xludf.DUMMYFUNCTION("""COMPUTED_VALUE""")," ")</f>
        <v> </v>
      </c>
      <c r="K831" s="3" t="str">
        <f>IFERROR(__xludf.DUMMYFUNCTION("""COMPUTED_VALUE"""),"Y")</f>
        <v>Y</v>
      </c>
      <c r="L831" s="3" t="str">
        <f>IFERROR(__xludf.DUMMYFUNCTION("""COMPUTED_VALUE"""),"Group 3")</f>
        <v>Group 3</v>
      </c>
      <c r="M831" s="3"/>
      <c r="N831" s="5" t="str">
        <f>IFERROR(__xludf.DUMMYFUNCTION("""COMPUTED_VALUE""")," ")</f>
        <v> </v>
      </c>
      <c r="O831" s="5"/>
    </row>
    <row r="832">
      <c r="A832" s="2" t="str">
        <f>IFERROR(__xludf.DUMMYFUNCTION("""COMPUTED_VALUE"""),"1000")</f>
        <v>1000</v>
      </c>
      <c r="B832" s="2" t="str">
        <f>IFERROR(__xludf.DUMMYFUNCTION("""COMPUTED_VALUE"""),"FOUNTAIN 8")</f>
        <v>FOUNTAIN 8</v>
      </c>
      <c r="C832" s="2" t="str">
        <f>IFERROR(__xludf.DUMMYFUNCTION("""COMPUTED_VALUE"""),"03110")</f>
        <v>03110</v>
      </c>
      <c r="D832" s="2" t="str">
        <f>IFERROR(__xludf.DUMMYFUNCTION("""COMPUTED_VALUE"""),"FOUNTAIN-FORT CARSON HIGH SCHOOL")</f>
        <v>FOUNTAIN-FORT CARSON HIGH SCHOOL</v>
      </c>
      <c r="E832" s="3" t="str">
        <f>IFERROR(__xludf.DUMMYFUNCTION("""COMPUTED_VALUE"""),"Y")</f>
        <v>Y</v>
      </c>
      <c r="F832" s="3" t="str">
        <f>IFERROR(__xludf.DUMMYFUNCTION("""COMPUTED_VALUE"""),"Y")</f>
        <v>Y</v>
      </c>
      <c r="G832" s="3"/>
      <c r="H832" s="3"/>
      <c r="I832" s="3" t="str">
        <f>IFERROR(__xludf.DUMMYFUNCTION("""COMPUTED_VALUE""")," ")</f>
        <v> </v>
      </c>
      <c r="J832" s="3" t="str">
        <f>IFERROR(__xludf.DUMMYFUNCTION("""COMPUTED_VALUE""")," ")</f>
        <v> </v>
      </c>
      <c r="K832" s="3" t="str">
        <f>IFERROR(__xludf.DUMMYFUNCTION("""COMPUTED_VALUE"""),"Y")</f>
        <v>Y</v>
      </c>
      <c r="L832" s="3" t="str">
        <f>IFERROR(__xludf.DUMMYFUNCTION("""COMPUTED_VALUE"""),"Group 2")</f>
        <v>Group 2</v>
      </c>
      <c r="M832" s="3"/>
      <c r="N832" s="5" t="str">
        <f>IFERROR(__xludf.DUMMYFUNCTION("""COMPUTED_VALUE""")," ")</f>
        <v> </v>
      </c>
      <c r="O832" s="5"/>
    </row>
    <row r="833">
      <c r="A833" s="2" t="str">
        <f>IFERROR(__xludf.DUMMYFUNCTION("""COMPUTED_VALUE"""),"1000")</f>
        <v>1000</v>
      </c>
      <c r="B833" s="2" t="str">
        <f>IFERROR(__xludf.DUMMYFUNCTION("""COMPUTED_VALUE"""),"FOUNTAIN 8")</f>
        <v>FOUNTAIN 8</v>
      </c>
      <c r="C833" s="2" t="str">
        <f>IFERROR(__xludf.DUMMYFUNCTION("""COMPUTED_VALUE"""),"04474")</f>
        <v>04474</v>
      </c>
      <c r="D833" s="2" t="str">
        <f>IFERROR(__xludf.DUMMYFUNCTION("""COMPUTED_VALUE"""),"JORDAHL ELEMENTARY SCHOOL")</f>
        <v>JORDAHL ELEMENTARY SCHOOL</v>
      </c>
      <c r="E833" s="3" t="str">
        <f>IFERROR(__xludf.DUMMYFUNCTION("""COMPUTED_VALUE"""),"Y")</f>
        <v>Y</v>
      </c>
      <c r="F833" s="3" t="str">
        <f>IFERROR(__xludf.DUMMYFUNCTION("""COMPUTED_VALUE"""),"Y")</f>
        <v>Y</v>
      </c>
      <c r="G833" s="3"/>
      <c r="H833" s="3"/>
      <c r="I833" s="3" t="str">
        <f>IFERROR(__xludf.DUMMYFUNCTION("""COMPUTED_VALUE""")," ")</f>
        <v> </v>
      </c>
      <c r="J833" s="3" t="str">
        <f>IFERROR(__xludf.DUMMYFUNCTION("""COMPUTED_VALUE""")," ")</f>
        <v> </v>
      </c>
      <c r="K833" s="3" t="str">
        <f>IFERROR(__xludf.DUMMYFUNCTION("""COMPUTED_VALUE"""),"Y")</f>
        <v>Y</v>
      </c>
      <c r="L833" s="3" t="str">
        <f>IFERROR(__xludf.DUMMYFUNCTION("""COMPUTED_VALUE"""),"Group 1")</f>
        <v>Group 1</v>
      </c>
      <c r="M833" s="3"/>
      <c r="N833" s="5" t="str">
        <f>IFERROR(__xludf.DUMMYFUNCTION("""COMPUTED_VALUE""")," ")</f>
        <v> </v>
      </c>
      <c r="O833" s="5"/>
    </row>
    <row r="834">
      <c r="A834" s="2" t="str">
        <f>IFERROR(__xludf.DUMMYFUNCTION("""COMPUTED_VALUE"""),"1000")</f>
        <v>1000</v>
      </c>
      <c r="B834" s="2" t="str">
        <f>IFERROR(__xludf.DUMMYFUNCTION("""COMPUTED_VALUE"""),"FOUNTAIN 8")</f>
        <v>FOUNTAIN 8</v>
      </c>
      <c r="C834" s="2" t="str">
        <f>IFERROR(__xludf.DUMMYFUNCTION("""COMPUTED_VALUE"""),"06138")</f>
        <v>06138</v>
      </c>
      <c r="D834" s="2" t="str">
        <f>IFERROR(__xludf.DUMMYFUNCTION("""COMPUTED_VALUE"""),"MOUNTAINSIDE ELEMENTARY SCHOOL")</f>
        <v>MOUNTAINSIDE ELEMENTARY SCHOOL</v>
      </c>
      <c r="E834" s="3" t="str">
        <f>IFERROR(__xludf.DUMMYFUNCTION("""COMPUTED_VALUE"""),"Y")</f>
        <v>Y</v>
      </c>
      <c r="F834" s="3" t="str">
        <f>IFERROR(__xludf.DUMMYFUNCTION("""COMPUTED_VALUE"""),"Y")</f>
        <v>Y</v>
      </c>
      <c r="G834" s="3"/>
      <c r="H834" s="3"/>
      <c r="I834" s="3" t="str">
        <f>IFERROR(__xludf.DUMMYFUNCTION("""COMPUTED_VALUE""")," ")</f>
        <v> </v>
      </c>
      <c r="J834" s="3" t="str">
        <f>IFERROR(__xludf.DUMMYFUNCTION("""COMPUTED_VALUE""")," ")</f>
        <v> </v>
      </c>
      <c r="K834" s="3" t="str">
        <f>IFERROR(__xludf.DUMMYFUNCTION("""COMPUTED_VALUE"""),"Y")</f>
        <v>Y</v>
      </c>
      <c r="L834" s="3" t="str">
        <f>IFERROR(__xludf.DUMMYFUNCTION("""COMPUTED_VALUE""")," ")</f>
        <v> </v>
      </c>
      <c r="M834" s="3"/>
      <c r="N834" s="5" t="str">
        <f>IFERROR(__xludf.DUMMYFUNCTION("""COMPUTED_VALUE""")," ")</f>
        <v> </v>
      </c>
      <c r="O834" s="5"/>
    </row>
    <row r="835">
      <c r="A835" s="2" t="str">
        <f>IFERROR(__xludf.DUMMYFUNCTION("""COMPUTED_VALUE"""),"1000")</f>
        <v>1000</v>
      </c>
      <c r="B835" s="2" t="str">
        <f>IFERROR(__xludf.DUMMYFUNCTION("""COMPUTED_VALUE"""),"FOUNTAIN 8")</f>
        <v>FOUNTAIN 8</v>
      </c>
      <c r="C835" s="2" t="str">
        <f>IFERROR(__xludf.DUMMYFUNCTION("""COMPUTED_VALUE"""),"06338")</f>
        <v>06338</v>
      </c>
      <c r="D835" s="2" t="str">
        <f>IFERROR(__xludf.DUMMYFUNCTION("""COMPUTED_VALUE"""),"PATRIOT ELEMENTARY SCHOOL")</f>
        <v>PATRIOT ELEMENTARY SCHOOL</v>
      </c>
      <c r="E835" s="3" t="str">
        <f>IFERROR(__xludf.DUMMYFUNCTION("""COMPUTED_VALUE"""),"Y")</f>
        <v>Y</v>
      </c>
      <c r="F835" s="3" t="str">
        <f>IFERROR(__xludf.DUMMYFUNCTION("""COMPUTED_VALUE"""),"Y")</f>
        <v>Y</v>
      </c>
      <c r="G835" s="3"/>
      <c r="H835" s="3"/>
      <c r="I835" s="3" t="str">
        <f>IFERROR(__xludf.DUMMYFUNCTION("""COMPUTED_VALUE""")," ")</f>
        <v> </v>
      </c>
      <c r="J835" s="3" t="str">
        <f>IFERROR(__xludf.DUMMYFUNCTION("""COMPUTED_VALUE""")," ")</f>
        <v> </v>
      </c>
      <c r="K835" s="3" t="str">
        <f>IFERROR(__xludf.DUMMYFUNCTION("""COMPUTED_VALUE"""),"Y")</f>
        <v>Y</v>
      </c>
      <c r="L835" s="3" t="str">
        <f>IFERROR(__xludf.DUMMYFUNCTION("""COMPUTED_VALUE""")," ")</f>
        <v> </v>
      </c>
      <c r="M835" s="3"/>
      <c r="N835" s="5" t="str">
        <f>IFERROR(__xludf.DUMMYFUNCTION("""COMPUTED_VALUE"""),"Y")</f>
        <v>Y</v>
      </c>
      <c r="O835" s="5"/>
    </row>
    <row r="836">
      <c r="A836" s="2" t="str">
        <f>IFERROR(__xludf.DUMMYFUNCTION("""COMPUTED_VALUE"""),"1000")</f>
        <v>1000</v>
      </c>
      <c r="B836" s="2" t="str">
        <f>IFERROR(__xludf.DUMMYFUNCTION("""COMPUTED_VALUE"""),"FOUNTAIN 8")</f>
        <v>FOUNTAIN 8</v>
      </c>
      <c r="C836" s="2" t="str">
        <f>IFERROR(__xludf.DUMMYFUNCTION("""COMPUTED_VALUE"""),"09610")</f>
        <v>09610</v>
      </c>
      <c r="D836" s="2" t="str">
        <f>IFERROR(__xludf.DUMMYFUNCTION("""COMPUTED_VALUE"""),"WEIKEL ELEMENTARY")</f>
        <v>WEIKEL ELEMENTARY</v>
      </c>
      <c r="E836" s="3" t="str">
        <f>IFERROR(__xludf.DUMMYFUNCTION("""COMPUTED_VALUE"""),"Y")</f>
        <v>Y</v>
      </c>
      <c r="F836" s="3" t="str">
        <f>IFERROR(__xludf.DUMMYFUNCTION("""COMPUTED_VALUE"""),"Y")</f>
        <v>Y</v>
      </c>
      <c r="G836" s="3"/>
      <c r="H836" s="3" t="str">
        <f>IFERROR(__xludf.DUMMYFUNCTION("""COMPUTED_VALUE"""),"Y")</f>
        <v>Y</v>
      </c>
      <c r="I836" s="3" t="str">
        <f>IFERROR(__xludf.DUMMYFUNCTION("""COMPUTED_VALUE""")," ")</f>
        <v> </v>
      </c>
      <c r="J836" s="3" t="str">
        <f>IFERROR(__xludf.DUMMYFUNCTION("""COMPUTED_VALUE""")," ")</f>
        <v> </v>
      </c>
      <c r="K836" s="3" t="str">
        <f>IFERROR(__xludf.DUMMYFUNCTION("""COMPUTED_VALUE"""),"Y")</f>
        <v>Y</v>
      </c>
      <c r="L836" s="3" t="str">
        <f>IFERROR(__xludf.DUMMYFUNCTION("""COMPUTED_VALUE""")," ")</f>
        <v> </v>
      </c>
      <c r="M836" s="3"/>
      <c r="N836" s="5" t="str">
        <f>IFERROR(__xludf.DUMMYFUNCTION("""COMPUTED_VALUE""")," ")</f>
        <v> </v>
      </c>
      <c r="O836" s="5"/>
    </row>
    <row r="837">
      <c r="A837" s="2" t="str">
        <f>IFERROR(__xludf.DUMMYFUNCTION("""COMPUTED_VALUE"""),"1010")</f>
        <v>1010</v>
      </c>
      <c r="B837" s="2" t="str">
        <f>IFERROR(__xludf.DUMMYFUNCTION("""COMPUTED_VALUE"""),"COLORADO SPRINGS    11")</f>
        <v>COLORADO SPRINGS    11</v>
      </c>
      <c r="C837" s="2" t="str">
        <f>IFERROR(__xludf.DUMMYFUNCTION("""COMPUTED_VALUE"""),"00269")</f>
        <v>00269</v>
      </c>
      <c r="D837" s="2" t="str">
        <f>IFERROR(__xludf.DUMMYFUNCTION("""COMPUTED_VALUE"""),"Achieve Online School")</f>
        <v>Achieve Online School</v>
      </c>
      <c r="E837" s="3" t="str">
        <f>IFERROR(__xludf.DUMMYFUNCTION("""COMPUTED_VALUE"""),"Y")</f>
        <v>Y</v>
      </c>
      <c r="F837" s="3" t="str">
        <f>IFERROR(__xludf.DUMMYFUNCTION("""COMPUTED_VALUE"""),"Y")</f>
        <v>Y</v>
      </c>
      <c r="G837" s="3"/>
      <c r="H837" s="3"/>
      <c r="I837" s="3" t="str">
        <f>IFERROR(__xludf.DUMMYFUNCTION("""COMPUTED_VALUE""")," ")</f>
        <v> </v>
      </c>
      <c r="J837" s="3" t="str">
        <f>IFERROR(__xludf.DUMMYFUNCTION("""COMPUTED_VALUE""")," ")</f>
        <v> </v>
      </c>
      <c r="K837" s="3" t="str">
        <f>IFERROR(__xludf.DUMMYFUNCTION("""COMPUTED_VALUE"""),"Y")</f>
        <v>Y</v>
      </c>
      <c r="L837" s="3" t="str">
        <f>IFERROR(__xludf.DUMMYFUNCTION("""COMPUTED_VALUE"""),"Group 1")</f>
        <v>Group 1</v>
      </c>
      <c r="M837" s="3"/>
      <c r="N837" s="5" t="str">
        <f>IFERROR(__xludf.DUMMYFUNCTION("""COMPUTED_VALUE""")," ")</f>
        <v> </v>
      </c>
      <c r="O837" s="5"/>
    </row>
    <row r="838">
      <c r="A838" s="2" t="str">
        <f>IFERROR(__xludf.DUMMYFUNCTION("""COMPUTED_VALUE"""),"1010")</f>
        <v>1010</v>
      </c>
      <c r="B838" s="2" t="str">
        <f>IFERROR(__xludf.DUMMYFUNCTION("""COMPUTED_VALUE"""),"COLORADO SPRINGS    11")</f>
        <v>COLORADO SPRINGS    11</v>
      </c>
      <c r="C838" s="2" t="str">
        <f>IFERROR(__xludf.DUMMYFUNCTION("""COMPUTED_VALUE"""),"00452")</f>
        <v>00452</v>
      </c>
      <c r="D838" s="2" t="str">
        <f>IFERROR(__xludf.DUMMYFUNCTION("""COMPUTED_VALUE"""),"AUDUBON ELEMENTARY SCHOOL")</f>
        <v>AUDUBON ELEMENTARY SCHOOL</v>
      </c>
      <c r="E838" s="3" t="str">
        <f>IFERROR(__xludf.DUMMYFUNCTION("""COMPUTED_VALUE"""),"Y")</f>
        <v>Y</v>
      </c>
      <c r="F838" s="3" t="str">
        <f>IFERROR(__xludf.DUMMYFUNCTION("""COMPUTED_VALUE"""),"Y")</f>
        <v>Y</v>
      </c>
      <c r="G838" s="3" t="str">
        <f>IFERROR(__xludf.DUMMYFUNCTION("""COMPUTED_VALUE"""),"Y")</f>
        <v>Y</v>
      </c>
      <c r="H838" s="3"/>
      <c r="I838" s="3" t="str">
        <f>IFERROR(__xludf.DUMMYFUNCTION("""COMPUTED_VALUE""")," ")</f>
        <v> </v>
      </c>
      <c r="J838" s="3" t="str">
        <f>IFERROR(__xludf.DUMMYFUNCTION("""COMPUTED_VALUE"""),"Y")</f>
        <v>Y</v>
      </c>
      <c r="K838" s="3" t="str">
        <f>IFERROR(__xludf.DUMMYFUNCTION("""COMPUTED_VALUE"""),"Y")</f>
        <v>Y</v>
      </c>
      <c r="L838" s="3" t="str">
        <f>IFERROR(__xludf.DUMMYFUNCTION("""COMPUTED_VALUE"""),"Group 11")</f>
        <v>Group 11</v>
      </c>
      <c r="M838" s="3"/>
      <c r="N838" s="5" t="str">
        <f>IFERROR(__xludf.DUMMYFUNCTION("""COMPUTED_VALUE""")," ")</f>
        <v> </v>
      </c>
      <c r="O838" s="5"/>
    </row>
    <row r="839">
      <c r="A839" s="2" t="str">
        <f>IFERROR(__xludf.DUMMYFUNCTION("""COMPUTED_VALUE"""),"1010")</f>
        <v>1010</v>
      </c>
      <c r="B839" s="2" t="str">
        <f>IFERROR(__xludf.DUMMYFUNCTION("""COMPUTED_VALUE"""),"COLORADO SPRINGS    11")</f>
        <v>COLORADO SPRINGS    11</v>
      </c>
      <c r="C839" s="2" t="str">
        <f>IFERROR(__xludf.DUMMYFUNCTION("""COMPUTED_VALUE"""),"00517")</f>
        <v>00517</v>
      </c>
      <c r="D839" s="2" t="str">
        <f>IFERROR(__xludf.DUMMYFUNCTION("""COMPUTED_VALUE"""),"ACADEMY FOR ADVANCED AND CREATIVE LEARNING")</f>
        <v>ACADEMY FOR ADVANCED AND CREATIVE LEARNING</v>
      </c>
      <c r="E839" s="3"/>
      <c r="F839" s="3" t="str">
        <f>IFERROR(__xludf.DUMMYFUNCTION("""COMPUTED_VALUE"""),"Y")</f>
        <v>Y</v>
      </c>
      <c r="G839" s="3"/>
      <c r="H839" s="3"/>
      <c r="I839" s="3" t="str">
        <f>IFERROR(__xludf.DUMMYFUNCTION("""COMPUTED_VALUE""")," ")</f>
        <v> </v>
      </c>
      <c r="J839" s="3" t="str">
        <f>IFERROR(__xludf.DUMMYFUNCTION("""COMPUTED_VALUE""")," ")</f>
        <v> </v>
      </c>
      <c r="K839" s="3" t="str">
        <f>IFERROR(__xludf.DUMMYFUNCTION("""COMPUTED_VALUE"""),"Y")</f>
        <v>Y</v>
      </c>
      <c r="L839" s="3" t="str">
        <f>IFERROR(__xludf.DUMMYFUNCTION("""COMPUTED_VALUE""")," ")</f>
        <v> </v>
      </c>
      <c r="M839" s="3"/>
      <c r="N839" s="5" t="str">
        <f>IFERROR(__xludf.DUMMYFUNCTION("""COMPUTED_VALUE""")," ")</f>
        <v> </v>
      </c>
      <c r="O839" s="5"/>
    </row>
    <row r="840">
      <c r="A840" s="2" t="str">
        <f>IFERROR(__xludf.DUMMYFUNCTION("""COMPUTED_VALUE"""),"1010")</f>
        <v>1010</v>
      </c>
      <c r="B840" s="2" t="str">
        <f>IFERROR(__xludf.DUMMYFUNCTION("""COMPUTED_VALUE"""),"COLORADO SPRINGS    11")</f>
        <v>COLORADO SPRINGS    11</v>
      </c>
      <c r="C840" s="2" t="str">
        <f>IFERROR(__xludf.DUMMYFUNCTION("""COMPUTED_VALUE"""),"00871")</f>
        <v>00871</v>
      </c>
      <c r="D840" s="2" t="str">
        <f>IFERROR(__xludf.DUMMYFUNCTION("""COMPUTED_VALUE"""),"THE BIJOU SCHOOL")</f>
        <v>THE BIJOU SCHOOL</v>
      </c>
      <c r="E840" s="3" t="str">
        <f>IFERROR(__xludf.DUMMYFUNCTION("""COMPUTED_VALUE"""),"Y")</f>
        <v>Y</v>
      </c>
      <c r="F840" s="3" t="str">
        <f>IFERROR(__xludf.DUMMYFUNCTION("""COMPUTED_VALUE"""),"Y")</f>
        <v>Y</v>
      </c>
      <c r="G840" s="3"/>
      <c r="H840" s="3"/>
      <c r="I840" s="3" t="str">
        <f>IFERROR(__xludf.DUMMYFUNCTION("""COMPUTED_VALUE""")," ")</f>
        <v> </v>
      </c>
      <c r="J840" s="3" t="str">
        <f>IFERROR(__xludf.DUMMYFUNCTION("""COMPUTED_VALUE"""),"Y")</f>
        <v>Y</v>
      </c>
      <c r="K840" s="3" t="str">
        <f>IFERROR(__xludf.DUMMYFUNCTION("""COMPUTED_VALUE"""),"Y")</f>
        <v>Y</v>
      </c>
      <c r="L840" s="3" t="str">
        <f>IFERROR(__xludf.DUMMYFUNCTION("""COMPUTED_VALUE"""),"Group 9")</f>
        <v>Group 9</v>
      </c>
      <c r="M840" s="3"/>
      <c r="N840" s="5" t="str">
        <f>IFERROR(__xludf.DUMMYFUNCTION("""COMPUTED_VALUE""")," ")</f>
        <v> </v>
      </c>
      <c r="O840" s="5"/>
    </row>
    <row r="841">
      <c r="A841" s="2" t="str">
        <f>IFERROR(__xludf.DUMMYFUNCTION("""COMPUTED_VALUE"""),"1010")</f>
        <v>1010</v>
      </c>
      <c r="B841" s="2" t="str">
        <f>IFERROR(__xludf.DUMMYFUNCTION("""COMPUTED_VALUE"""),"COLORADO SPRINGS    11")</f>
        <v>COLORADO SPRINGS    11</v>
      </c>
      <c r="C841" s="2" t="str">
        <f>IFERROR(__xludf.DUMMYFUNCTION("""COMPUTED_VALUE"""),"01032")</f>
        <v>01032</v>
      </c>
      <c r="D841" s="2" t="str">
        <f>IFERROR(__xludf.DUMMYFUNCTION("""COMPUTED_VALUE"""),"BRISTOL ELEMENTARY SCHOOL")</f>
        <v>BRISTOL ELEMENTARY SCHOOL</v>
      </c>
      <c r="E841" s="3" t="str">
        <f>IFERROR(__xludf.DUMMYFUNCTION("""COMPUTED_VALUE"""),"Y")</f>
        <v>Y</v>
      </c>
      <c r="F841" s="3" t="str">
        <f>IFERROR(__xludf.DUMMYFUNCTION("""COMPUTED_VALUE"""),"Y")</f>
        <v>Y</v>
      </c>
      <c r="G841" s="3"/>
      <c r="H841" s="3"/>
      <c r="I841" s="3" t="str">
        <f>IFERROR(__xludf.DUMMYFUNCTION("""COMPUTED_VALUE""")," ")</f>
        <v> </v>
      </c>
      <c r="J841" s="3" t="str">
        <f>IFERROR(__xludf.DUMMYFUNCTION("""COMPUTED_VALUE""")," ")</f>
        <v> </v>
      </c>
      <c r="K841" s="3" t="str">
        <f>IFERROR(__xludf.DUMMYFUNCTION("""COMPUTED_VALUE"""),"Y")</f>
        <v>Y</v>
      </c>
      <c r="L841" s="3" t="str">
        <f>IFERROR(__xludf.DUMMYFUNCTION("""COMPUTED_VALUE"""),"Group 11")</f>
        <v>Group 11</v>
      </c>
      <c r="M841" s="3"/>
      <c r="N841" s="5" t="str">
        <f>IFERROR(__xludf.DUMMYFUNCTION("""COMPUTED_VALUE"""),"Y")</f>
        <v>Y</v>
      </c>
      <c r="O841" s="5"/>
    </row>
    <row r="842">
      <c r="A842" s="2" t="str">
        <f>IFERROR(__xludf.DUMMYFUNCTION("""COMPUTED_VALUE"""),"1010")</f>
        <v>1010</v>
      </c>
      <c r="B842" s="2" t="str">
        <f>IFERROR(__xludf.DUMMYFUNCTION("""COMPUTED_VALUE"""),"COLORADO SPRINGS    11")</f>
        <v>COLORADO SPRINGS    11</v>
      </c>
      <c r="C842" s="2" t="str">
        <f>IFERROR(__xludf.DUMMYFUNCTION("""COMPUTED_VALUE"""),"01126")</f>
        <v>01126</v>
      </c>
      <c r="D842" s="2" t="str">
        <f>IFERROR(__xludf.DUMMYFUNCTION("""COMPUTED_VALUE"""),"BUENA VISTA ELEMENTARY SCHOOL")</f>
        <v>BUENA VISTA ELEMENTARY SCHOOL</v>
      </c>
      <c r="E842" s="3" t="str">
        <f>IFERROR(__xludf.DUMMYFUNCTION("""COMPUTED_VALUE"""),"Y")</f>
        <v>Y</v>
      </c>
      <c r="F842" s="3" t="str">
        <f>IFERROR(__xludf.DUMMYFUNCTION("""COMPUTED_VALUE"""),"Y")</f>
        <v>Y</v>
      </c>
      <c r="G842" s="3"/>
      <c r="H842" s="3"/>
      <c r="I842" s="3" t="str">
        <f>IFERROR(__xludf.DUMMYFUNCTION("""COMPUTED_VALUE""")," ")</f>
        <v> </v>
      </c>
      <c r="J842" s="3" t="str">
        <f>IFERROR(__xludf.DUMMYFUNCTION("""COMPUTED_VALUE""")," ")</f>
        <v> </v>
      </c>
      <c r="K842" s="3" t="str">
        <f>IFERROR(__xludf.DUMMYFUNCTION("""COMPUTED_VALUE"""),"Y")</f>
        <v>Y</v>
      </c>
      <c r="L842" s="3" t="str">
        <f>IFERROR(__xludf.DUMMYFUNCTION("""COMPUTED_VALUE""")," ")</f>
        <v> </v>
      </c>
      <c r="M842" s="3"/>
      <c r="N842" s="5" t="str">
        <f>IFERROR(__xludf.DUMMYFUNCTION("""COMPUTED_VALUE""")," ")</f>
        <v> </v>
      </c>
      <c r="O842" s="5"/>
    </row>
    <row r="843">
      <c r="A843" s="2" t="str">
        <f>IFERROR(__xludf.DUMMYFUNCTION("""COMPUTED_VALUE"""),"1010")</f>
        <v>1010</v>
      </c>
      <c r="B843" s="2" t="str">
        <f>IFERROR(__xludf.DUMMYFUNCTION("""COMPUTED_VALUE"""),"COLORADO SPRINGS    11")</f>
        <v>COLORADO SPRINGS    11</v>
      </c>
      <c r="C843" s="2" t="str">
        <f>IFERROR(__xludf.DUMMYFUNCTION("""COMPUTED_VALUE"""),"01340")</f>
        <v>01340</v>
      </c>
      <c r="D843" s="2" t="str">
        <f>IFERROR(__xludf.DUMMYFUNCTION("""COMPUTED_VALUE"""),"CARVER ELEMENTARY SCHOOL")</f>
        <v>CARVER ELEMENTARY SCHOOL</v>
      </c>
      <c r="E843" s="3" t="str">
        <f>IFERROR(__xludf.DUMMYFUNCTION("""COMPUTED_VALUE"""),"Y")</f>
        <v>Y</v>
      </c>
      <c r="F843" s="3" t="str">
        <f>IFERROR(__xludf.DUMMYFUNCTION("""COMPUTED_VALUE"""),"Y")</f>
        <v>Y</v>
      </c>
      <c r="G843" s="3" t="str">
        <f>IFERROR(__xludf.DUMMYFUNCTION("""COMPUTED_VALUE"""),"Y")</f>
        <v>Y</v>
      </c>
      <c r="H843" s="3"/>
      <c r="I843" s="3" t="str">
        <f>IFERROR(__xludf.DUMMYFUNCTION("""COMPUTED_VALUE""")," ")</f>
        <v> </v>
      </c>
      <c r="J843" s="3" t="str">
        <f>IFERROR(__xludf.DUMMYFUNCTION("""COMPUTED_VALUE"""),"Y")</f>
        <v>Y</v>
      </c>
      <c r="K843" s="3" t="str">
        <f>IFERROR(__xludf.DUMMYFUNCTION("""COMPUTED_VALUE"""),"Y")</f>
        <v>Y</v>
      </c>
      <c r="L843" s="3" t="str">
        <f>IFERROR(__xludf.DUMMYFUNCTION("""COMPUTED_VALUE"""),"Group 11")</f>
        <v>Group 11</v>
      </c>
      <c r="M843" s="3"/>
      <c r="N843" s="5" t="str">
        <f>IFERROR(__xludf.DUMMYFUNCTION("""COMPUTED_VALUE"""),"Y")</f>
        <v>Y</v>
      </c>
      <c r="O843" s="5"/>
    </row>
    <row r="844">
      <c r="A844" s="2" t="str">
        <f>IFERROR(__xludf.DUMMYFUNCTION("""COMPUTED_VALUE"""),"1010")</f>
        <v>1010</v>
      </c>
      <c r="B844" s="2" t="str">
        <f>IFERROR(__xludf.DUMMYFUNCTION("""COMPUTED_VALUE"""),"COLORADO SPRINGS    11")</f>
        <v>COLORADO SPRINGS    11</v>
      </c>
      <c r="C844" s="2" t="str">
        <f>IFERROR(__xludf.DUMMYFUNCTION("""COMPUTED_VALUE"""),"01582")</f>
        <v>01582</v>
      </c>
      <c r="D844" s="2" t="str">
        <f>IFERROR(__xludf.DUMMYFUNCTION("""COMPUTED_VALUE"""),"Vanguard Elementary")</f>
        <v>Vanguard Elementary</v>
      </c>
      <c r="E844" s="3"/>
      <c r="F844" s="3" t="str">
        <f>IFERROR(__xludf.DUMMYFUNCTION("""COMPUTED_VALUE"""),"Y")</f>
        <v>Y</v>
      </c>
      <c r="G844" s="3"/>
      <c r="H844" s="3"/>
      <c r="I844" s="3" t="str">
        <f>IFERROR(__xludf.DUMMYFUNCTION("""COMPUTED_VALUE""")," ")</f>
        <v> </v>
      </c>
      <c r="J844" s="3" t="str">
        <f>IFERROR(__xludf.DUMMYFUNCTION("""COMPUTED_VALUE""")," ")</f>
        <v> </v>
      </c>
      <c r="K844" s="3" t="str">
        <f>IFERROR(__xludf.DUMMYFUNCTION("""COMPUTED_VALUE"""),"Y")</f>
        <v>Y</v>
      </c>
      <c r="L844" s="3" t="str">
        <f>IFERROR(__xludf.DUMMYFUNCTION("""COMPUTED_VALUE""")," ")</f>
        <v> </v>
      </c>
      <c r="M844" s="3"/>
      <c r="N844" s="5" t="str">
        <f>IFERROR(__xludf.DUMMYFUNCTION("""COMPUTED_VALUE""")," ")</f>
        <v> </v>
      </c>
      <c r="O844" s="5"/>
    </row>
    <row r="845">
      <c r="A845" s="2" t="str">
        <f>IFERROR(__xludf.DUMMYFUNCTION("""COMPUTED_VALUE"""),"1010")</f>
        <v>1010</v>
      </c>
      <c r="B845" s="2" t="str">
        <f>IFERROR(__xludf.DUMMYFUNCTION("""COMPUTED_VALUE"""),"COLORADO SPRINGS    11")</f>
        <v>COLORADO SPRINGS    11</v>
      </c>
      <c r="C845" s="2" t="str">
        <f>IFERROR(__xludf.DUMMYFUNCTION("""COMPUTED_VALUE"""),"01613")</f>
        <v>01613</v>
      </c>
      <c r="D845" s="2" t="str">
        <f>IFERROR(__xludf.DUMMYFUNCTION("""COMPUTED_VALUE"""),"CHIPETA ELEMENTARY SCHOOL")</f>
        <v>CHIPETA ELEMENTARY SCHOOL</v>
      </c>
      <c r="E845" s="3"/>
      <c r="F845" s="3" t="str">
        <f>IFERROR(__xludf.DUMMYFUNCTION("""COMPUTED_VALUE"""),"Y")</f>
        <v>Y</v>
      </c>
      <c r="G845" s="3"/>
      <c r="H845" s="3"/>
      <c r="I845" s="3" t="str">
        <f>IFERROR(__xludf.DUMMYFUNCTION("""COMPUTED_VALUE""")," ")</f>
        <v> </v>
      </c>
      <c r="J845" s="3" t="str">
        <f>IFERROR(__xludf.DUMMYFUNCTION("""COMPUTED_VALUE""")," ")</f>
        <v> </v>
      </c>
      <c r="K845" s="3" t="str">
        <f>IFERROR(__xludf.DUMMYFUNCTION("""COMPUTED_VALUE"""),"Y")</f>
        <v>Y</v>
      </c>
      <c r="L845" s="3" t="str">
        <f>IFERROR(__xludf.DUMMYFUNCTION("""COMPUTED_VALUE""")," ")</f>
        <v> </v>
      </c>
      <c r="M845" s="3"/>
      <c r="N845" s="5" t="str">
        <f>IFERROR(__xludf.DUMMYFUNCTION("""COMPUTED_VALUE""")," ")</f>
        <v> </v>
      </c>
      <c r="O845" s="5"/>
    </row>
    <row r="846">
      <c r="A846" s="2" t="str">
        <f>IFERROR(__xludf.DUMMYFUNCTION("""COMPUTED_VALUE"""),"1010")</f>
        <v>1010</v>
      </c>
      <c r="B846" s="2" t="str">
        <f>IFERROR(__xludf.DUMMYFUNCTION("""COMPUTED_VALUE"""),"COLORADO SPRINGS    11")</f>
        <v>COLORADO SPRINGS    11</v>
      </c>
      <c r="C846" s="2" t="str">
        <f>IFERROR(__xludf.DUMMYFUNCTION("""COMPUTED_VALUE"""),"01616")</f>
        <v>01616</v>
      </c>
      <c r="D846" s="2" t="str">
        <f>IFERROR(__xludf.DUMMYFUNCTION("""COMPUTED_VALUE"""),"CIVA CHARTER SCHOOL")</f>
        <v>CIVA CHARTER SCHOOL</v>
      </c>
      <c r="E846" s="3" t="str">
        <f>IFERROR(__xludf.DUMMYFUNCTION("""COMPUTED_VALUE"""),"Y")</f>
        <v>Y</v>
      </c>
      <c r="F846" s="3" t="str">
        <f>IFERROR(__xludf.DUMMYFUNCTION("""COMPUTED_VALUE"""),"Y")</f>
        <v>Y</v>
      </c>
      <c r="G846" s="3"/>
      <c r="H846" s="3"/>
      <c r="I846" s="3" t="str">
        <f>IFERROR(__xludf.DUMMYFUNCTION("""COMPUTED_VALUE""")," ")</f>
        <v> </v>
      </c>
      <c r="J846" s="3" t="str">
        <f>IFERROR(__xludf.DUMMYFUNCTION("""COMPUTED_VALUE""")," ")</f>
        <v> </v>
      </c>
      <c r="K846" s="3" t="str">
        <f>IFERROR(__xludf.DUMMYFUNCTION("""COMPUTED_VALUE"""),"Y")</f>
        <v>Y</v>
      </c>
      <c r="L846" s="3" t="str">
        <f>IFERROR(__xludf.DUMMYFUNCTION("""COMPUTED_VALUE""")," ")</f>
        <v> </v>
      </c>
      <c r="M846" s="3"/>
      <c r="N846" s="5" t="str">
        <f>IFERROR(__xludf.DUMMYFUNCTION("""COMPUTED_VALUE""")," ")</f>
        <v> </v>
      </c>
      <c r="O846" s="5"/>
    </row>
    <row r="847">
      <c r="A847" s="2" t="str">
        <f>IFERROR(__xludf.DUMMYFUNCTION("""COMPUTED_VALUE"""),"1010")</f>
        <v>1010</v>
      </c>
      <c r="B847" s="2" t="str">
        <f>IFERROR(__xludf.DUMMYFUNCTION("""COMPUTED_VALUE"""),"COLORADO SPRINGS    11")</f>
        <v>COLORADO SPRINGS    11</v>
      </c>
      <c r="C847" s="2" t="str">
        <f>IFERROR(__xludf.DUMMYFUNCTION("""COMPUTED_VALUE"""),"01625")</f>
        <v>01625</v>
      </c>
      <c r="D847" s="2" t="str">
        <f>IFERROR(__xludf.DUMMYFUNCTION("""COMPUTED_VALUE"""),"MCAULIFFE ELEMENTARY")</f>
        <v>MCAULIFFE ELEMENTARY</v>
      </c>
      <c r="E847" s="3" t="str">
        <f>IFERROR(__xludf.DUMMYFUNCTION("""COMPUTED_VALUE"""),"Y")</f>
        <v>Y</v>
      </c>
      <c r="F847" s="3" t="str">
        <f>IFERROR(__xludf.DUMMYFUNCTION("""COMPUTED_VALUE"""),"Y")</f>
        <v>Y</v>
      </c>
      <c r="G847" s="3"/>
      <c r="H847" s="3"/>
      <c r="I847" s="3" t="str">
        <f>IFERROR(__xludf.DUMMYFUNCTION("""COMPUTED_VALUE""")," ")</f>
        <v> </v>
      </c>
      <c r="J847" s="3" t="str">
        <f>IFERROR(__xludf.DUMMYFUNCTION("""COMPUTED_VALUE""")," ")</f>
        <v> </v>
      </c>
      <c r="K847" s="3" t="str">
        <f>IFERROR(__xludf.DUMMYFUNCTION("""COMPUTED_VALUE"""),"Y")</f>
        <v>Y</v>
      </c>
      <c r="L847" s="3" t="str">
        <f>IFERROR(__xludf.DUMMYFUNCTION("""COMPUTED_VALUE"""),"Group 1")</f>
        <v>Group 1</v>
      </c>
      <c r="M847" s="3"/>
      <c r="N847" s="5" t="str">
        <f>IFERROR(__xludf.DUMMYFUNCTION("""COMPUTED_VALUE""")," ")</f>
        <v> </v>
      </c>
      <c r="O847" s="5"/>
    </row>
    <row r="848">
      <c r="A848" s="2" t="str">
        <f>IFERROR(__xludf.DUMMYFUNCTION("""COMPUTED_VALUE"""),"1010")</f>
        <v>1010</v>
      </c>
      <c r="B848" s="2" t="str">
        <f>IFERROR(__xludf.DUMMYFUNCTION("""COMPUTED_VALUE"""),"COLORADO SPRINGS    11")</f>
        <v>COLORADO SPRINGS    11</v>
      </c>
      <c r="C848" s="2" t="str">
        <f>IFERROR(__xludf.DUMMYFUNCTION("""COMPUTED_VALUE"""),"01791")</f>
        <v>01791</v>
      </c>
      <c r="D848" s="2" t="str">
        <f>IFERROR(__xludf.DUMMYFUNCTION("""COMPUTED_VALUE"""),"Colorado Springs Charter Academy")</f>
        <v>Colorado Springs Charter Academy</v>
      </c>
      <c r="E848" s="3"/>
      <c r="F848" s="3" t="str">
        <f>IFERROR(__xludf.DUMMYFUNCTION("""COMPUTED_VALUE"""),"Y")</f>
        <v>Y</v>
      </c>
      <c r="G848" s="3"/>
      <c r="H848" s="3"/>
      <c r="I848" s="3" t="str">
        <f>IFERROR(__xludf.DUMMYFUNCTION("""COMPUTED_VALUE""")," ")</f>
        <v> </v>
      </c>
      <c r="J848" s="3" t="str">
        <f>IFERROR(__xludf.DUMMYFUNCTION("""COMPUTED_VALUE""")," ")</f>
        <v> </v>
      </c>
      <c r="K848" s="3" t="str">
        <f>IFERROR(__xludf.DUMMYFUNCTION("""COMPUTED_VALUE"""),"Y")</f>
        <v>Y</v>
      </c>
      <c r="L848" s="3" t="str">
        <f>IFERROR(__xludf.DUMMYFUNCTION("""COMPUTED_VALUE""")," ")</f>
        <v> </v>
      </c>
      <c r="M848" s="3"/>
      <c r="N848" s="5" t="str">
        <f>IFERROR(__xludf.DUMMYFUNCTION("""COMPUTED_VALUE""")," ")</f>
        <v> </v>
      </c>
      <c r="O848" s="5"/>
    </row>
    <row r="849">
      <c r="A849" s="2" t="str">
        <f>IFERROR(__xludf.DUMMYFUNCTION("""COMPUTED_VALUE"""),"1010")</f>
        <v>1010</v>
      </c>
      <c r="B849" s="2" t="str">
        <f>IFERROR(__xludf.DUMMYFUNCTION("""COMPUTED_VALUE"""),"COLORADO SPRINGS    11")</f>
        <v>COLORADO SPRINGS    11</v>
      </c>
      <c r="C849" s="2" t="str">
        <f>IFERROR(__xludf.DUMMYFUNCTION("""COMPUTED_VALUE"""),"01798")</f>
        <v>01798</v>
      </c>
      <c r="D849" s="2" t="str">
        <f>IFERROR(__xludf.DUMMYFUNCTION("""COMPUTED_VALUE"""),"COLUMBIA ELEMENTARY SCHOOL")</f>
        <v>COLUMBIA ELEMENTARY SCHOOL</v>
      </c>
      <c r="E849" s="3" t="str">
        <f>IFERROR(__xludf.DUMMYFUNCTION("""COMPUTED_VALUE"""),"Y")</f>
        <v>Y</v>
      </c>
      <c r="F849" s="3" t="str">
        <f>IFERROR(__xludf.DUMMYFUNCTION("""COMPUTED_VALUE"""),"Y")</f>
        <v>Y</v>
      </c>
      <c r="G849" s="3" t="str">
        <f>IFERROR(__xludf.DUMMYFUNCTION("""COMPUTED_VALUE"""),"Y")</f>
        <v>Y</v>
      </c>
      <c r="H849" s="3"/>
      <c r="I849" s="3" t="str">
        <f>IFERROR(__xludf.DUMMYFUNCTION("""COMPUTED_VALUE""")," ")</f>
        <v> </v>
      </c>
      <c r="J849" s="3" t="str">
        <f>IFERROR(__xludf.DUMMYFUNCTION("""COMPUTED_VALUE"""),"Y")</f>
        <v>Y</v>
      </c>
      <c r="K849" s="3" t="str">
        <f>IFERROR(__xludf.DUMMYFUNCTION("""COMPUTED_VALUE"""),"Y")</f>
        <v>Y</v>
      </c>
      <c r="L849" s="3" t="str">
        <f>IFERROR(__xludf.DUMMYFUNCTION("""COMPUTED_VALUE"""),"Group 11")</f>
        <v>Group 11</v>
      </c>
      <c r="M849" s="3"/>
      <c r="N849" s="5" t="str">
        <f>IFERROR(__xludf.DUMMYFUNCTION("""COMPUTED_VALUE""")," ")</f>
        <v> </v>
      </c>
      <c r="O849" s="5"/>
    </row>
    <row r="850">
      <c r="A850" s="2" t="str">
        <f>IFERROR(__xludf.DUMMYFUNCTION("""COMPUTED_VALUE"""),"1010")</f>
        <v>1010</v>
      </c>
      <c r="B850" s="2" t="str">
        <f>IFERROR(__xludf.DUMMYFUNCTION("""COMPUTED_VALUE"""),"COLORADO SPRINGS    11")</f>
        <v>COLORADO SPRINGS    11</v>
      </c>
      <c r="C850" s="2" t="str">
        <f>IFERROR(__xludf.DUMMYFUNCTION("""COMPUTED_VALUE"""),"01870")</f>
        <v>01870</v>
      </c>
      <c r="D850" s="2" t="str">
        <f>IFERROR(__xludf.DUMMYFUNCTION("""COMPUTED_VALUE"""),"CORONADO HIGH SCHOOL")</f>
        <v>CORONADO HIGH SCHOOL</v>
      </c>
      <c r="E850" s="3" t="str">
        <f>IFERROR(__xludf.DUMMYFUNCTION("""COMPUTED_VALUE"""),"Y")</f>
        <v>Y</v>
      </c>
      <c r="F850" s="3" t="str">
        <f>IFERROR(__xludf.DUMMYFUNCTION("""COMPUTED_VALUE"""),"Y")</f>
        <v>Y</v>
      </c>
      <c r="G850" s="3"/>
      <c r="H850" s="3"/>
      <c r="I850" s="3" t="str">
        <f>IFERROR(__xludf.DUMMYFUNCTION("""COMPUTED_VALUE""")," ")</f>
        <v> </v>
      </c>
      <c r="J850" s="3" t="str">
        <f>IFERROR(__xludf.DUMMYFUNCTION("""COMPUTED_VALUE""")," ")</f>
        <v> </v>
      </c>
      <c r="K850" s="3" t="str">
        <f>IFERROR(__xludf.DUMMYFUNCTION("""COMPUTED_VALUE"""),"Y")</f>
        <v>Y</v>
      </c>
      <c r="L850" s="3" t="str">
        <f>IFERROR(__xludf.DUMMYFUNCTION("""COMPUTED_VALUE""")," ")</f>
        <v> </v>
      </c>
      <c r="M850" s="3"/>
      <c r="N850" s="5" t="str">
        <f>IFERROR(__xludf.DUMMYFUNCTION("""COMPUTED_VALUE"""),"Y")</f>
        <v>Y</v>
      </c>
      <c r="O850" s="5"/>
    </row>
    <row r="851">
      <c r="A851" s="2" t="str">
        <f>IFERROR(__xludf.DUMMYFUNCTION("""COMPUTED_VALUE"""),"1010")</f>
        <v>1010</v>
      </c>
      <c r="B851" s="2" t="str">
        <f>IFERROR(__xludf.DUMMYFUNCTION("""COMPUTED_VALUE"""),"COLORADO SPRINGS    11")</f>
        <v>COLORADO SPRINGS    11</v>
      </c>
      <c r="C851" s="2" t="str">
        <f>IFERROR(__xludf.DUMMYFUNCTION("""COMPUTED_VALUE"""),"01892")</f>
        <v>01892</v>
      </c>
      <c r="D851" s="2" t="str">
        <f>IFERROR(__xludf.DUMMYFUNCTION("""COMPUTED_VALUE"""),"Orton Academy")</f>
        <v>Orton Academy</v>
      </c>
      <c r="E851" s="3"/>
      <c r="F851" s="3" t="str">
        <f>IFERROR(__xludf.DUMMYFUNCTION("""COMPUTED_VALUE"""),"Y")</f>
        <v>Y</v>
      </c>
      <c r="G851" s="3"/>
      <c r="H851" s="3"/>
      <c r="I851" s="3" t="str">
        <f>IFERROR(__xludf.DUMMYFUNCTION("""COMPUTED_VALUE""")," ")</f>
        <v> </v>
      </c>
      <c r="J851" s="3" t="str">
        <f>IFERROR(__xludf.DUMMYFUNCTION("""COMPUTED_VALUE""")," ")</f>
        <v> </v>
      </c>
      <c r="K851" s="3" t="str">
        <f>IFERROR(__xludf.DUMMYFUNCTION("""COMPUTED_VALUE"""),"Y")</f>
        <v>Y</v>
      </c>
      <c r="L851" s="3" t="str">
        <f>IFERROR(__xludf.DUMMYFUNCTION("""COMPUTED_VALUE""")," ")</f>
        <v> </v>
      </c>
      <c r="M851" s="3"/>
      <c r="N851" s="5" t="str">
        <f>IFERROR(__xludf.DUMMYFUNCTION("""COMPUTED_VALUE""")," ")</f>
        <v> </v>
      </c>
      <c r="O851" s="5"/>
    </row>
    <row r="852">
      <c r="A852" s="2" t="str">
        <f>IFERROR(__xludf.DUMMYFUNCTION("""COMPUTED_VALUE"""),"1010")</f>
        <v>1010</v>
      </c>
      <c r="B852" s="2" t="str">
        <f>IFERROR(__xludf.DUMMYFUNCTION("""COMPUTED_VALUE"""),"COLORADO SPRINGS    11")</f>
        <v>COLORADO SPRINGS    11</v>
      </c>
      <c r="C852" s="2" t="str">
        <f>IFERROR(__xludf.DUMMYFUNCTION("""COMPUTED_VALUE"""),"02202")</f>
        <v>02202</v>
      </c>
      <c r="D852" s="2" t="str">
        <f>IFERROR(__xludf.DUMMYFUNCTION("""COMPUTED_VALUE"""),"DOHERTY HIGH SCHOOL")</f>
        <v>DOHERTY HIGH SCHOOL</v>
      </c>
      <c r="E852" s="3" t="str">
        <f>IFERROR(__xludf.DUMMYFUNCTION("""COMPUTED_VALUE"""),"Y")</f>
        <v>Y</v>
      </c>
      <c r="F852" s="3" t="str">
        <f>IFERROR(__xludf.DUMMYFUNCTION("""COMPUTED_VALUE"""),"Y")</f>
        <v>Y</v>
      </c>
      <c r="G852" s="3"/>
      <c r="H852" s="3"/>
      <c r="I852" s="3" t="str">
        <f>IFERROR(__xludf.DUMMYFUNCTION("""COMPUTED_VALUE""")," ")</f>
        <v> </v>
      </c>
      <c r="J852" s="3" t="str">
        <f>IFERROR(__xludf.DUMMYFUNCTION("""COMPUTED_VALUE""")," ")</f>
        <v> </v>
      </c>
      <c r="K852" s="3" t="str">
        <f>IFERROR(__xludf.DUMMYFUNCTION("""COMPUTED_VALUE"""),"Y")</f>
        <v>Y</v>
      </c>
      <c r="L852" s="3" t="str">
        <f>IFERROR(__xludf.DUMMYFUNCTION("""COMPUTED_VALUE"""),"Group 1")</f>
        <v>Group 1</v>
      </c>
      <c r="M852" s="3"/>
      <c r="N852" s="5" t="str">
        <f>IFERROR(__xludf.DUMMYFUNCTION("""COMPUTED_VALUE"""),"Y")</f>
        <v>Y</v>
      </c>
      <c r="O852" s="5"/>
    </row>
    <row r="853">
      <c r="A853" s="2" t="str">
        <f>IFERROR(__xludf.DUMMYFUNCTION("""COMPUTED_VALUE"""),"1010")</f>
        <v>1010</v>
      </c>
      <c r="B853" s="2" t="str">
        <f>IFERROR(__xludf.DUMMYFUNCTION("""COMPUTED_VALUE"""),"COLORADO SPRINGS    11")</f>
        <v>COLORADO SPRINGS    11</v>
      </c>
      <c r="C853" s="2" t="str">
        <f>IFERROR(__xludf.DUMMYFUNCTION("""COMPUTED_VALUE"""),"02400")</f>
        <v>02400</v>
      </c>
      <c r="D853" s="2" t="str">
        <f>IFERROR(__xludf.DUMMYFUNCTION("""COMPUTED_VALUE"""),"ODYSSEY EARLY COLLEGE AND CAREER OPTIONS")</f>
        <v>ODYSSEY EARLY COLLEGE AND CAREER OPTIONS</v>
      </c>
      <c r="E853" s="3" t="str">
        <f>IFERROR(__xludf.DUMMYFUNCTION("""COMPUTED_VALUE"""),"Y")</f>
        <v>Y</v>
      </c>
      <c r="F853" s="3" t="str">
        <f>IFERROR(__xludf.DUMMYFUNCTION("""COMPUTED_VALUE"""),"Y")</f>
        <v>Y</v>
      </c>
      <c r="G853" s="3"/>
      <c r="H853" s="3"/>
      <c r="I853" s="3" t="str">
        <f>IFERROR(__xludf.DUMMYFUNCTION("""COMPUTED_VALUE""")," ")</f>
        <v> </v>
      </c>
      <c r="J853" s="3" t="str">
        <f>IFERROR(__xludf.DUMMYFUNCTION("""COMPUTED_VALUE""")," ")</f>
        <v> </v>
      </c>
      <c r="K853" s="3" t="str">
        <f>IFERROR(__xludf.DUMMYFUNCTION("""COMPUTED_VALUE"""),"Y")</f>
        <v>Y</v>
      </c>
      <c r="L853" s="3" t="str">
        <f>IFERROR(__xludf.DUMMYFUNCTION("""COMPUTED_VALUE"""),"Group 4")</f>
        <v>Group 4</v>
      </c>
      <c r="M853" s="3"/>
      <c r="N853" s="5" t="str">
        <f>IFERROR(__xludf.DUMMYFUNCTION("""COMPUTED_VALUE""")," ")</f>
        <v> </v>
      </c>
      <c r="O853" s="5"/>
    </row>
    <row r="854">
      <c r="A854" s="2" t="str">
        <f>IFERROR(__xludf.DUMMYFUNCTION("""COMPUTED_VALUE"""),"1010")</f>
        <v>1010</v>
      </c>
      <c r="B854" s="2" t="str">
        <f>IFERROR(__xludf.DUMMYFUNCTION("""COMPUTED_VALUE"""),"COLORADO SPRINGS    11")</f>
        <v>COLORADO SPRINGS    11</v>
      </c>
      <c r="C854" s="2" t="str">
        <f>IFERROR(__xludf.DUMMYFUNCTION("""COMPUTED_VALUE"""),"02510")</f>
        <v>02510</v>
      </c>
      <c r="D854" s="2" t="str">
        <f>IFERROR(__xludf.DUMMYFUNCTION("""COMPUTED_VALUE"""),"EDISON ELEMENTARY SCHOOL")</f>
        <v>EDISON ELEMENTARY SCHOOL</v>
      </c>
      <c r="E854" s="3" t="str">
        <f>IFERROR(__xludf.DUMMYFUNCTION("""COMPUTED_VALUE"""),"Y")</f>
        <v>Y</v>
      </c>
      <c r="F854" s="3" t="str">
        <f>IFERROR(__xludf.DUMMYFUNCTION("""COMPUTED_VALUE"""),"Y")</f>
        <v>Y</v>
      </c>
      <c r="G854" s="3"/>
      <c r="H854" s="3"/>
      <c r="I854" s="3" t="str">
        <f>IFERROR(__xludf.DUMMYFUNCTION("""COMPUTED_VALUE""")," ")</f>
        <v> </v>
      </c>
      <c r="J854" s="3" t="str">
        <f>IFERROR(__xludf.DUMMYFUNCTION("""COMPUTED_VALUE"""),"Y")</f>
        <v>Y</v>
      </c>
      <c r="K854" s="3" t="str">
        <f>IFERROR(__xludf.DUMMYFUNCTION("""COMPUTED_VALUE"""),"Y")</f>
        <v>Y</v>
      </c>
      <c r="L854" s="3" t="str">
        <f>IFERROR(__xludf.DUMMYFUNCTION("""COMPUTED_VALUE"""),"Group 11")</f>
        <v>Group 11</v>
      </c>
      <c r="M854" s="3"/>
      <c r="N854" s="5" t="str">
        <f>IFERROR(__xludf.DUMMYFUNCTION("""COMPUTED_VALUE""")," ")</f>
        <v> </v>
      </c>
      <c r="O854" s="5"/>
    </row>
    <row r="855">
      <c r="A855" s="2" t="str">
        <f>IFERROR(__xludf.DUMMYFUNCTION("""COMPUTED_VALUE"""),"1010")</f>
        <v>1010</v>
      </c>
      <c r="B855" s="2" t="str">
        <f>IFERROR(__xludf.DUMMYFUNCTION("""COMPUTED_VALUE"""),"COLORADO SPRINGS    11")</f>
        <v>COLORADO SPRINGS    11</v>
      </c>
      <c r="C855" s="2" t="str">
        <f>IFERROR(__xludf.DUMMYFUNCTION("""COMPUTED_VALUE"""),"02528")</f>
        <v>02528</v>
      </c>
      <c r="D855" s="2" t="str">
        <f>IFERROR(__xludf.DUMMYFUNCTION("""COMPUTED_VALUE"""),"NIKOLA TESLA EDUCATION OPPORTUNITY CENTER")</f>
        <v>NIKOLA TESLA EDUCATION OPPORTUNITY CENTER</v>
      </c>
      <c r="E855" s="3" t="str">
        <f>IFERROR(__xludf.DUMMYFUNCTION("""COMPUTED_VALUE"""),"Y")</f>
        <v>Y</v>
      </c>
      <c r="F855" s="3" t="str">
        <f>IFERROR(__xludf.DUMMYFUNCTION("""COMPUTED_VALUE"""),"Y")</f>
        <v>Y</v>
      </c>
      <c r="G855" s="3"/>
      <c r="H855" s="3"/>
      <c r="I855" s="3" t="str">
        <f>IFERROR(__xludf.DUMMYFUNCTION("""COMPUTED_VALUE""")," ")</f>
        <v> </v>
      </c>
      <c r="J855" s="3" t="str">
        <f>IFERROR(__xludf.DUMMYFUNCTION("""COMPUTED_VALUE"""),"Y")</f>
        <v>Y</v>
      </c>
      <c r="K855" s="3" t="str">
        <f>IFERROR(__xludf.DUMMYFUNCTION("""COMPUTED_VALUE"""),"Y")</f>
        <v>Y</v>
      </c>
      <c r="L855" s="3" t="str">
        <f>IFERROR(__xludf.DUMMYFUNCTION("""COMPUTED_VALUE"""),"Group 1")</f>
        <v>Group 1</v>
      </c>
      <c r="M855" s="3"/>
      <c r="N855" s="5" t="str">
        <f>IFERROR(__xludf.DUMMYFUNCTION("""COMPUTED_VALUE"""),"Y")</f>
        <v>Y</v>
      </c>
      <c r="O855" s="5"/>
    </row>
    <row r="856">
      <c r="A856" s="2" t="str">
        <f>IFERROR(__xludf.DUMMYFUNCTION("""COMPUTED_VALUE"""),"1010")</f>
        <v>1010</v>
      </c>
      <c r="B856" s="2" t="str">
        <f>IFERROR(__xludf.DUMMYFUNCTION("""COMPUTED_VALUE"""),"COLORADO SPRINGS    11")</f>
        <v>COLORADO SPRINGS    11</v>
      </c>
      <c r="C856" s="2" t="str">
        <f>IFERROR(__xludf.DUMMYFUNCTION("""COMPUTED_VALUE"""),"03175")</f>
        <v>03175</v>
      </c>
      <c r="D856" s="2" t="str">
        <f>IFERROR(__xludf.DUMMYFUNCTION("""COMPUTED_VALUE"""),"FREEDOM ELEMENTARY SCHOOL")</f>
        <v>FREEDOM ELEMENTARY SCHOOL</v>
      </c>
      <c r="E856" s="3"/>
      <c r="F856" s="3" t="str">
        <f>IFERROR(__xludf.DUMMYFUNCTION("""COMPUTED_VALUE"""),"Y")</f>
        <v>Y</v>
      </c>
      <c r="G856" s="3"/>
      <c r="H856" s="3"/>
      <c r="I856" s="3" t="str">
        <f>IFERROR(__xludf.DUMMYFUNCTION("""COMPUTED_VALUE""")," ")</f>
        <v> </v>
      </c>
      <c r="J856" s="3" t="str">
        <f>IFERROR(__xludf.DUMMYFUNCTION("""COMPUTED_VALUE""")," ")</f>
        <v> </v>
      </c>
      <c r="K856" s="3" t="str">
        <f>IFERROR(__xludf.DUMMYFUNCTION("""COMPUTED_VALUE"""),"Y")</f>
        <v>Y</v>
      </c>
      <c r="L856" s="3" t="str">
        <f>IFERROR(__xludf.DUMMYFUNCTION("""COMPUTED_VALUE""")," ")</f>
        <v> </v>
      </c>
      <c r="M856" s="3"/>
      <c r="N856" s="5" t="str">
        <f>IFERROR(__xludf.DUMMYFUNCTION("""COMPUTED_VALUE""")," ")</f>
        <v> </v>
      </c>
      <c r="O856" s="5"/>
    </row>
    <row r="857">
      <c r="A857" s="2" t="str">
        <f>IFERROR(__xludf.DUMMYFUNCTION("""COMPUTED_VALUE"""),"1010")</f>
        <v>1010</v>
      </c>
      <c r="B857" s="2" t="str">
        <f>IFERROR(__xludf.DUMMYFUNCTION("""COMPUTED_VALUE"""),"COLORADO SPRINGS    11")</f>
        <v>COLORADO SPRINGS    11</v>
      </c>
      <c r="C857" s="2" t="str">
        <f>IFERROR(__xludf.DUMMYFUNCTION("""COMPUTED_VALUE"""),"03218")</f>
        <v>03218</v>
      </c>
      <c r="D857" s="2" t="str">
        <f>IFERROR(__xludf.DUMMYFUNCTION("""COMPUTED_VALUE"""),"FREMONT ELEMENTARY SCHOOL")</f>
        <v>FREMONT ELEMENTARY SCHOOL</v>
      </c>
      <c r="E857" s="3" t="str">
        <f>IFERROR(__xludf.DUMMYFUNCTION("""COMPUTED_VALUE"""),"Y")</f>
        <v>Y</v>
      </c>
      <c r="F857" s="3" t="str">
        <f>IFERROR(__xludf.DUMMYFUNCTION("""COMPUTED_VALUE"""),"Y")</f>
        <v>Y</v>
      </c>
      <c r="G857" s="3"/>
      <c r="H857" s="3"/>
      <c r="I857" s="3" t="str">
        <f>IFERROR(__xludf.DUMMYFUNCTION("""COMPUTED_VALUE""")," ")</f>
        <v> </v>
      </c>
      <c r="J857" s="3" t="str">
        <f>IFERROR(__xludf.DUMMYFUNCTION("""COMPUTED_VALUE""")," ")</f>
        <v> </v>
      </c>
      <c r="K857" s="3" t="str">
        <f>IFERROR(__xludf.DUMMYFUNCTION("""COMPUTED_VALUE"""),"Y")</f>
        <v>Y</v>
      </c>
      <c r="L857" s="3" t="str">
        <f>IFERROR(__xludf.DUMMYFUNCTION("""COMPUTED_VALUE"""),"Group 11")</f>
        <v>Group 11</v>
      </c>
      <c r="M857" s="3"/>
      <c r="N857" s="5" t="str">
        <f>IFERROR(__xludf.DUMMYFUNCTION("""COMPUTED_VALUE""")," ")</f>
        <v> </v>
      </c>
      <c r="O857" s="5"/>
    </row>
    <row r="858">
      <c r="A858" s="2" t="str">
        <f>IFERROR(__xludf.DUMMYFUNCTION("""COMPUTED_VALUE"""),"1010")</f>
        <v>1010</v>
      </c>
      <c r="B858" s="2" t="str">
        <f>IFERROR(__xludf.DUMMYFUNCTION("""COMPUTED_VALUE"""),"COLORADO SPRINGS    11")</f>
        <v>COLORADO SPRINGS    11</v>
      </c>
      <c r="C858" s="2" t="str">
        <f>IFERROR(__xludf.DUMMYFUNCTION("""COMPUTED_VALUE"""),"03326")</f>
        <v>03326</v>
      </c>
      <c r="D858" s="2" t="str">
        <f>IFERROR(__xludf.DUMMYFUNCTION("""COMPUTED_VALUE"""),"Colorado International Language Academy")</f>
        <v>Colorado International Language Academy</v>
      </c>
      <c r="E858" s="3" t="str">
        <f>IFERROR(__xludf.DUMMYFUNCTION("""COMPUTED_VALUE"""),"Y")</f>
        <v>Y</v>
      </c>
      <c r="F858" s="3" t="str">
        <f>IFERROR(__xludf.DUMMYFUNCTION("""COMPUTED_VALUE"""),"Y")</f>
        <v>Y</v>
      </c>
      <c r="G858" s="3"/>
      <c r="H858" s="3"/>
      <c r="I858" s="3" t="str">
        <f>IFERROR(__xludf.DUMMYFUNCTION("""COMPUTED_VALUE""")," ")</f>
        <v> </v>
      </c>
      <c r="J858" s="3" t="str">
        <f>IFERROR(__xludf.DUMMYFUNCTION("""COMPUTED_VALUE""")," ")</f>
        <v> </v>
      </c>
      <c r="K858" s="3" t="str">
        <f>IFERROR(__xludf.DUMMYFUNCTION("""COMPUTED_VALUE"""),"Y")</f>
        <v>Y</v>
      </c>
      <c r="L858" s="3" t="str">
        <f>IFERROR(__xludf.DUMMYFUNCTION("""COMPUTED_VALUE"""),"Group 1")</f>
        <v>Group 1</v>
      </c>
      <c r="M858" s="3"/>
      <c r="N858" s="5" t="str">
        <f>IFERROR(__xludf.DUMMYFUNCTION("""COMPUTED_VALUE""")," ")</f>
        <v> </v>
      </c>
      <c r="O858" s="5"/>
    </row>
    <row r="859">
      <c r="A859" s="2" t="str">
        <f>IFERROR(__xludf.DUMMYFUNCTION("""COMPUTED_VALUE"""),"1010")</f>
        <v>1010</v>
      </c>
      <c r="B859" s="2" t="str">
        <f>IFERROR(__xludf.DUMMYFUNCTION("""COMPUTED_VALUE"""),"COLORADO SPRINGS    11")</f>
        <v>COLORADO SPRINGS    11</v>
      </c>
      <c r="C859" s="2" t="str">
        <f>IFERROR(__xludf.DUMMYFUNCTION("""COMPUTED_VALUE"""),"03360")</f>
        <v>03360</v>
      </c>
      <c r="D859" s="2" t="str">
        <f>IFERROR(__xludf.DUMMYFUNCTION("""COMPUTED_VALUE"""),"GALILEO MIDDLE SCHOOL")</f>
        <v>GALILEO MIDDLE SCHOOL</v>
      </c>
      <c r="E859" s="3" t="str">
        <f>IFERROR(__xludf.DUMMYFUNCTION("""COMPUTED_VALUE"""),"Y")</f>
        <v>Y</v>
      </c>
      <c r="F859" s="3" t="str">
        <f>IFERROR(__xludf.DUMMYFUNCTION("""COMPUTED_VALUE"""),"Y")</f>
        <v>Y</v>
      </c>
      <c r="G859" s="3" t="str">
        <f>IFERROR(__xludf.DUMMYFUNCTION("""COMPUTED_VALUE"""),"Y")</f>
        <v>Y</v>
      </c>
      <c r="H859" s="3"/>
      <c r="I859" s="3" t="str">
        <f>IFERROR(__xludf.DUMMYFUNCTION("""COMPUTED_VALUE""")," ")</f>
        <v> </v>
      </c>
      <c r="J859" s="3" t="str">
        <f>IFERROR(__xludf.DUMMYFUNCTION("""COMPUTED_VALUE"""),"Y")</f>
        <v>Y</v>
      </c>
      <c r="K859" s="3" t="str">
        <f>IFERROR(__xludf.DUMMYFUNCTION("""COMPUTED_VALUE"""),"Y")</f>
        <v>Y</v>
      </c>
      <c r="L859" s="3" t="str">
        <f>IFERROR(__xludf.DUMMYFUNCTION("""COMPUTED_VALUE"""),"Group 11")</f>
        <v>Group 11</v>
      </c>
      <c r="M859" s="3"/>
      <c r="N859" s="5" t="str">
        <f>IFERROR(__xludf.DUMMYFUNCTION("""COMPUTED_VALUE""")," ")</f>
        <v> </v>
      </c>
      <c r="O859" s="5"/>
    </row>
    <row r="860">
      <c r="A860" s="2" t="str">
        <f>IFERROR(__xludf.DUMMYFUNCTION("""COMPUTED_VALUE"""),"1010")</f>
        <v>1010</v>
      </c>
      <c r="B860" s="2" t="str">
        <f>IFERROR(__xludf.DUMMYFUNCTION("""COMPUTED_VALUE"""),"COLORADO SPRINGS    11")</f>
        <v>COLORADO SPRINGS    11</v>
      </c>
      <c r="C860" s="2" t="str">
        <f>IFERROR(__xludf.DUMMYFUNCTION("""COMPUTED_VALUE"""),"03592")</f>
        <v>03592</v>
      </c>
      <c r="D860" s="2" t="str">
        <f>IFERROR(__xludf.DUMMYFUNCTION("""COMPUTED_VALUE"""),"GRANT ELEMENTARY SCHOOL")</f>
        <v>GRANT ELEMENTARY SCHOOL</v>
      </c>
      <c r="E860" s="3" t="str">
        <f>IFERROR(__xludf.DUMMYFUNCTION("""COMPUTED_VALUE"""),"Y")</f>
        <v>Y</v>
      </c>
      <c r="F860" s="3" t="str">
        <f>IFERROR(__xludf.DUMMYFUNCTION("""COMPUTED_VALUE"""),"Y")</f>
        <v>Y</v>
      </c>
      <c r="G860" s="3" t="str">
        <f>IFERROR(__xludf.DUMMYFUNCTION("""COMPUTED_VALUE"""),"Y")</f>
        <v>Y</v>
      </c>
      <c r="H860" s="3"/>
      <c r="I860" s="3" t="str">
        <f>IFERROR(__xludf.DUMMYFUNCTION("""COMPUTED_VALUE""")," ")</f>
        <v> </v>
      </c>
      <c r="J860" s="3" t="str">
        <f>IFERROR(__xludf.DUMMYFUNCTION("""COMPUTED_VALUE"""),"Y")</f>
        <v>Y</v>
      </c>
      <c r="K860" s="3" t="str">
        <f>IFERROR(__xludf.DUMMYFUNCTION("""COMPUTED_VALUE"""),"Y")</f>
        <v>Y</v>
      </c>
      <c r="L860" s="3" t="str">
        <f>IFERROR(__xludf.DUMMYFUNCTION("""COMPUTED_VALUE"""),"Group 11")</f>
        <v>Group 11</v>
      </c>
      <c r="M860" s="3"/>
      <c r="N860" s="5" t="str">
        <f>IFERROR(__xludf.DUMMYFUNCTION("""COMPUTED_VALUE"""),"Y")</f>
        <v>Y</v>
      </c>
      <c r="O860" s="5"/>
    </row>
    <row r="861">
      <c r="A861" s="2" t="str">
        <f>IFERROR(__xludf.DUMMYFUNCTION("""COMPUTED_VALUE"""),"1010")</f>
        <v>1010</v>
      </c>
      <c r="B861" s="2" t="str">
        <f>IFERROR(__xludf.DUMMYFUNCTION("""COMPUTED_VALUE"""),"COLORADO SPRINGS    11")</f>
        <v>COLORADO SPRINGS    11</v>
      </c>
      <c r="C861" s="2" t="str">
        <f>IFERROR(__xludf.DUMMYFUNCTION("""COMPUTED_VALUE"""),"03890")</f>
        <v>03890</v>
      </c>
      <c r="D861" s="2" t="str">
        <f>IFERROR(__xludf.DUMMYFUNCTION("""COMPUTED_VALUE"""),"Adams Elementary School")</f>
        <v>Adams Elementary School</v>
      </c>
      <c r="E861" s="3" t="str">
        <f>IFERROR(__xludf.DUMMYFUNCTION("""COMPUTED_VALUE"""),"Y")</f>
        <v>Y</v>
      </c>
      <c r="F861" s="3" t="str">
        <f>IFERROR(__xludf.DUMMYFUNCTION("""COMPUTED_VALUE"""),"Y")</f>
        <v>Y</v>
      </c>
      <c r="G861" s="3" t="str">
        <f>IFERROR(__xludf.DUMMYFUNCTION("""COMPUTED_VALUE"""),"Y")</f>
        <v>Y</v>
      </c>
      <c r="H861" s="3"/>
      <c r="I861" s="3" t="str">
        <f>IFERROR(__xludf.DUMMYFUNCTION("""COMPUTED_VALUE""")," ")</f>
        <v> </v>
      </c>
      <c r="J861" s="3" t="str">
        <f>IFERROR(__xludf.DUMMYFUNCTION("""COMPUTED_VALUE"""),"Y")</f>
        <v>Y</v>
      </c>
      <c r="K861" s="3" t="str">
        <f>IFERROR(__xludf.DUMMYFUNCTION("""COMPUTED_VALUE"""),"Y")</f>
        <v>Y</v>
      </c>
      <c r="L861" s="3" t="str">
        <f>IFERROR(__xludf.DUMMYFUNCTION("""COMPUTED_VALUE"""),"Group 10")</f>
        <v>Group 10</v>
      </c>
      <c r="M861" s="3"/>
      <c r="N861" s="5" t="str">
        <f>IFERROR(__xludf.DUMMYFUNCTION("""COMPUTED_VALUE""")," ")</f>
        <v> </v>
      </c>
      <c r="O861" s="5"/>
    </row>
    <row r="862">
      <c r="A862" s="2" t="str">
        <f>IFERROR(__xludf.DUMMYFUNCTION("""COMPUTED_VALUE"""),"1010")</f>
        <v>1010</v>
      </c>
      <c r="B862" s="2" t="str">
        <f>IFERROR(__xludf.DUMMYFUNCTION("""COMPUTED_VALUE"""),"COLORADO SPRINGS    11")</f>
        <v>COLORADO SPRINGS    11</v>
      </c>
      <c r="C862" s="2" t="str">
        <f>IFERROR(__xludf.DUMMYFUNCTION("""COMPUTED_VALUE"""),"03920")</f>
        <v>03920</v>
      </c>
      <c r="D862" s="2" t="str">
        <f>IFERROR(__xludf.DUMMYFUNCTION("""COMPUTED_VALUE"""),"HENRY ELEMENTARY SCHOOL")</f>
        <v>HENRY ELEMENTARY SCHOOL</v>
      </c>
      <c r="E862" s="3" t="str">
        <f>IFERROR(__xludf.DUMMYFUNCTION("""COMPUTED_VALUE"""),"Y")</f>
        <v>Y</v>
      </c>
      <c r="F862" s="3" t="str">
        <f>IFERROR(__xludf.DUMMYFUNCTION("""COMPUTED_VALUE"""),"Y")</f>
        <v>Y</v>
      </c>
      <c r="G862" s="3" t="str">
        <f>IFERROR(__xludf.DUMMYFUNCTION("""COMPUTED_VALUE"""),"Y")</f>
        <v>Y</v>
      </c>
      <c r="H862" s="3"/>
      <c r="I862" s="3" t="str">
        <f>IFERROR(__xludf.DUMMYFUNCTION("""COMPUTED_VALUE""")," ")</f>
        <v> </v>
      </c>
      <c r="J862" s="3" t="str">
        <f>IFERROR(__xludf.DUMMYFUNCTION("""COMPUTED_VALUE"""),"Y")</f>
        <v>Y</v>
      </c>
      <c r="K862" s="3" t="str">
        <f>IFERROR(__xludf.DUMMYFUNCTION("""COMPUTED_VALUE"""),"Y")</f>
        <v>Y</v>
      </c>
      <c r="L862" s="3" t="str">
        <f>IFERROR(__xludf.DUMMYFUNCTION("""COMPUTED_VALUE"""),"Group 11")</f>
        <v>Group 11</v>
      </c>
      <c r="M862" s="3"/>
      <c r="N862" s="5" t="str">
        <f>IFERROR(__xludf.DUMMYFUNCTION("""COMPUTED_VALUE"""),"Y")</f>
        <v>Y</v>
      </c>
      <c r="O862" s="5"/>
    </row>
    <row r="863">
      <c r="A863" s="2" t="str">
        <f>IFERROR(__xludf.DUMMYFUNCTION("""COMPUTED_VALUE"""),"1010")</f>
        <v>1010</v>
      </c>
      <c r="B863" s="2" t="str">
        <f>IFERROR(__xludf.DUMMYFUNCTION("""COMPUTED_VALUE"""),"COLORADO SPRINGS    11")</f>
        <v>COLORADO SPRINGS    11</v>
      </c>
      <c r="C863" s="2" t="str">
        <f>IFERROR(__xludf.DUMMYFUNCTION("""COMPUTED_VALUE"""),"04070")</f>
        <v>04070</v>
      </c>
      <c r="D863" s="2" t="str">
        <f>IFERROR(__xludf.DUMMYFUNCTION("""COMPUTED_VALUE"""),"HOLMES MIDDLE SCHOOL")</f>
        <v>HOLMES MIDDLE SCHOOL</v>
      </c>
      <c r="E863" s="3" t="str">
        <f>IFERROR(__xludf.DUMMYFUNCTION("""COMPUTED_VALUE"""),"Y")</f>
        <v>Y</v>
      </c>
      <c r="F863" s="3" t="str">
        <f>IFERROR(__xludf.DUMMYFUNCTION("""COMPUTED_VALUE"""),"Y")</f>
        <v>Y</v>
      </c>
      <c r="G863" s="3"/>
      <c r="H863" s="3"/>
      <c r="I863" s="3" t="str">
        <f>IFERROR(__xludf.DUMMYFUNCTION("""COMPUTED_VALUE""")," ")</f>
        <v> </v>
      </c>
      <c r="J863" s="3" t="str">
        <f>IFERROR(__xludf.DUMMYFUNCTION("""COMPUTED_VALUE""")," ")</f>
        <v> </v>
      </c>
      <c r="K863" s="3" t="str">
        <f>IFERROR(__xludf.DUMMYFUNCTION("""COMPUTED_VALUE"""),"Y")</f>
        <v>Y</v>
      </c>
      <c r="L863" s="3" t="str">
        <f>IFERROR(__xludf.DUMMYFUNCTION("""COMPUTED_VALUE""")," ")</f>
        <v> </v>
      </c>
      <c r="M863" s="3"/>
      <c r="N863" s="5" t="str">
        <f>IFERROR(__xludf.DUMMYFUNCTION("""COMPUTED_VALUE""")," ")</f>
        <v> </v>
      </c>
      <c r="O863" s="5"/>
    </row>
    <row r="864">
      <c r="A864" s="2" t="str">
        <f>IFERROR(__xludf.DUMMYFUNCTION("""COMPUTED_VALUE"""),"1010")</f>
        <v>1010</v>
      </c>
      <c r="B864" s="2" t="str">
        <f>IFERROR(__xludf.DUMMYFUNCTION("""COMPUTED_VALUE"""),"COLORADO SPRINGS    11")</f>
        <v>COLORADO SPRINGS    11</v>
      </c>
      <c r="C864" s="2" t="str">
        <f>IFERROR(__xludf.DUMMYFUNCTION("""COMPUTED_VALUE"""),"04090")</f>
        <v>04090</v>
      </c>
      <c r="D864" s="2" t="str">
        <f>IFERROR(__xludf.DUMMYFUNCTION("""COMPUTED_VALUE"""),"MANN MIDDLE SCHOOL")</f>
        <v>MANN MIDDLE SCHOOL</v>
      </c>
      <c r="E864" s="3" t="str">
        <f>IFERROR(__xludf.DUMMYFUNCTION("""COMPUTED_VALUE"""),"Y")</f>
        <v>Y</v>
      </c>
      <c r="F864" s="3" t="str">
        <f>IFERROR(__xludf.DUMMYFUNCTION("""COMPUTED_VALUE"""),"Y")</f>
        <v>Y</v>
      </c>
      <c r="G864" s="3" t="str">
        <f>IFERROR(__xludf.DUMMYFUNCTION("""COMPUTED_VALUE"""),"Y")</f>
        <v>Y</v>
      </c>
      <c r="H864" s="3"/>
      <c r="I864" s="3" t="str">
        <f>IFERROR(__xludf.DUMMYFUNCTION("""COMPUTED_VALUE""")," ")</f>
        <v> </v>
      </c>
      <c r="J864" s="3" t="str">
        <f>IFERROR(__xludf.DUMMYFUNCTION("""COMPUTED_VALUE"""),"Y")</f>
        <v>Y</v>
      </c>
      <c r="K864" s="3" t="str">
        <f>IFERROR(__xludf.DUMMYFUNCTION("""COMPUTED_VALUE"""),"Y")</f>
        <v>Y</v>
      </c>
      <c r="L864" s="3" t="str">
        <f>IFERROR(__xludf.DUMMYFUNCTION("""COMPUTED_VALUE"""),"Group 11")</f>
        <v>Group 11</v>
      </c>
      <c r="M864" s="3"/>
      <c r="N864" s="5" t="str">
        <f>IFERROR(__xludf.DUMMYFUNCTION("""COMPUTED_VALUE""")," ")</f>
        <v> </v>
      </c>
      <c r="O864" s="5"/>
    </row>
    <row r="865">
      <c r="A865" s="2" t="str">
        <f>IFERROR(__xludf.DUMMYFUNCTION("""COMPUTED_VALUE"""),"1010")</f>
        <v>1010</v>
      </c>
      <c r="B865" s="2" t="str">
        <f>IFERROR(__xludf.DUMMYFUNCTION("""COMPUTED_VALUE"""),"COLORADO SPRINGS    11")</f>
        <v>COLORADO SPRINGS    11</v>
      </c>
      <c r="C865" s="2" t="str">
        <f>IFERROR(__xludf.DUMMYFUNCTION("""COMPUTED_VALUE"""),"04138")</f>
        <v>04138</v>
      </c>
      <c r="D865" s="2" t="str">
        <f>IFERROR(__xludf.DUMMYFUNCTION("""COMPUTED_VALUE"""),"HOWBERT ELEMENTARY SCHOOL")</f>
        <v>HOWBERT ELEMENTARY SCHOOL</v>
      </c>
      <c r="E865" s="3"/>
      <c r="F865" s="3" t="str">
        <f>IFERROR(__xludf.DUMMYFUNCTION("""COMPUTED_VALUE"""),"Y")</f>
        <v>Y</v>
      </c>
      <c r="G865" s="3"/>
      <c r="H865" s="3"/>
      <c r="I865" s="3" t="str">
        <f>IFERROR(__xludf.DUMMYFUNCTION("""COMPUTED_VALUE""")," ")</f>
        <v> </v>
      </c>
      <c r="J865" s="3" t="str">
        <f>IFERROR(__xludf.DUMMYFUNCTION("""COMPUTED_VALUE""")," ")</f>
        <v> </v>
      </c>
      <c r="K865" s="3" t="str">
        <f>IFERROR(__xludf.DUMMYFUNCTION("""COMPUTED_VALUE"""),"Y")</f>
        <v>Y</v>
      </c>
      <c r="L865" s="3" t="str">
        <f>IFERROR(__xludf.DUMMYFUNCTION("""COMPUTED_VALUE""")," ")</f>
        <v> </v>
      </c>
      <c r="M865" s="3"/>
      <c r="N865" s="5" t="str">
        <f>IFERROR(__xludf.DUMMYFUNCTION("""COMPUTED_VALUE""")," ")</f>
        <v> </v>
      </c>
      <c r="O865" s="5"/>
    </row>
    <row r="866">
      <c r="A866" s="2" t="str">
        <f>IFERROR(__xludf.DUMMYFUNCTION("""COMPUTED_VALUE"""),"1010")</f>
        <v>1010</v>
      </c>
      <c r="B866" s="2" t="str">
        <f>IFERROR(__xludf.DUMMYFUNCTION("""COMPUTED_VALUE"""),"COLORADO SPRINGS    11")</f>
        <v>COLORADO SPRINGS    11</v>
      </c>
      <c r="C866" s="2" t="str">
        <f>IFERROR(__xludf.DUMMYFUNCTION("""COMPUTED_VALUE"""),"04358")</f>
        <v>04358</v>
      </c>
      <c r="D866" s="2" t="str">
        <f>IFERROR(__xludf.DUMMYFUNCTION("""COMPUTED_VALUE"""),"JACKSON ELEMENTARY SCHOOL")</f>
        <v>JACKSON ELEMENTARY SCHOOL</v>
      </c>
      <c r="E866" s="3" t="str">
        <f>IFERROR(__xludf.DUMMYFUNCTION("""COMPUTED_VALUE"""),"Y")</f>
        <v>Y</v>
      </c>
      <c r="F866" s="3" t="str">
        <f>IFERROR(__xludf.DUMMYFUNCTION("""COMPUTED_VALUE"""),"Y")</f>
        <v>Y</v>
      </c>
      <c r="G866" s="3" t="str">
        <f>IFERROR(__xludf.DUMMYFUNCTION("""COMPUTED_VALUE"""),"Y")</f>
        <v>Y</v>
      </c>
      <c r="H866" s="3"/>
      <c r="I866" s="3" t="str">
        <f>IFERROR(__xludf.DUMMYFUNCTION("""COMPUTED_VALUE""")," ")</f>
        <v> </v>
      </c>
      <c r="J866" s="3" t="str">
        <f>IFERROR(__xludf.DUMMYFUNCTION("""COMPUTED_VALUE"""),"Y")</f>
        <v>Y</v>
      </c>
      <c r="K866" s="3" t="str">
        <f>IFERROR(__xludf.DUMMYFUNCTION("""COMPUTED_VALUE"""),"Y")</f>
        <v>Y</v>
      </c>
      <c r="L866" s="3" t="str">
        <f>IFERROR(__xludf.DUMMYFUNCTION("""COMPUTED_VALUE"""),"Group 11")</f>
        <v>Group 11</v>
      </c>
      <c r="M866" s="3"/>
      <c r="N866" s="5" t="str">
        <f>IFERROR(__xludf.DUMMYFUNCTION("""COMPUTED_VALUE"""),"Y")</f>
        <v>Y</v>
      </c>
      <c r="O866" s="5"/>
    </row>
    <row r="867">
      <c r="A867" s="2" t="str">
        <f>IFERROR(__xludf.DUMMYFUNCTION("""COMPUTED_VALUE"""),"1010")</f>
        <v>1010</v>
      </c>
      <c r="B867" s="2" t="str">
        <f>IFERROR(__xludf.DUMMYFUNCTION("""COMPUTED_VALUE"""),"COLORADO SPRINGS    11")</f>
        <v>COLORADO SPRINGS    11</v>
      </c>
      <c r="C867" s="2" t="str">
        <f>IFERROR(__xludf.DUMMYFUNCTION("""COMPUTED_VALUE"""),"04378")</f>
        <v>04378</v>
      </c>
      <c r="D867" s="2" t="str">
        <f>IFERROR(__xludf.DUMMYFUNCTION("""COMPUTED_VALUE"""),"James Irwin Charter High School")</f>
        <v>James Irwin Charter High School</v>
      </c>
      <c r="E867" s="3"/>
      <c r="F867" s="3" t="str">
        <f>IFERROR(__xludf.DUMMYFUNCTION("""COMPUTED_VALUE"""),"Y")</f>
        <v>Y</v>
      </c>
      <c r="G867" s="3"/>
      <c r="H867" s="3"/>
      <c r="I867" s="3" t="str">
        <f>IFERROR(__xludf.DUMMYFUNCTION("""COMPUTED_VALUE""")," ")</f>
        <v> </v>
      </c>
      <c r="J867" s="3" t="str">
        <f>IFERROR(__xludf.DUMMYFUNCTION("""COMPUTED_VALUE""")," ")</f>
        <v> </v>
      </c>
      <c r="K867" s="3" t="str">
        <f>IFERROR(__xludf.DUMMYFUNCTION("""COMPUTED_VALUE"""),"Y")</f>
        <v>Y</v>
      </c>
      <c r="L867" s="3" t="str">
        <f>IFERROR(__xludf.DUMMYFUNCTION("""COMPUTED_VALUE""")," ")</f>
        <v> </v>
      </c>
      <c r="M867" s="3"/>
      <c r="N867" s="5" t="str">
        <f>IFERROR(__xludf.DUMMYFUNCTION("""COMPUTED_VALUE""")," ")</f>
        <v> </v>
      </c>
      <c r="O867" s="5"/>
    </row>
    <row r="868">
      <c r="A868" s="2" t="str">
        <f>IFERROR(__xludf.DUMMYFUNCTION("""COMPUTED_VALUE"""),"1010")</f>
        <v>1010</v>
      </c>
      <c r="B868" s="2" t="str">
        <f>IFERROR(__xludf.DUMMYFUNCTION("""COMPUTED_VALUE"""),"COLORADO SPRINGS    11")</f>
        <v>COLORADO SPRINGS    11</v>
      </c>
      <c r="C868" s="2" t="str">
        <f>IFERROR(__xludf.DUMMYFUNCTION("""COMPUTED_VALUE"""),"04379")</f>
        <v>04379</v>
      </c>
      <c r="D868" s="2" t="str">
        <f>IFERROR(__xludf.DUMMYFUNCTION("""COMPUTED_VALUE"""),"James Irwin Charter Middle School")</f>
        <v>James Irwin Charter Middle School</v>
      </c>
      <c r="E868" s="3"/>
      <c r="F868" s="3" t="str">
        <f>IFERROR(__xludf.DUMMYFUNCTION("""COMPUTED_VALUE"""),"Y")</f>
        <v>Y</v>
      </c>
      <c r="G868" s="3"/>
      <c r="H868" s="3"/>
      <c r="I868" s="3" t="str">
        <f>IFERROR(__xludf.DUMMYFUNCTION("""COMPUTED_VALUE""")," ")</f>
        <v> </v>
      </c>
      <c r="J868" s="3" t="str">
        <f>IFERROR(__xludf.DUMMYFUNCTION("""COMPUTED_VALUE""")," ")</f>
        <v> </v>
      </c>
      <c r="K868" s="3" t="str">
        <f>IFERROR(__xludf.DUMMYFUNCTION("""COMPUTED_VALUE"""),"Y")</f>
        <v>Y</v>
      </c>
      <c r="L868" s="3" t="str">
        <f>IFERROR(__xludf.DUMMYFUNCTION("""COMPUTED_VALUE""")," ")</f>
        <v> </v>
      </c>
      <c r="M868" s="3"/>
      <c r="N868" s="5" t="str">
        <f>IFERROR(__xludf.DUMMYFUNCTION("""COMPUTED_VALUE""")," ")</f>
        <v> </v>
      </c>
      <c r="O868" s="5"/>
    </row>
    <row r="869">
      <c r="A869" s="2" t="str">
        <f>IFERROR(__xludf.DUMMYFUNCTION("""COMPUTED_VALUE"""),"1010")</f>
        <v>1010</v>
      </c>
      <c r="B869" s="2" t="str">
        <f>IFERROR(__xludf.DUMMYFUNCTION("""COMPUTED_VALUE"""),"COLORADO SPRINGS    11")</f>
        <v>COLORADO SPRINGS    11</v>
      </c>
      <c r="C869" s="2" t="str">
        <f>IFERROR(__xludf.DUMMYFUNCTION("""COMPUTED_VALUE"""),"04380")</f>
        <v>04380</v>
      </c>
      <c r="D869" s="2" t="str">
        <f>IFERROR(__xludf.DUMMYFUNCTION("""COMPUTED_VALUE"""),"James Irwin Charter Elementary School")</f>
        <v>James Irwin Charter Elementary School</v>
      </c>
      <c r="E869" s="3"/>
      <c r="F869" s="3" t="str">
        <f>IFERROR(__xludf.DUMMYFUNCTION("""COMPUTED_VALUE"""),"Y")</f>
        <v>Y</v>
      </c>
      <c r="G869" s="3"/>
      <c r="H869" s="3"/>
      <c r="I869" s="3" t="str">
        <f>IFERROR(__xludf.DUMMYFUNCTION("""COMPUTED_VALUE""")," ")</f>
        <v> </v>
      </c>
      <c r="J869" s="3" t="str">
        <f>IFERROR(__xludf.DUMMYFUNCTION("""COMPUTED_VALUE""")," ")</f>
        <v> </v>
      </c>
      <c r="K869" s="3" t="str">
        <f>IFERROR(__xludf.DUMMYFUNCTION("""COMPUTED_VALUE"""),"Y")</f>
        <v>Y</v>
      </c>
      <c r="L869" s="3" t="str">
        <f>IFERROR(__xludf.DUMMYFUNCTION("""COMPUTED_VALUE""")," ")</f>
        <v> </v>
      </c>
      <c r="M869" s="3"/>
      <c r="N869" s="5" t="str">
        <f>IFERROR(__xludf.DUMMYFUNCTION("""COMPUTED_VALUE""")," ")</f>
        <v> </v>
      </c>
      <c r="O869" s="5"/>
    </row>
    <row r="870">
      <c r="A870" s="2" t="str">
        <f>IFERROR(__xludf.DUMMYFUNCTION("""COMPUTED_VALUE"""),"1010")</f>
        <v>1010</v>
      </c>
      <c r="B870" s="2" t="str">
        <f>IFERROR(__xludf.DUMMYFUNCTION("""COMPUTED_VALUE"""),"COLORADO SPRINGS    11")</f>
        <v>COLORADO SPRINGS    11</v>
      </c>
      <c r="C870" s="2" t="str">
        <f>IFERROR(__xludf.DUMMYFUNCTION("""COMPUTED_VALUE"""),"04403")</f>
        <v>04403</v>
      </c>
      <c r="D870" s="2" t="str">
        <f>IFERROR(__xludf.DUMMYFUNCTION("""COMPUTED_VALUE"""),"James Irwin Charter Academy")</f>
        <v>James Irwin Charter Academy</v>
      </c>
      <c r="E870" s="3"/>
      <c r="F870" s="3" t="str">
        <f>IFERROR(__xludf.DUMMYFUNCTION("""COMPUTED_VALUE"""),"Y")</f>
        <v>Y</v>
      </c>
      <c r="G870" s="3"/>
      <c r="H870" s="3"/>
      <c r="I870" s="3" t="str">
        <f>IFERROR(__xludf.DUMMYFUNCTION("""COMPUTED_VALUE""")," ")</f>
        <v> </v>
      </c>
      <c r="J870" s="3" t="str">
        <f>IFERROR(__xludf.DUMMYFUNCTION("""COMPUTED_VALUE""")," ")</f>
        <v> </v>
      </c>
      <c r="K870" s="3" t="str">
        <f>IFERROR(__xludf.DUMMYFUNCTION("""COMPUTED_VALUE"""),"Y")</f>
        <v>Y</v>
      </c>
      <c r="L870" s="3" t="str">
        <f>IFERROR(__xludf.DUMMYFUNCTION("""COMPUTED_VALUE""")," ")</f>
        <v> </v>
      </c>
      <c r="M870" s="3"/>
      <c r="N870" s="5" t="str">
        <f>IFERROR(__xludf.DUMMYFUNCTION("""COMPUTED_VALUE""")," ")</f>
        <v> </v>
      </c>
      <c r="O870" s="5"/>
    </row>
    <row r="871">
      <c r="A871" s="2" t="str">
        <f>IFERROR(__xludf.DUMMYFUNCTION("""COMPUTED_VALUE"""),"1010")</f>
        <v>1010</v>
      </c>
      <c r="B871" s="2" t="str">
        <f>IFERROR(__xludf.DUMMYFUNCTION("""COMPUTED_VALUE"""),"COLORADO SPRINGS    11")</f>
        <v>COLORADO SPRINGS    11</v>
      </c>
      <c r="C871" s="2" t="str">
        <f>IFERROR(__xludf.DUMMYFUNCTION("""COMPUTED_VALUE"""),"04407")</f>
        <v>04407</v>
      </c>
      <c r="D871" s="2" t="str">
        <f>IFERROR(__xludf.DUMMYFUNCTION("""COMPUTED_VALUE"""),"JAMES IRWIN ELEMENTARY SCHOOL")</f>
        <v>JAMES IRWIN ELEMENTARY SCHOOL</v>
      </c>
      <c r="E871" s="3"/>
      <c r="F871" s="3" t="str">
        <f>IFERROR(__xludf.DUMMYFUNCTION("""COMPUTED_VALUE"""),"Y")</f>
        <v>Y</v>
      </c>
      <c r="G871" s="3"/>
      <c r="H871" s="3"/>
      <c r="I871" s="3" t="str">
        <f>IFERROR(__xludf.DUMMYFUNCTION("""COMPUTED_VALUE""")," ")</f>
        <v> </v>
      </c>
      <c r="J871" s="3" t="str">
        <f>IFERROR(__xludf.DUMMYFUNCTION("""COMPUTED_VALUE""")," ")</f>
        <v> </v>
      </c>
      <c r="K871" s="3" t="str">
        <f>IFERROR(__xludf.DUMMYFUNCTION("""COMPUTED_VALUE"""),"Y")</f>
        <v>Y</v>
      </c>
      <c r="L871" s="3" t="str">
        <f>IFERROR(__xludf.DUMMYFUNCTION("""COMPUTED_VALUE""")," ")</f>
        <v> </v>
      </c>
      <c r="M871" s="3"/>
      <c r="N871" s="5" t="str">
        <f>IFERROR(__xludf.DUMMYFUNCTION("""COMPUTED_VALUE""")," ")</f>
        <v> </v>
      </c>
      <c r="O871" s="5"/>
    </row>
    <row r="872">
      <c r="A872" s="2" t="str">
        <f>IFERROR(__xludf.DUMMYFUNCTION("""COMPUTED_VALUE"""),"1010")</f>
        <v>1010</v>
      </c>
      <c r="B872" s="2" t="str">
        <f>IFERROR(__xludf.DUMMYFUNCTION("""COMPUTED_VALUE"""),"COLORADO SPRINGS    11")</f>
        <v>COLORADO SPRINGS    11</v>
      </c>
      <c r="C872" s="2" t="str">
        <f>IFERROR(__xludf.DUMMYFUNCTION("""COMPUTED_VALUE"""),"04424")</f>
        <v>04424</v>
      </c>
      <c r="D872" s="2" t="str">
        <f>IFERROR(__xludf.DUMMYFUNCTION("""COMPUTED_VALUE"""),"JENKINS MIDDLE SCHOOL")</f>
        <v>JENKINS MIDDLE SCHOOL</v>
      </c>
      <c r="E872" s="3" t="str">
        <f>IFERROR(__xludf.DUMMYFUNCTION("""COMPUTED_VALUE"""),"Y")</f>
        <v>Y</v>
      </c>
      <c r="F872" s="3" t="str">
        <f>IFERROR(__xludf.DUMMYFUNCTION("""COMPUTED_VALUE"""),"Y")</f>
        <v>Y</v>
      </c>
      <c r="G872" s="3"/>
      <c r="H872" s="3"/>
      <c r="I872" s="3" t="str">
        <f>IFERROR(__xludf.DUMMYFUNCTION("""COMPUTED_VALUE""")," ")</f>
        <v> </v>
      </c>
      <c r="J872" s="3" t="str">
        <f>IFERROR(__xludf.DUMMYFUNCTION("""COMPUTED_VALUE""")," ")</f>
        <v> </v>
      </c>
      <c r="K872" s="3" t="str">
        <f>IFERROR(__xludf.DUMMYFUNCTION("""COMPUTED_VALUE"""),"Y")</f>
        <v>Y</v>
      </c>
      <c r="L872" s="3" t="str">
        <f>IFERROR(__xludf.DUMMYFUNCTION("""COMPUTED_VALUE""")," ")</f>
        <v> </v>
      </c>
      <c r="M872" s="3"/>
      <c r="N872" s="5" t="str">
        <f>IFERROR(__xludf.DUMMYFUNCTION("""COMPUTED_VALUE""")," ")</f>
        <v> </v>
      </c>
      <c r="O872" s="5"/>
    </row>
    <row r="873">
      <c r="A873" s="2" t="str">
        <f>IFERROR(__xludf.DUMMYFUNCTION("""COMPUTED_VALUE"""),"1010")</f>
        <v>1010</v>
      </c>
      <c r="B873" s="2" t="str">
        <f>IFERROR(__xludf.DUMMYFUNCTION("""COMPUTED_VALUE"""),"COLORADO SPRINGS    11")</f>
        <v>COLORADO SPRINGS    11</v>
      </c>
      <c r="C873" s="2" t="str">
        <f>IFERROR(__xludf.DUMMYFUNCTION("""COMPUTED_VALUE"""),"04530")</f>
        <v>04530</v>
      </c>
      <c r="D873" s="2" t="str">
        <f>IFERROR(__xludf.DUMMYFUNCTION("""COMPUTED_VALUE"""),"KELLER ELEMENTARY SCHOOL")</f>
        <v>KELLER ELEMENTARY SCHOOL</v>
      </c>
      <c r="E873" s="3" t="str">
        <f>IFERROR(__xludf.DUMMYFUNCTION("""COMPUTED_VALUE"""),"Y")</f>
        <v>Y</v>
      </c>
      <c r="F873" s="3" t="str">
        <f>IFERROR(__xludf.DUMMYFUNCTION("""COMPUTED_VALUE"""),"Y")</f>
        <v>Y</v>
      </c>
      <c r="G873" s="3" t="str">
        <f>IFERROR(__xludf.DUMMYFUNCTION("""COMPUTED_VALUE"""),"Y")</f>
        <v>Y</v>
      </c>
      <c r="H873" s="3"/>
      <c r="I873" s="3" t="str">
        <f>IFERROR(__xludf.DUMMYFUNCTION("""COMPUTED_VALUE""")," ")</f>
        <v> </v>
      </c>
      <c r="J873" s="3" t="str">
        <f>IFERROR(__xludf.DUMMYFUNCTION("""COMPUTED_VALUE"""),"Y")</f>
        <v>Y</v>
      </c>
      <c r="K873" s="3" t="str">
        <f>IFERROR(__xludf.DUMMYFUNCTION("""COMPUTED_VALUE"""),"Y")</f>
        <v>Y</v>
      </c>
      <c r="L873" s="3" t="str">
        <f>IFERROR(__xludf.DUMMYFUNCTION("""COMPUTED_VALUE"""),"Group 10")</f>
        <v>Group 10</v>
      </c>
      <c r="M873" s="3"/>
      <c r="N873" s="5" t="str">
        <f>IFERROR(__xludf.DUMMYFUNCTION("""COMPUTED_VALUE"""),"Y")</f>
        <v>Y</v>
      </c>
      <c r="O873" s="5"/>
    </row>
    <row r="874">
      <c r="A874" s="2" t="str">
        <f>IFERROR(__xludf.DUMMYFUNCTION("""COMPUTED_VALUE"""),"1010")</f>
        <v>1010</v>
      </c>
      <c r="B874" s="2" t="str">
        <f>IFERROR(__xludf.DUMMYFUNCTION("""COMPUTED_VALUE"""),"COLORADO SPRINGS    11")</f>
        <v>COLORADO SPRINGS    11</v>
      </c>
      <c r="C874" s="2" t="str">
        <f>IFERROR(__xludf.DUMMYFUNCTION("""COMPUTED_VALUE"""),"05404")</f>
        <v>05404</v>
      </c>
      <c r="D874" s="2" t="str">
        <f>IFERROR(__xludf.DUMMYFUNCTION("""COMPUTED_VALUE"""),"MADISON ELEMENTARY SCHOOL")</f>
        <v>MADISON ELEMENTARY SCHOOL</v>
      </c>
      <c r="E874" s="3" t="str">
        <f>IFERROR(__xludf.DUMMYFUNCTION("""COMPUTED_VALUE"""),"Y")</f>
        <v>Y</v>
      </c>
      <c r="F874" s="3" t="str">
        <f>IFERROR(__xludf.DUMMYFUNCTION("""COMPUTED_VALUE"""),"Y")</f>
        <v>Y</v>
      </c>
      <c r="G874" s="3" t="str">
        <f>IFERROR(__xludf.DUMMYFUNCTION("""COMPUTED_VALUE"""),"Y")</f>
        <v>Y</v>
      </c>
      <c r="H874" s="3"/>
      <c r="I874" s="3" t="str">
        <f>IFERROR(__xludf.DUMMYFUNCTION("""COMPUTED_VALUE""")," ")</f>
        <v> </v>
      </c>
      <c r="J874" s="3" t="str">
        <f>IFERROR(__xludf.DUMMYFUNCTION("""COMPUTED_VALUE"""),"Y")</f>
        <v>Y</v>
      </c>
      <c r="K874" s="3" t="str">
        <f>IFERROR(__xludf.DUMMYFUNCTION("""COMPUTED_VALUE"""),"Y")</f>
        <v>Y</v>
      </c>
      <c r="L874" s="3" t="str">
        <f>IFERROR(__xludf.DUMMYFUNCTION("""COMPUTED_VALUE"""),"Group 11")</f>
        <v>Group 11</v>
      </c>
      <c r="M874" s="3"/>
      <c r="N874" s="5" t="str">
        <f>IFERROR(__xludf.DUMMYFUNCTION("""COMPUTED_VALUE""")," ")</f>
        <v> </v>
      </c>
      <c r="O874" s="5"/>
    </row>
    <row r="875">
      <c r="A875" s="2" t="str">
        <f>IFERROR(__xludf.DUMMYFUNCTION("""COMPUTED_VALUE"""),"1010")</f>
        <v>1010</v>
      </c>
      <c r="B875" s="2" t="str">
        <f>IFERROR(__xludf.DUMMYFUNCTION("""COMPUTED_VALUE"""),"COLORADO SPRINGS    11")</f>
        <v>COLORADO SPRINGS    11</v>
      </c>
      <c r="C875" s="2" t="str">
        <f>IFERROR(__xludf.DUMMYFUNCTION("""COMPUTED_VALUE"""),"05576")</f>
        <v>05576</v>
      </c>
      <c r="D875" s="2" t="str">
        <f>IFERROR(__xludf.DUMMYFUNCTION("""COMPUTED_VALUE"""),"TWAIN ELEMENTARY SCHOOL")</f>
        <v>TWAIN ELEMENTARY SCHOOL</v>
      </c>
      <c r="E875" s="3" t="str">
        <f>IFERROR(__xludf.DUMMYFUNCTION("""COMPUTED_VALUE"""),"Y")</f>
        <v>Y</v>
      </c>
      <c r="F875" s="3" t="str">
        <f>IFERROR(__xludf.DUMMYFUNCTION("""COMPUTED_VALUE"""),"Y")</f>
        <v>Y</v>
      </c>
      <c r="G875" s="3" t="str">
        <f>IFERROR(__xludf.DUMMYFUNCTION("""COMPUTED_VALUE"""),"Y")</f>
        <v>Y</v>
      </c>
      <c r="H875" s="3"/>
      <c r="I875" s="3" t="str">
        <f>IFERROR(__xludf.DUMMYFUNCTION("""COMPUTED_VALUE""")," ")</f>
        <v> </v>
      </c>
      <c r="J875" s="3" t="str">
        <f>IFERROR(__xludf.DUMMYFUNCTION("""COMPUTED_VALUE"""),"Y")</f>
        <v>Y</v>
      </c>
      <c r="K875" s="3" t="str">
        <f>IFERROR(__xludf.DUMMYFUNCTION("""COMPUTED_VALUE"""),"Y")</f>
        <v>Y</v>
      </c>
      <c r="L875" s="3" t="str">
        <f>IFERROR(__xludf.DUMMYFUNCTION("""COMPUTED_VALUE"""),"Group 11")</f>
        <v>Group 11</v>
      </c>
      <c r="M875" s="3"/>
      <c r="N875" s="5" t="str">
        <f>IFERROR(__xludf.DUMMYFUNCTION("""COMPUTED_VALUE""")," ")</f>
        <v> </v>
      </c>
      <c r="O875" s="5"/>
    </row>
    <row r="876">
      <c r="A876" s="2" t="str">
        <f>IFERROR(__xludf.DUMMYFUNCTION("""COMPUTED_VALUE"""),"1010")</f>
        <v>1010</v>
      </c>
      <c r="B876" s="2" t="str">
        <f>IFERROR(__xludf.DUMMYFUNCTION("""COMPUTED_VALUE"""),"COLORADO SPRINGS    11")</f>
        <v>COLORADO SPRINGS    11</v>
      </c>
      <c r="C876" s="2" t="str">
        <f>IFERROR(__xludf.DUMMYFUNCTION("""COMPUTED_VALUE"""),"05604")</f>
        <v>05604</v>
      </c>
      <c r="D876" s="2" t="str">
        <f>IFERROR(__xludf.DUMMYFUNCTION("""COMPUTED_VALUE"""),"KING ELEMENTARY SCHOOL")</f>
        <v>KING ELEMENTARY SCHOOL</v>
      </c>
      <c r="E876" s="3" t="str">
        <f>IFERROR(__xludf.DUMMYFUNCTION("""COMPUTED_VALUE"""),"Y")</f>
        <v>Y</v>
      </c>
      <c r="F876" s="3" t="str">
        <f>IFERROR(__xludf.DUMMYFUNCTION("""COMPUTED_VALUE"""),"Y")</f>
        <v>Y</v>
      </c>
      <c r="G876" s="3" t="str">
        <f>IFERROR(__xludf.DUMMYFUNCTION("""COMPUTED_VALUE"""),"Y")</f>
        <v>Y</v>
      </c>
      <c r="H876" s="3"/>
      <c r="I876" s="3" t="str">
        <f>IFERROR(__xludf.DUMMYFUNCTION("""COMPUTED_VALUE""")," ")</f>
        <v> </v>
      </c>
      <c r="J876" s="3" t="str">
        <f>IFERROR(__xludf.DUMMYFUNCTION("""COMPUTED_VALUE""")," ")</f>
        <v> </v>
      </c>
      <c r="K876" s="3" t="str">
        <f>IFERROR(__xludf.DUMMYFUNCTION("""COMPUTED_VALUE"""),"Y")</f>
        <v>Y</v>
      </c>
      <c r="L876" s="3" t="str">
        <f>IFERROR(__xludf.DUMMYFUNCTION("""COMPUTED_VALUE"""),"Group 11")</f>
        <v>Group 11</v>
      </c>
      <c r="M876" s="3"/>
      <c r="N876" s="5" t="str">
        <f>IFERROR(__xludf.DUMMYFUNCTION("""COMPUTED_VALUE""")," ")</f>
        <v> </v>
      </c>
      <c r="O876" s="5"/>
    </row>
    <row r="877">
      <c r="A877" s="2" t="str">
        <f>IFERROR(__xludf.DUMMYFUNCTION("""COMPUTED_VALUE"""),"1010")</f>
        <v>1010</v>
      </c>
      <c r="B877" s="2" t="str">
        <f>IFERROR(__xludf.DUMMYFUNCTION("""COMPUTED_VALUE"""),"COLORADO SPRINGS    11")</f>
        <v>COLORADO SPRINGS    11</v>
      </c>
      <c r="C877" s="2" t="str">
        <f>IFERROR(__xludf.DUMMYFUNCTION("""COMPUTED_VALUE"""),"05610")</f>
        <v>05610</v>
      </c>
      <c r="D877" s="2" t="str">
        <f>IFERROR(__xludf.DUMMYFUNCTION("""COMPUTED_VALUE"""),"MARTINEZ ELEMENTARY SCHOOL")</f>
        <v>MARTINEZ ELEMENTARY SCHOOL</v>
      </c>
      <c r="E877" s="3" t="str">
        <f>IFERROR(__xludf.DUMMYFUNCTION("""COMPUTED_VALUE"""),"Y")</f>
        <v>Y</v>
      </c>
      <c r="F877" s="3" t="str">
        <f>IFERROR(__xludf.DUMMYFUNCTION("""COMPUTED_VALUE"""),"Y")</f>
        <v>Y</v>
      </c>
      <c r="G877" s="3"/>
      <c r="H877" s="3"/>
      <c r="I877" s="3" t="str">
        <f>IFERROR(__xludf.DUMMYFUNCTION("""COMPUTED_VALUE""")," ")</f>
        <v> </v>
      </c>
      <c r="J877" s="3" t="str">
        <f>IFERROR(__xludf.DUMMYFUNCTION("""COMPUTED_VALUE""")," ")</f>
        <v> </v>
      </c>
      <c r="K877" s="3" t="str">
        <f>IFERROR(__xludf.DUMMYFUNCTION("""COMPUTED_VALUE"""),"Y")</f>
        <v>Y</v>
      </c>
      <c r="L877" s="3" t="str">
        <f>IFERROR(__xludf.DUMMYFUNCTION("""COMPUTED_VALUE"""),"Group 8")</f>
        <v>Group 8</v>
      </c>
      <c r="M877" s="3"/>
      <c r="N877" s="5" t="str">
        <f>IFERROR(__xludf.DUMMYFUNCTION("""COMPUTED_VALUE""")," ")</f>
        <v> </v>
      </c>
      <c r="O877" s="5"/>
    </row>
    <row r="878">
      <c r="A878" s="2" t="str">
        <f>IFERROR(__xludf.DUMMYFUNCTION("""COMPUTED_VALUE"""),"1010")</f>
        <v>1010</v>
      </c>
      <c r="B878" s="2" t="str">
        <f>IFERROR(__xludf.DUMMYFUNCTION("""COMPUTED_VALUE"""),"COLORADO SPRINGS    11")</f>
        <v>COLORADO SPRINGS    11</v>
      </c>
      <c r="C878" s="2" t="str">
        <f>IFERROR(__xludf.DUMMYFUNCTION("""COMPUTED_VALUE"""),"05878")</f>
        <v>05878</v>
      </c>
      <c r="D878" s="2" t="str">
        <f>IFERROR(__xludf.DUMMYFUNCTION("""COMPUTED_VALUE"""),"MIDLAND ELEMENTARY SCHOOL")</f>
        <v>MIDLAND ELEMENTARY SCHOOL</v>
      </c>
      <c r="E878" s="3" t="str">
        <f>IFERROR(__xludf.DUMMYFUNCTION("""COMPUTED_VALUE"""),"Y")</f>
        <v>Y</v>
      </c>
      <c r="F878" s="3" t="str">
        <f>IFERROR(__xludf.DUMMYFUNCTION("""COMPUTED_VALUE"""),"Y")</f>
        <v>Y</v>
      </c>
      <c r="G878" s="3" t="str">
        <f>IFERROR(__xludf.DUMMYFUNCTION("""COMPUTED_VALUE"""),"Y")</f>
        <v>Y</v>
      </c>
      <c r="H878" s="3"/>
      <c r="I878" s="3" t="str">
        <f>IFERROR(__xludf.DUMMYFUNCTION("""COMPUTED_VALUE""")," ")</f>
        <v> </v>
      </c>
      <c r="J878" s="3" t="str">
        <f>IFERROR(__xludf.DUMMYFUNCTION("""COMPUTED_VALUE"""),"Y")</f>
        <v>Y</v>
      </c>
      <c r="K878" s="3" t="str">
        <f>IFERROR(__xludf.DUMMYFUNCTION("""COMPUTED_VALUE"""),"Y")</f>
        <v>Y</v>
      </c>
      <c r="L878" s="3" t="str">
        <f>IFERROR(__xludf.DUMMYFUNCTION("""COMPUTED_VALUE"""),"Group 11")</f>
        <v>Group 11</v>
      </c>
      <c r="M878" s="3"/>
      <c r="N878" s="5" t="str">
        <f>IFERROR(__xludf.DUMMYFUNCTION("""COMPUTED_VALUE""")," ")</f>
        <v> </v>
      </c>
      <c r="O878" s="5"/>
    </row>
    <row r="879">
      <c r="A879" s="2" t="str">
        <f>IFERROR(__xludf.DUMMYFUNCTION("""COMPUTED_VALUE"""),"1010")</f>
        <v>1010</v>
      </c>
      <c r="B879" s="2" t="str">
        <f>IFERROR(__xludf.DUMMYFUNCTION("""COMPUTED_VALUE"""),"COLORADO SPRINGS    11")</f>
        <v>COLORADO SPRINGS    11</v>
      </c>
      <c r="C879" s="2" t="str">
        <f>IFERROR(__xludf.DUMMYFUNCTION("""COMPUTED_VALUE"""),"05948")</f>
        <v>05948</v>
      </c>
      <c r="D879" s="2" t="str">
        <f>IFERROR(__xludf.DUMMYFUNCTION("""COMPUTED_VALUE"""),"MITCHELL HIGH SCHOOL")</f>
        <v>MITCHELL HIGH SCHOOL</v>
      </c>
      <c r="E879" s="3" t="str">
        <f>IFERROR(__xludf.DUMMYFUNCTION("""COMPUTED_VALUE"""),"Y")</f>
        <v>Y</v>
      </c>
      <c r="F879" s="3" t="str">
        <f>IFERROR(__xludf.DUMMYFUNCTION("""COMPUTED_VALUE"""),"Y")</f>
        <v>Y</v>
      </c>
      <c r="G879" s="3"/>
      <c r="H879" s="3"/>
      <c r="I879" s="3" t="str">
        <f>IFERROR(__xludf.DUMMYFUNCTION("""COMPUTED_VALUE""")," ")</f>
        <v> </v>
      </c>
      <c r="J879" s="3" t="str">
        <f>IFERROR(__xludf.DUMMYFUNCTION("""COMPUTED_VALUE"""),"Y")</f>
        <v>Y</v>
      </c>
      <c r="K879" s="3" t="str">
        <f>IFERROR(__xludf.DUMMYFUNCTION("""COMPUTED_VALUE"""),"Y")</f>
        <v>Y</v>
      </c>
      <c r="L879" s="3" t="str">
        <f>IFERROR(__xludf.DUMMYFUNCTION("""COMPUTED_VALUE"""),"Group 11")</f>
        <v>Group 11</v>
      </c>
      <c r="M879" s="3"/>
      <c r="N879" s="5" t="str">
        <f>IFERROR(__xludf.DUMMYFUNCTION("""COMPUTED_VALUE"""),"Y")</f>
        <v>Y</v>
      </c>
      <c r="O879" s="5"/>
    </row>
    <row r="880">
      <c r="A880" s="2" t="str">
        <f>IFERROR(__xludf.DUMMYFUNCTION("""COMPUTED_VALUE"""),"1010")</f>
        <v>1010</v>
      </c>
      <c r="B880" s="2" t="str">
        <f>IFERROR(__xludf.DUMMYFUNCTION("""COMPUTED_VALUE"""),"COLORADO SPRINGS    11")</f>
        <v>COLORADO SPRINGS    11</v>
      </c>
      <c r="C880" s="2" t="str">
        <f>IFERROR(__xludf.DUMMYFUNCTION("""COMPUTED_VALUE"""),"05988")</f>
        <v>05988</v>
      </c>
      <c r="D880" s="2" t="str">
        <f>IFERROR(__xludf.DUMMYFUNCTION("""COMPUTED_VALUE"""),"MONROE ELEMENTARY SCHOOL")</f>
        <v>MONROE ELEMENTARY SCHOOL</v>
      </c>
      <c r="E880" s="3" t="str">
        <f>IFERROR(__xludf.DUMMYFUNCTION("""COMPUTED_VALUE"""),"Y")</f>
        <v>Y</v>
      </c>
      <c r="F880" s="3" t="str">
        <f>IFERROR(__xludf.DUMMYFUNCTION("""COMPUTED_VALUE"""),"Y")</f>
        <v>Y</v>
      </c>
      <c r="G880" s="3" t="str">
        <f>IFERROR(__xludf.DUMMYFUNCTION("""COMPUTED_VALUE"""),"Y")</f>
        <v>Y</v>
      </c>
      <c r="H880" s="3"/>
      <c r="I880" s="3" t="str">
        <f>IFERROR(__xludf.DUMMYFUNCTION("""COMPUTED_VALUE""")," ")</f>
        <v> </v>
      </c>
      <c r="J880" s="3" t="str">
        <f>IFERROR(__xludf.DUMMYFUNCTION("""COMPUTED_VALUE"""),"Y")</f>
        <v>Y</v>
      </c>
      <c r="K880" s="3" t="str">
        <f>IFERROR(__xludf.DUMMYFUNCTION("""COMPUTED_VALUE"""),"Y")</f>
        <v>Y</v>
      </c>
      <c r="L880" s="3" t="str">
        <f>IFERROR(__xludf.DUMMYFUNCTION("""COMPUTED_VALUE"""),"Group 11")</f>
        <v>Group 11</v>
      </c>
      <c r="M880" s="3"/>
      <c r="N880" s="5" t="str">
        <f>IFERROR(__xludf.DUMMYFUNCTION("""COMPUTED_VALUE""")," ")</f>
        <v> </v>
      </c>
      <c r="O880" s="5"/>
    </row>
    <row r="881">
      <c r="A881" s="2" t="str">
        <f>IFERROR(__xludf.DUMMYFUNCTION("""COMPUTED_VALUE"""),"1010")</f>
        <v>1010</v>
      </c>
      <c r="B881" s="2" t="str">
        <f>IFERROR(__xludf.DUMMYFUNCTION("""COMPUTED_VALUE"""),"COLORADO SPRINGS    11")</f>
        <v>COLORADO SPRINGS    11</v>
      </c>
      <c r="C881" s="2" t="str">
        <f>IFERROR(__xludf.DUMMYFUNCTION("""COMPUTED_VALUE"""),"06306")</f>
        <v>06306</v>
      </c>
      <c r="D881" s="2" t="str">
        <f>IFERROR(__xludf.DUMMYFUNCTION("""COMPUTED_VALUE"""),"NORTH MIDDLE SCHOOL")</f>
        <v>NORTH MIDDLE SCHOOL</v>
      </c>
      <c r="E881" s="3" t="str">
        <f>IFERROR(__xludf.DUMMYFUNCTION("""COMPUTED_VALUE"""),"Y")</f>
        <v>Y</v>
      </c>
      <c r="F881" s="3" t="str">
        <f>IFERROR(__xludf.DUMMYFUNCTION("""COMPUTED_VALUE"""),"Y")</f>
        <v>Y</v>
      </c>
      <c r="G881" s="3" t="str">
        <f>IFERROR(__xludf.DUMMYFUNCTION("""COMPUTED_VALUE"""),"Y")</f>
        <v>Y</v>
      </c>
      <c r="H881" s="3"/>
      <c r="I881" s="3" t="str">
        <f>IFERROR(__xludf.DUMMYFUNCTION("""COMPUTED_VALUE""")," ")</f>
        <v> </v>
      </c>
      <c r="J881" s="3" t="str">
        <f>IFERROR(__xludf.DUMMYFUNCTION("""COMPUTED_VALUE""")," ")</f>
        <v> </v>
      </c>
      <c r="K881" s="3" t="str">
        <f>IFERROR(__xludf.DUMMYFUNCTION("""COMPUTED_VALUE"""),"Y")</f>
        <v>Y</v>
      </c>
      <c r="L881" s="3" t="str">
        <f>IFERROR(__xludf.DUMMYFUNCTION("""COMPUTED_VALUE"""),"Group 2")</f>
        <v>Group 2</v>
      </c>
      <c r="M881" s="3"/>
      <c r="N881" s="5" t="str">
        <f>IFERROR(__xludf.DUMMYFUNCTION("""COMPUTED_VALUE""")," ")</f>
        <v> </v>
      </c>
      <c r="O881" s="5"/>
    </row>
    <row r="882">
      <c r="A882" s="2" t="str">
        <f>IFERROR(__xludf.DUMMYFUNCTION("""COMPUTED_VALUE"""),"1010")</f>
        <v>1010</v>
      </c>
      <c r="B882" s="2" t="str">
        <f>IFERROR(__xludf.DUMMYFUNCTION("""COMPUTED_VALUE"""),"COLORADO SPRINGS    11")</f>
        <v>COLORADO SPRINGS    11</v>
      </c>
      <c r="C882" s="2" t="str">
        <f>IFERROR(__xludf.DUMMYFUNCTION("""COMPUTED_VALUE"""),"06653")</f>
        <v>06653</v>
      </c>
      <c r="D882" s="2" t="str">
        <f>IFERROR(__xludf.DUMMYFUNCTION("""COMPUTED_VALUE"""),"Power Technical Early College")</f>
        <v>Power Technical Early College</v>
      </c>
      <c r="E882" s="3"/>
      <c r="F882" s="3" t="str">
        <f>IFERROR(__xludf.DUMMYFUNCTION("""COMPUTED_VALUE"""),"Y")</f>
        <v>Y</v>
      </c>
      <c r="G882" s="3"/>
      <c r="H882" s="3"/>
      <c r="I882" s="3" t="str">
        <f>IFERROR(__xludf.DUMMYFUNCTION("""COMPUTED_VALUE""")," ")</f>
        <v> </v>
      </c>
      <c r="J882" s="3" t="str">
        <f>IFERROR(__xludf.DUMMYFUNCTION("""COMPUTED_VALUE""")," ")</f>
        <v> </v>
      </c>
      <c r="K882" s="3" t="str">
        <f>IFERROR(__xludf.DUMMYFUNCTION("""COMPUTED_VALUE"""),"Y")</f>
        <v>Y</v>
      </c>
      <c r="L882" s="3" t="str">
        <f>IFERROR(__xludf.DUMMYFUNCTION("""COMPUTED_VALUE""")," ")</f>
        <v> </v>
      </c>
      <c r="M882" s="3"/>
      <c r="N882" s="5" t="str">
        <f>IFERROR(__xludf.DUMMYFUNCTION("""COMPUTED_VALUE""")," ")</f>
        <v> </v>
      </c>
      <c r="O882" s="5"/>
    </row>
    <row r="883">
      <c r="A883" s="2" t="str">
        <f>IFERROR(__xludf.DUMMYFUNCTION("""COMPUTED_VALUE"""),"1010")</f>
        <v>1010</v>
      </c>
      <c r="B883" s="2" t="str">
        <f>IFERROR(__xludf.DUMMYFUNCTION("""COMPUTED_VALUE"""),"COLORADO SPRINGS    11")</f>
        <v>COLORADO SPRINGS    11</v>
      </c>
      <c r="C883" s="2" t="str">
        <f>IFERROR(__xludf.DUMMYFUNCTION("""COMPUTED_VALUE"""),"06680")</f>
        <v>06680</v>
      </c>
      <c r="D883" s="2" t="str">
        <f>IFERROR(__xludf.DUMMYFUNCTION("""COMPUTED_VALUE"""),"PALMER HIGH SCHOOL")</f>
        <v>PALMER HIGH SCHOOL</v>
      </c>
      <c r="E883" s="3" t="str">
        <f>IFERROR(__xludf.DUMMYFUNCTION("""COMPUTED_VALUE"""),"Y")</f>
        <v>Y</v>
      </c>
      <c r="F883" s="3" t="str">
        <f>IFERROR(__xludf.DUMMYFUNCTION("""COMPUTED_VALUE"""),"Y")</f>
        <v>Y</v>
      </c>
      <c r="G883" s="3"/>
      <c r="H883" s="3"/>
      <c r="I883" s="3" t="str">
        <f>IFERROR(__xludf.DUMMYFUNCTION("""COMPUTED_VALUE""")," ")</f>
        <v> </v>
      </c>
      <c r="J883" s="3" t="str">
        <f>IFERROR(__xludf.DUMMYFUNCTION("""COMPUTED_VALUE""")," ")</f>
        <v> </v>
      </c>
      <c r="K883" s="3" t="str">
        <f>IFERROR(__xludf.DUMMYFUNCTION("""COMPUTED_VALUE"""),"Y")</f>
        <v>Y</v>
      </c>
      <c r="L883" s="3" t="str">
        <f>IFERROR(__xludf.DUMMYFUNCTION("""COMPUTED_VALUE"""),"Group 1")</f>
        <v>Group 1</v>
      </c>
      <c r="M883" s="3"/>
      <c r="N883" s="5" t="str">
        <f>IFERROR(__xludf.DUMMYFUNCTION("""COMPUTED_VALUE"""),"Y")</f>
        <v>Y</v>
      </c>
      <c r="O883" s="5"/>
    </row>
    <row r="884">
      <c r="A884" s="2" t="str">
        <f>IFERROR(__xludf.DUMMYFUNCTION("""COMPUTED_VALUE"""),"1010")</f>
        <v>1010</v>
      </c>
      <c r="B884" s="2" t="str">
        <f>IFERROR(__xludf.DUMMYFUNCTION("""COMPUTED_VALUE"""),"COLORADO SPRINGS    11")</f>
        <v>COLORADO SPRINGS    11</v>
      </c>
      <c r="C884" s="2" t="str">
        <f>IFERROR(__xludf.DUMMYFUNCTION("""COMPUTED_VALUE"""),"06856")</f>
        <v>06856</v>
      </c>
      <c r="D884" s="2" t="str">
        <f>IFERROR(__xludf.DUMMYFUNCTION("""COMPUTED_VALUE"""),"PENROSE ELEMENTARY SCHOOL")</f>
        <v>PENROSE ELEMENTARY SCHOOL</v>
      </c>
      <c r="E884" s="3" t="str">
        <f>IFERROR(__xludf.DUMMYFUNCTION("""COMPUTED_VALUE"""),"Y")</f>
        <v>Y</v>
      </c>
      <c r="F884" s="3" t="str">
        <f>IFERROR(__xludf.DUMMYFUNCTION("""COMPUTED_VALUE"""),"Y")</f>
        <v>Y</v>
      </c>
      <c r="G884" s="3" t="str">
        <f>IFERROR(__xludf.DUMMYFUNCTION("""COMPUTED_VALUE"""),"Y")</f>
        <v>Y</v>
      </c>
      <c r="H884" s="3"/>
      <c r="I884" s="3" t="str">
        <f>IFERROR(__xludf.DUMMYFUNCTION("""COMPUTED_VALUE""")," ")</f>
        <v> </v>
      </c>
      <c r="J884" s="3" t="str">
        <f>IFERROR(__xludf.DUMMYFUNCTION("""COMPUTED_VALUE""")," ")</f>
        <v> </v>
      </c>
      <c r="K884" s="3" t="str">
        <f>IFERROR(__xludf.DUMMYFUNCTION("""COMPUTED_VALUE"""),"Y")</f>
        <v>Y</v>
      </c>
      <c r="L884" s="3" t="str">
        <f>IFERROR(__xludf.DUMMYFUNCTION("""COMPUTED_VALUE"""),"Group 5")</f>
        <v>Group 5</v>
      </c>
      <c r="M884" s="3"/>
      <c r="N884" s="5" t="str">
        <f>IFERROR(__xludf.DUMMYFUNCTION("""COMPUTED_VALUE""")," ")</f>
        <v> </v>
      </c>
      <c r="O884" s="5"/>
    </row>
    <row r="885">
      <c r="A885" s="2" t="str">
        <f>IFERROR(__xludf.DUMMYFUNCTION("""COMPUTED_VALUE"""),"1010")</f>
        <v>1010</v>
      </c>
      <c r="B885" s="2" t="str">
        <f>IFERROR(__xludf.DUMMYFUNCTION("""COMPUTED_VALUE"""),"COLORADO SPRINGS    11")</f>
        <v>COLORADO SPRINGS    11</v>
      </c>
      <c r="C885" s="2" t="str">
        <f>IFERROR(__xludf.DUMMYFUNCTION("""COMPUTED_VALUE"""),"07228")</f>
        <v>07228</v>
      </c>
      <c r="D885" s="2" t="str">
        <f>IFERROR(__xludf.DUMMYFUNCTION("""COMPUTED_VALUE"""),"QUEEN PALMER ELEMENTARY SCHOOL")</f>
        <v>QUEEN PALMER ELEMENTARY SCHOOL</v>
      </c>
      <c r="E885" s="3" t="str">
        <f>IFERROR(__xludf.DUMMYFUNCTION("""COMPUTED_VALUE"""),"Y")</f>
        <v>Y</v>
      </c>
      <c r="F885" s="3" t="str">
        <f>IFERROR(__xludf.DUMMYFUNCTION("""COMPUTED_VALUE"""),"Y")</f>
        <v>Y</v>
      </c>
      <c r="G885" s="3" t="str">
        <f>IFERROR(__xludf.DUMMYFUNCTION("""COMPUTED_VALUE"""),"Y")</f>
        <v>Y</v>
      </c>
      <c r="H885" s="3"/>
      <c r="I885" s="3" t="str">
        <f>IFERROR(__xludf.DUMMYFUNCTION("""COMPUTED_VALUE""")," ")</f>
        <v> </v>
      </c>
      <c r="J885" s="3" t="str">
        <f>IFERROR(__xludf.DUMMYFUNCTION("""COMPUTED_VALUE"""),"Y")</f>
        <v>Y</v>
      </c>
      <c r="K885" s="3" t="str">
        <f>IFERROR(__xludf.DUMMYFUNCTION("""COMPUTED_VALUE"""),"Y")</f>
        <v>Y</v>
      </c>
      <c r="L885" s="3" t="str">
        <f>IFERROR(__xludf.DUMMYFUNCTION("""COMPUTED_VALUE"""),"Group 11")</f>
        <v>Group 11</v>
      </c>
      <c r="M885" s="3"/>
      <c r="N885" s="5" t="str">
        <f>IFERROR(__xludf.DUMMYFUNCTION("""COMPUTED_VALUE""")," ")</f>
        <v> </v>
      </c>
      <c r="O885" s="5"/>
    </row>
    <row r="886">
      <c r="A886" s="2" t="str">
        <f>IFERROR(__xludf.DUMMYFUNCTION("""COMPUTED_VALUE"""),"1010")</f>
        <v>1010</v>
      </c>
      <c r="B886" s="2" t="str">
        <f>IFERROR(__xludf.DUMMYFUNCTION("""COMPUTED_VALUE"""),"COLORADO SPRINGS    11")</f>
        <v>COLORADO SPRINGS    11</v>
      </c>
      <c r="C886" s="2" t="str">
        <f>IFERROR(__xludf.DUMMYFUNCTION("""COMPUTED_VALUE"""),"07482")</f>
        <v>07482</v>
      </c>
      <c r="D886" s="2" t="str">
        <f>IFERROR(__xludf.DUMMYFUNCTION("""COMPUTED_VALUE"""),"ROOSEVELT EDISON CHARTER SCHOOL")</f>
        <v>ROOSEVELT EDISON CHARTER SCHOOL</v>
      </c>
      <c r="E886" s="3" t="str">
        <f>IFERROR(__xludf.DUMMYFUNCTION("""COMPUTED_VALUE"""),"Y")</f>
        <v>Y</v>
      </c>
      <c r="F886" s="3" t="str">
        <f>IFERROR(__xludf.DUMMYFUNCTION("""COMPUTED_VALUE"""),"Y")</f>
        <v>Y</v>
      </c>
      <c r="G886" s="3" t="str">
        <f>IFERROR(__xludf.DUMMYFUNCTION("""COMPUTED_VALUE"""),"Y")</f>
        <v>Y</v>
      </c>
      <c r="H886" s="3"/>
      <c r="I886" s="3" t="str">
        <f>IFERROR(__xludf.DUMMYFUNCTION("""COMPUTED_VALUE""")," ")</f>
        <v> </v>
      </c>
      <c r="J886" s="3" t="str">
        <f>IFERROR(__xludf.DUMMYFUNCTION("""COMPUTED_VALUE"""),"Y")</f>
        <v>Y</v>
      </c>
      <c r="K886" s="3" t="str">
        <f>IFERROR(__xludf.DUMMYFUNCTION("""COMPUTED_VALUE"""),"Y")</f>
        <v>Y</v>
      </c>
      <c r="L886" s="3" t="str">
        <f>IFERROR(__xludf.DUMMYFUNCTION("""COMPUTED_VALUE"""),"Group 11")</f>
        <v>Group 11</v>
      </c>
      <c r="M886" s="3"/>
      <c r="N886" s="5" t="str">
        <f>IFERROR(__xludf.DUMMYFUNCTION("""COMPUTED_VALUE"""),"Y")</f>
        <v>Y</v>
      </c>
      <c r="O886" s="5"/>
    </row>
    <row r="887">
      <c r="A887" s="2" t="str">
        <f>IFERROR(__xludf.DUMMYFUNCTION("""COMPUTED_VALUE"""),"1010")</f>
        <v>1010</v>
      </c>
      <c r="B887" s="2" t="str">
        <f>IFERROR(__xludf.DUMMYFUNCTION("""COMPUTED_VALUE"""),"COLORADO SPRINGS    11")</f>
        <v>COLORADO SPRINGS    11</v>
      </c>
      <c r="C887" s="2" t="str">
        <f>IFERROR(__xludf.DUMMYFUNCTION("""COMPUTED_VALUE"""),"07513")</f>
        <v>07513</v>
      </c>
      <c r="D887" s="2" t="str">
        <f>IFERROR(__xludf.DUMMYFUNCTION("""COMPUTED_VALUE"""),"RUDY ELEMENTARY SCHOOL")</f>
        <v>RUDY ELEMENTARY SCHOOL</v>
      </c>
      <c r="E887" s="3" t="str">
        <f>IFERROR(__xludf.DUMMYFUNCTION("""COMPUTED_VALUE"""),"Y")</f>
        <v>Y</v>
      </c>
      <c r="F887" s="3" t="str">
        <f>IFERROR(__xludf.DUMMYFUNCTION("""COMPUTED_VALUE"""),"Y")</f>
        <v>Y</v>
      </c>
      <c r="G887" s="3"/>
      <c r="H887" s="3"/>
      <c r="I887" s="3" t="str">
        <f>IFERROR(__xludf.DUMMYFUNCTION("""COMPUTED_VALUE""")," ")</f>
        <v> </v>
      </c>
      <c r="J887" s="3" t="str">
        <f>IFERROR(__xludf.DUMMYFUNCTION("""COMPUTED_VALUE""")," ")</f>
        <v> </v>
      </c>
      <c r="K887" s="3" t="str">
        <f>IFERROR(__xludf.DUMMYFUNCTION("""COMPUTED_VALUE"""),"Y")</f>
        <v>Y</v>
      </c>
      <c r="L887" s="3" t="str">
        <f>IFERROR(__xludf.DUMMYFUNCTION("""COMPUTED_VALUE"""),"Group 7")</f>
        <v>Group 7</v>
      </c>
      <c r="M887" s="3"/>
      <c r="N887" s="5" t="str">
        <f>IFERROR(__xludf.DUMMYFUNCTION("""COMPUTED_VALUE""")," ")</f>
        <v> </v>
      </c>
      <c r="O887" s="5"/>
    </row>
    <row r="888">
      <c r="A888" s="2" t="str">
        <f>IFERROR(__xludf.DUMMYFUNCTION("""COMPUTED_VALUE"""),"1010")</f>
        <v>1010</v>
      </c>
      <c r="B888" s="2" t="str">
        <f>IFERROR(__xludf.DUMMYFUNCTION("""COMPUTED_VALUE"""),"COLORADO SPRINGS    11")</f>
        <v>COLORADO SPRINGS    11</v>
      </c>
      <c r="C888" s="2" t="str">
        <f>IFERROR(__xludf.DUMMYFUNCTION("""COMPUTED_VALUE"""),"07523")</f>
        <v>07523</v>
      </c>
      <c r="D888" s="2" t="str">
        <f>IFERROR(__xludf.DUMMYFUNCTION("""COMPUTED_VALUE"""),"RUSSELL MIDDLE SCHOOL")</f>
        <v>RUSSELL MIDDLE SCHOOL</v>
      </c>
      <c r="E888" s="3" t="str">
        <f>IFERROR(__xludf.DUMMYFUNCTION("""COMPUTED_VALUE"""),"Y")</f>
        <v>Y</v>
      </c>
      <c r="F888" s="3" t="str">
        <f>IFERROR(__xludf.DUMMYFUNCTION("""COMPUTED_VALUE"""),"Y")</f>
        <v>Y</v>
      </c>
      <c r="G888" s="3" t="str">
        <f>IFERROR(__xludf.DUMMYFUNCTION("""COMPUTED_VALUE"""),"Y")</f>
        <v>Y</v>
      </c>
      <c r="H888" s="3"/>
      <c r="I888" s="3" t="str">
        <f>IFERROR(__xludf.DUMMYFUNCTION("""COMPUTED_VALUE""")," ")</f>
        <v> </v>
      </c>
      <c r="J888" s="3" t="str">
        <f>IFERROR(__xludf.DUMMYFUNCTION("""COMPUTED_VALUE""")," ")</f>
        <v> </v>
      </c>
      <c r="K888" s="3" t="str">
        <f>IFERROR(__xludf.DUMMYFUNCTION("""COMPUTED_VALUE"""),"Y")</f>
        <v>Y</v>
      </c>
      <c r="L888" s="3" t="str">
        <f>IFERROR(__xludf.DUMMYFUNCTION("""COMPUTED_VALUE"""),"Group 11")</f>
        <v>Group 11</v>
      </c>
      <c r="M888" s="3"/>
      <c r="N888" s="5" t="str">
        <f>IFERROR(__xludf.DUMMYFUNCTION("""COMPUTED_VALUE""")," ")</f>
        <v> </v>
      </c>
      <c r="O888" s="5"/>
    </row>
    <row r="889">
      <c r="A889" s="2" t="str">
        <f>IFERROR(__xludf.DUMMYFUNCTION("""COMPUTED_VALUE"""),"1010")</f>
        <v>1010</v>
      </c>
      <c r="B889" s="2" t="str">
        <f>IFERROR(__xludf.DUMMYFUNCTION("""COMPUTED_VALUE"""),"COLORADO SPRINGS    11")</f>
        <v>COLORADO SPRINGS    11</v>
      </c>
      <c r="C889" s="2" t="str">
        <f>IFERROR(__xludf.DUMMYFUNCTION("""COMPUTED_VALUE"""),"07556")</f>
        <v>07556</v>
      </c>
      <c r="D889" s="2" t="str">
        <f>IFERROR(__xludf.DUMMYFUNCTION("""COMPUTED_VALUE"""),"SABIN MIDDLE SCHOOL")</f>
        <v>SABIN MIDDLE SCHOOL</v>
      </c>
      <c r="E889" s="3" t="str">
        <f>IFERROR(__xludf.DUMMYFUNCTION("""COMPUTED_VALUE"""),"Y")</f>
        <v>Y</v>
      </c>
      <c r="F889" s="3" t="str">
        <f>IFERROR(__xludf.DUMMYFUNCTION("""COMPUTED_VALUE"""),"Y")</f>
        <v>Y</v>
      </c>
      <c r="G889" s="3"/>
      <c r="H889" s="3"/>
      <c r="I889" s="3" t="str">
        <f>IFERROR(__xludf.DUMMYFUNCTION("""COMPUTED_VALUE""")," ")</f>
        <v> </v>
      </c>
      <c r="J889" s="3" t="str">
        <f>IFERROR(__xludf.DUMMYFUNCTION("""COMPUTED_VALUE"""),"Y")</f>
        <v>Y</v>
      </c>
      <c r="K889" s="3" t="str">
        <f>IFERROR(__xludf.DUMMYFUNCTION("""COMPUTED_VALUE"""),"Y")</f>
        <v>Y</v>
      </c>
      <c r="L889" s="3" t="str">
        <f>IFERROR(__xludf.DUMMYFUNCTION("""COMPUTED_VALUE"""),"Group 10")</f>
        <v>Group 10</v>
      </c>
      <c r="M889" s="3"/>
      <c r="N889" s="5" t="str">
        <f>IFERROR(__xludf.DUMMYFUNCTION("""COMPUTED_VALUE""")," ")</f>
        <v> </v>
      </c>
      <c r="O889" s="5"/>
    </row>
    <row r="890">
      <c r="A890" s="2" t="str">
        <f>IFERROR(__xludf.DUMMYFUNCTION("""COMPUTED_VALUE"""),"1010")</f>
        <v>1010</v>
      </c>
      <c r="B890" s="2" t="str">
        <f>IFERROR(__xludf.DUMMYFUNCTION("""COMPUTED_VALUE"""),"COLORADO SPRINGS    11")</f>
        <v>COLORADO SPRINGS    11</v>
      </c>
      <c r="C890" s="2" t="str">
        <f>IFERROR(__xludf.DUMMYFUNCTION("""COMPUTED_VALUE"""),"07705")</f>
        <v>07705</v>
      </c>
      <c r="D890" s="2" t="str">
        <f>IFERROR(__xludf.DUMMYFUNCTION("""COMPUTED_VALUE"""),"SCOTT ELEMENTARY SCHOOL")</f>
        <v>SCOTT ELEMENTARY SCHOOL</v>
      </c>
      <c r="E890" s="3" t="str">
        <f>IFERROR(__xludf.DUMMYFUNCTION("""COMPUTED_VALUE"""),"Y")</f>
        <v>Y</v>
      </c>
      <c r="F890" s="3" t="str">
        <f>IFERROR(__xludf.DUMMYFUNCTION("""COMPUTED_VALUE"""),"Y")</f>
        <v>Y</v>
      </c>
      <c r="G890" s="3"/>
      <c r="H890" s="3"/>
      <c r="I890" s="3" t="str">
        <f>IFERROR(__xludf.DUMMYFUNCTION("""COMPUTED_VALUE""")," ")</f>
        <v> </v>
      </c>
      <c r="J890" s="3" t="str">
        <f>IFERROR(__xludf.DUMMYFUNCTION("""COMPUTED_VALUE""")," ")</f>
        <v> </v>
      </c>
      <c r="K890" s="3" t="str">
        <f>IFERROR(__xludf.DUMMYFUNCTION("""COMPUTED_VALUE"""),"Y")</f>
        <v>Y</v>
      </c>
      <c r="L890" s="3" t="str">
        <f>IFERROR(__xludf.DUMMYFUNCTION("""COMPUTED_VALUE"""),"Group 1")</f>
        <v>Group 1</v>
      </c>
      <c r="M890" s="3"/>
      <c r="N890" s="5" t="str">
        <f>IFERROR(__xludf.DUMMYFUNCTION("""COMPUTED_VALUE""")," ")</f>
        <v> </v>
      </c>
      <c r="O890" s="5"/>
    </row>
    <row r="891">
      <c r="A891" s="2" t="str">
        <f>IFERROR(__xludf.DUMMYFUNCTION("""COMPUTED_VALUE"""),"1010")</f>
        <v>1010</v>
      </c>
      <c r="B891" s="2" t="str">
        <f>IFERROR(__xludf.DUMMYFUNCTION("""COMPUTED_VALUE"""),"COLORADO SPRINGS    11")</f>
        <v>COLORADO SPRINGS    11</v>
      </c>
      <c r="C891" s="2" t="str">
        <f>IFERROR(__xludf.DUMMYFUNCTION("""COMPUTED_VALUE"""),"08246")</f>
        <v>08246</v>
      </c>
      <c r="D891" s="2" t="str">
        <f>IFERROR(__xludf.DUMMYFUNCTION("""COMPUTED_VALUE"""),"STEELE ELEMENTARY SCHOOL")</f>
        <v>STEELE ELEMENTARY SCHOOL</v>
      </c>
      <c r="E891" s="3" t="str">
        <f>IFERROR(__xludf.DUMMYFUNCTION("""COMPUTED_VALUE"""),"Y")</f>
        <v>Y</v>
      </c>
      <c r="F891" s="3" t="str">
        <f>IFERROR(__xludf.DUMMYFUNCTION("""COMPUTED_VALUE"""),"Y")</f>
        <v>Y</v>
      </c>
      <c r="G891" s="3"/>
      <c r="H891" s="3"/>
      <c r="I891" s="3" t="str">
        <f>IFERROR(__xludf.DUMMYFUNCTION("""COMPUTED_VALUE""")," ")</f>
        <v> </v>
      </c>
      <c r="J891" s="3" t="str">
        <f>IFERROR(__xludf.DUMMYFUNCTION("""COMPUTED_VALUE""")," ")</f>
        <v> </v>
      </c>
      <c r="K891" s="3" t="str">
        <f>IFERROR(__xludf.DUMMYFUNCTION("""COMPUTED_VALUE"""),"Y")</f>
        <v>Y</v>
      </c>
      <c r="L891" s="3" t="str">
        <f>IFERROR(__xludf.DUMMYFUNCTION("""COMPUTED_VALUE"""),"Group 4")</f>
        <v>Group 4</v>
      </c>
      <c r="M891" s="3"/>
      <c r="N891" s="5" t="str">
        <f>IFERROR(__xludf.DUMMYFUNCTION("""COMPUTED_VALUE""")," ")</f>
        <v> </v>
      </c>
      <c r="O891" s="5"/>
    </row>
    <row r="892">
      <c r="A892" s="2" t="str">
        <f>IFERROR(__xludf.DUMMYFUNCTION("""COMPUTED_VALUE"""),"1010")</f>
        <v>1010</v>
      </c>
      <c r="B892" s="2" t="str">
        <f>IFERROR(__xludf.DUMMYFUNCTION("""COMPUTED_VALUE"""),"COLORADO SPRINGS    11")</f>
        <v>COLORADO SPRINGS    11</v>
      </c>
      <c r="C892" s="2" t="str">
        <f>IFERROR(__xludf.DUMMYFUNCTION("""COMPUTED_VALUE"""),"08346")</f>
        <v>08346</v>
      </c>
      <c r="D892" s="2" t="str">
        <f>IFERROR(__xludf.DUMMYFUNCTION("""COMPUTED_VALUE"""),"STRATTON ELEMENTARY SCHOOL")</f>
        <v>STRATTON ELEMENTARY SCHOOL</v>
      </c>
      <c r="E892" s="3" t="str">
        <f>IFERROR(__xludf.DUMMYFUNCTION("""COMPUTED_VALUE"""),"Y")</f>
        <v>Y</v>
      </c>
      <c r="F892" s="3" t="str">
        <f>IFERROR(__xludf.DUMMYFUNCTION("""COMPUTED_VALUE"""),"Y")</f>
        <v>Y</v>
      </c>
      <c r="G892" s="3"/>
      <c r="H892" s="3"/>
      <c r="I892" s="3" t="str">
        <f>IFERROR(__xludf.DUMMYFUNCTION("""COMPUTED_VALUE""")," ")</f>
        <v> </v>
      </c>
      <c r="J892" s="3" t="str">
        <f>IFERROR(__xludf.DUMMYFUNCTION("""COMPUTED_VALUE""")," ")</f>
        <v> </v>
      </c>
      <c r="K892" s="3" t="str">
        <f>IFERROR(__xludf.DUMMYFUNCTION("""COMPUTED_VALUE"""),"Y")</f>
        <v>Y</v>
      </c>
      <c r="L892" s="3" t="str">
        <f>IFERROR(__xludf.DUMMYFUNCTION("""COMPUTED_VALUE"""),"Group 6")</f>
        <v>Group 6</v>
      </c>
      <c r="M892" s="3"/>
      <c r="N892" s="5" t="str">
        <f>IFERROR(__xludf.DUMMYFUNCTION("""COMPUTED_VALUE""")," ")</f>
        <v> </v>
      </c>
      <c r="O892" s="5"/>
    </row>
    <row r="893">
      <c r="A893" s="2" t="str">
        <f>IFERROR(__xludf.DUMMYFUNCTION("""COMPUTED_VALUE"""),"1010")</f>
        <v>1010</v>
      </c>
      <c r="B893" s="2" t="str">
        <f>IFERROR(__xludf.DUMMYFUNCTION("""COMPUTED_VALUE"""),"COLORADO SPRINGS    11")</f>
        <v>COLORADO SPRINGS    11</v>
      </c>
      <c r="C893" s="2" t="str">
        <f>IFERROR(__xludf.DUMMYFUNCTION("""COMPUTED_VALUE"""),"08457")</f>
        <v>08457</v>
      </c>
      <c r="D893" s="2" t="str">
        <f>IFERROR(__xludf.DUMMYFUNCTION("""COMPUTED_VALUE"""),"JACK SWIGERT MIDDLE SCHOOL")</f>
        <v>JACK SWIGERT MIDDLE SCHOOL</v>
      </c>
      <c r="E893" s="3" t="str">
        <f>IFERROR(__xludf.DUMMYFUNCTION("""COMPUTED_VALUE"""),"Y")</f>
        <v>Y</v>
      </c>
      <c r="F893" s="3" t="str">
        <f>IFERROR(__xludf.DUMMYFUNCTION("""COMPUTED_VALUE"""),"Y")</f>
        <v>Y</v>
      </c>
      <c r="G893" s="3" t="str">
        <f>IFERROR(__xludf.DUMMYFUNCTION("""COMPUTED_VALUE"""),"Y")</f>
        <v>Y</v>
      </c>
      <c r="H893" s="3"/>
      <c r="I893" s="3" t="str">
        <f>IFERROR(__xludf.DUMMYFUNCTION("""COMPUTED_VALUE""")," ")</f>
        <v> </v>
      </c>
      <c r="J893" s="3" t="str">
        <f>IFERROR(__xludf.DUMMYFUNCTION("""COMPUTED_VALUE"""),"Y")</f>
        <v>Y</v>
      </c>
      <c r="K893" s="3" t="str">
        <f>IFERROR(__xludf.DUMMYFUNCTION("""COMPUTED_VALUE"""),"Y")</f>
        <v>Y</v>
      </c>
      <c r="L893" s="3" t="str">
        <f>IFERROR(__xludf.DUMMYFUNCTION("""COMPUTED_VALUE"""),"Group 3")</f>
        <v>Group 3</v>
      </c>
      <c r="M893" s="3"/>
      <c r="N893" s="5" t="str">
        <f>IFERROR(__xludf.DUMMYFUNCTION("""COMPUTED_VALUE""")," ")</f>
        <v> </v>
      </c>
      <c r="O893" s="5"/>
    </row>
    <row r="894">
      <c r="A894" s="2" t="str">
        <f>IFERROR(__xludf.DUMMYFUNCTION("""COMPUTED_VALUE"""),"1010")</f>
        <v>1010</v>
      </c>
      <c r="B894" s="2" t="str">
        <f>IFERROR(__xludf.DUMMYFUNCTION("""COMPUTED_VALUE"""),"COLORADO SPRINGS    11")</f>
        <v>COLORADO SPRINGS    11</v>
      </c>
      <c r="C894" s="2" t="str">
        <f>IFERROR(__xludf.DUMMYFUNCTION("""COMPUTED_VALUE"""),"08466")</f>
        <v>08466</v>
      </c>
      <c r="D894" s="2" t="str">
        <f>IFERROR(__xludf.DUMMYFUNCTION("""COMPUTED_VALUE"""),"TAYLOR ELEMENTARY SCHOOL")</f>
        <v>TAYLOR ELEMENTARY SCHOOL</v>
      </c>
      <c r="E894" s="3" t="str">
        <f>IFERROR(__xludf.DUMMYFUNCTION("""COMPUTED_VALUE"""),"Y")</f>
        <v>Y</v>
      </c>
      <c r="F894" s="3" t="str">
        <f>IFERROR(__xludf.DUMMYFUNCTION("""COMPUTED_VALUE"""),"Y")</f>
        <v>Y</v>
      </c>
      <c r="G894" s="3"/>
      <c r="H894" s="3"/>
      <c r="I894" s="3" t="str">
        <f>IFERROR(__xludf.DUMMYFUNCTION("""COMPUTED_VALUE""")," ")</f>
        <v> </v>
      </c>
      <c r="J894" s="3" t="str">
        <f>IFERROR(__xludf.DUMMYFUNCTION("""COMPUTED_VALUE""")," ")</f>
        <v> </v>
      </c>
      <c r="K894" s="3" t="str">
        <f>IFERROR(__xludf.DUMMYFUNCTION("""COMPUTED_VALUE"""),"Y")</f>
        <v>Y</v>
      </c>
      <c r="L894" s="3" t="str">
        <f>IFERROR(__xludf.DUMMYFUNCTION("""COMPUTED_VALUE"""),"Group 11")</f>
        <v>Group 11</v>
      </c>
      <c r="M894" s="3"/>
      <c r="N894" s="5" t="str">
        <f>IFERROR(__xludf.DUMMYFUNCTION("""COMPUTED_VALUE"""),"Y")</f>
        <v>Y</v>
      </c>
      <c r="O894" s="5"/>
    </row>
    <row r="895">
      <c r="A895" s="2" t="str">
        <f>IFERROR(__xludf.DUMMYFUNCTION("""COMPUTED_VALUE"""),"1010")</f>
        <v>1010</v>
      </c>
      <c r="B895" s="2" t="str">
        <f>IFERROR(__xludf.DUMMYFUNCTION("""COMPUTED_VALUE"""),"COLORADO SPRINGS    11")</f>
        <v>COLORADO SPRINGS    11</v>
      </c>
      <c r="C895" s="2" t="str">
        <f>IFERROR(__xludf.DUMMYFUNCTION("""COMPUTED_VALUE"""),"08825")</f>
        <v>08825</v>
      </c>
      <c r="D895" s="2" t="str">
        <f>IFERROR(__xludf.DUMMYFUNCTION("""COMPUTED_VALUE"""),"Thomas MacLaren State Charter School")</f>
        <v>Thomas MacLaren State Charter School</v>
      </c>
      <c r="E895" s="3"/>
      <c r="F895" s="3" t="str">
        <f>IFERROR(__xludf.DUMMYFUNCTION("""COMPUTED_VALUE"""),"Y")</f>
        <v>Y</v>
      </c>
      <c r="G895" s="3"/>
      <c r="H895" s="3"/>
      <c r="I895" s="3" t="str">
        <f>IFERROR(__xludf.DUMMYFUNCTION("""COMPUTED_VALUE""")," ")</f>
        <v> </v>
      </c>
      <c r="J895" s="3" t="str">
        <f>IFERROR(__xludf.DUMMYFUNCTION("""COMPUTED_VALUE""")," ")</f>
        <v> </v>
      </c>
      <c r="K895" s="3" t="str">
        <f>IFERROR(__xludf.DUMMYFUNCTION("""COMPUTED_VALUE"""),"Y")</f>
        <v>Y</v>
      </c>
      <c r="L895" s="3" t="str">
        <f>IFERROR(__xludf.DUMMYFUNCTION("""COMPUTED_VALUE""")," ")</f>
        <v> </v>
      </c>
      <c r="M895" s="3"/>
      <c r="N895" s="5" t="str">
        <f>IFERROR(__xludf.DUMMYFUNCTION("""COMPUTED_VALUE""")," ")</f>
        <v> </v>
      </c>
      <c r="O895" s="5"/>
    </row>
    <row r="896">
      <c r="A896" s="2" t="str">
        <f>IFERROR(__xludf.DUMMYFUNCTION("""COMPUTED_VALUE"""),"1010")</f>
        <v>1010</v>
      </c>
      <c r="B896" s="2" t="str">
        <f>IFERROR(__xludf.DUMMYFUNCTION("""COMPUTED_VALUE"""),"COLORADO SPRINGS    11")</f>
        <v>COLORADO SPRINGS    11</v>
      </c>
      <c r="C896" s="2" t="str">
        <f>IFERROR(__xludf.DUMMYFUNCTION("""COMPUTED_VALUE"""),"08902")</f>
        <v>08902</v>
      </c>
      <c r="D896" s="2" t="str">
        <f>IFERROR(__xludf.DUMMYFUNCTION("""COMPUTED_VALUE"""),"TRAILBLAZER ELEMENTARY SCHOOL")</f>
        <v>TRAILBLAZER ELEMENTARY SCHOOL</v>
      </c>
      <c r="E896" s="3" t="str">
        <f>IFERROR(__xludf.DUMMYFUNCTION("""COMPUTED_VALUE"""),"Y")</f>
        <v>Y</v>
      </c>
      <c r="F896" s="3" t="str">
        <f>IFERROR(__xludf.DUMMYFUNCTION("""COMPUTED_VALUE"""),"Y")</f>
        <v>Y</v>
      </c>
      <c r="G896" s="3"/>
      <c r="H896" s="3"/>
      <c r="I896" s="3" t="str">
        <f>IFERROR(__xludf.DUMMYFUNCTION("""COMPUTED_VALUE""")," ")</f>
        <v> </v>
      </c>
      <c r="J896" s="3" t="str">
        <f>IFERROR(__xludf.DUMMYFUNCTION("""COMPUTED_VALUE""")," ")</f>
        <v> </v>
      </c>
      <c r="K896" s="3" t="str">
        <f>IFERROR(__xludf.DUMMYFUNCTION("""COMPUTED_VALUE"""),"Y")</f>
        <v>Y</v>
      </c>
      <c r="L896" s="3" t="str">
        <f>IFERROR(__xludf.DUMMYFUNCTION("""COMPUTED_VALUE"""),"Group 11")</f>
        <v>Group 11</v>
      </c>
      <c r="M896" s="3"/>
      <c r="N896" s="5" t="str">
        <f>IFERROR(__xludf.DUMMYFUNCTION("""COMPUTED_VALUE""")," ")</f>
        <v> </v>
      </c>
      <c r="O896" s="5"/>
    </row>
    <row r="897">
      <c r="A897" s="2" t="str">
        <f>IFERROR(__xludf.DUMMYFUNCTION("""COMPUTED_VALUE"""),"1010")</f>
        <v>1010</v>
      </c>
      <c r="B897" s="2" t="str">
        <f>IFERROR(__xludf.DUMMYFUNCTION("""COMPUTED_VALUE"""),"COLORADO SPRINGS    11")</f>
        <v>COLORADO SPRINGS    11</v>
      </c>
      <c r="C897" s="2" t="str">
        <f>IFERROR(__xludf.DUMMYFUNCTION("""COMPUTED_VALUE"""),"09051")</f>
        <v>09051</v>
      </c>
      <c r="D897" s="2" t="str">
        <f>IFERROR(__xludf.DUMMYFUNCTION("""COMPUTED_VALUE"""),"THE VANGUARD SCHOOL (MIDDLE)")</f>
        <v>THE VANGUARD SCHOOL (MIDDLE)</v>
      </c>
      <c r="E897" s="3"/>
      <c r="F897" s="3" t="str">
        <f>IFERROR(__xludf.DUMMYFUNCTION("""COMPUTED_VALUE"""),"Y")</f>
        <v>Y</v>
      </c>
      <c r="G897" s="3"/>
      <c r="H897" s="3"/>
      <c r="I897" s="3" t="str">
        <f>IFERROR(__xludf.DUMMYFUNCTION("""COMPUTED_VALUE""")," ")</f>
        <v> </v>
      </c>
      <c r="J897" s="3" t="str">
        <f>IFERROR(__xludf.DUMMYFUNCTION("""COMPUTED_VALUE""")," ")</f>
        <v> </v>
      </c>
      <c r="K897" s="3" t="str">
        <f>IFERROR(__xludf.DUMMYFUNCTION("""COMPUTED_VALUE"""),"Y")</f>
        <v>Y</v>
      </c>
      <c r="L897" s="3" t="str">
        <f>IFERROR(__xludf.DUMMYFUNCTION("""COMPUTED_VALUE""")," ")</f>
        <v> </v>
      </c>
      <c r="M897" s="3"/>
      <c r="N897" s="5" t="str">
        <f>IFERROR(__xludf.DUMMYFUNCTION("""COMPUTED_VALUE""")," ")</f>
        <v> </v>
      </c>
      <c r="O897" s="5"/>
    </row>
    <row r="898">
      <c r="A898" s="2" t="str">
        <f>IFERROR(__xludf.DUMMYFUNCTION("""COMPUTED_VALUE"""),"1010")</f>
        <v>1010</v>
      </c>
      <c r="B898" s="2" t="str">
        <f>IFERROR(__xludf.DUMMYFUNCTION("""COMPUTED_VALUE"""),"COLORADO SPRINGS    11")</f>
        <v>COLORADO SPRINGS    11</v>
      </c>
      <c r="C898" s="2" t="str">
        <f>IFERROR(__xludf.DUMMYFUNCTION("""COMPUTED_VALUE"""),"09057")</f>
        <v>09057</v>
      </c>
      <c r="D898" s="2" t="str">
        <f>IFERROR(__xludf.DUMMYFUNCTION("""COMPUTED_VALUE"""),"THE VANGUARD SCHOOL (HIGH)")</f>
        <v>THE VANGUARD SCHOOL (HIGH)</v>
      </c>
      <c r="E898" s="3"/>
      <c r="F898" s="3" t="str">
        <f>IFERROR(__xludf.DUMMYFUNCTION("""COMPUTED_VALUE"""),"Y")</f>
        <v>Y</v>
      </c>
      <c r="G898" s="3"/>
      <c r="H898" s="3"/>
      <c r="I898" s="3" t="str">
        <f>IFERROR(__xludf.DUMMYFUNCTION("""COMPUTED_VALUE""")," ")</f>
        <v> </v>
      </c>
      <c r="J898" s="3" t="str">
        <f>IFERROR(__xludf.DUMMYFUNCTION("""COMPUTED_VALUE""")," ")</f>
        <v> </v>
      </c>
      <c r="K898" s="3" t="str">
        <f>IFERROR(__xludf.DUMMYFUNCTION("""COMPUTED_VALUE"""),"Y")</f>
        <v>Y</v>
      </c>
      <c r="L898" s="3" t="str">
        <f>IFERROR(__xludf.DUMMYFUNCTION("""COMPUTED_VALUE""")," ")</f>
        <v> </v>
      </c>
      <c r="M898" s="3"/>
      <c r="N898" s="5" t="str">
        <f>IFERROR(__xludf.DUMMYFUNCTION("""COMPUTED_VALUE""")," ")</f>
        <v> </v>
      </c>
      <c r="O898" s="5"/>
    </row>
    <row r="899">
      <c r="A899" s="2" t="str">
        <f>IFERROR(__xludf.DUMMYFUNCTION("""COMPUTED_VALUE"""),"1010")</f>
        <v>1010</v>
      </c>
      <c r="B899" s="2" t="str">
        <f>IFERROR(__xludf.DUMMYFUNCTION("""COMPUTED_VALUE"""),"COLORADO SPRINGS    11")</f>
        <v>COLORADO SPRINGS    11</v>
      </c>
      <c r="C899" s="2" t="str">
        <f>IFERROR(__xludf.DUMMYFUNCTION("""COMPUTED_VALUE"""),"09404")</f>
        <v>09404</v>
      </c>
      <c r="D899" s="2" t="str">
        <f>IFERROR(__xludf.DUMMYFUNCTION("""COMPUTED_VALUE"""),"WEST MIDDLE SCHOOL")</f>
        <v>WEST MIDDLE SCHOOL</v>
      </c>
      <c r="E899" s="3" t="str">
        <f>IFERROR(__xludf.DUMMYFUNCTION("""COMPUTED_VALUE"""),"Y")</f>
        <v>Y</v>
      </c>
      <c r="F899" s="3" t="str">
        <f>IFERROR(__xludf.DUMMYFUNCTION("""COMPUTED_VALUE"""),"Y")</f>
        <v>Y</v>
      </c>
      <c r="G899" s="3" t="str">
        <f>IFERROR(__xludf.DUMMYFUNCTION("""COMPUTED_VALUE"""),"Y")</f>
        <v>Y</v>
      </c>
      <c r="H899" s="3"/>
      <c r="I899" s="3" t="str">
        <f>IFERROR(__xludf.DUMMYFUNCTION("""COMPUTED_VALUE""")," ")</f>
        <v> </v>
      </c>
      <c r="J899" s="3" t="str">
        <f>IFERROR(__xludf.DUMMYFUNCTION("""COMPUTED_VALUE"""),"Y")</f>
        <v>Y</v>
      </c>
      <c r="K899" s="3" t="str">
        <f>IFERROR(__xludf.DUMMYFUNCTION("""COMPUTED_VALUE"""),"Y")</f>
        <v>Y</v>
      </c>
      <c r="L899" s="3" t="str">
        <f>IFERROR(__xludf.DUMMYFUNCTION("""COMPUTED_VALUE"""),"Group 11")</f>
        <v>Group 11</v>
      </c>
      <c r="M899" s="3"/>
      <c r="N899" s="5" t="str">
        <f>IFERROR(__xludf.DUMMYFUNCTION("""COMPUTED_VALUE""")," ")</f>
        <v> </v>
      </c>
      <c r="O899" s="5"/>
    </row>
    <row r="900">
      <c r="A900" s="2" t="str">
        <f>IFERROR(__xludf.DUMMYFUNCTION("""COMPUTED_VALUE"""),"1010")</f>
        <v>1010</v>
      </c>
      <c r="B900" s="2" t="str">
        <f>IFERROR(__xludf.DUMMYFUNCTION("""COMPUTED_VALUE"""),"COLORADO SPRINGS    11")</f>
        <v>COLORADO SPRINGS    11</v>
      </c>
      <c r="C900" s="2" t="str">
        <f>IFERROR(__xludf.DUMMYFUNCTION("""COMPUTED_VALUE"""),"09445")</f>
        <v>09445</v>
      </c>
      <c r="D900" s="2" t="str">
        <f>IFERROR(__xludf.DUMMYFUNCTION("""COMPUTED_VALUE"""),"WEST ELEMENTARY")</f>
        <v>WEST ELEMENTARY</v>
      </c>
      <c r="E900" s="3" t="str">
        <f>IFERROR(__xludf.DUMMYFUNCTION("""COMPUTED_VALUE"""),"Y")</f>
        <v>Y</v>
      </c>
      <c r="F900" s="3" t="str">
        <f>IFERROR(__xludf.DUMMYFUNCTION("""COMPUTED_VALUE"""),"Y")</f>
        <v>Y</v>
      </c>
      <c r="G900" s="3" t="str">
        <f>IFERROR(__xludf.DUMMYFUNCTION("""COMPUTED_VALUE"""),"Y")</f>
        <v>Y</v>
      </c>
      <c r="H900" s="3"/>
      <c r="I900" s="3" t="str">
        <f>IFERROR(__xludf.DUMMYFUNCTION("""COMPUTED_VALUE""")," ")</f>
        <v> </v>
      </c>
      <c r="J900" s="3" t="str">
        <f>IFERROR(__xludf.DUMMYFUNCTION("""COMPUTED_VALUE"""),"Y")</f>
        <v>Y</v>
      </c>
      <c r="K900" s="3" t="str">
        <f>IFERROR(__xludf.DUMMYFUNCTION("""COMPUTED_VALUE"""),"Y")</f>
        <v>Y</v>
      </c>
      <c r="L900" s="3" t="str">
        <f>IFERROR(__xludf.DUMMYFUNCTION("""COMPUTED_VALUE"""),"Group 11")</f>
        <v>Group 11</v>
      </c>
      <c r="M900" s="3"/>
      <c r="N900" s="5" t="str">
        <f>IFERROR(__xludf.DUMMYFUNCTION("""COMPUTED_VALUE""")," ")</f>
        <v> </v>
      </c>
      <c r="O900" s="5"/>
    </row>
    <row r="901">
      <c r="A901" s="2" t="str">
        <f>IFERROR(__xludf.DUMMYFUNCTION("""COMPUTED_VALUE"""),"1010")</f>
        <v>1010</v>
      </c>
      <c r="B901" s="2" t="str">
        <f>IFERROR(__xludf.DUMMYFUNCTION("""COMPUTED_VALUE"""),"COLORADO SPRINGS    11")</f>
        <v>COLORADO SPRINGS    11</v>
      </c>
      <c r="C901" s="2" t="str">
        <f>IFERROR(__xludf.DUMMYFUNCTION("""COMPUTED_VALUE"""),"09618")</f>
        <v>09618</v>
      </c>
      <c r="D901" s="2" t="str">
        <f>IFERROR(__xludf.DUMMYFUNCTION("""COMPUTED_VALUE"""),"ROGERS ELEMENTARY SCHOOL")</f>
        <v>ROGERS ELEMENTARY SCHOOL</v>
      </c>
      <c r="E901" s="3" t="str">
        <f>IFERROR(__xludf.DUMMYFUNCTION("""COMPUTED_VALUE"""),"Y")</f>
        <v>Y</v>
      </c>
      <c r="F901" s="3" t="str">
        <f>IFERROR(__xludf.DUMMYFUNCTION("""COMPUTED_VALUE"""),"Y")</f>
        <v>Y</v>
      </c>
      <c r="G901" s="3" t="str">
        <f>IFERROR(__xludf.DUMMYFUNCTION("""COMPUTED_VALUE"""),"Y")</f>
        <v>Y</v>
      </c>
      <c r="H901" s="3"/>
      <c r="I901" s="3" t="str">
        <f>IFERROR(__xludf.DUMMYFUNCTION("""COMPUTED_VALUE""")," ")</f>
        <v> </v>
      </c>
      <c r="J901" s="3" t="str">
        <f>IFERROR(__xludf.DUMMYFUNCTION("""COMPUTED_VALUE"""),"Y")</f>
        <v>Y</v>
      </c>
      <c r="K901" s="3" t="str">
        <f>IFERROR(__xludf.DUMMYFUNCTION("""COMPUTED_VALUE"""),"Y")</f>
        <v>Y</v>
      </c>
      <c r="L901" s="3" t="str">
        <f>IFERROR(__xludf.DUMMYFUNCTION("""COMPUTED_VALUE"""),"Group 11")</f>
        <v>Group 11</v>
      </c>
      <c r="M901" s="3"/>
      <c r="N901" s="5" t="str">
        <f>IFERROR(__xludf.DUMMYFUNCTION("""COMPUTED_VALUE"""),"Y")</f>
        <v>Y</v>
      </c>
      <c r="O901" s="5"/>
    </row>
    <row r="902">
      <c r="A902" s="2" t="str">
        <f>IFERROR(__xludf.DUMMYFUNCTION("""COMPUTED_VALUE"""),"1010")</f>
        <v>1010</v>
      </c>
      <c r="B902" s="2" t="str">
        <f>IFERROR(__xludf.DUMMYFUNCTION("""COMPUTED_VALUE"""),"COLORADO SPRINGS    11")</f>
        <v>COLORADO SPRINGS    11</v>
      </c>
      <c r="C902" s="2" t="str">
        <f>IFERROR(__xludf.DUMMYFUNCTION("""COMPUTED_VALUE"""),"09660")</f>
        <v>09660</v>
      </c>
      <c r="D902" s="2" t="str">
        <f>IFERROR(__xludf.DUMMYFUNCTION("""COMPUTED_VALUE"""),"WILSON ELEMENTARY SCHOOL")</f>
        <v>WILSON ELEMENTARY SCHOOL</v>
      </c>
      <c r="E902" s="3" t="str">
        <f>IFERROR(__xludf.DUMMYFUNCTION("""COMPUTED_VALUE"""),"Y")</f>
        <v>Y</v>
      </c>
      <c r="F902" s="3" t="str">
        <f>IFERROR(__xludf.DUMMYFUNCTION("""COMPUTED_VALUE"""),"Y")</f>
        <v>Y</v>
      </c>
      <c r="G902" s="3" t="str">
        <f>IFERROR(__xludf.DUMMYFUNCTION("""COMPUTED_VALUE"""),"Y")</f>
        <v>Y</v>
      </c>
      <c r="H902" s="3"/>
      <c r="I902" s="3" t="str">
        <f>IFERROR(__xludf.DUMMYFUNCTION("""COMPUTED_VALUE""")," ")</f>
        <v> </v>
      </c>
      <c r="J902" s="3" t="str">
        <f>IFERROR(__xludf.DUMMYFUNCTION("""COMPUTED_VALUE"""),"Y")</f>
        <v>Y</v>
      </c>
      <c r="K902" s="3" t="str">
        <f>IFERROR(__xludf.DUMMYFUNCTION("""COMPUTED_VALUE"""),"Y")</f>
        <v>Y</v>
      </c>
      <c r="L902" s="3" t="str">
        <f>IFERROR(__xludf.DUMMYFUNCTION("""COMPUTED_VALUE"""),"Group 11")</f>
        <v>Group 11</v>
      </c>
      <c r="M902" s="3"/>
      <c r="N902" s="5" t="str">
        <f>IFERROR(__xludf.DUMMYFUNCTION("""COMPUTED_VALUE""")," ")</f>
        <v> </v>
      </c>
      <c r="O902" s="5"/>
    </row>
    <row r="903">
      <c r="A903" s="2" t="str">
        <f>IFERROR(__xludf.DUMMYFUNCTION("""COMPUTED_VALUE"""),"1020")</f>
        <v>1020</v>
      </c>
      <c r="B903" s="2" t="str">
        <f>IFERROR(__xludf.DUMMYFUNCTION("""COMPUTED_VALUE"""),"CHEYENNE MOUNTAIN   12")</f>
        <v>CHEYENNE MOUNTAIN   12</v>
      </c>
      <c r="C903" s="2" t="str">
        <f>IFERROR(__xludf.DUMMYFUNCTION("""COMPUTED_VALUE"""),"01586")</f>
        <v>01586</v>
      </c>
      <c r="D903" s="2" t="str">
        <f>IFERROR(__xludf.DUMMYFUNCTION("""COMPUTED_VALUE"""),"CHEYENNE MOUNTAIN ELEMENTARY SCHOOL")</f>
        <v>CHEYENNE MOUNTAIN ELEMENTARY SCHOOL</v>
      </c>
      <c r="E903" s="3"/>
      <c r="F903" s="3" t="str">
        <f>IFERROR(__xludf.DUMMYFUNCTION("""COMPUTED_VALUE"""),"Y")</f>
        <v>Y</v>
      </c>
      <c r="G903" s="3"/>
      <c r="H903" s="3"/>
      <c r="I903" s="3" t="str">
        <f>IFERROR(__xludf.DUMMYFUNCTION("""COMPUTED_VALUE""")," ")</f>
        <v> </v>
      </c>
      <c r="J903" s="3" t="str">
        <f>IFERROR(__xludf.DUMMYFUNCTION("""COMPUTED_VALUE""")," ")</f>
        <v> </v>
      </c>
      <c r="K903" s="3" t="str">
        <f>IFERROR(__xludf.DUMMYFUNCTION("""COMPUTED_VALUE"""),"Y")</f>
        <v>Y</v>
      </c>
      <c r="L903" s="3" t="str">
        <f>IFERROR(__xludf.DUMMYFUNCTION("""COMPUTED_VALUE""")," ")</f>
        <v> </v>
      </c>
      <c r="M903" s="3"/>
      <c r="N903" s="5" t="str">
        <f>IFERROR(__xludf.DUMMYFUNCTION("""COMPUTED_VALUE""")," ")</f>
        <v> </v>
      </c>
      <c r="O903" s="5"/>
    </row>
    <row r="904">
      <c r="A904" s="2" t="str">
        <f>IFERROR(__xludf.DUMMYFUNCTION("""COMPUTED_VALUE"""),"1020")</f>
        <v>1020</v>
      </c>
      <c r="B904" s="2" t="str">
        <f>IFERROR(__xludf.DUMMYFUNCTION("""COMPUTED_VALUE"""),"CHEYENNE MOUNTAIN   12")</f>
        <v>CHEYENNE MOUNTAIN   12</v>
      </c>
      <c r="C904" s="2" t="str">
        <f>IFERROR(__xludf.DUMMYFUNCTION("""COMPUTED_VALUE"""),"01588")</f>
        <v>01588</v>
      </c>
      <c r="D904" s="2" t="str">
        <f>IFERROR(__xludf.DUMMYFUNCTION("""COMPUTED_VALUE"""),"CHEYENNE MOUNTAIN JUNIOR HIGH SCHOOL")</f>
        <v>CHEYENNE MOUNTAIN JUNIOR HIGH SCHOOL</v>
      </c>
      <c r="E904" s="3" t="str">
        <f>IFERROR(__xludf.DUMMYFUNCTION("""COMPUTED_VALUE"""),"Y")</f>
        <v>Y</v>
      </c>
      <c r="F904" s="3" t="str">
        <f>IFERROR(__xludf.DUMMYFUNCTION("""COMPUTED_VALUE"""),"Y")</f>
        <v>Y</v>
      </c>
      <c r="G904" s="3"/>
      <c r="H904" s="3"/>
      <c r="I904" s="3" t="str">
        <f>IFERROR(__xludf.DUMMYFUNCTION("""COMPUTED_VALUE""")," ")</f>
        <v> </v>
      </c>
      <c r="J904" s="3" t="str">
        <f>IFERROR(__xludf.DUMMYFUNCTION("""COMPUTED_VALUE""")," ")</f>
        <v> </v>
      </c>
      <c r="K904" s="3" t="str">
        <f>IFERROR(__xludf.DUMMYFUNCTION("""COMPUTED_VALUE"""),"Y")</f>
        <v>Y</v>
      </c>
      <c r="L904" s="3" t="str">
        <f>IFERROR(__xludf.DUMMYFUNCTION("""COMPUTED_VALUE""")," ")</f>
        <v> </v>
      </c>
      <c r="M904" s="3"/>
      <c r="N904" s="5" t="str">
        <f>IFERROR(__xludf.DUMMYFUNCTION("""COMPUTED_VALUE""")," ")</f>
        <v> </v>
      </c>
      <c r="O904" s="5"/>
    </row>
    <row r="905">
      <c r="A905" s="2" t="str">
        <f>IFERROR(__xludf.DUMMYFUNCTION("""COMPUTED_VALUE"""),"1020")</f>
        <v>1020</v>
      </c>
      <c r="B905" s="2" t="str">
        <f>IFERROR(__xludf.DUMMYFUNCTION("""COMPUTED_VALUE"""),"CHEYENNE MOUNTAIN   12")</f>
        <v>CHEYENNE MOUNTAIN   12</v>
      </c>
      <c r="C905" s="2" t="str">
        <f>IFERROR(__xludf.DUMMYFUNCTION("""COMPUTED_VALUE"""),"01590")</f>
        <v>01590</v>
      </c>
      <c r="D905" s="2" t="str">
        <f>IFERROR(__xludf.DUMMYFUNCTION("""COMPUTED_VALUE"""),"CHEYENNE MOUNTAIN HIGH SCHOOL")</f>
        <v>CHEYENNE MOUNTAIN HIGH SCHOOL</v>
      </c>
      <c r="E905" s="3" t="str">
        <f>IFERROR(__xludf.DUMMYFUNCTION("""COMPUTED_VALUE"""),"Y")</f>
        <v>Y</v>
      </c>
      <c r="F905" s="3" t="str">
        <f>IFERROR(__xludf.DUMMYFUNCTION("""COMPUTED_VALUE"""),"Y")</f>
        <v>Y</v>
      </c>
      <c r="G905" s="3"/>
      <c r="H905" s="3"/>
      <c r="I905" s="3" t="str">
        <f>IFERROR(__xludf.DUMMYFUNCTION("""COMPUTED_VALUE""")," ")</f>
        <v> </v>
      </c>
      <c r="J905" s="3" t="str">
        <f>IFERROR(__xludf.DUMMYFUNCTION("""COMPUTED_VALUE""")," ")</f>
        <v> </v>
      </c>
      <c r="K905" s="3" t="str">
        <f>IFERROR(__xludf.DUMMYFUNCTION("""COMPUTED_VALUE"""),"Y")</f>
        <v>Y</v>
      </c>
      <c r="L905" s="3" t="str">
        <f>IFERROR(__xludf.DUMMYFUNCTION("""COMPUTED_VALUE""")," ")</f>
        <v> </v>
      </c>
      <c r="M905" s="3"/>
      <c r="N905" s="5" t="str">
        <f>IFERROR(__xludf.DUMMYFUNCTION("""COMPUTED_VALUE""")," ")</f>
        <v> </v>
      </c>
      <c r="O905" s="5"/>
    </row>
    <row r="906">
      <c r="A906" s="2" t="str">
        <f>IFERROR(__xludf.DUMMYFUNCTION("""COMPUTED_VALUE"""),"1020")</f>
        <v>1020</v>
      </c>
      <c r="B906" s="2" t="str">
        <f>IFERROR(__xludf.DUMMYFUNCTION("""COMPUTED_VALUE"""),"CHEYENNE MOUNTAIN   12")</f>
        <v>CHEYENNE MOUNTAIN   12</v>
      </c>
      <c r="C906" s="2" t="str">
        <f>IFERROR(__xludf.DUMMYFUNCTION("""COMPUTED_VALUE"""),"01592")</f>
        <v>01592</v>
      </c>
      <c r="D906" s="2" t="str">
        <f>IFERROR(__xludf.DUMMYFUNCTION("""COMPUTED_VALUE"""),"BROADMOOR ELEMENTARY SCHOOL")</f>
        <v>BROADMOOR ELEMENTARY SCHOOL</v>
      </c>
      <c r="E906" s="3"/>
      <c r="F906" s="3" t="str">
        <f>IFERROR(__xludf.DUMMYFUNCTION("""COMPUTED_VALUE"""),"Y")</f>
        <v>Y</v>
      </c>
      <c r="G906" s="3"/>
      <c r="H906" s="3"/>
      <c r="I906" s="3" t="str">
        <f>IFERROR(__xludf.DUMMYFUNCTION("""COMPUTED_VALUE""")," ")</f>
        <v> </v>
      </c>
      <c r="J906" s="3" t="str">
        <f>IFERROR(__xludf.DUMMYFUNCTION("""COMPUTED_VALUE""")," ")</f>
        <v> </v>
      </c>
      <c r="K906" s="3" t="str">
        <f>IFERROR(__xludf.DUMMYFUNCTION("""COMPUTED_VALUE"""),"Y")</f>
        <v>Y</v>
      </c>
      <c r="L906" s="3" t="str">
        <f>IFERROR(__xludf.DUMMYFUNCTION("""COMPUTED_VALUE""")," ")</f>
        <v> </v>
      </c>
      <c r="M906" s="3"/>
      <c r="N906" s="5" t="str">
        <f>IFERROR(__xludf.DUMMYFUNCTION("""COMPUTED_VALUE""")," ")</f>
        <v> </v>
      </c>
      <c r="O906" s="5"/>
    </row>
    <row r="907">
      <c r="A907" s="2" t="str">
        <f>IFERROR(__xludf.DUMMYFUNCTION("""COMPUTED_VALUE"""),"1020")</f>
        <v>1020</v>
      </c>
      <c r="B907" s="2" t="str">
        <f>IFERROR(__xludf.DUMMYFUNCTION("""COMPUTED_VALUE"""),"CHEYENNE MOUNTAIN   12")</f>
        <v>CHEYENNE MOUNTAIN   12</v>
      </c>
      <c r="C907" s="2" t="str">
        <f>IFERROR(__xludf.DUMMYFUNCTION("""COMPUTED_VALUE"""),"01596")</f>
        <v>01596</v>
      </c>
      <c r="D907" s="2" t="str">
        <f>IFERROR(__xludf.DUMMYFUNCTION("""COMPUTED_VALUE"""),"CANON ELEMENTARY SCHOOL")</f>
        <v>CANON ELEMENTARY SCHOOL</v>
      </c>
      <c r="E907" s="3" t="str">
        <f>IFERROR(__xludf.DUMMYFUNCTION("""COMPUTED_VALUE"""),"Y")</f>
        <v>Y</v>
      </c>
      <c r="F907" s="3" t="str">
        <f>IFERROR(__xludf.DUMMYFUNCTION("""COMPUTED_VALUE"""),"Y")</f>
        <v>Y</v>
      </c>
      <c r="G907" s="3"/>
      <c r="H907" s="3"/>
      <c r="I907" s="3" t="str">
        <f>IFERROR(__xludf.DUMMYFUNCTION("""COMPUTED_VALUE""")," ")</f>
        <v> </v>
      </c>
      <c r="J907" s="3" t="str">
        <f>IFERROR(__xludf.DUMMYFUNCTION("""COMPUTED_VALUE""")," ")</f>
        <v> </v>
      </c>
      <c r="K907" s="3" t="str">
        <f>IFERROR(__xludf.DUMMYFUNCTION("""COMPUTED_VALUE"""),"Y")</f>
        <v>Y</v>
      </c>
      <c r="L907" s="3" t="str">
        <f>IFERROR(__xludf.DUMMYFUNCTION("""COMPUTED_VALUE"""),"Group 1")</f>
        <v>Group 1</v>
      </c>
      <c r="M907" s="3"/>
      <c r="N907" s="5" t="str">
        <f>IFERROR(__xludf.DUMMYFUNCTION("""COMPUTED_VALUE""")," ")</f>
        <v> </v>
      </c>
      <c r="O907" s="5"/>
    </row>
    <row r="908">
      <c r="A908" s="2" t="str">
        <f>IFERROR(__xludf.DUMMYFUNCTION("""COMPUTED_VALUE"""),"1020")</f>
        <v>1020</v>
      </c>
      <c r="B908" s="2" t="str">
        <f>IFERROR(__xludf.DUMMYFUNCTION("""COMPUTED_VALUE"""),"CHEYENNE MOUNTAIN   12")</f>
        <v>CHEYENNE MOUNTAIN   12</v>
      </c>
      <c r="C908" s="2" t="str">
        <f>IFERROR(__xludf.DUMMYFUNCTION("""COMPUTED_VALUE"""),"01604")</f>
        <v>01604</v>
      </c>
      <c r="D908" s="2" t="str">
        <f>IFERROR(__xludf.DUMMYFUNCTION("""COMPUTED_VALUE"""),"SKYWAY PARK ELEMENTARY SCHOOL")</f>
        <v>SKYWAY PARK ELEMENTARY SCHOOL</v>
      </c>
      <c r="E908" s="3" t="str">
        <f>IFERROR(__xludf.DUMMYFUNCTION("""COMPUTED_VALUE"""),"Y")</f>
        <v>Y</v>
      </c>
      <c r="F908" s="3" t="str">
        <f>IFERROR(__xludf.DUMMYFUNCTION("""COMPUTED_VALUE"""),"Y")</f>
        <v>Y</v>
      </c>
      <c r="G908" s="3"/>
      <c r="H908" s="3"/>
      <c r="I908" s="3" t="str">
        <f>IFERROR(__xludf.DUMMYFUNCTION("""COMPUTED_VALUE""")," ")</f>
        <v> </v>
      </c>
      <c r="J908" s="3" t="str">
        <f>IFERROR(__xludf.DUMMYFUNCTION("""COMPUTED_VALUE""")," ")</f>
        <v> </v>
      </c>
      <c r="K908" s="3" t="str">
        <f>IFERROR(__xludf.DUMMYFUNCTION("""COMPUTED_VALUE"""),"Y")</f>
        <v>Y</v>
      </c>
      <c r="L908" s="3" t="str">
        <f>IFERROR(__xludf.DUMMYFUNCTION("""COMPUTED_VALUE"""),"Group 1")</f>
        <v>Group 1</v>
      </c>
      <c r="M908" s="3"/>
      <c r="N908" s="5" t="str">
        <f>IFERROR(__xludf.DUMMYFUNCTION("""COMPUTED_VALUE""")," ")</f>
        <v> </v>
      </c>
      <c r="O908" s="5"/>
    </row>
    <row r="909">
      <c r="A909" s="2" t="str">
        <f>IFERROR(__xludf.DUMMYFUNCTION("""COMPUTED_VALUE"""),"1020")</f>
        <v>1020</v>
      </c>
      <c r="B909" s="2" t="str">
        <f>IFERROR(__xludf.DUMMYFUNCTION("""COMPUTED_VALUE"""),"CHEYENNE MOUNTAIN   12")</f>
        <v>CHEYENNE MOUNTAIN   12</v>
      </c>
      <c r="C909" s="2" t="str">
        <f>IFERROR(__xludf.DUMMYFUNCTION("""COMPUTED_VALUE"""),"03482")</f>
        <v>03482</v>
      </c>
      <c r="D909" s="2" t="str">
        <f>IFERROR(__xludf.DUMMYFUNCTION("""COMPUTED_VALUE"""),"GOLD CAMP ELEMENTARY SCHOOL")</f>
        <v>GOLD CAMP ELEMENTARY SCHOOL</v>
      </c>
      <c r="E909" s="3"/>
      <c r="F909" s="3" t="str">
        <f>IFERROR(__xludf.DUMMYFUNCTION("""COMPUTED_VALUE"""),"Y")</f>
        <v>Y</v>
      </c>
      <c r="G909" s="3"/>
      <c r="H909" s="3"/>
      <c r="I909" s="3" t="str">
        <f>IFERROR(__xludf.DUMMYFUNCTION("""COMPUTED_VALUE""")," ")</f>
        <v> </v>
      </c>
      <c r="J909" s="3" t="str">
        <f>IFERROR(__xludf.DUMMYFUNCTION("""COMPUTED_VALUE""")," ")</f>
        <v> </v>
      </c>
      <c r="K909" s="3" t="str">
        <f>IFERROR(__xludf.DUMMYFUNCTION("""COMPUTED_VALUE"""),"Y")</f>
        <v>Y</v>
      </c>
      <c r="L909" s="3" t="str">
        <f>IFERROR(__xludf.DUMMYFUNCTION("""COMPUTED_VALUE""")," ")</f>
        <v> </v>
      </c>
      <c r="M909" s="3"/>
      <c r="N909" s="5" t="str">
        <f>IFERROR(__xludf.DUMMYFUNCTION("""COMPUTED_VALUE""")," ")</f>
        <v> </v>
      </c>
      <c r="O909" s="5"/>
    </row>
    <row r="910">
      <c r="A910" s="2" t="str">
        <f>IFERROR(__xludf.DUMMYFUNCTION("""COMPUTED_VALUE"""),"1020")</f>
        <v>1020</v>
      </c>
      <c r="B910" s="2" t="str">
        <f>IFERROR(__xludf.DUMMYFUNCTION("""COMPUTED_VALUE"""),"CHEYENNE MOUNTAIN   12")</f>
        <v>CHEYENNE MOUNTAIN   12</v>
      </c>
      <c r="C910" s="2" t="str">
        <f>IFERROR(__xludf.DUMMYFUNCTION("""COMPUTED_VALUE"""),"06953")</f>
        <v>06953</v>
      </c>
      <c r="D910" s="2" t="str">
        <f>IFERROR(__xludf.DUMMYFUNCTION("""COMPUTED_VALUE"""),"PINON VALLEY ELEMENTARY SCHOOL")</f>
        <v>PINON VALLEY ELEMENTARY SCHOOL</v>
      </c>
      <c r="E910" s="3"/>
      <c r="F910" s="3" t="str">
        <f>IFERROR(__xludf.DUMMYFUNCTION("""COMPUTED_VALUE"""),"Y")</f>
        <v>Y</v>
      </c>
      <c r="G910" s="3"/>
      <c r="H910" s="3"/>
      <c r="I910" s="3" t="str">
        <f>IFERROR(__xludf.DUMMYFUNCTION("""COMPUTED_VALUE""")," ")</f>
        <v> </v>
      </c>
      <c r="J910" s="3" t="str">
        <f>IFERROR(__xludf.DUMMYFUNCTION("""COMPUTED_VALUE""")," ")</f>
        <v> </v>
      </c>
      <c r="K910" s="3" t="str">
        <f>IFERROR(__xludf.DUMMYFUNCTION("""COMPUTED_VALUE"""),"Y")</f>
        <v>Y</v>
      </c>
      <c r="L910" s="3" t="str">
        <f>IFERROR(__xludf.DUMMYFUNCTION("""COMPUTED_VALUE""")," ")</f>
        <v> </v>
      </c>
      <c r="M910" s="3"/>
      <c r="N910" s="5" t="str">
        <f>IFERROR(__xludf.DUMMYFUNCTION("""COMPUTED_VALUE""")," ")</f>
        <v> </v>
      </c>
      <c r="O910" s="5"/>
    </row>
    <row r="911">
      <c r="A911" s="2" t="str">
        <f>IFERROR(__xludf.DUMMYFUNCTION("""COMPUTED_VALUE"""),"1030")</f>
        <v>1030</v>
      </c>
      <c r="B911" s="2" t="str">
        <f>IFERROR(__xludf.DUMMYFUNCTION("""COMPUTED_VALUE"""),"MANITOU SPRINGS     14")</f>
        <v>MANITOU SPRINGS     14</v>
      </c>
      <c r="C911" s="2" t="str">
        <f>IFERROR(__xludf.DUMMYFUNCTION("""COMPUTED_VALUE"""),"05460")</f>
        <v>05460</v>
      </c>
      <c r="D911" s="2" t="str">
        <f>IFERROR(__xludf.DUMMYFUNCTION("""COMPUTED_VALUE"""),"MANITOU SPRINGS ELEMENTARY SCHOOL")</f>
        <v>MANITOU SPRINGS ELEMENTARY SCHOOL</v>
      </c>
      <c r="E911" s="3" t="str">
        <f>IFERROR(__xludf.DUMMYFUNCTION("""COMPUTED_VALUE"""),"Y")</f>
        <v>Y</v>
      </c>
      <c r="F911" s="3" t="str">
        <f>IFERROR(__xludf.DUMMYFUNCTION("""COMPUTED_VALUE"""),"Y")</f>
        <v>Y</v>
      </c>
      <c r="G911" s="3"/>
      <c r="H911" s="3"/>
      <c r="I911" s="3" t="str">
        <f>IFERROR(__xludf.DUMMYFUNCTION("""COMPUTED_VALUE""")," ")</f>
        <v> </v>
      </c>
      <c r="J911" s="3" t="str">
        <f>IFERROR(__xludf.DUMMYFUNCTION("""COMPUTED_VALUE""")," ")</f>
        <v> </v>
      </c>
      <c r="K911" s="3" t="str">
        <f>IFERROR(__xludf.DUMMYFUNCTION("""COMPUTED_VALUE"""),"Y")</f>
        <v>Y</v>
      </c>
      <c r="L911" s="3" t="str">
        <f>IFERROR(__xludf.DUMMYFUNCTION("""COMPUTED_VALUE"""),"Group 3")</f>
        <v>Group 3</v>
      </c>
      <c r="M911" s="3"/>
      <c r="N911" s="5" t="str">
        <f>IFERROR(__xludf.DUMMYFUNCTION("""COMPUTED_VALUE""")," ")</f>
        <v> </v>
      </c>
      <c r="O911" s="5"/>
    </row>
    <row r="912">
      <c r="A912" s="2" t="str">
        <f>IFERROR(__xludf.DUMMYFUNCTION("""COMPUTED_VALUE"""),"1030")</f>
        <v>1030</v>
      </c>
      <c r="B912" s="2" t="str">
        <f>IFERROR(__xludf.DUMMYFUNCTION("""COMPUTED_VALUE"""),"MANITOU SPRINGS     14")</f>
        <v>MANITOU SPRINGS     14</v>
      </c>
      <c r="C912" s="2" t="str">
        <f>IFERROR(__xludf.DUMMYFUNCTION("""COMPUTED_VALUE"""),"05464")</f>
        <v>05464</v>
      </c>
      <c r="D912" s="2" t="str">
        <f>IFERROR(__xludf.DUMMYFUNCTION("""COMPUTED_VALUE"""),"MANITOU SPRINGS MIDDLE SCHOOL")</f>
        <v>MANITOU SPRINGS MIDDLE SCHOOL</v>
      </c>
      <c r="E912" s="3" t="str">
        <f>IFERROR(__xludf.DUMMYFUNCTION("""COMPUTED_VALUE"""),"Y")</f>
        <v>Y</v>
      </c>
      <c r="F912" s="3" t="str">
        <f>IFERROR(__xludf.DUMMYFUNCTION("""COMPUTED_VALUE"""),"Y")</f>
        <v>Y</v>
      </c>
      <c r="G912" s="3"/>
      <c r="H912" s="3"/>
      <c r="I912" s="3" t="str">
        <f>IFERROR(__xludf.DUMMYFUNCTION("""COMPUTED_VALUE""")," ")</f>
        <v> </v>
      </c>
      <c r="J912" s="3" t="str">
        <f>IFERROR(__xludf.DUMMYFUNCTION("""COMPUTED_VALUE""")," ")</f>
        <v> </v>
      </c>
      <c r="K912" s="3" t="str">
        <f>IFERROR(__xludf.DUMMYFUNCTION("""COMPUTED_VALUE"""),"Y")</f>
        <v>Y</v>
      </c>
      <c r="L912" s="3" t="str">
        <f>IFERROR(__xludf.DUMMYFUNCTION("""COMPUTED_VALUE"""),"Group 2")</f>
        <v>Group 2</v>
      </c>
      <c r="M912" s="3"/>
      <c r="N912" s="5" t="str">
        <f>IFERROR(__xludf.DUMMYFUNCTION("""COMPUTED_VALUE""")," ")</f>
        <v> </v>
      </c>
      <c r="O912" s="5"/>
    </row>
    <row r="913">
      <c r="A913" s="2" t="str">
        <f>IFERROR(__xludf.DUMMYFUNCTION("""COMPUTED_VALUE"""),"1030")</f>
        <v>1030</v>
      </c>
      <c r="B913" s="2" t="str">
        <f>IFERROR(__xludf.DUMMYFUNCTION("""COMPUTED_VALUE"""),"MANITOU SPRINGS     14")</f>
        <v>MANITOU SPRINGS     14</v>
      </c>
      <c r="C913" s="2" t="str">
        <f>IFERROR(__xludf.DUMMYFUNCTION("""COMPUTED_VALUE"""),"05468")</f>
        <v>05468</v>
      </c>
      <c r="D913" s="2" t="str">
        <f>IFERROR(__xludf.DUMMYFUNCTION("""COMPUTED_VALUE"""),"MANITOU SPRINGS HIGH SCHOOL")</f>
        <v>MANITOU SPRINGS HIGH SCHOOL</v>
      </c>
      <c r="E913" s="3" t="str">
        <f>IFERROR(__xludf.DUMMYFUNCTION("""COMPUTED_VALUE"""),"Y")</f>
        <v>Y</v>
      </c>
      <c r="F913" s="3" t="str">
        <f>IFERROR(__xludf.DUMMYFUNCTION("""COMPUTED_VALUE"""),"Y")</f>
        <v>Y</v>
      </c>
      <c r="G913" s="3"/>
      <c r="H913" s="3"/>
      <c r="I913" s="3" t="str">
        <f>IFERROR(__xludf.DUMMYFUNCTION("""COMPUTED_VALUE""")," ")</f>
        <v> </v>
      </c>
      <c r="J913" s="3" t="str">
        <f>IFERROR(__xludf.DUMMYFUNCTION("""COMPUTED_VALUE""")," ")</f>
        <v> </v>
      </c>
      <c r="K913" s="3" t="str">
        <f>IFERROR(__xludf.DUMMYFUNCTION("""COMPUTED_VALUE"""),"Y")</f>
        <v>Y</v>
      </c>
      <c r="L913" s="3" t="str">
        <f>IFERROR(__xludf.DUMMYFUNCTION("""COMPUTED_VALUE"""),"Group 1")</f>
        <v>Group 1</v>
      </c>
      <c r="M913" s="3"/>
      <c r="N913" s="3" t="str">
        <f>IFERROR(__xludf.DUMMYFUNCTION("""COMPUTED_VALUE""")," ")</f>
        <v> </v>
      </c>
      <c r="O913" s="3"/>
    </row>
    <row r="914">
      <c r="A914" s="2" t="str">
        <f>IFERROR(__xludf.DUMMYFUNCTION("""COMPUTED_VALUE"""),"1030")</f>
        <v>1030</v>
      </c>
      <c r="B914" s="2" t="str">
        <f>IFERROR(__xludf.DUMMYFUNCTION("""COMPUTED_VALUE"""),"MANITOU SPRINGS     14")</f>
        <v>MANITOU SPRINGS     14</v>
      </c>
      <c r="C914" s="2" t="str">
        <f>IFERROR(__xludf.DUMMYFUNCTION("""COMPUTED_VALUE"""),"09010")</f>
        <v>09010</v>
      </c>
      <c r="D914" s="2" t="str">
        <f>IFERROR(__xludf.DUMMYFUNCTION("""COMPUTED_VALUE"""),"UTE PASS ELEMENTARY SCHOOL")</f>
        <v>UTE PASS ELEMENTARY SCHOOL</v>
      </c>
      <c r="E914" s="3" t="str">
        <f>IFERROR(__xludf.DUMMYFUNCTION("""COMPUTED_VALUE"""),"Y")</f>
        <v>Y</v>
      </c>
      <c r="F914" s="3" t="str">
        <f>IFERROR(__xludf.DUMMYFUNCTION("""COMPUTED_VALUE"""),"Y")</f>
        <v>Y</v>
      </c>
      <c r="G914" s="3"/>
      <c r="H914" s="3"/>
      <c r="I914" s="3" t="str">
        <f>IFERROR(__xludf.DUMMYFUNCTION("""COMPUTED_VALUE""")," ")</f>
        <v> </v>
      </c>
      <c r="J914" s="3" t="str">
        <f>IFERROR(__xludf.DUMMYFUNCTION("""COMPUTED_VALUE""")," ")</f>
        <v> </v>
      </c>
      <c r="K914" s="3" t="str">
        <f>IFERROR(__xludf.DUMMYFUNCTION("""COMPUTED_VALUE"""),"Y")</f>
        <v>Y</v>
      </c>
      <c r="L914" s="3" t="str">
        <f>IFERROR(__xludf.DUMMYFUNCTION("""COMPUTED_VALUE"""),"Group 2")</f>
        <v>Group 2</v>
      </c>
      <c r="M914" s="3"/>
      <c r="N914" s="3" t="str">
        <f>IFERROR(__xludf.DUMMYFUNCTION("""COMPUTED_VALUE""")," ")</f>
        <v> </v>
      </c>
      <c r="O914" s="3"/>
    </row>
    <row r="915">
      <c r="A915" s="2" t="str">
        <f>IFERROR(__xludf.DUMMYFUNCTION("""COMPUTED_VALUE"""),"1040")</f>
        <v>1040</v>
      </c>
      <c r="B915" s="2" t="str">
        <f>IFERROR(__xludf.DUMMYFUNCTION("""COMPUTED_VALUE"""),"ACADEMY             20")</f>
        <v>ACADEMY             20</v>
      </c>
      <c r="C915" s="2" t="str">
        <f>IFERROR(__xludf.DUMMYFUNCTION("""COMPUTED_VALUE"""),"00017")</f>
        <v>00017</v>
      </c>
      <c r="D915" s="2" t="str">
        <f>IFERROR(__xludf.DUMMYFUNCTION("""COMPUTED_VALUE"""),"ACADEMY ENDEAVOUR ELEMENTARY SCHOOL")</f>
        <v>ACADEMY ENDEAVOUR ELEMENTARY SCHOOL</v>
      </c>
      <c r="E915" s="3" t="str">
        <f>IFERROR(__xludf.DUMMYFUNCTION("""COMPUTED_VALUE"""),"Y")</f>
        <v>Y</v>
      </c>
      <c r="F915" s="3" t="str">
        <f>IFERROR(__xludf.DUMMYFUNCTION("""COMPUTED_VALUE"""),"Y")</f>
        <v>Y</v>
      </c>
      <c r="G915" s="3"/>
      <c r="H915" s="3"/>
      <c r="I915" s="3" t="str">
        <f>IFERROR(__xludf.DUMMYFUNCTION("""COMPUTED_VALUE""")," ")</f>
        <v> </v>
      </c>
      <c r="J915" s="3" t="str">
        <f>IFERROR(__xludf.DUMMYFUNCTION("""COMPUTED_VALUE""")," ")</f>
        <v> </v>
      </c>
      <c r="K915" s="3" t="str">
        <f>IFERROR(__xludf.DUMMYFUNCTION("""COMPUTED_VALUE"""),"Y")</f>
        <v>Y</v>
      </c>
      <c r="L915" s="3" t="str">
        <f>IFERROR(__xludf.DUMMYFUNCTION("""COMPUTED_VALUE""")," ")</f>
        <v> </v>
      </c>
      <c r="M915" s="3"/>
      <c r="N915" s="3" t="str">
        <f>IFERROR(__xludf.DUMMYFUNCTION("""COMPUTED_VALUE""")," ")</f>
        <v> </v>
      </c>
      <c r="O915" s="3"/>
    </row>
    <row r="916">
      <c r="A916" s="2" t="str">
        <f>IFERROR(__xludf.DUMMYFUNCTION("""COMPUTED_VALUE"""),"1040")</f>
        <v>1040</v>
      </c>
      <c r="B916" s="2" t="str">
        <f>IFERROR(__xludf.DUMMYFUNCTION("""COMPUTED_VALUE"""),"ACADEMY             20")</f>
        <v>ACADEMY             20</v>
      </c>
      <c r="C916" s="2" t="str">
        <f>IFERROR(__xludf.DUMMYFUNCTION("""COMPUTED_VALUE"""),"00019")</f>
        <v>00019</v>
      </c>
      <c r="D916" s="2" t="str">
        <f>IFERROR(__xludf.DUMMYFUNCTION("""COMPUTED_VALUE"""),"ACADEMY INTERNATIONAL ELEMENTARY SCHOOL")</f>
        <v>ACADEMY INTERNATIONAL ELEMENTARY SCHOOL</v>
      </c>
      <c r="E916" s="3" t="str">
        <f>IFERROR(__xludf.DUMMYFUNCTION("""COMPUTED_VALUE"""),"Y")</f>
        <v>Y</v>
      </c>
      <c r="F916" s="3" t="str">
        <f>IFERROR(__xludf.DUMMYFUNCTION("""COMPUTED_VALUE"""),"Y")</f>
        <v>Y</v>
      </c>
      <c r="G916" s="3"/>
      <c r="H916" s="3"/>
      <c r="I916" s="3" t="str">
        <f>IFERROR(__xludf.DUMMYFUNCTION("""COMPUTED_VALUE""")," ")</f>
        <v> </v>
      </c>
      <c r="J916" s="3" t="str">
        <f>IFERROR(__xludf.DUMMYFUNCTION("""COMPUTED_VALUE""")," ")</f>
        <v> </v>
      </c>
      <c r="K916" s="3" t="str">
        <f>IFERROR(__xludf.DUMMYFUNCTION("""COMPUTED_VALUE"""),"Y")</f>
        <v>Y</v>
      </c>
      <c r="L916" s="3" t="str">
        <f>IFERROR(__xludf.DUMMYFUNCTION("""COMPUTED_VALUE""")," ")</f>
        <v> </v>
      </c>
      <c r="M916" s="3"/>
      <c r="N916" s="3" t="str">
        <f>IFERROR(__xludf.DUMMYFUNCTION("""COMPUTED_VALUE""")," ")</f>
        <v> </v>
      </c>
      <c r="O916" s="3"/>
    </row>
    <row r="917">
      <c r="A917" s="2" t="str">
        <f>IFERROR(__xludf.DUMMYFUNCTION("""COMPUTED_VALUE"""),"1040")</f>
        <v>1040</v>
      </c>
      <c r="B917" s="2" t="str">
        <f>IFERROR(__xludf.DUMMYFUNCTION("""COMPUTED_VALUE"""),"ACADEMY             20")</f>
        <v>ACADEMY             20</v>
      </c>
      <c r="C917" s="2" t="str">
        <f>IFERROR(__xludf.DUMMYFUNCTION("""COMPUTED_VALUE"""),"00074")</f>
        <v>00074</v>
      </c>
      <c r="D917" s="2" t="str">
        <f>IFERROR(__xludf.DUMMYFUNCTION("""COMPUTED_VALUE"""),"CHALLENGER MIDDLE SCHOOL")</f>
        <v>CHALLENGER MIDDLE SCHOOL</v>
      </c>
      <c r="E917" s="3" t="str">
        <f>IFERROR(__xludf.DUMMYFUNCTION("""COMPUTED_VALUE"""),"Y")</f>
        <v>Y</v>
      </c>
      <c r="F917" s="3" t="str">
        <f>IFERROR(__xludf.DUMMYFUNCTION("""COMPUTED_VALUE"""),"Y")</f>
        <v>Y</v>
      </c>
      <c r="G917" s="3"/>
      <c r="H917" s="3"/>
      <c r="I917" s="3" t="str">
        <f>IFERROR(__xludf.DUMMYFUNCTION("""COMPUTED_VALUE""")," ")</f>
        <v> </v>
      </c>
      <c r="J917" s="3" t="str">
        <f>IFERROR(__xludf.DUMMYFUNCTION("""COMPUTED_VALUE""")," ")</f>
        <v> </v>
      </c>
      <c r="K917" s="3" t="str">
        <f>IFERROR(__xludf.DUMMYFUNCTION("""COMPUTED_VALUE"""),"Y")</f>
        <v>Y</v>
      </c>
      <c r="L917" s="3" t="str">
        <f>IFERROR(__xludf.DUMMYFUNCTION("""COMPUTED_VALUE"""),"Group 1")</f>
        <v>Group 1</v>
      </c>
      <c r="M917" s="3"/>
      <c r="N917" s="3" t="str">
        <f>IFERROR(__xludf.DUMMYFUNCTION("""COMPUTED_VALUE""")," ")</f>
        <v> </v>
      </c>
      <c r="O917" s="3"/>
    </row>
    <row r="918">
      <c r="A918" s="2" t="str">
        <f>IFERROR(__xludf.DUMMYFUNCTION("""COMPUTED_VALUE"""),"1040")</f>
        <v>1040</v>
      </c>
      <c r="B918" s="2" t="str">
        <f>IFERROR(__xludf.DUMMYFUNCTION("""COMPUTED_VALUE"""),"ACADEMY             20")</f>
        <v>ACADEMY             20</v>
      </c>
      <c r="C918" s="2" t="str">
        <f>IFERROR(__xludf.DUMMYFUNCTION("""COMPUTED_VALUE"""),"00076")</f>
        <v>00076</v>
      </c>
      <c r="D918" s="2" t="str">
        <f>IFERROR(__xludf.DUMMYFUNCTION("""COMPUTED_VALUE"""),"AIR ACADEMY HIGH SCHOOL")</f>
        <v>AIR ACADEMY HIGH SCHOOL</v>
      </c>
      <c r="E918" s="3" t="str">
        <f>IFERROR(__xludf.DUMMYFUNCTION("""COMPUTED_VALUE"""),"Y")</f>
        <v>Y</v>
      </c>
      <c r="F918" s="3" t="str">
        <f>IFERROR(__xludf.DUMMYFUNCTION("""COMPUTED_VALUE"""),"Y")</f>
        <v>Y</v>
      </c>
      <c r="G918" s="3"/>
      <c r="H918" s="3"/>
      <c r="I918" s="3" t="str">
        <f>IFERROR(__xludf.DUMMYFUNCTION("""COMPUTED_VALUE""")," ")</f>
        <v> </v>
      </c>
      <c r="J918" s="3" t="str">
        <f>IFERROR(__xludf.DUMMYFUNCTION("""COMPUTED_VALUE""")," ")</f>
        <v> </v>
      </c>
      <c r="K918" s="3" t="str">
        <f>IFERROR(__xludf.DUMMYFUNCTION("""COMPUTED_VALUE"""),"Y")</f>
        <v>Y</v>
      </c>
      <c r="L918" s="3" t="str">
        <f>IFERROR(__xludf.DUMMYFUNCTION("""COMPUTED_VALUE""")," ")</f>
        <v> </v>
      </c>
      <c r="M918" s="3"/>
      <c r="N918" s="5" t="str">
        <f>IFERROR(__xludf.DUMMYFUNCTION("""COMPUTED_VALUE""")," ")</f>
        <v> </v>
      </c>
      <c r="O918" s="5"/>
    </row>
    <row r="919">
      <c r="A919" s="2" t="str">
        <f>IFERROR(__xludf.DUMMYFUNCTION("""COMPUTED_VALUE"""),"1040")</f>
        <v>1040</v>
      </c>
      <c r="B919" s="2" t="str">
        <f>IFERROR(__xludf.DUMMYFUNCTION("""COMPUTED_VALUE"""),"ACADEMY             20")</f>
        <v>ACADEMY             20</v>
      </c>
      <c r="C919" s="2" t="str">
        <f>IFERROR(__xludf.DUMMYFUNCTION("""COMPUTED_VALUE"""),"00209")</f>
        <v>00209</v>
      </c>
      <c r="D919" s="2" t="str">
        <f>IFERROR(__xludf.DUMMYFUNCTION("""COMPUTED_VALUE"""),"ASPEN VALLEY HIGH SCHOOL")</f>
        <v>ASPEN VALLEY HIGH SCHOOL</v>
      </c>
      <c r="E919" s="3" t="str">
        <f>IFERROR(__xludf.DUMMYFUNCTION("""COMPUTED_VALUE"""),"Y")</f>
        <v>Y</v>
      </c>
      <c r="F919" s="3" t="str">
        <f>IFERROR(__xludf.DUMMYFUNCTION("""COMPUTED_VALUE"""),"Y")</f>
        <v>Y</v>
      </c>
      <c r="G919" s="3"/>
      <c r="H919" s="3"/>
      <c r="I919" s="3" t="str">
        <f>IFERROR(__xludf.DUMMYFUNCTION("""COMPUTED_VALUE""")," ")</f>
        <v> </v>
      </c>
      <c r="J919" s="3" t="str">
        <f>IFERROR(__xludf.DUMMYFUNCTION("""COMPUTED_VALUE""")," ")</f>
        <v> </v>
      </c>
      <c r="K919" s="3" t="str">
        <f>IFERROR(__xludf.DUMMYFUNCTION("""COMPUTED_VALUE"""),"Y")</f>
        <v>Y</v>
      </c>
      <c r="L919" s="3" t="str">
        <f>IFERROR(__xludf.DUMMYFUNCTION("""COMPUTED_VALUE""")," ")</f>
        <v> </v>
      </c>
      <c r="M919" s="3"/>
      <c r="N919" s="5" t="str">
        <f>IFERROR(__xludf.DUMMYFUNCTION("""COMPUTED_VALUE""")," ")</f>
        <v> </v>
      </c>
      <c r="O919" s="5"/>
    </row>
    <row r="920">
      <c r="A920" s="2" t="str">
        <f>IFERROR(__xludf.DUMMYFUNCTION("""COMPUTED_VALUE"""),"1040")</f>
        <v>1040</v>
      </c>
      <c r="B920" s="2" t="str">
        <f>IFERROR(__xludf.DUMMYFUNCTION("""COMPUTED_VALUE"""),"ACADEMY             20")</f>
        <v>ACADEMY             20</v>
      </c>
      <c r="C920" s="2" t="str">
        <f>IFERROR(__xludf.DUMMYFUNCTION("""COMPUTED_VALUE"""),"00249")</f>
        <v>00249</v>
      </c>
      <c r="D920" s="2" t="str">
        <f>IFERROR(__xludf.DUMMYFUNCTION("""COMPUTED_VALUE"""),"ANTELOPE TRAILS ELEMENTARY SCHOOL")</f>
        <v>ANTELOPE TRAILS ELEMENTARY SCHOOL</v>
      </c>
      <c r="E920" s="3" t="str">
        <f>IFERROR(__xludf.DUMMYFUNCTION("""COMPUTED_VALUE"""),"Y")</f>
        <v>Y</v>
      </c>
      <c r="F920" s="3" t="str">
        <f>IFERROR(__xludf.DUMMYFUNCTION("""COMPUTED_VALUE"""),"Y")</f>
        <v>Y</v>
      </c>
      <c r="G920" s="3"/>
      <c r="H920" s="3"/>
      <c r="I920" s="3" t="str">
        <f>IFERROR(__xludf.DUMMYFUNCTION("""COMPUTED_VALUE""")," ")</f>
        <v> </v>
      </c>
      <c r="J920" s="3" t="str">
        <f>IFERROR(__xludf.DUMMYFUNCTION("""COMPUTED_VALUE""")," ")</f>
        <v> </v>
      </c>
      <c r="K920" s="3" t="str">
        <f>IFERROR(__xludf.DUMMYFUNCTION("""COMPUTED_VALUE"""),"Y")</f>
        <v>Y</v>
      </c>
      <c r="L920" s="3" t="str">
        <f>IFERROR(__xludf.DUMMYFUNCTION("""COMPUTED_VALUE""")," ")</f>
        <v> </v>
      </c>
      <c r="M920" s="3"/>
      <c r="N920" s="5" t="str">
        <f>IFERROR(__xludf.DUMMYFUNCTION("""COMPUTED_VALUE""")," ")</f>
        <v> </v>
      </c>
      <c r="O920" s="5"/>
    </row>
    <row r="921">
      <c r="A921" s="2" t="str">
        <f>IFERROR(__xludf.DUMMYFUNCTION("""COMPUTED_VALUE"""),"1040")</f>
        <v>1040</v>
      </c>
      <c r="B921" s="2" t="str">
        <f>IFERROR(__xludf.DUMMYFUNCTION("""COMPUTED_VALUE"""),"ACADEMY             20")</f>
        <v>ACADEMY             20</v>
      </c>
      <c r="C921" s="2" t="str">
        <f>IFERROR(__xludf.DUMMYFUNCTION("""COMPUTED_VALUE"""),"01229")</f>
        <v>01229</v>
      </c>
      <c r="D921" s="2" t="str">
        <f>IFERROR(__xludf.DUMMYFUNCTION("""COMPUTED_VALUE"""),"Encompass Heights Elementary School")</f>
        <v>Encompass Heights Elementary School</v>
      </c>
      <c r="E921" s="3" t="str">
        <f>IFERROR(__xludf.DUMMYFUNCTION("""COMPUTED_VALUE"""),"Y")</f>
        <v>Y</v>
      </c>
      <c r="F921" s="3" t="str">
        <f>IFERROR(__xludf.DUMMYFUNCTION("""COMPUTED_VALUE"""),"Y")</f>
        <v>Y</v>
      </c>
      <c r="G921" s="3"/>
      <c r="H921" s="3"/>
      <c r="I921" s="3" t="str">
        <f>IFERROR(__xludf.DUMMYFUNCTION("""COMPUTED_VALUE""")," ")</f>
        <v> </v>
      </c>
      <c r="J921" s="3" t="str">
        <f>IFERROR(__xludf.DUMMYFUNCTION("""COMPUTED_VALUE""")," ")</f>
        <v> </v>
      </c>
      <c r="K921" s="3" t="str">
        <f>IFERROR(__xludf.DUMMYFUNCTION("""COMPUTED_VALUE"""),"Y")</f>
        <v>Y</v>
      </c>
      <c r="L921" s="3" t="str">
        <f>IFERROR(__xludf.DUMMYFUNCTION("""COMPUTED_VALUE"""),"Group 1")</f>
        <v>Group 1</v>
      </c>
      <c r="M921" s="3"/>
      <c r="N921" s="5" t="str">
        <f>IFERROR(__xludf.DUMMYFUNCTION("""COMPUTED_VALUE""")," ")</f>
        <v> </v>
      </c>
      <c r="O921" s="5"/>
    </row>
    <row r="922">
      <c r="A922" s="2" t="str">
        <f>IFERROR(__xludf.DUMMYFUNCTION("""COMPUTED_VALUE"""),"1040")</f>
        <v>1040</v>
      </c>
      <c r="B922" s="2" t="str">
        <f>IFERROR(__xludf.DUMMYFUNCTION("""COMPUTED_VALUE"""),"ACADEMY             20")</f>
        <v>ACADEMY             20</v>
      </c>
      <c r="C922" s="2" t="str">
        <f>IFERROR(__xludf.DUMMYFUNCTION("""COMPUTED_VALUE"""),"01421")</f>
        <v>01421</v>
      </c>
      <c r="D922" s="2" t="str">
        <f>IFERROR(__xludf.DUMMYFUNCTION("""COMPUTED_VALUE"""),"CHINOOK TRAIL MIDDLE SCHOOL")</f>
        <v>CHINOOK TRAIL MIDDLE SCHOOL</v>
      </c>
      <c r="E922" s="3" t="str">
        <f>IFERROR(__xludf.DUMMYFUNCTION("""COMPUTED_VALUE"""),"Y")</f>
        <v>Y</v>
      </c>
      <c r="F922" s="3" t="str">
        <f>IFERROR(__xludf.DUMMYFUNCTION("""COMPUTED_VALUE"""),"Y")</f>
        <v>Y</v>
      </c>
      <c r="G922" s="3"/>
      <c r="H922" s="3"/>
      <c r="I922" s="3" t="str">
        <f>IFERROR(__xludf.DUMMYFUNCTION("""COMPUTED_VALUE""")," ")</f>
        <v> </v>
      </c>
      <c r="J922" s="3" t="str">
        <f>IFERROR(__xludf.DUMMYFUNCTION("""COMPUTED_VALUE""")," ")</f>
        <v> </v>
      </c>
      <c r="K922" s="3" t="str">
        <f>IFERROR(__xludf.DUMMYFUNCTION("""COMPUTED_VALUE"""),"Y")</f>
        <v>Y</v>
      </c>
      <c r="L922" s="3" t="str">
        <f>IFERROR(__xludf.DUMMYFUNCTION("""COMPUTED_VALUE""")," ")</f>
        <v> </v>
      </c>
      <c r="M922" s="3"/>
      <c r="N922" s="5" t="str">
        <f>IFERROR(__xludf.DUMMYFUNCTION("""COMPUTED_VALUE""")," ")</f>
        <v> </v>
      </c>
      <c r="O922" s="5"/>
    </row>
    <row r="923">
      <c r="A923" s="2" t="str">
        <f>IFERROR(__xludf.DUMMYFUNCTION("""COMPUTED_VALUE"""),"1040")</f>
        <v>1040</v>
      </c>
      <c r="B923" s="2" t="str">
        <f>IFERROR(__xludf.DUMMYFUNCTION("""COMPUTED_VALUE"""),"ACADEMY             20")</f>
        <v>ACADEMY             20</v>
      </c>
      <c r="C923" s="2" t="str">
        <f>IFERROR(__xludf.DUMMYFUNCTION("""COMPUTED_VALUE"""),"01615")</f>
        <v>01615</v>
      </c>
      <c r="D923" s="2" t="str">
        <f>IFERROR(__xludf.DUMMYFUNCTION("""COMPUTED_VALUE"""),"CHINOOK TRAIL ELEMENTARY SCHOOL")</f>
        <v>CHINOOK TRAIL ELEMENTARY SCHOOL</v>
      </c>
      <c r="E923" s="3" t="str">
        <f>IFERROR(__xludf.DUMMYFUNCTION("""COMPUTED_VALUE"""),"Y")</f>
        <v>Y</v>
      </c>
      <c r="F923" s="3" t="str">
        <f>IFERROR(__xludf.DUMMYFUNCTION("""COMPUTED_VALUE"""),"Y")</f>
        <v>Y</v>
      </c>
      <c r="G923" s="3"/>
      <c r="H923" s="3"/>
      <c r="I923" s="3" t="str">
        <f>IFERROR(__xludf.DUMMYFUNCTION("""COMPUTED_VALUE""")," ")</f>
        <v> </v>
      </c>
      <c r="J923" s="3" t="str">
        <f>IFERROR(__xludf.DUMMYFUNCTION("""COMPUTED_VALUE""")," ")</f>
        <v> </v>
      </c>
      <c r="K923" s="3" t="str">
        <f>IFERROR(__xludf.DUMMYFUNCTION("""COMPUTED_VALUE"""),"Y")</f>
        <v>Y</v>
      </c>
      <c r="L923" s="3" t="str">
        <f>IFERROR(__xludf.DUMMYFUNCTION("""COMPUTED_VALUE""")," ")</f>
        <v> </v>
      </c>
      <c r="M923" s="3"/>
      <c r="N923" s="5" t="str">
        <f>IFERROR(__xludf.DUMMYFUNCTION("""COMPUTED_VALUE""")," ")</f>
        <v> </v>
      </c>
      <c r="O923" s="5"/>
    </row>
    <row r="924">
      <c r="A924" s="2" t="str">
        <f>IFERROR(__xludf.DUMMYFUNCTION("""COMPUTED_VALUE"""),"1040")</f>
        <v>1040</v>
      </c>
      <c r="B924" s="2" t="str">
        <f>IFERROR(__xludf.DUMMYFUNCTION("""COMPUTED_VALUE"""),"ACADEMY             20")</f>
        <v>ACADEMY             20</v>
      </c>
      <c r="C924" s="2" t="str">
        <f>IFERROR(__xludf.DUMMYFUNCTION("""COMPUTED_VALUE"""),"01627")</f>
        <v>01627</v>
      </c>
      <c r="D924" s="2" t="str">
        <f>IFERROR(__xludf.DUMMYFUNCTION("""COMPUTED_VALUE"""),"THE CLASSICAL ACADEMY CHARTER")</f>
        <v>THE CLASSICAL ACADEMY CHARTER</v>
      </c>
      <c r="E924" s="3"/>
      <c r="F924" s="3" t="str">
        <f>IFERROR(__xludf.DUMMYFUNCTION("""COMPUTED_VALUE"""),"Y")</f>
        <v>Y</v>
      </c>
      <c r="G924" s="3"/>
      <c r="H924" s="3"/>
      <c r="I924" s="3" t="str">
        <f>IFERROR(__xludf.DUMMYFUNCTION("""COMPUTED_VALUE""")," ")</f>
        <v> </v>
      </c>
      <c r="J924" s="3" t="str">
        <f>IFERROR(__xludf.DUMMYFUNCTION("""COMPUTED_VALUE""")," ")</f>
        <v> </v>
      </c>
      <c r="K924" s="3" t="str">
        <f>IFERROR(__xludf.DUMMYFUNCTION("""COMPUTED_VALUE"""),"Y")</f>
        <v>Y</v>
      </c>
      <c r="L924" s="3" t="str">
        <f>IFERROR(__xludf.DUMMYFUNCTION("""COMPUTED_VALUE""")," ")</f>
        <v> </v>
      </c>
      <c r="M924" s="3"/>
      <c r="N924" s="5" t="str">
        <f>IFERROR(__xludf.DUMMYFUNCTION("""COMPUTED_VALUE""")," ")</f>
        <v> </v>
      </c>
      <c r="O924" s="5"/>
    </row>
    <row r="925">
      <c r="A925" s="2" t="str">
        <f>IFERROR(__xludf.DUMMYFUNCTION("""COMPUTED_VALUE"""),"1040")</f>
        <v>1040</v>
      </c>
      <c r="B925" s="2" t="str">
        <f>IFERROR(__xludf.DUMMYFUNCTION("""COMPUTED_VALUE"""),"ACADEMY             20")</f>
        <v>ACADEMY             20</v>
      </c>
      <c r="C925" s="2" t="str">
        <f>IFERROR(__xludf.DUMMYFUNCTION("""COMPUTED_VALUE"""),"01629")</f>
        <v>01629</v>
      </c>
      <c r="D925" s="2" t="str">
        <f>IFERROR(__xludf.DUMMYFUNCTION("""COMPUTED_VALUE"""),"The Classical Academy Middle School")</f>
        <v>The Classical Academy Middle School</v>
      </c>
      <c r="E925" s="3"/>
      <c r="F925" s="3" t="str">
        <f>IFERROR(__xludf.DUMMYFUNCTION("""COMPUTED_VALUE"""),"Y")</f>
        <v>Y</v>
      </c>
      <c r="G925" s="3"/>
      <c r="H925" s="3"/>
      <c r="I925" s="3" t="str">
        <f>IFERROR(__xludf.DUMMYFUNCTION("""COMPUTED_VALUE""")," ")</f>
        <v> </v>
      </c>
      <c r="J925" s="3" t="str">
        <f>IFERROR(__xludf.DUMMYFUNCTION("""COMPUTED_VALUE""")," ")</f>
        <v> </v>
      </c>
      <c r="K925" s="3" t="str">
        <f>IFERROR(__xludf.DUMMYFUNCTION("""COMPUTED_VALUE"""),"Y")</f>
        <v>Y</v>
      </c>
      <c r="L925" s="3" t="str">
        <f>IFERROR(__xludf.DUMMYFUNCTION("""COMPUTED_VALUE""")," ")</f>
        <v> </v>
      </c>
      <c r="M925" s="3"/>
      <c r="N925" s="5" t="str">
        <f>IFERROR(__xludf.DUMMYFUNCTION("""COMPUTED_VALUE""")," ")</f>
        <v> </v>
      </c>
      <c r="O925" s="5"/>
    </row>
    <row r="926">
      <c r="A926" s="2" t="str">
        <f>IFERROR(__xludf.DUMMYFUNCTION("""COMPUTED_VALUE"""),"1040")</f>
        <v>1040</v>
      </c>
      <c r="B926" s="2" t="str">
        <f>IFERROR(__xludf.DUMMYFUNCTION("""COMPUTED_VALUE"""),"ACADEMY             20")</f>
        <v>ACADEMY             20</v>
      </c>
      <c r="C926" s="2" t="str">
        <f>IFERROR(__xludf.DUMMYFUNCTION("""COMPUTED_VALUE"""),"01630")</f>
        <v>01630</v>
      </c>
      <c r="D926" s="2" t="str">
        <f>IFERROR(__xludf.DUMMYFUNCTION("""COMPUTED_VALUE"""),"The Classical Academy High School")</f>
        <v>The Classical Academy High School</v>
      </c>
      <c r="E926" s="3"/>
      <c r="F926" s="3" t="str">
        <f>IFERROR(__xludf.DUMMYFUNCTION("""COMPUTED_VALUE"""),"Y")</f>
        <v>Y</v>
      </c>
      <c r="G926" s="3"/>
      <c r="H926" s="3"/>
      <c r="I926" s="3" t="str">
        <f>IFERROR(__xludf.DUMMYFUNCTION("""COMPUTED_VALUE""")," ")</f>
        <v> </v>
      </c>
      <c r="J926" s="3" t="str">
        <f>IFERROR(__xludf.DUMMYFUNCTION("""COMPUTED_VALUE""")," ")</f>
        <v> </v>
      </c>
      <c r="K926" s="3" t="str">
        <f>IFERROR(__xludf.DUMMYFUNCTION("""COMPUTED_VALUE"""),"Y")</f>
        <v>Y</v>
      </c>
      <c r="L926" s="3" t="str">
        <f>IFERROR(__xludf.DUMMYFUNCTION("""COMPUTED_VALUE""")," ")</f>
        <v> </v>
      </c>
      <c r="M926" s="3"/>
      <c r="N926" s="5" t="str">
        <f>IFERROR(__xludf.DUMMYFUNCTION("""COMPUTED_VALUE""")," ")</f>
        <v> </v>
      </c>
      <c r="O926" s="5"/>
    </row>
    <row r="927">
      <c r="A927" s="2" t="str">
        <f>IFERROR(__xludf.DUMMYFUNCTION("""COMPUTED_VALUE"""),"1040")</f>
        <v>1040</v>
      </c>
      <c r="B927" s="2" t="str">
        <f>IFERROR(__xludf.DUMMYFUNCTION("""COMPUTED_VALUE"""),"ACADEMY             20")</f>
        <v>ACADEMY             20</v>
      </c>
      <c r="C927" s="2" t="str">
        <f>IFERROR(__xludf.DUMMYFUNCTION("""COMPUTED_VALUE"""),"01901")</f>
        <v>01901</v>
      </c>
      <c r="D927" s="2" t="str">
        <f>IFERROR(__xludf.DUMMYFUNCTION("""COMPUTED_VALUE"""),"Village Middle School")</f>
        <v>Village Middle School</v>
      </c>
      <c r="E927" s="3"/>
      <c r="F927" s="3" t="str">
        <f>IFERROR(__xludf.DUMMYFUNCTION("""COMPUTED_VALUE"""),"Y")</f>
        <v>Y</v>
      </c>
      <c r="G927" s="3"/>
      <c r="H927" s="3"/>
      <c r="I927" s="3" t="str">
        <f>IFERROR(__xludf.DUMMYFUNCTION("""COMPUTED_VALUE""")," ")</f>
        <v> </v>
      </c>
      <c r="J927" s="3" t="str">
        <f>IFERROR(__xludf.DUMMYFUNCTION("""COMPUTED_VALUE""")," ")</f>
        <v> </v>
      </c>
      <c r="K927" s="3" t="str">
        <f>IFERROR(__xludf.DUMMYFUNCTION("""COMPUTED_VALUE"""),"Y")</f>
        <v>Y</v>
      </c>
      <c r="L927" s="3" t="str">
        <f>IFERROR(__xludf.DUMMYFUNCTION("""COMPUTED_VALUE""")," ")</f>
        <v> </v>
      </c>
      <c r="M927" s="3"/>
      <c r="N927" s="5" t="str">
        <f>IFERROR(__xludf.DUMMYFUNCTION("""COMPUTED_VALUE""")," ")</f>
        <v> </v>
      </c>
      <c r="O927" s="5"/>
    </row>
    <row r="928">
      <c r="A928" s="2" t="str">
        <f>IFERROR(__xludf.DUMMYFUNCTION("""COMPUTED_VALUE"""),"1040")</f>
        <v>1040</v>
      </c>
      <c r="B928" s="2" t="str">
        <f>IFERROR(__xludf.DUMMYFUNCTION("""COMPUTED_VALUE"""),"ACADEMY             20")</f>
        <v>ACADEMY             20</v>
      </c>
      <c r="C928" s="2" t="str">
        <f>IFERROR(__xludf.DUMMYFUNCTION("""COMPUTED_VALUE"""),"01921")</f>
        <v>01921</v>
      </c>
      <c r="D928" s="2" t="str">
        <f>IFERROR(__xludf.DUMMYFUNCTION("""COMPUTED_VALUE"""),"Discovery Canyon Campus Middle School")</f>
        <v>Discovery Canyon Campus Middle School</v>
      </c>
      <c r="E928" s="3" t="str">
        <f>IFERROR(__xludf.DUMMYFUNCTION("""COMPUTED_VALUE"""),"Y")</f>
        <v>Y</v>
      </c>
      <c r="F928" s="3" t="str">
        <f>IFERROR(__xludf.DUMMYFUNCTION("""COMPUTED_VALUE"""),"Y")</f>
        <v>Y</v>
      </c>
      <c r="G928" s="3"/>
      <c r="H928" s="3"/>
      <c r="I928" s="3" t="str">
        <f>IFERROR(__xludf.DUMMYFUNCTION("""COMPUTED_VALUE""")," ")</f>
        <v> </v>
      </c>
      <c r="J928" s="3" t="str">
        <f>IFERROR(__xludf.DUMMYFUNCTION("""COMPUTED_VALUE""")," ")</f>
        <v> </v>
      </c>
      <c r="K928" s="3" t="str">
        <f>IFERROR(__xludf.DUMMYFUNCTION("""COMPUTED_VALUE"""),"Y")</f>
        <v>Y</v>
      </c>
      <c r="L928" s="3" t="str">
        <f>IFERROR(__xludf.DUMMYFUNCTION("""COMPUTED_VALUE""")," ")</f>
        <v> </v>
      </c>
      <c r="M928" s="3"/>
      <c r="N928" s="5" t="str">
        <f>IFERROR(__xludf.DUMMYFUNCTION("""COMPUTED_VALUE""")," ")</f>
        <v> </v>
      </c>
      <c r="O928" s="5"/>
    </row>
    <row r="929">
      <c r="A929" s="2" t="str">
        <f>IFERROR(__xludf.DUMMYFUNCTION("""COMPUTED_VALUE"""),"1040")</f>
        <v>1040</v>
      </c>
      <c r="B929" s="2" t="str">
        <f>IFERROR(__xludf.DUMMYFUNCTION("""COMPUTED_VALUE"""),"ACADEMY             20")</f>
        <v>ACADEMY             20</v>
      </c>
      <c r="C929" s="2" t="str">
        <f>IFERROR(__xludf.DUMMYFUNCTION("""COMPUTED_VALUE"""),"01929")</f>
        <v>01929</v>
      </c>
      <c r="D929" s="2" t="str">
        <f>IFERROR(__xludf.DUMMYFUNCTION("""COMPUTED_VALUE"""),"Discovery Canyon Campus Elementary School")</f>
        <v>Discovery Canyon Campus Elementary School</v>
      </c>
      <c r="E929" s="3" t="str">
        <f>IFERROR(__xludf.DUMMYFUNCTION("""COMPUTED_VALUE"""),"Y")</f>
        <v>Y</v>
      </c>
      <c r="F929" s="3" t="str">
        <f>IFERROR(__xludf.DUMMYFUNCTION("""COMPUTED_VALUE"""),"Y")</f>
        <v>Y</v>
      </c>
      <c r="G929" s="3"/>
      <c r="H929" s="3"/>
      <c r="I929" s="3" t="str">
        <f>IFERROR(__xludf.DUMMYFUNCTION("""COMPUTED_VALUE""")," ")</f>
        <v> </v>
      </c>
      <c r="J929" s="3" t="str">
        <f>IFERROR(__xludf.DUMMYFUNCTION("""COMPUTED_VALUE""")," ")</f>
        <v> </v>
      </c>
      <c r="K929" s="3" t="str">
        <f>IFERROR(__xludf.DUMMYFUNCTION("""COMPUTED_VALUE"""),"Y")</f>
        <v>Y</v>
      </c>
      <c r="L929" s="3" t="str">
        <f>IFERROR(__xludf.DUMMYFUNCTION("""COMPUTED_VALUE""")," ")</f>
        <v> </v>
      </c>
      <c r="M929" s="3"/>
      <c r="N929" s="5" t="str">
        <f>IFERROR(__xludf.DUMMYFUNCTION("""COMPUTED_VALUE""")," ")</f>
        <v> </v>
      </c>
      <c r="O929" s="5"/>
    </row>
    <row r="930">
      <c r="A930" s="2" t="str">
        <f>IFERROR(__xludf.DUMMYFUNCTION("""COMPUTED_VALUE"""),"1040")</f>
        <v>1040</v>
      </c>
      <c r="B930" s="2" t="str">
        <f>IFERROR(__xludf.DUMMYFUNCTION("""COMPUTED_VALUE"""),"ACADEMY             20")</f>
        <v>ACADEMY             20</v>
      </c>
      <c r="C930" s="2" t="str">
        <f>IFERROR(__xludf.DUMMYFUNCTION("""COMPUTED_VALUE"""),"02195")</f>
        <v>02195</v>
      </c>
      <c r="D930" s="2" t="str">
        <f>IFERROR(__xludf.DUMMYFUNCTION("""COMPUTED_VALUE"""),"DISCOVERY CANYON CAMPUS HIGH SCHOOL")</f>
        <v>DISCOVERY CANYON CAMPUS HIGH SCHOOL</v>
      </c>
      <c r="E930" s="3" t="str">
        <f>IFERROR(__xludf.DUMMYFUNCTION("""COMPUTED_VALUE"""),"Y")</f>
        <v>Y</v>
      </c>
      <c r="F930" s="3" t="str">
        <f>IFERROR(__xludf.DUMMYFUNCTION("""COMPUTED_VALUE"""),"Y")</f>
        <v>Y</v>
      </c>
      <c r="G930" s="3"/>
      <c r="H930" s="3"/>
      <c r="I930" s="3" t="str">
        <f>IFERROR(__xludf.DUMMYFUNCTION("""COMPUTED_VALUE""")," ")</f>
        <v> </v>
      </c>
      <c r="J930" s="3" t="str">
        <f>IFERROR(__xludf.DUMMYFUNCTION("""COMPUTED_VALUE""")," ")</f>
        <v> </v>
      </c>
      <c r="K930" s="3" t="str">
        <f>IFERROR(__xludf.DUMMYFUNCTION("""COMPUTED_VALUE"""),"Y")</f>
        <v>Y</v>
      </c>
      <c r="L930" s="3" t="str">
        <f>IFERROR(__xludf.DUMMYFUNCTION("""COMPUTED_VALUE""")," ")</f>
        <v> </v>
      </c>
      <c r="M930" s="3"/>
      <c r="N930" s="5" t="str">
        <f>IFERROR(__xludf.DUMMYFUNCTION("""COMPUTED_VALUE""")," ")</f>
        <v> </v>
      </c>
      <c r="O930" s="5"/>
    </row>
    <row r="931">
      <c r="A931" s="2" t="str">
        <f>IFERROR(__xludf.DUMMYFUNCTION("""COMPUTED_VALUE"""),"1040")</f>
        <v>1040</v>
      </c>
      <c r="B931" s="2" t="str">
        <f>IFERROR(__xludf.DUMMYFUNCTION("""COMPUTED_VALUE"""),"ACADEMY             20")</f>
        <v>ACADEMY             20</v>
      </c>
      <c r="C931" s="2" t="str">
        <f>IFERROR(__xludf.DUMMYFUNCTION("""COMPUTED_VALUE"""),"02248")</f>
        <v>02248</v>
      </c>
      <c r="D931" s="2" t="str">
        <f>IFERROR(__xludf.DUMMYFUNCTION("""COMPUTED_VALUE"""),"DOUGLASS VALLEY ELEMENTARY SCHOOL")</f>
        <v>DOUGLASS VALLEY ELEMENTARY SCHOOL</v>
      </c>
      <c r="E931" s="3" t="str">
        <f>IFERROR(__xludf.DUMMYFUNCTION("""COMPUTED_VALUE"""),"Y")</f>
        <v>Y</v>
      </c>
      <c r="F931" s="3" t="str">
        <f>IFERROR(__xludf.DUMMYFUNCTION("""COMPUTED_VALUE"""),"Y")</f>
        <v>Y</v>
      </c>
      <c r="G931" s="3"/>
      <c r="H931" s="3"/>
      <c r="I931" s="3" t="str">
        <f>IFERROR(__xludf.DUMMYFUNCTION("""COMPUTED_VALUE""")," ")</f>
        <v> </v>
      </c>
      <c r="J931" s="3" t="str">
        <f>IFERROR(__xludf.DUMMYFUNCTION("""COMPUTED_VALUE""")," ")</f>
        <v> </v>
      </c>
      <c r="K931" s="3" t="str">
        <f>IFERROR(__xludf.DUMMYFUNCTION("""COMPUTED_VALUE"""),"Y")</f>
        <v>Y</v>
      </c>
      <c r="L931" s="3" t="str">
        <f>IFERROR(__xludf.DUMMYFUNCTION("""COMPUTED_VALUE"""),"Group 4")</f>
        <v>Group 4</v>
      </c>
      <c r="M931" s="3"/>
      <c r="N931" s="5" t="str">
        <f>IFERROR(__xludf.DUMMYFUNCTION("""COMPUTED_VALUE""")," ")</f>
        <v> </v>
      </c>
      <c r="O931" s="5"/>
    </row>
    <row r="932">
      <c r="A932" s="2" t="str">
        <f>IFERROR(__xludf.DUMMYFUNCTION("""COMPUTED_VALUE"""),"1040")</f>
        <v>1040</v>
      </c>
      <c r="B932" s="2" t="str">
        <f>IFERROR(__xludf.DUMMYFUNCTION("""COMPUTED_VALUE"""),"ACADEMY             20")</f>
        <v>ACADEMY             20</v>
      </c>
      <c r="C932" s="2" t="str">
        <f>IFERROR(__xludf.DUMMYFUNCTION("""COMPUTED_VALUE"""),"02358")</f>
        <v>02358</v>
      </c>
      <c r="D932" s="2" t="str">
        <f>IFERROR(__xludf.DUMMYFUNCTION("""COMPUTED_VALUE"""),"EAGLEVIEW MIDDLE SCHOOL")</f>
        <v>EAGLEVIEW MIDDLE SCHOOL</v>
      </c>
      <c r="E932" s="3" t="str">
        <f>IFERROR(__xludf.DUMMYFUNCTION("""COMPUTED_VALUE"""),"Y")</f>
        <v>Y</v>
      </c>
      <c r="F932" s="3" t="str">
        <f>IFERROR(__xludf.DUMMYFUNCTION("""COMPUTED_VALUE"""),"Y")</f>
        <v>Y</v>
      </c>
      <c r="G932" s="3"/>
      <c r="H932" s="3"/>
      <c r="I932" s="3" t="str">
        <f>IFERROR(__xludf.DUMMYFUNCTION("""COMPUTED_VALUE""")," ")</f>
        <v> </v>
      </c>
      <c r="J932" s="3" t="str">
        <f>IFERROR(__xludf.DUMMYFUNCTION("""COMPUTED_VALUE""")," ")</f>
        <v> </v>
      </c>
      <c r="K932" s="3" t="str">
        <f>IFERROR(__xludf.DUMMYFUNCTION("""COMPUTED_VALUE"""),"Y")</f>
        <v>Y</v>
      </c>
      <c r="L932" s="3" t="str">
        <f>IFERROR(__xludf.DUMMYFUNCTION("""COMPUTED_VALUE""")," ")</f>
        <v> </v>
      </c>
      <c r="M932" s="3"/>
      <c r="N932" s="3" t="str">
        <f>IFERROR(__xludf.DUMMYFUNCTION("""COMPUTED_VALUE""")," ")</f>
        <v> </v>
      </c>
      <c r="O932" s="3"/>
    </row>
    <row r="933">
      <c r="A933" s="2" t="str">
        <f>IFERROR(__xludf.DUMMYFUNCTION("""COMPUTED_VALUE"""),"1040")</f>
        <v>1040</v>
      </c>
      <c r="B933" s="2" t="str">
        <f>IFERROR(__xludf.DUMMYFUNCTION("""COMPUTED_VALUE"""),"ACADEMY             20")</f>
        <v>ACADEMY             20</v>
      </c>
      <c r="C933" s="2" t="str">
        <f>IFERROR(__xludf.DUMMYFUNCTION("""COMPUTED_VALUE"""),"02524")</f>
        <v>02524</v>
      </c>
      <c r="D933" s="2" t="str">
        <f>IFERROR(__xludf.DUMMYFUNCTION("""COMPUTED_VALUE"""),"EDITH WOLFORD ELEMENTARY SCHOOL")</f>
        <v>EDITH WOLFORD ELEMENTARY SCHOOL</v>
      </c>
      <c r="E933" s="3" t="str">
        <f>IFERROR(__xludf.DUMMYFUNCTION("""COMPUTED_VALUE"""),"Y")</f>
        <v>Y</v>
      </c>
      <c r="F933" s="3" t="str">
        <f>IFERROR(__xludf.DUMMYFUNCTION("""COMPUTED_VALUE"""),"Y")</f>
        <v>Y</v>
      </c>
      <c r="G933" s="3"/>
      <c r="H933" s="3"/>
      <c r="I933" s="3" t="str">
        <f>IFERROR(__xludf.DUMMYFUNCTION("""COMPUTED_VALUE""")," ")</f>
        <v> </v>
      </c>
      <c r="J933" s="3" t="str">
        <f>IFERROR(__xludf.DUMMYFUNCTION("""COMPUTED_VALUE""")," ")</f>
        <v> </v>
      </c>
      <c r="K933" s="3" t="str">
        <f>IFERROR(__xludf.DUMMYFUNCTION("""COMPUTED_VALUE"""),"Y")</f>
        <v>Y</v>
      </c>
      <c r="L933" s="3" t="str">
        <f>IFERROR(__xludf.DUMMYFUNCTION("""COMPUTED_VALUE""")," ")</f>
        <v> </v>
      </c>
      <c r="M933" s="3"/>
      <c r="N933" s="5" t="str">
        <f>IFERROR(__xludf.DUMMYFUNCTION("""COMPUTED_VALUE""")," ")</f>
        <v> </v>
      </c>
      <c r="O933" s="5"/>
    </row>
    <row r="934">
      <c r="A934" s="2" t="str">
        <f>IFERROR(__xludf.DUMMYFUNCTION("""COMPUTED_VALUE"""),"1040")</f>
        <v>1040</v>
      </c>
      <c r="B934" s="2" t="str">
        <f>IFERROR(__xludf.DUMMYFUNCTION("""COMPUTED_VALUE"""),"ACADEMY             20")</f>
        <v>ACADEMY             20</v>
      </c>
      <c r="C934" s="2" t="str">
        <f>IFERROR(__xludf.DUMMYFUNCTION("""COMPUTED_VALUE"""),"02800")</f>
        <v>02800</v>
      </c>
      <c r="D934" s="2" t="str">
        <f>IFERROR(__xludf.DUMMYFUNCTION("""COMPUTED_VALUE"""),"EXPLORER ELEMENTARY SCHOOL")</f>
        <v>EXPLORER ELEMENTARY SCHOOL</v>
      </c>
      <c r="E934" s="3" t="str">
        <f>IFERROR(__xludf.DUMMYFUNCTION("""COMPUTED_VALUE"""),"Y")</f>
        <v>Y</v>
      </c>
      <c r="F934" s="3" t="str">
        <f>IFERROR(__xludf.DUMMYFUNCTION("""COMPUTED_VALUE"""),"Y")</f>
        <v>Y</v>
      </c>
      <c r="G934" s="3"/>
      <c r="H934" s="3"/>
      <c r="I934" s="3" t="str">
        <f>IFERROR(__xludf.DUMMYFUNCTION("""COMPUTED_VALUE""")," ")</f>
        <v> </v>
      </c>
      <c r="J934" s="3" t="str">
        <f>IFERROR(__xludf.DUMMYFUNCTION("""COMPUTED_VALUE""")," ")</f>
        <v> </v>
      </c>
      <c r="K934" s="3" t="str">
        <f>IFERROR(__xludf.DUMMYFUNCTION("""COMPUTED_VALUE"""),"Y")</f>
        <v>Y</v>
      </c>
      <c r="L934" s="3" t="str">
        <f>IFERROR(__xludf.DUMMYFUNCTION("""COMPUTED_VALUE"""),"Group 4")</f>
        <v>Group 4</v>
      </c>
      <c r="M934" s="3"/>
      <c r="N934" s="5" t="str">
        <f>IFERROR(__xludf.DUMMYFUNCTION("""COMPUTED_VALUE""")," ")</f>
        <v> </v>
      </c>
      <c r="O934" s="5"/>
    </row>
    <row r="935">
      <c r="A935" s="2" t="str">
        <f>IFERROR(__xludf.DUMMYFUNCTION("""COMPUTED_VALUE"""),"1040")</f>
        <v>1040</v>
      </c>
      <c r="B935" s="2" t="str">
        <f>IFERROR(__xludf.DUMMYFUNCTION("""COMPUTED_VALUE"""),"ACADEMY             20")</f>
        <v>ACADEMY             20</v>
      </c>
      <c r="C935" s="2" t="str">
        <f>IFERROR(__xludf.DUMMYFUNCTION("""COMPUTED_VALUE"""),"03104")</f>
        <v>03104</v>
      </c>
      <c r="D935" s="2" t="str">
        <f>IFERROR(__xludf.DUMMYFUNCTION("""COMPUTED_VALUE"""),"FOOTHILLS ELEMENTARY SCHOOL")</f>
        <v>FOOTHILLS ELEMENTARY SCHOOL</v>
      </c>
      <c r="E935" s="3" t="str">
        <f>IFERROR(__xludf.DUMMYFUNCTION("""COMPUTED_VALUE"""),"Y")</f>
        <v>Y</v>
      </c>
      <c r="F935" s="3" t="str">
        <f>IFERROR(__xludf.DUMMYFUNCTION("""COMPUTED_VALUE"""),"Y")</f>
        <v>Y</v>
      </c>
      <c r="G935" s="3"/>
      <c r="H935" s="3"/>
      <c r="I935" s="3" t="str">
        <f>IFERROR(__xludf.DUMMYFUNCTION("""COMPUTED_VALUE""")," ")</f>
        <v> </v>
      </c>
      <c r="J935" s="3" t="str">
        <f>IFERROR(__xludf.DUMMYFUNCTION("""COMPUTED_VALUE""")," ")</f>
        <v> </v>
      </c>
      <c r="K935" s="3" t="str">
        <f>IFERROR(__xludf.DUMMYFUNCTION("""COMPUTED_VALUE"""),"Y")</f>
        <v>Y</v>
      </c>
      <c r="L935" s="3" t="str">
        <f>IFERROR(__xludf.DUMMYFUNCTION("""COMPUTED_VALUE"""),"Group 1")</f>
        <v>Group 1</v>
      </c>
      <c r="M935" s="3"/>
      <c r="N935" s="5" t="str">
        <f>IFERROR(__xludf.DUMMYFUNCTION("""COMPUTED_VALUE""")," ")</f>
        <v> </v>
      </c>
      <c r="O935" s="5"/>
    </row>
    <row r="936">
      <c r="A936" s="2" t="str">
        <f>IFERROR(__xludf.DUMMYFUNCTION("""COMPUTED_VALUE"""),"1040")</f>
        <v>1040</v>
      </c>
      <c r="B936" s="2" t="str">
        <f>IFERROR(__xludf.DUMMYFUNCTION("""COMPUTED_VALUE"""),"ACADEMY             20")</f>
        <v>ACADEMY             20</v>
      </c>
      <c r="C936" s="2" t="str">
        <f>IFERROR(__xludf.DUMMYFUNCTION("""COMPUTED_VALUE"""),"03238")</f>
        <v>03238</v>
      </c>
      <c r="D936" s="2" t="str">
        <f>IFERROR(__xludf.DUMMYFUNCTION("""COMPUTED_VALUE"""),"FRONTIER ELEMENTARY SCHOOL")</f>
        <v>FRONTIER ELEMENTARY SCHOOL</v>
      </c>
      <c r="E936" s="3" t="str">
        <f>IFERROR(__xludf.DUMMYFUNCTION("""COMPUTED_VALUE"""),"Y")</f>
        <v>Y</v>
      </c>
      <c r="F936" s="3" t="str">
        <f>IFERROR(__xludf.DUMMYFUNCTION("""COMPUTED_VALUE"""),"Y")</f>
        <v>Y</v>
      </c>
      <c r="G936" s="3"/>
      <c r="H936" s="3"/>
      <c r="I936" s="3" t="str">
        <f>IFERROR(__xludf.DUMMYFUNCTION("""COMPUTED_VALUE""")," ")</f>
        <v> </v>
      </c>
      <c r="J936" s="3" t="str">
        <f>IFERROR(__xludf.DUMMYFUNCTION("""COMPUTED_VALUE""")," ")</f>
        <v> </v>
      </c>
      <c r="K936" s="3" t="str">
        <f>IFERROR(__xludf.DUMMYFUNCTION("""COMPUTED_VALUE"""),"Y")</f>
        <v>Y</v>
      </c>
      <c r="L936" s="3" t="str">
        <f>IFERROR(__xludf.DUMMYFUNCTION("""COMPUTED_VALUE"""),"Group 1")</f>
        <v>Group 1</v>
      </c>
      <c r="M936" s="3"/>
      <c r="N936" s="5" t="str">
        <f>IFERROR(__xludf.DUMMYFUNCTION("""COMPUTED_VALUE""")," ")</f>
        <v> </v>
      </c>
      <c r="O936" s="5"/>
    </row>
    <row r="937">
      <c r="A937" s="2" t="str">
        <f>IFERROR(__xludf.DUMMYFUNCTION("""COMPUTED_VALUE"""),"1040")</f>
        <v>1040</v>
      </c>
      <c r="B937" s="2" t="str">
        <f>IFERROR(__xludf.DUMMYFUNCTION("""COMPUTED_VALUE"""),"ACADEMY             20")</f>
        <v>ACADEMY             20</v>
      </c>
      <c r="C937" s="2" t="str">
        <f>IFERROR(__xludf.DUMMYFUNCTION("""COMPUTED_VALUE"""),"03985")</f>
        <v>03985</v>
      </c>
      <c r="D937" s="2" t="str">
        <f>IFERROR(__xludf.DUMMYFUNCTION("""COMPUTED_VALUE"""),"HIGH PLAINS ELEMENTARY SCHOOL")</f>
        <v>HIGH PLAINS ELEMENTARY SCHOOL</v>
      </c>
      <c r="E937" s="3" t="str">
        <f>IFERROR(__xludf.DUMMYFUNCTION("""COMPUTED_VALUE"""),"Y")</f>
        <v>Y</v>
      </c>
      <c r="F937" s="3" t="str">
        <f>IFERROR(__xludf.DUMMYFUNCTION("""COMPUTED_VALUE"""),"Y")</f>
        <v>Y</v>
      </c>
      <c r="G937" s="3"/>
      <c r="H937" s="3"/>
      <c r="I937" s="3" t="str">
        <f>IFERROR(__xludf.DUMMYFUNCTION("""COMPUTED_VALUE""")," ")</f>
        <v> </v>
      </c>
      <c r="J937" s="3" t="str">
        <f>IFERROR(__xludf.DUMMYFUNCTION("""COMPUTED_VALUE""")," ")</f>
        <v> </v>
      </c>
      <c r="K937" s="3" t="str">
        <f>IFERROR(__xludf.DUMMYFUNCTION("""COMPUTED_VALUE"""),"Y")</f>
        <v>Y</v>
      </c>
      <c r="L937" s="3" t="str">
        <f>IFERROR(__xludf.DUMMYFUNCTION("""COMPUTED_VALUE"""),"Group 1")</f>
        <v>Group 1</v>
      </c>
      <c r="M937" s="3"/>
      <c r="N937" s="5" t="str">
        <f>IFERROR(__xludf.DUMMYFUNCTION("""COMPUTED_VALUE""")," ")</f>
        <v> </v>
      </c>
      <c r="O937" s="5"/>
    </row>
    <row r="938">
      <c r="A938" s="2" t="str">
        <f>IFERROR(__xludf.DUMMYFUNCTION("""COMPUTED_VALUE"""),"1040")</f>
        <v>1040</v>
      </c>
      <c r="B938" s="2" t="str">
        <f>IFERROR(__xludf.DUMMYFUNCTION("""COMPUTED_VALUE"""),"ACADEMY             20")</f>
        <v>ACADEMY             20</v>
      </c>
      <c r="C938" s="2" t="str">
        <f>IFERROR(__xludf.DUMMYFUNCTION("""COMPUTED_VALUE"""),"05126")</f>
        <v>05126</v>
      </c>
      <c r="D938" s="2" t="str">
        <f>IFERROR(__xludf.DUMMYFUNCTION("""COMPUTED_VALUE"""),"LIBERTY HIGH SCHOOL")</f>
        <v>LIBERTY HIGH SCHOOL</v>
      </c>
      <c r="E938" s="3" t="str">
        <f>IFERROR(__xludf.DUMMYFUNCTION("""COMPUTED_VALUE"""),"Y")</f>
        <v>Y</v>
      </c>
      <c r="F938" s="3" t="str">
        <f>IFERROR(__xludf.DUMMYFUNCTION("""COMPUTED_VALUE"""),"Y")</f>
        <v>Y</v>
      </c>
      <c r="G938" s="3"/>
      <c r="H938" s="3"/>
      <c r="I938" s="3" t="str">
        <f>IFERROR(__xludf.DUMMYFUNCTION("""COMPUTED_VALUE""")," ")</f>
        <v> </v>
      </c>
      <c r="J938" s="3" t="str">
        <f>IFERROR(__xludf.DUMMYFUNCTION("""COMPUTED_VALUE""")," ")</f>
        <v> </v>
      </c>
      <c r="K938" s="3" t="str">
        <f>IFERROR(__xludf.DUMMYFUNCTION("""COMPUTED_VALUE"""),"Y")</f>
        <v>Y</v>
      </c>
      <c r="L938" s="3" t="str">
        <f>IFERROR(__xludf.DUMMYFUNCTION("""COMPUTED_VALUE""")," ")</f>
        <v> </v>
      </c>
      <c r="M938" s="3"/>
      <c r="N938" s="3" t="str">
        <f>IFERROR(__xludf.DUMMYFUNCTION("""COMPUTED_VALUE""")," ")</f>
        <v> </v>
      </c>
      <c r="O938" s="3"/>
    </row>
    <row r="939">
      <c r="A939" s="2" t="str">
        <f>IFERROR(__xludf.DUMMYFUNCTION("""COMPUTED_VALUE"""),"1040")</f>
        <v>1040</v>
      </c>
      <c r="B939" s="2" t="str">
        <f>IFERROR(__xludf.DUMMYFUNCTION("""COMPUTED_VALUE"""),"ACADEMY             20")</f>
        <v>ACADEMY             20</v>
      </c>
      <c r="C939" s="2" t="str">
        <f>IFERROR(__xludf.DUMMYFUNCTION("""COMPUTED_VALUE"""),"06140")</f>
        <v>06140</v>
      </c>
      <c r="D939" s="2" t="str">
        <f>IFERROR(__xludf.DUMMYFUNCTION("""COMPUTED_VALUE"""),"MOUNTAIN RIDGE MIDDLE SCHOOL")</f>
        <v>MOUNTAIN RIDGE MIDDLE SCHOOL</v>
      </c>
      <c r="E939" s="3" t="str">
        <f>IFERROR(__xludf.DUMMYFUNCTION("""COMPUTED_VALUE"""),"Y")</f>
        <v>Y</v>
      </c>
      <c r="F939" s="3" t="str">
        <f>IFERROR(__xludf.DUMMYFUNCTION("""COMPUTED_VALUE"""),"Y")</f>
        <v>Y</v>
      </c>
      <c r="G939" s="3"/>
      <c r="H939" s="3"/>
      <c r="I939" s="3" t="str">
        <f>IFERROR(__xludf.DUMMYFUNCTION("""COMPUTED_VALUE""")," ")</f>
        <v> </v>
      </c>
      <c r="J939" s="3" t="str">
        <f>IFERROR(__xludf.DUMMYFUNCTION("""COMPUTED_VALUE""")," ")</f>
        <v> </v>
      </c>
      <c r="K939" s="3" t="str">
        <f>IFERROR(__xludf.DUMMYFUNCTION("""COMPUTED_VALUE"""),"Y")</f>
        <v>Y</v>
      </c>
      <c r="L939" s="3" t="str">
        <f>IFERROR(__xludf.DUMMYFUNCTION("""COMPUTED_VALUE"""),"Group 4")</f>
        <v>Group 4</v>
      </c>
      <c r="M939" s="3"/>
      <c r="N939" s="5" t="str">
        <f>IFERROR(__xludf.DUMMYFUNCTION("""COMPUTED_VALUE""")," ")</f>
        <v> </v>
      </c>
      <c r="O939" s="5"/>
    </row>
    <row r="940">
      <c r="A940" s="2" t="str">
        <f>IFERROR(__xludf.DUMMYFUNCTION("""COMPUTED_VALUE"""),"1040")</f>
        <v>1040</v>
      </c>
      <c r="B940" s="2" t="str">
        <f>IFERROR(__xludf.DUMMYFUNCTION("""COMPUTED_VALUE"""),"ACADEMY             20")</f>
        <v>ACADEMY             20</v>
      </c>
      <c r="C940" s="2" t="str">
        <f>IFERROR(__xludf.DUMMYFUNCTION("""COMPUTED_VALUE"""),"06158")</f>
        <v>06158</v>
      </c>
      <c r="D940" s="2" t="str">
        <f>IFERROR(__xludf.DUMMYFUNCTION("""COMPUTED_VALUE"""),"MOUNTAIN VIEW ELEMENTARY SCHOOL")</f>
        <v>MOUNTAIN VIEW ELEMENTARY SCHOOL</v>
      </c>
      <c r="E940" s="3" t="str">
        <f>IFERROR(__xludf.DUMMYFUNCTION("""COMPUTED_VALUE"""),"Y")</f>
        <v>Y</v>
      </c>
      <c r="F940" s="3" t="str">
        <f>IFERROR(__xludf.DUMMYFUNCTION("""COMPUTED_VALUE"""),"Y")</f>
        <v>Y</v>
      </c>
      <c r="G940" s="3"/>
      <c r="H940" s="3"/>
      <c r="I940" s="3" t="str">
        <f>IFERROR(__xludf.DUMMYFUNCTION("""COMPUTED_VALUE""")," ")</f>
        <v> </v>
      </c>
      <c r="J940" s="3" t="str">
        <f>IFERROR(__xludf.DUMMYFUNCTION("""COMPUTED_VALUE""")," ")</f>
        <v> </v>
      </c>
      <c r="K940" s="3" t="str">
        <f>IFERROR(__xludf.DUMMYFUNCTION("""COMPUTED_VALUE"""),"Y")</f>
        <v>Y</v>
      </c>
      <c r="L940" s="3" t="str">
        <f>IFERROR(__xludf.DUMMYFUNCTION("""COMPUTED_VALUE""")," ")</f>
        <v> </v>
      </c>
      <c r="M940" s="3"/>
      <c r="N940" s="5" t="str">
        <f>IFERROR(__xludf.DUMMYFUNCTION("""COMPUTED_VALUE""")," ")</f>
        <v> </v>
      </c>
      <c r="O940" s="5"/>
    </row>
    <row r="941">
      <c r="A941" s="2" t="str">
        <f>IFERROR(__xludf.DUMMYFUNCTION("""COMPUTED_VALUE"""),"1040")</f>
        <v>1040</v>
      </c>
      <c r="B941" s="2" t="str">
        <f>IFERROR(__xludf.DUMMYFUNCTION("""COMPUTED_VALUE"""),"ACADEMY             20")</f>
        <v>ACADEMY             20</v>
      </c>
      <c r="C941" s="2" t="str">
        <f>IFERROR(__xludf.DUMMYFUNCTION("""COMPUTED_VALUE"""),"06242")</f>
        <v>06242</v>
      </c>
      <c r="D941" s="2" t="str">
        <f>IFERROR(__xludf.DUMMYFUNCTION("""COMPUTED_VALUE"""),"New Summit Charter Academy")</f>
        <v>New Summit Charter Academy</v>
      </c>
      <c r="E941" s="3" t="str">
        <f>IFERROR(__xludf.DUMMYFUNCTION("""COMPUTED_VALUE"""),"Y")</f>
        <v>Y</v>
      </c>
      <c r="F941" s="3" t="str">
        <f>IFERROR(__xludf.DUMMYFUNCTION("""COMPUTED_VALUE"""),"Y")</f>
        <v>Y</v>
      </c>
      <c r="G941" s="3"/>
      <c r="H941" s="3"/>
      <c r="I941" s="3" t="str">
        <f>IFERROR(__xludf.DUMMYFUNCTION("""COMPUTED_VALUE""")," ")</f>
        <v> </v>
      </c>
      <c r="J941" s="3" t="str">
        <f>IFERROR(__xludf.DUMMYFUNCTION("""COMPUTED_VALUE""")," ")</f>
        <v> </v>
      </c>
      <c r="K941" s="3" t="str">
        <f>IFERROR(__xludf.DUMMYFUNCTION("""COMPUTED_VALUE"""),"Y")</f>
        <v>Y</v>
      </c>
      <c r="L941" s="3" t="str">
        <f>IFERROR(__xludf.DUMMYFUNCTION("""COMPUTED_VALUE"""),"Group 1")</f>
        <v>Group 1</v>
      </c>
      <c r="M941" s="3"/>
      <c r="N941" s="5" t="str">
        <f>IFERROR(__xludf.DUMMYFUNCTION("""COMPUTED_VALUE""")," ")</f>
        <v> </v>
      </c>
      <c r="O941" s="5"/>
    </row>
    <row r="942">
      <c r="A942" s="2" t="str">
        <f>IFERROR(__xludf.DUMMYFUNCTION("""COMPUTED_VALUE"""),"1040")</f>
        <v>1040</v>
      </c>
      <c r="B942" s="2" t="str">
        <f>IFERROR(__xludf.DUMMYFUNCTION("""COMPUTED_VALUE"""),"ACADEMY             20")</f>
        <v>ACADEMY             20</v>
      </c>
      <c r="C942" s="2" t="str">
        <f>IFERROR(__xludf.DUMMYFUNCTION("""COMPUTED_VALUE"""),"06247")</f>
        <v>06247</v>
      </c>
      <c r="D942" s="2" t="str">
        <f>IFERROR(__xludf.DUMMYFUNCTION("""COMPUTED_VALUE"""),"Legacy Peak Elementary")</f>
        <v>Legacy Peak Elementary</v>
      </c>
      <c r="E942" s="3" t="str">
        <f>IFERROR(__xludf.DUMMYFUNCTION("""COMPUTED_VALUE"""),"Y")</f>
        <v>Y</v>
      </c>
      <c r="F942" s="3" t="str">
        <f>IFERROR(__xludf.DUMMYFUNCTION("""COMPUTED_VALUE"""),"Y")</f>
        <v>Y</v>
      </c>
      <c r="G942" s="3"/>
      <c r="H942" s="3"/>
      <c r="I942" s="3" t="str">
        <f>IFERROR(__xludf.DUMMYFUNCTION("""COMPUTED_VALUE""")," ")</f>
        <v> </v>
      </c>
      <c r="J942" s="3" t="str">
        <f>IFERROR(__xludf.DUMMYFUNCTION("""COMPUTED_VALUE""")," ")</f>
        <v> </v>
      </c>
      <c r="K942" s="3" t="str">
        <f>IFERROR(__xludf.DUMMYFUNCTION("""COMPUTED_VALUE"""),"Y")</f>
        <v>Y</v>
      </c>
      <c r="L942" s="3" t="str">
        <f>IFERROR(__xludf.DUMMYFUNCTION("""COMPUTED_VALUE"""),"Group 1")</f>
        <v>Group 1</v>
      </c>
      <c r="M942" s="3"/>
      <c r="N942" s="5" t="str">
        <f>IFERROR(__xludf.DUMMYFUNCTION("""COMPUTED_VALUE""")," ")</f>
        <v> </v>
      </c>
      <c r="O942" s="5"/>
    </row>
    <row r="943">
      <c r="A943" s="2" t="str">
        <f>IFERROR(__xludf.DUMMYFUNCTION("""COMPUTED_VALUE"""),"1040")</f>
        <v>1040</v>
      </c>
      <c r="B943" s="2" t="str">
        <f>IFERROR(__xludf.DUMMYFUNCTION("""COMPUTED_VALUE"""),"ACADEMY             20")</f>
        <v>ACADEMY             20</v>
      </c>
      <c r="C943" s="2" t="str">
        <f>IFERROR(__xludf.DUMMYFUNCTION("""COMPUTED_VALUE"""),"06937")</f>
        <v>06937</v>
      </c>
      <c r="D943" s="2" t="str">
        <f>IFERROR(__xludf.DUMMYFUNCTION("""COMPUTED_VALUE"""),"PINE CREEK HIGH SCHOOL")</f>
        <v>PINE CREEK HIGH SCHOOL</v>
      </c>
      <c r="E943" s="3" t="str">
        <f>IFERROR(__xludf.DUMMYFUNCTION("""COMPUTED_VALUE"""),"Y")</f>
        <v>Y</v>
      </c>
      <c r="F943" s="3" t="str">
        <f>IFERROR(__xludf.DUMMYFUNCTION("""COMPUTED_VALUE"""),"Y")</f>
        <v>Y</v>
      </c>
      <c r="G943" s="3"/>
      <c r="H943" s="3"/>
      <c r="I943" s="3" t="str">
        <f>IFERROR(__xludf.DUMMYFUNCTION("""COMPUTED_VALUE""")," ")</f>
        <v> </v>
      </c>
      <c r="J943" s="3" t="str">
        <f>IFERROR(__xludf.DUMMYFUNCTION("""COMPUTED_VALUE""")," ")</f>
        <v> </v>
      </c>
      <c r="K943" s="3" t="str">
        <f>IFERROR(__xludf.DUMMYFUNCTION("""COMPUTED_VALUE"""),"Y")</f>
        <v>Y</v>
      </c>
      <c r="L943" s="3" t="str">
        <f>IFERROR(__xludf.DUMMYFUNCTION("""COMPUTED_VALUE""")," ")</f>
        <v> </v>
      </c>
      <c r="M943" s="3"/>
      <c r="N943" s="5" t="str">
        <f>IFERROR(__xludf.DUMMYFUNCTION("""COMPUTED_VALUE""")," ")</f>
        <v> </v>
      </c>
      <c r="O943" s="5"/>
    </row>
    <row r="944">
      <c r="A944" s="2" t="str">
        <f>IFERROR(__xludf.DUMMYFUNCTION("""COMPUTED_VALUE"""),"1040")</f>
        <v>1040</v>
      </c>
      <c r="B944" s="2" t="str">
        <f>IFERROR(__xludf.DUMMYFUNCTION("""COMPUTED_VALUE"""),"ACADEMY             20")</f>
        <v>ACADEMY             20</v>
      </c>
      <c r="C944" s="2" t="str">
        <f>IFERROR(__xludf.DUMMYFUNCTION("""COMPUTED_VALUE"""),"06960")</f>
        <v>06960</v>
      </c>
      <c r="D944" s="2" t="str">
        <f>IFERROR(__xludf.DUMMYFUNCTION("""COMPUTED_VALUE"""),"PIONEER ELEMENTARY SCHOOL")</f>
        <v>PIONEER ELEMENTARY SCHOOL</v>
      </c>
      <c r="E944" s="3" t="str">
        <f>IFERROR(__xludf.DUMMYFUNCTION("""COMPUTED_VALUE"""),"Y")</f>
        <v>Y</v>
      </c>
      <c r="F944" s="3" t="str">
        <f>IFERROR(__xludf.DUMMYFUNCTION("""COMPUTED_VALUE"""),"Y")</f>
        <v>Y</v>
      </c>
      <c r="G944" s="3"/>
      <c r="H944" s="3"/>
      <c r="I944" s="3" t="str">
        <f>IFERROR(__xludf.DUMMYFUNCTION("""COMPUTED_VALUE""")," ")</f>
        <v> </v>
      </c>
      <c r="J944" s="3" t="str">
        <f>IFERROR(__xludf.DUMMYFUNCTION("""COMPUTED_VALUE""")," ")</f>
        <v> </v>
      </c>
      <c r="K944" s="3" t="str">
        <f>IFERROR(__xludf.DUMMYFUNCTION("""COMPUTED_VALUE"""),"Y")</f>
        <v>Y</v>
      </c>
      <c r="L944" s="3" t="str">
        <f>IFERROR(__xludf.DUMMYFUNCTION("""COMPUTED_VALUE"""),"Group 3")</f>
        <v>Group 3</v>
      </c>
      <c r="M944" s="3"/>
      <c r="N944" s="5" t="str">
        <f>IFERROR(__xludf.DUMMYFUNCTION("""COMPUTED_VALUE""")," ")</f>
        <v> </v>
      </c>
      <c r="O944" s="5"/>
    </row>
    <row r="945">
      <c r="A945" s="2" t="str">
        <f>IFERROR(__xludf.DUMMYFUNCTION("""COMPUTED_VALUE"""),"1040")</f>
        <v>1040</v>
      </c>
      <c r="B945" s="2" t="str">
        <f>IFERROR(__xludf.DUMMYFUNCTION("""COMPUTED_VALUE"""),"ACADEMY             20")</f>
        <v>ACADEMY             20</v>
      </c>
      <c r="C945" s="2" t="str">
        <f>IFERROR(__xludf.DUMMYFUNCTION("""COMPUTED_VALUE"""),"07159")</f>
        <v>07159</v>
      </c>
      <c r="D945" s="2" t="str">
        <f>IFERROR(__xludf.DUMMYFUNCTION("""COMPUTED_VALUE"""),"PRAIRIE HILLS ELEMENTARY SCHOOL")</f>
        <v>PRAIRIE HILLS ELEMENTARY SCHOOL</v>
      </c>
      <c r="E945" s="3" t="str">
        <f>IFERROR(__xludf.DUMMYFUNCTION("""COMPUTED_VALUE"""),"Y")</f>
        <v>Y</v>
      </c>
      <c r="F945" s="3" t="str">
        <f>IFERROR(__xludf.DUMMYFUNCTION("""COMPUTED_VALUE"""),"Y")</f>
        <v>Y</v>
      </c>
      <c r="G945" s="3"/>
      <c r="H945" s="3"/>
      <c r="I945" s="3" t="str">
        <f>IFERROR(__xludf.DUMMYFUNCTION("""COMPUTED_VALUE""")," ")</f>
        <v> </v>
      </c>
      <c r="J945" s="3" t="str">
        <f>IFERROR(__xludf.DUMMYFUNCTION("""COMPUTED_VALUE""")," ")</f>
        <v> </v>
      </c>
      <c r="K945" s="3" t="str">
        <f>IFERROR(__xludf.DUMMYFUNCTION("""COMPUTED_VALUE"""),"Y")</f>
        <v>Y</v>
      </c>
      <c r="L945" s="3" t="str">
        <f>IFERROR(__xludf.DUMMYFUNCTION("""COMPUTED_VALUE"""),"Group 1")</f>
        <v>Group 1</v>
      </c>
      <c r="M945" s="3"/>
      <c r="N945" s="5" t="str">
        <f>IFERROR(__xludf.DUMMYFUNCTION("""COMPUTED_VALUE""")," ")</f>
        <v> </v>
      </c>
      <c r="O945" s="5"/>
    </row>
    <row r="946">
      <c r="A946" s="2" t="str">
        <f>IFERROR(__xludf.DUMMYFUNCTION("""COMPUTED_VALUE"""),"1040")</f>
        <v>1040</v>
      </c>
      <c r="B946" s="2" t="str">
        <f>IFERROR(__xludf.DUMMYFUNCTION("""COMPUTED_VALUE"""),"ACADEMY             20")</f>
        <v>ACADEMY             20</v>
      </c>
      <c r="C946" s="2" t="str">
        <f>IFERROR(__xludf.DUMMYFUNCTION("""COMPUTED_VALUE"""),"07240")</f>
        <v>07240</v>
      </c>
      <c r="D946" s="2" t="str">
        <f>IFERROR(__xludf.DUMMYFUNCTION("""COMPUTED_VALUE"""),"RAMPART HIGH SCHOOL")</f>
        <v>RAMPART HIGH SCHOOL</v>
      </c>
      <c r="E946" s="3" t="str">
        <f>IFERROR(__xludf.DUMMYFUNCTION("""COMPUTED_VALUE"""),"Y")</f>
        <v>Y</v>
      </c>
      <c r="F946" s="3" t="str">
        <f>IFERROR(__xludf.DUMMYFUNCTION("""COMPUTED_VALUE"""),"Y")</f>
        <v>Y</v>
      </c>
      <c r="G946" s="3"/>
      <c r="H946" s="3"/>
      <c r="I946" s="3" t="str">
        <f>IFERROR(__xludf.DUMMYFUNCTION("""COMPUTED_VALUE""")," ")</f>
        <v> </v>
      </c>
      <c r="J946" s="3" t="str">
        <f>IFERROR(__xludf.DUMMYFUNCTION("""COMPUTED_VALUE""")," ")</f>
        <v> </v>
      </c>
      <c r="K946" s="3" t="str">
        <f>IFERROR(__xludf.DUMMYFUNCTION("""COMPUTED_VALUE"""),"Y")</f>
        <v>Y</v>
      </c>
      <c r="L946" s="3" t="str">
        <f>IFERROR(__xludf.DUMMYFUNCTION("""COMPUTED_VALUE"""),"Group 1")</f>
        <v>Group 1</v>
      </c>
      <c r="M946" s="3"/>
      <c r="N946" s="5" t="str">
        <f>IFERROR(__xludf.DUMMYFUNCTION("""COMPUTED_VALUE""")," ")</f>
        <v> </v>
      </c>
      <c r="O946" s="5"/>
    </row>
    <row r="947">
      <c r="A947" s="2" t="str">
        <f>IFERROR(__xludf.DUMMYFUNCTION("""COMPUTED_VALUE"""),"1040")</f>
        <v>1040</v>
      </c>
      <c r="B947" s="2" t="str">
        <f>IFERROR(__xludf.DUMMYFUNCTION("""COMPUTED_VALUE"""),"ACADEMY             20")</f>
        <v>ACADEMY             20</v>
      </c>
      <c r="C947" s="2" t="str">
        <f>IFERROR(__xludf.DUMMYFUNCTION("""COMPUTED_VALUE"""),"07247")</f>
        <v>07247</v>
      </c>
      <c r="D947" s="2" t="str">
        <f>IFERROR(__xludf.DUMMYFUNCTION("""COMPUTED_VALUE"""),"RANCH CREEK ELEMENTARY")</f>
        <v>RANCH CREEK ELEMENTARY</v>
      </c>
      <c r="E947" s="3" t="str">
        <f>IFERROR(__xludf.DUMMYFUNCTION("""COMPUTED_VALUE"""),"Y")</f>
        <v>Y</v>
      </c>
      <c r="F947" s="3" t="str">
        <f>IFERROR(__xludf.DUMMYFUNCTION("""COMPUTED_VALUE"""),"Y")</f>
        <v>Y</v>
      </c>
      <c r="G947" s="3"/>
      <c r="H947" s="3"/>
      <c r="I947" s="3" t="str">
        <f>IFERROR(__xludf.DUMMYFUNCTION("""COMPUTED_VALUE""")," ")</f>
        <v> </v>
      </c>
      <c r="J947" s="3" t="str">
        <f>IFERROR(__xludf.DUMMYFUNCTION("""COMPUTED_VALUE""")," ")</f>
        <v> </v>
      </c>
      <c r="K947" s="3" t="str">
        <f>IFERROR(__xludf.DUMMYFUNCTION("""COMPUTED_VALUE"""),"Y")</f>
        <v>Y</v>
      </c>
      <c r="L947" s="3" t="str">
        <f>IFERROR(__xludf.DUMMYFUNCTION("""COMPUTED_VALUE"""),"Group 1")</f>
        <v>Group 1</v>
      </c>
      <c r="M947" s="3"/>
      <c r="N947" s="5" t="str">
        <f>IFERROR(__xludf.DUMMYFUNCTION("""COMPUTED_VALUE""")," ")</f>
        <v> </v>
      </c>
      <c r="O947" s="5"/>
    </row>
    <row r="948">
      <c r="A948" s="2" t="str">
        <f>IFERROR(__xludf.DUMMYFUNCTION("""COMPUTED_VALUE"""),"1040")</f>
        <v>1040</v>
      </c>
      <c r="B948" s="2" t="str">
        <f>IFERROR(__xludf.DUMMYFUNCTION("""COMPUTED_VALUE"""),"ACADEMY             20")</f>
        <v>ACADEMY             20</v>
      </c>
      <c r="C948" s="2" t="str">
        <f>IFERROR(__xludf.DUMMYFUNCTION("""COMPUTED_VALUE"""),"07460")</f>
        <v>07460</v>
      </c>
      <c r="D948" s="2" t="str">
        <f>IFERROR(__xludf.DUMMYFUNCTION("""COMPUTED_VALUE"""),"ROCKRIMMON ELEMENTARY SCHOOL")</f>
        <v>ROCKRIMMON ELEMENTARY SCHOOL</v>
      </c>
      <c r="E948" s="3" t="str">
        <f>IFERROR(__xludf.DUMMYFUNCTION("""COMPUTED_VALUE"""),"Y")</f>
        <v>Y</v>
      </c>
      <c r="F948" s="3" t="str">
        <f>IFERROR(__xludf.DUMMYFUNCTION("""COMPUTED_VALUE"""),"Y")</f>
        <v>Y</v>
      </c>
      <c r="G948" s="3"/>
      <c r="H948" s="3"/>
      <c r="I948" s="3" t="str">
        <f>IFERROR(__xludf.DUMMYFUNCTION("""COMPUTED_VALUE""")," ")</f>
        <v> </v>
      </c>
      <c r="J948" s="3" t="str">
        <f>IFERROR(__xludf.DUMMYFUNCTION("""COMPUTED_VALUE""")," ")</f>
        <v> </v>
      </c>
      <c r="K948" s="3" t="str">
        <f>IFERROR(__xludf.DUMMYFUNCTION("""COMPUTED_VALUE"""),"Y")</f>
        <v>Y</v>
      </c>
      <c r="L948" s="3" t="str">
        <f>IFERROR(__xludf.DUMMYFUNCTION("""COMPUTED_VALUE"""),"Group 2")</f>
        <v>Group 2</v>
      </c>
      <c r="M948" s="3"/>
      <c r="N948" s="5" t="str">
        <f>IFERROR(__xludf.DUMMYFUNCTION("""COMPUTED_VALUE""")," ")</f>
        <v> </v>
      </c>
      <c r="O948" s="5"/>
    </row>
    <row r="949">
      <c r="A949" s="2" t="str">
        <f>IFERROR(__xludf.DUMMYFUNCTION("""COMPUTED_VALUE"""),"1040")</f>
        <v>1040</v>
      </c>
      <c r="B949" s="2" t="str">
        <f>IFERROR(__xludf.DUMMYFUNCTION("""COMPUTED_VALUE"""),"ACADEMY             20")</f>
        <v>ACADEMY             20</v>
      </c>
      <c r="C949" s="2" t="str">
        <f>IFERROR(__xludf.DUMMYFUNCTION("""COMPUTED_VALUE"""),"08813")</f>
        <v>08813</v>
      </c>
      <c r="D949" s="2" t="str">
        <f>IFERROR(__xludf.DUMMYFUNCTION("""COMPUTED_VALUE"""),"THE DA VINCI ACADEMY")</f>
        <v>THE DA VINCI ACADEMY</v>
      </c>
      <c r="E949" s="3" t="str">
        <f>IFERROR(__xludf.DUMMYFUNCTION("""COMPUTED_VALUE"""),"Y")</f>
        <v>Y</v>
      </c>
      <c r="F949" s="3" t="str">
        <f>IFERROR(__xludf.DUMMYFUNCTION("""COMPUTED_VALUE"""),"Y")</f>
        <v>Y</v>
      </c>
      <c r="G949" s="3"/>
      <c r="H949" s="3"/>
      <c r="I949" s="3" t="str">
        <f>IFERROR(__xludf.DUMMYFUNCTION("""COMPUTED_VALUE""")," ")</f>
        <v> </v>
      </c>
      <c r="J949" s="3" t="str">
        <f>IFERROR(__xludf.DUMMYFUNCTION("""COMPUTED_VALUE""")," ")</f>
        <v> </v>
      </c>
      <c r="K949" s="3" t="str">
        <f>IFERROR(__xludf.DUMMYFUNCTION("""COMPUTED_VALUE"""),"Y")</f>
        <v>Y</v>
      </c>
      <c r="L949" s="3" t="str">
        <f>IFERROR(__xludf.DUMMYFUNCTION("""COMPUTED_VALUE"""),"Group 4")</f>
        <v>Group 4</v>
      </c>
      <c r="M949" s="3"/>
      <c r="N949" s="5" t="str">
        <f>IFERROR(__xludf.DUMMYFUNCTION("""COMPUTED_VALUE""")," ")</f>
        <v> </v>
      </c>
      <c r="O949" s="5"/>
    </row>
    <row r="950">
      <c r="A950" s="2" t="str">
        <f>IFERROR(__xludf.DUMMYFUNCTION("""COMPUTED_VALUE"""),"1040")</f>
        <v>1040</v>
      </c>
      <c r="B950" s="2" t="str">
        <f>IFERROR(__xludf.DUMMYFUNCTION("""COMPUTED_VALUE"""),"ACADEMY             20")</f>
        <v>ACADEMY             20</v>
      </c>
      <c r="C950" s="2" t="str">
        <f>IFERROR(__xludf.DUMMYFUNCTION("""COMPUTED_VALUE"""),"08851")</f>
        <v>08851</v>
      </c>
      <c r="D950" s="2" t="str">
        <f>IFERROR(__xludf.DUMMYFUNCTION("""COMPUTED_VALUE"""),"TIMBERVIEW MIDDLE SCHOOL")</f>
        <v>TIMBERVIEW MIDDLE SCHOOL</v>
      </c>
      <c r="E950" s="3" t="str">
        <f>IFERROR(__xludf.DUMMYFUNCTION("""COMPUTED_VALUE"""),"Y")</f>
        <v>Y</v>
      </c>
      <c r="F950" s="3" t="str">
        <f>IFERROR(__xludf.DUMMYFUNCTION("""COMPUTED_VALUE"""),"Y")</f>
        <v>Y</v>
      </c>
      <c r="G950" s="3"/>
      <c r="H950" s="3"/>
      <c r="I950" s="3" t="str">
        <f>IFERROR(__xludf.DUMMYFUNCTION("""COMPUTED_VALUE""")," ")</f>
        <v> </v>
      </c>
      <c r="J950" s="3" t="str">
        <f>IFERROR(__xludf.DUMMYFUNCTION("""COMPUTED_VALUE""")," ")</f>
        <v> </v>
      </c>
      <c r="K950" s="3" t="str">
        <f>IFERROR(__xludf.DUMMYFUNCTION("""COMPUTED_VALUE"""),"Y")</f>
        <v>Y</v>
      </c>
      <c r="L950" s="3" t="str">
        <f>IFERROR(__xludf.DUMMYFUNCTION("""COMPUTED_VALUE"""),"Group 4")</f>
        <v>Group 4</v>
      </c>
      <c r="M950" s="3"/>
      <c r="N950" s="5" t="str">
        <f>IFERROR(__xludf.DUMMYFUNCTION("""COMPUTED_VALUE""")," ")</f>
        <v> </v>
      </c>
      <c r="O950" s="5"/>
    </row>
    <row r="951">
      <c r="A951" s="2" t="str">
        <f>IFERROR(__xludf.DUMMYFUNCTION("""COMPUTED_VALUE"""),"1040")</f>
        <v>1040</v>
      </c>
      <c r="B951" s="2" t="str">
        <f>IFERROR(__xludf.DUMMYFUNCTION("""COMPUTED_VALUE"""),"ACADEMY             20")</f>
        <v>ACADEMY             20</v>
      </c>
      <c r="C951" s="2" t="str">
        <f>IFERROR(__xludf.DUMMYFUNCTION("""COMPUTED_VALUE"""),"09714")</f>
        <v>09714</v>
      </c>
      <c r="D951" s="2" t="str">
        <f>IFERROR(__xludf.DUMMYFUNCTION("""COMPUTED_VALUE"""),"WOODMEN-ROBERTS ELEMENTARY SCHOOL")</f>
        <v>WOODMEN-ROBERTS ELEMENTARY SCHOOL</v>
      </c>
      <c r="E951" s="3" t="str">
        <f>IFERROR(__xludf.DUMMYFUNCTION("""COMPUTED_VALUE"""),"Y")</f>
        <v>Y</v>
      </c>
      <c r="F951" s="3" t="str">
        <f>IFERROR(__xludf.DUMMYFUNCTION("""COMPUTED_VALUE"""),"Y")</f>
        <v>Y</v>
      </c>
      <c r="G951" s="3"/>
      <c r="H951" s="3"/>
      <c r="I951" s="3" t="str">
        <f>IFERROR(__xludf.DUMMYFUNCTION("""COMPUTED_VALUE""")," ")</f>
        <v> </v>
      </c>
      <c r="J951" s="3" t="str">
        <f>IFERROR(__xludf.DUMMYFUNCTION("""COMPUTED_VALUE""")," ")</f>
        <v> </v>
      </c>
      <c r="K951" s="3" t="str">
        <f>IFERROR(__xludf.DUMMYFUNCTION("""COMPUTED_VALUE"""),"Y")</f>
        <v>Y</v>
      </c>
      <c r="L951" s="3" t="str">
        <f>IFERROR(__xludf.DUMMYFUNCTION("""COMPUTED_VALUE"""),"Group 1")</f>
        <v>Group 1</v>
      </c>
      <c r="M951" s="3"/>
      <c r="N951" s="5" t="str">
        <f>IFERROR(__xludf.DUMMYFUNCTION("""COMPUTED_VALUE""")," ")</f>
        <v> </v>
      </c>
      <c r="O951" s="5"/>
    </row>
    <row r="952">
      <c r="A952" s="2" t="str">
        <f>IFERROR(__xludf.DUMMYFUNCTION("""COMPUTED_VALUE"""),"1040")</f>
        <v>1040</v>
      </c>
      <c r="B952" s="2" t="str">
        <f>IFERROR(__xludf.DUMMYFUNCTION("""COMPUTED_VALUE"""),"ACADEMY             20")</f>
        <v>ACADEMY             20</v>
      </c>
      <c r="C952" s="2" t="str">
        <f>IFERROR(__xludf.DUMMYFUNCTION("""COMPUTED_VALUE"""),"01511")</f>
        <v>01511</v>
      </c>
      <c r="D952" s="2" t="str">
        <f>IFERROR(__xludf.DUMMYFUNCTION("""COMPUTED_VALUE"""),"HOME SCHOOL ACADEMY")</f>
        <v>HOME SCHOOL ACADEMY</v>
      </c>
      <c r="E952" s="3" t="str">
        <f>IFERROR(__xludf.DUMMYFUNCTION("""COMPUTED_VALUE"""),"Y")</f>
        <v>Y</v>
      </c>
      <c r="F952" s="3" t="str">
        <f>IFERROR(__xludf.DUMMYFUNCTION("""COMPUTED_VALUE"""),"Y")</f>
        <v>Y</v>
      </c>
      <c r="G952" s="3"/>
      <c r="H952" s="3"/>
      <c r="I952" s="3"/>
      <c r="J952" s="3"/>
      <c r="K952" s="3" t="str">
        <f>IFERROR(__xludf.DUMMYFUNCTION("""COMPUTED_VALUE"""),"Y")</f>
        <v>Y</v>
      </c>
      <c r="L952" s="3" t="str">
        <f>IFERROR(__xludf.DUMMYFUNCTION("""COMPUTED_VALUE""")," ")</f>
        <v> </v>
      </c>
      <c r="M952" s="3"/>
      <c r="N952" s="5" t="str">
        <f>IFERROR(__xludf.DUMMYFUNCTION("""COMPUTED_VALUE""")," ")</f>
        <v> </v>
      </c>
      <c r="O952" s="5"/>
    </row>
    <row r="953">
      <c r="A953" s="2" t="str">
        <f>IFERROR(__xludf.DUMMYFUNCTION("""COMPUTED_VALUE"""),"1050")</f>
        <v>1050</v>
      </c>
      <c r="B953" s="2" t="str">
        <f>IFERROR(__xludf.DUMMYFUNCTION("""COMPUTED_VALUE"""),"ELLICOTT            22")</f>
        <v>ELLICOTT            22</v>
      </c>
      <c r="C953" s="2" t="str">
        <f>IFERROR(__xludf.DUMMYFUNCTION("""COMPUTED_VALUE"""),"02638")</f>
        <v>02638</v>
      </c>
      <c r="D953" s="2" t="str">
        <f>IFERROR(__xludf.DUMMYFUNCTION("""COMPUTED_VALUE"""),"ELLICOTT ELEMENTARY SCHOOL")</f>
        <v>ELLICOTT ELEMENTARY SCHOOL</v>
      </c>
      <c r="E953" s="3" t="str">
        <f>IFERROR(__xludf.DUMMYFUNCTION("""COMPUTED_VALUE"""),"Y")</f>
        <v>Y</v>
      </c>
      <c r="F953" s="3" t="str">
        <f>IFERROR(__xludf.DUMMYFUNCTION("""COMPUTED_VALUE"""),"Y")</f>
        <v>Y</v>
      </c>
      <c r="G953" s="3" t="str">
        <f>IFERROR(__xludf.DUMMYFUNCTION("""COMPUTED_VALUE"""),"Y")</f>
        <v>Y</v>
      </c>
      <c r="H953" s="3"/>
      <c r="I953" s="3" t="str">
        <f>IFERROR(__xludf.DUMMYFUNCTION("""COMPUTED_VALUE""")," ")</f>
        <v> </v>
      </c>
      <c r="J953" s="3" t="str">
        <f>IFERROR(__xludf.DUMMYFUNCTION("""COMPUTED_VALUE""")," ")</f>
        <v> </v>
      </c>
      <c r="K953" s="3" t="str">
        <f>IFERROR(__xludf.DUMMYFUNCTION("""COMPUTED_VALUE"""),"Y")</f>
        <v>Y</v>
      </c>
      <c r="L953" s="3" t="str">
        <f>IFERROR(__xludf.DUMMYFUNCTION("""COMPUTED_VALUE""")," ")</f>
        <v> </v>
      </c>
      <c r="M953" s="3" t="str">
        <f>IFERROR(__xludf.DUMMYFUNCTION("""COMPUTED_VALUE"""),"Base Year")</f>
        <v>Base Year</v>
      </c>
      <c r="N953" s="5" t="str">
        <f>IFERROR(__xludf.DUMMYFUNCTION("""COMPUTED_VALUE""")," ")</f>
        <v> </v>
      </c>
      <c r="O953" s="5"/>
    </row>
    <row r="954">
      <c r="A954" s="2" t="str">
        <f>IFERROR(__xludf.DUMMYFUNCTION("""COMPUTED_VALUE"""),"1050")</f>
        <v>1050</v>
      </c>
      <c r="B954" s="2" t="str">
        <f>IFERROR(__xludf.DUMMYFUNCTION("""COMPUTED_VALUE"""),"ELLICOTT            22")</f>
        <v>ELLICOTT            22</v>
      </c>
      <c r="C954" s="2" t="str">
        <f>IFERROR(__xludf.DUMMYFUNCTION("""COMPUTED_VALUE"""),"02640")</f>
        <v>02640</v>
      </c>
      <c r="D954" s="2" t="str">
        <f>IFERROR(__xludf.DUMMYFUNCTION("""COMPUTED_VALUE"""),"ELLICOTT MIDDLE SCHOOL")</f>
        <v>ELLICOTT MIDDLE SCHOOL</v>
      </c>
      <c r="E954" s="3" t="str">
        <f>IFERROR(__xludf.DUMMYFUNCTION("""COMPUTED_VALUE"""),"Y")</f>
        <v>Y</v>
      </c>
      <c r="F954" s="3" t="str">
        <f>IFERROR(__xludf.DUMMYFUNCTION("""COMPUTED_VALUE"""),"Y")</f>
        <v>Y</v>
      </c>
      <c r="G954" s="3" t="str">
        <f>IFERROR(__xludf.DUMMYFUNCTION("""COMPUTED_VALUE"""),"Y")</f>
        <v>Y</v>
      </c>
      <c r="H954" s="3"/>
      <c r="I954" s="3" t="str">
        <f>IFERROR(__xludf.DUMMYFUNCTION("""COMPUTED_VALUE""")," ")</f>
        <v> </v>
      </c>
      <c r="J954" s="3" t="str">
        <f>IFERROR(__xludf.DUMMYFUNCTION("""COMPUTED_VALUE""")," ")</f>
        <v> </v>
      </c>
      <c r="K954" s="3" t="str">
        <f>IFERROR(__xludf.DUMMYFUNCTION("""COMPUTED_VALUE"""),"Y")</f>
        <v>Y</v>
      </c>
      <c r="L954" s="3" t="str">
        <f>IFERROR(__xludf.DUMMYFUNCTION("""COMPUTED_VALUE""")," ")</f>
        <v> </v>
      </c>
      <c r="M954" s="3" t="str">
        <f>IFERROR(__xludf.DUMMYFUNCTION("""COMPUTED_VALUE"""),"Base Year")</f>
        <v>Base Year</v>
      </c>
      <c r="N954" s="5" t="str">
        <f>IFERROR(__xludf.DUMMYFUNCTION("""COMPUTED_VALUE"""),"Y")</f>
        <v>Y</v>
      </c>
      <c r="O954" s="5"/>
    </row>
    <row r="955">
      <c r="A955" s="2" t="str">
        <f>IFERROR(__xludf.DUMMYFUNCTION("""COMPUTED_VALUE"""),"1050")</f>
        <v>1050</v>
      </c>
      <c r="B955" s="2" t="str">
        <f>IFERROR(__xludf.DUMMYFUNCTION("""COMPUTED_VALUE"""),"ELLICOTT            22")</f>
        <v>ELLICOTT            22</v>
      </c>
      <c r="C955" s="2" t="str">
        <f>IFERROR(__xludf.DUMMYFUNCTION("""COMPUTED_VALUE"""),"02642")</f>
        <v>02642</v>
      </c>
      <c r="D955" s="2" t="str">
        <f>IFERROR(__xludf.DUMMYFUNCTION("""COMPUTED_VALUE"""),"ELLICOTT SENIOR HIGH SCHOOL")</f>
        <v>ELLICOTT SENIOR HIGH SCHOOL</v>
      </c>
      <c r="E955" s="3" t="str">
        <f>IFERROR(__xludf.DUMMYFUNCTION("""COMPUTED_VALUE"""),"Y")</f>
        <v>Y</v>
      </c>
      <c r="F955" s="3" t="str">
        <f>IFERROR(__xludf.DUMMYFUNCTION("""COMPUTED_VALUE"""),"Y")</f>
        <v>Y</v>
      </c>
      <c r="G955" s="3" t="str">
        <f>IFERROR(__xludf.DUMMYFUNCTION("""COMPUTED_VALUE"""),"Y")</f>
        <v>Y</v>
      </c>
      <c r="H955" s="3"/>
      <c r="I955" s="3" t="str">
        <f>IFERROR(__xludf.DUMMYFUNCTION("""COMPUTED_VALUE""")," ")</f>
        <v> </v>
      </c>
      <c r="J955" s="3" t="str">
        <f>IFERROR(__xludf.DUMMYFUNCTION("""COMPUTED_VALUE""")," ")</f>
        <v> </v>
      </c>
      <c r="K955" s="3" t="str">
        <f>IFERROR(__xludf.DUMMYFUNCTION("""COMPUTED_VALUE"""),"Y")</f>
        <v>Y</v>
      </c>
      <c r="L955" s="3" t="str">
        <f>IFERROR(__xludf.DUMMYFUNCTION("""COMPUTED_VALUE"""),"Group 1")</f>
        <v>Group 1</v>
      </c>
      <c r="M955" s="3"/>
      <c r="N955" s="5" t="str">
        <f>IFERROR(__xludf.DUMMYFUNCTION("""COMPUTED_VALUE""")," ")</f>
        <v> </v>
      </c>
      <c r="O955" s="5"/>
    </row>
    <row r="956">
      <c r="A956" s="2" t="str">
        <f>IFERROR(__xludf.DUMMYFUNCTION("""COMPUTED_VALUE"""),"1050")</f>
        <v>1050</v>
      </c>
      <c r="B956" s="2" t="str">
        <f>IFERROR(__xludf.DUMMYFUNCTION("""COMPUTED_VALUE"""),"ELLICOTT            22")</f>
        <v>ELLICOTT            22</v>
      </c>
      <c r="C956" s="2" t="str">
        <f>IFERROR(__xludf.DUMMYFUNCTION("""COMPUTED_VALUE"""),"07533")</f>
        <v>07533</v>
      </c>
      <c r="D956" s="2" t="str">
        <f>IFERROR(__xludf.DUMMYFUNCTION("""COMPUTED_VALUE"""),"PUEBLO CLASSICAL ACADEMY")</f>
        <v>PUEBLO CLASSICAL ACADEMY</v>
      </c>
      <c r="E956" s="3" t="str">
        <f>IFERROR(__xludf.DUMMYFUNCTION("""COMPUTED_VALUE"""),"Y")</f>
        <v>Y</v>
      </c>
      <c r="F956" s="3" t="str">
        <f>IFERROR(__xludf.DUMMYFUNCTION("""COMPUTED_VALUE"""),"Y")</f>
        <v>Y</v>
      </c>
      <c r="G956" s="3"/>
      <c r="H956" s="3"/>
      <c r="I956" s="3" t="str">
        <f>IFERROR(__xludf.DUMMYFUNCTION("""COMPUTED_VALUE""")," ")</f>
        <v> </v>
      </c>
      <c r="J956" s="3" t="str">
        <f>IFERROR(__xludf.DUMMYFUNCTION("""COMPUTED_VALUE""")," ")</f>
        <v> </v>
      </c>
      <c r="K956" s="3" t="str">
        <f>IFERROR(__xludf.DUMMYFUNCTION("""COMPUTED_VALUE"""),"Y")</f>
        <v>Y</v>
      </c>
      <c r="L956" s="3" t="str">
        <f>IFERROR(__xludf.DUMMYFUNCTION("""COMPUTED_VALUE""")," ")</f>
        <v> </v>
      </c>
      <c r="M956" s="3"/>
      <c r="N956" s="5" t="str">
        <f>IFERROR(__xludf.DUMMYFUNCTION("""COMPUTED_VALUE""")," ")</f>
        <v> </v>
      </c>
      <c r="O956" s="5"/>
    </row>
    <row r="957">
      <c r="A957" s="2" t="str">
        <f>IFERROR(__xludf.DUMMYFUNCTION("""COMPUTED_VALUE"""),"1060")</f>
        <v>1060</v>
      </c>
      <c r="B957" s="2" t="str">
        <f>IFERROR(__xludf.DUMMYFUNCTION("""COMPUTED_VALUE"""),"PEYTON              23 JT")</f>
        <v>PEYTON              23 JT</v>
      </c>
      <c r="C957" s="2" t="str">
        <f>IFERROR(__xludf.DUMMYFUNCTION("""COMPUTED_VALUE"""),"06898")</f>
        <v>06898</v>
      </c>
      <c r="D957" s="2" t="str">
        <f>IFERROR(__xludf.DUMMYFUNCTION("""COMPUTED_VALUE"""),"PEYTON ELEMENTARY SCHOOL")</f>
        <v>PEYTON ELEMENTARY SCHOOL</v>
      </c>
      <c r="E957" s="3" t="str">
        <f>IFERROR(__xludf.DUMMYFUNCTION("""COMPUTED_VALUE"""),"Y")</f>
        <v>Y</v>
      </c>
      <c r="F957" s="3" t="str">
        <f>IFERROR(__xludf.DUMMYFUNCTION("""COMPUTED_VALUE"""),"Y")</f>
        <v>Y</v>
      </c>
      <c r="G957" s="3"/>
      <c r="H957" s="3"/>
      <c r="I957" s="3" t="str">
        <f>IFERROR(__xludf.DUMMYFUNCTION("""COMPUTED_VALUE""")," ")</f>
        <v> </v>
      </c>
      <c r="J957" s="3" t="str">
        <f>IFERROR(__xludf.DUMMYFUNCTION("""COMPUTED_VALUE""")," ")</f>
        <v> </v>
      </c>
      <c r="K957" s="3" t="str">
        <f>IFERROR(__xludf.DUMMYFUNCTION("""COMPUTED_VALUE"""),"Y")</f>
        <v>Y</v>
      </c>
      <c r="L957" s="3" t="str">
        <f>IFERROR(__xludf.DUMMYFUNCTION("""COMPUTED_VALUE"""),"Group 1")</f>
        <v>Group 1</v>
      </c>
      <c r="M957" s="3"/>
      <c r="N957" s="5" t="str">
        <f>IFERROR(__xludf.DUMMYFUNCTION("""COMPUTED_VALUE""")," ")</f>
        <v> </v>
      </c>
      <c r="O957" s="5"/>
    </row>
    <row r="958">
      <c r="A958" s="2" t="str">
        <f>IFERROR(__xludf.DUMMYFUNCTION("""COMPUTED_VALUE"""),"1060")</f>
        <v>1060</v>
      </c>
      <c r="B958" s="2" t="str">
        <f>IFERROR(__xludf.DUMMYFUNCTION("""COMPUTED_VALUE"""),"PEYTON              23 JT")</f>
        <v>PEYTON              23 JT</v>
      </c>
      <c r="C958" s="2" t="str">
        <f>IFERROR(__xludf.DUMMYFUNCTION("""COMPUTED_VALUE"""),"06900")</f>
        <v>06900</v>
      </c>
      <c r="D958" s="2" t="str">
        <f>IFERROR(__xludf.DUMMYFUNCTION("""COMPUTED_VALUE"""),"PEYTON MIDDLE SCHOOL")</f>
        <v>PEYTON MIDDLE SCHOOL</v>
      </c>
      <c r="E958" s="3" t="str">
        <f>IFERROR(__xludf.DUMMYFUNCTION("""COMPUTED_VALUE"""),"Y")</f>
        <v>Y</v>
      </c>
      <c r="F958" s="3" t="str">
        <f>IFERROR(__xludf.DUMMYFUNCTION("""COMPUTED_VALUE"""),"Y")</f>
        <v>Y</v>
      </c>
      <c r="G958" s="3"/>
      <c r="H958" s="3"/>
      <c r="I958" s="3" t="str">
        <f>IFERROR(__xludf.DUMMYFUNCTION("""COMPUTED_VALUE""")," ")</f>
        <v> </v>
      </c>
      <c r="J958" s="3" t="str">
        <f>IFERROR(__xludf.DUMMYFUNCTION("""COMPUTED_VALUE""")," ")</f>
        <v> </v>
      </c>
      <c r="K958" s="3" t="str">
        <f>IFERROR(__xludf.DUMMYFUNCTION("""COMPUTED_VALUE"""),"Y")</f>
        <v>Y</v>
      </c>
      <c r="L958" s="3" t="str">
        <f>IFERROR(__xludf.DUMMYFUNCTION("""COMPUTED_VALUE"""),"Group 2")</f>
        <v>Group 2</v>
      </c>
      <c r="M958" s="3"/>
      <c r="N958" s="5" t="str">
        <f>IFERROR(__xludf.DUMMYFUNCTION("""COMPUTED_VALUE""")," ")</f>
        <v> </v>
      </c>
      <c r="O958" s="5"/>
    </row>
    <row r="959">
      <c r="A959" s="2" t="str">
        <f>IFERROR(__xludf.DUMMYFUNCTION("""COMPUTED_VALUE"""),"1060")</f>
        <v>1060</v>
      </c>
      <c r="B959" s="2" t="str">
        <f>IFERROR(__xludf.DUMMYFUNCTION("""COMPUTED_VALUE"""),"PEYTON              23 JT")</f>
        <v>PEYTON              23 JT</v>
      </c>
      <c r="C959" s="2" t="str">
        <f>IFERROR(__xludf.DUMMYFUNCTION("""COMPUTED_VALUE"""),"06902")</f>
        <v>06902</v>
      </c>
      <c r="D959" s="2" t="str">
        <f>IFERROR(__xludf.DUMMYFUNCTION("""COMPUTED_VALUE"""),"PEYTON HIGH SCHOOL")</f>
        <v>PEYTON HIGH SCHOOL</v>
      </c>
      <c r="E959" s="3" t="str">
        <f>IFERROR(__xludf.DUMMYFUNCTION("""COMPUTED_VALUE"""),"Y")</f>
        <v>Y</v>
      </c>
      <c r="F959" s="3" t="str">
        <f>IFERROR(__xludf.DUMMYFUNCTION("""COMPUTED_VALUE"""),"Y")</f>
        <v>Y</v>
      </c>
      <c r="G959" s="3"/>
      <c r="H959" s="3"/>
      <c r="I959" s="3" t="str">
        <f>IFERROR(__xludf.DUMMYFUNCTION("""COMPUTED_VALUE""")," ")</f>
        <v> </v>
      </c>
      <c r="J959" s="3" t="str">
        <f>IFERROR(__xludf.DUMMYFUNCTION("""COMPUTED_VALUE""")," ")</f>
        <v> </v>
      </c>
      <c r="K959" s="3" t="str">
        <f>IFERROR(__xludf.DUMMYFUNCTION("""COMPUTED_VALUE"""),"Y")</f>
        <v>Y</v>
      </c>
      <c r="L959" s="3" t="str">
        <f>IFERROR(__xludf.DUMMYFUNCTION("""COMPUTED_VALUE"""),"Group 2")</f>
        <v>Group 2</v>
      </c>
      <c r="M959" s="3"/>
      <c r="N959" s="5" t="str">
        <f>IFERROR(__xludf.DUMMYFUNCTION("""COMPUTED_VALUE""")," ")</f>
        <v> </v>
      </c>
      <c r="O959" s="5"/>
    </row>
    <row r="960">
      <c r="A960" s="2" t="str">
        <f>IFERROR(__xludf.DUMMYFUNCTION("""COMPUTED_VALUE"""),"1070")</f>
        <v>1070</v>
      </c>
      <c r="B960" s="2" t="str">
        <f>IFERROR(__xludf.DUMMYFUNCTION("""COMPUTED_VALUE"""),"Hanover School District 28")</f>
        <v>Hanover School District 28</v>
      </c>
      <c r="C960" s="2" t="str">
        <f>IFERROR(__xludf.DUMMYFUNCTION("""COMPUTED_VALUE"""),"03758")</f>
        <v>03758</v>
      </c>
      <c r="D960" s="2" t="str">
        <f>IFERROR(__xludf.DUMMYFUNCTION("""COMPUTED_VALUE"""),"HANOVER JUNIOR-SENIOR HIGH SCHOOL")</f>
        <v>HANOVER JUNIOR-SENIOR HIGH SCHOOL</v>
      </c>
      <c r="E960" s="3" t="str">
        <f>IFERROR(__xludf.DUMMYFUNCTION("""COMPUTED_VALUE"""),"Y")</f>
        <v>Y</v>
      </c>
      <c r="F960" s="3" t="str">
        <f>IFERROR(__xludf.DUMMYFUNCTION("""COMPUTED_VALUE"""),"Y")</f>
        <v>Y</v>
      </c>
      <c r="G960" s="3" t="str">
        <f>IFERROR(__xludf.DUMMYFUNCTION("""COMPUTED_VALUE"""),"Y")</f>
        <v>Y</v>
      </c>
      <c r="H960" s="3"/>
      <c r="I960" s="3" t="str">
        <f>IFERROR(__xludf.DUMMYFUNCTION("""COMPUTED_VALUE""")," ")</f>
        <v> </v>
      </c>
      <c r="J960" s="3" t="str">
        <f>IFERROR(__xludf.DUMMYFUNCTION("""COMPUTED_VALUE""")," ")</f>
        <v> </v>
      </c>
      <c r="K960" s="3" t="str">
        <f>IFERROR(__xludf.DUMMYFUNCTION("""COMPUTED_VALUE"""),"Y")</f>
        <v>Y</v>
      </c>
      <c r="L960" s="3" t="str">
        <f>IFERROR(__xludf.DUMMYFUNCTION("""COMPUTED_VALUE"""),"Group 1")</f>
        <v>Group 1</v>
      </c>
      <c r="M960" s="3"/>
      <c r="N960" s="5" t="str">
        <f>IFERROR(__xludf.DUMMYFUNCTION("""COMPUTED_VALUE"""),"Y")</f>
        <v>Y</v>
      </c>
      <c r="O960" s="5"/>
    </row>
    <row r="961">
      <c r="A961" s="2" t="str">
        <f>IFERROR(__xludf.DUMMYFUNCTION("""COMPUTED_VALUE"""),"1070")</f>
        <v>1070</v>
      </c>
      <c r="B961" s="2" t="str">
        <f>IFERROR(__xludf.DUMMYFUNCTION("""COMPUTED_VALUE"""),"Hanover School District 28")</f>
        <v>Hanover School District 28</v>
      </c>
      <c r="C961" s="2" t="str">
        <f>IFERROR(__xludf.DUMMYFUNCTION("""COMPUTED_VALUE"""),"06701")</f>
        <v>06701</v>
      </c>
      <c r="D961" s="2" t="str">
        <f>IFERROR(__xludf.DUMMYFUNCTION("""COMPUTED_VALUE"""),"PRAIRIE HEIGHTS ELEMENTARY")</f>
        <v>PRAIRIE HEIGHTS ELEMENTARY</v>
      </c>
      <c r="E961" s="3" t="str">
        <f>IFERROR(__xludf.DUMMYFUNCTION("""COMPUTED_VALUE"""),"Y")</f>
        <v>Y</v>
      </c>
      <c r="F961" s="3" t="str">
        <f>IFERROR(__xludf.DUMMYFUNCTION("""COMPUTED_VALUE"""),"Y")</f>
        <v>Y</v>
      </c>
      <c r="G961" s="3" t="str">
        <f>IFERROR(__xludf.DUMMYFUNCTION("""COMPUTED_VALUE"""),"Y")</f>
        <v>Y</v>
      </c>
      <c r="H961" s="3"/>
      <c r="I961" s="3" t="str">
        <f>IFERROR(__xludf.DUMMYFUNCTION("""COMPUTED_VALUE""")," ")</f>
        <v> </v>
      </c>
      <c r="J961" s="3" t="str">
        <f>IFERROR(__xludf.DUMMYFUNCTION("""COMPUTED_VALUE""")," ")</f>
        <v> </v>
      </c>
      <c r="K961" s="3" t="str">
        <f>IFERROR(__xludf.DUMMYFUNCTION("""COMPUTED_VALUE"""),"Y")</f>
        <v>Y</v>
      </c>
      <c r="L961" s="3" t="str">
        <f>IFERROR(__xludf.DUMMYFUNCTION("""COMPUTED_VALUE"""),"Group 1")</f>
        <v>Group 1</v>
      </c>
      <c r="M961" s="3"/>
      <c r="N961" s="5" t="str">
        <f>IFERROR(__xludf.DUMMYFUNCTION("""COMPUTED_VALUE""")," ")</f>
        <v> </v>
      </c>
      <c r="O961" s="5"/>
    </row>
    <row r="962">
      <c r="A962" s="2" t="str">
        <f>IFERROR(__xludf.DUMMYFUNCTION("""COMPUTED_VALUE"""),"1080")</f>
        <v>1080</v>
      </c>
      <c r="B962" s="2" t="str">
        <f>IFERROR(__xludf.DUMMYFUNCTION("""COMPUTED_VALUE"""),"LEWIS-PALMER 38")</f>
        <v>LEWIS-PALMER 38</v>
      </c>
      <c r="C962" s="2" t="str">
        <f>IFERROR(__xludf.DUMMYFUNCTION("""COMPUTED_VALUE"""),"02295")</f>
        <v>02295</v>
      </c>
      <c r="D962" s="2" t="str">
        <f>IFERROR(__xludf.DUMMYFUNCTION("""COMPUTED_VALUE"""),"Monument Charter Academy")</f>
        <v>Monument Charter Academy</v>
      </c>
      <c r="E962" s="3"/>
      <c r="F962" s="3" t="str">
        <f>IFERROR(__xludf.DUMMYFUNCTION("""COMPUTED_VALUE"""),"Y")</f>
        <v>Y</v>
      </c>
      <c r="G962" s="3"/>
      <c r="H962" s="3"/>
      <c r="I962" s="3" t="str">
        <f>IFERROR(__xludf.DUMMYFUNCTION("""COMPUTED_VALUE""")," ")</f>
        <v> </v>
      </c>
      <c r="J962" s="3" t="str">
        <f>IFERROR(__xludf.DUMMYFUNCTION("""COMPUTED_VALUE""")," ")</f>
        <v> </v>
      </c>
      <c r="K962" s="3" t="str">
        <f>IFERROR(__xludf.DUMMYFUNCTION("""COMPUTED_VALUE"""),"Y")</f>
        <v>Y</v>
      </c>
      <c r="L962" s="3" t="str">
        <f>IFERROR(__xludf.DUMMYFUNCTION("""COMPUTED_VALUE""")," ")</f>
        <v> </v>
      </c>
      <c r="M962" s="3"/>
      <c r="N962" s="5" t="str">
        <f>IFERROR(__xludf.DUMMYFUNCTION("""COMPUTED_VALUE""")," ")</f>
        <v> </v>
      </c>
      <c r="O962" s="5"/>
    </row>
    <row r="963">
      <c r="A963" s="2" t="str">
        <f>IFERROR(__xludf.DUMMYFUNCTION("""COMPUTED_VALUE"""),"1080")</f>
        <v>1080</v>
      </c>
      <c r="B963" s="2" t="str">
        <f>IFERROR(__xludf.DUMMYFUNCTION("""COMPUTED_VALUE"""),"LEWIS-PALMER 38")</f>
        <v>LEWIS-PALMER 38</v>
      </c>
      <c r="C963" s="2" t="str">
        <f>IFERROR(__xludf.DUMMYFUNCTION("""COMPUTED_VALUE"""),"03539")</f>
        <v>03539</v>
      </c>
      <c r="D963" s="2" t="str">
        <f>IFERROR(__xludf.DUMMYFUNCTION("""COMPUTED_VALUE"""),"BEAR CREEK ELEMENTARY SCHOOL")</f>
        <v>BEAR CREEK ELEMENTARY SCHOOL</v>
      </c>
      <c r="E963" s="3" t="str">
        <f>IFERROR(__xludf.DUMMYFUNCTION("""COMPUTED_VALUE"""),"Y")</f>
        <v>Y</v>
      </c>
      <c r="F963" s="3" t="str">
        <f>IFERROR(__xludf.DUMMYFUNCTION("""COMPUTED_VALUE"""),"Y")</f>
        <v>Y</v>
      </c>
      <c r="G963" s="3"/>
      <c r="H963" s="3"/>
      <c r="I963" s="3" t="str">
        <f>IFERROR(__xludf.DUMMYFUNCTION("""COMPUTED_VALUE""")," ")</f>
        <v> </v>
      </c>
      <c r="J963" s="3" t="str">
        <f>IFERROR(__xludf.DUMMYFUNCTION("""COMPUTED_VALUE""")," ")</f>
        <v> </v>
      </c>
      <c r="K963" s="3" t="str">
        <f>IFERROR(__xludf.DUMMYFUNCTION("""COMPUTED_VALUE"""),"Y")</f>
        <v>Y</v>
      </c>
      <c r="L963" s="3" t="str">
        <f>IFERROR(__xludf.DUMMYFUNCTION("""COMPUTED_VALUE""")," ")</f>
        <v> </v>
      </c>
      <c r="M963" s="3"/>
      <c r="N963" s="5" t="str">
        <f>IFERROR(__xludf.DUMMYFUNCTION("""COMPUTED_VALUE""")," ")</f>
        <v> </v>
      </c>
      <c r="O963" s="5"/>
    </row>
    <row r="964">
      <c r="A964" s="2" t="str">
        <f>IFERROR(__xludf.DUMMYFUNCTION("""COMPUTED_VALUE"""),"1080")</f>
        <v>1080</v>
      </c>
      <c r="B964" s="2" t="str">
        <f>IFERROR(__xludf.DUMMYFUNCTION("""COMPUTED_VALUE"""),"LEWIS-PALMER 38")</f>
        <v>LEWIS-PALMER 38</v>
      </c>
      <c r="C964" s="2" t="str">
        <f>IFERROR(__xludf.DUMMYFUNCTION("""COMPUTED_VALUE"""),"04686")</f>
        <v>04686</v>
      </c>
      <c r="D964" s="2" t="str">
        <f>IFERROR(__xludf.DUMMYFUNCTION("""COMPUTED_VALUE"""),"RAY E KILMER ELEMENTARY SCHOOL")</f>
        <v>RAY E KILMER ELEMENTARY SCHOOL</v>
      </c>
      <c r="E964" s="3"/>
      <c r="F964" s="3" t="str">
        <f>IFERROR(__xludf.DUMMYFUNCTION("""COMPUTED_VALUE"""),"Y")</f>
        <v>Y</v>
      </c>
      <c r="G964" s="3"/>
      <c r="H964" s="3"/>
      <c r="I964" s="3" t="str">
        <f>IFERROR(__xludf.DUMMYFUNCTION("""COMPUTED_VALUE""")," ")</f>
        <v> </v>
      </c>
      <c r="J964" s="3" t="str">
        <f>IFERROR(__xludf.DUMMYFUNCTION("""COMPUTED_VALUE""")," ")</f>
        <v> </v>
      </c>
      <c r="K964" s="3" t="str">
        <f>IFERROR(__xludf.DUMMYFUNCTION("""COMPUTED_VALUE"""),"Y")</f>
        <v>Y</v>
      </c>
      <c r="L964" s="3" t="str">
        <f>IFERROR(__xludf.DUMMYFUNCTION("""COMPUTED_VALUE""")," ")</f>
        <v> </v>
      </c>
      <c r="M964" s="3"/>
      <c r="N964" s="5" t="str">
        <f>IFERROR(__xludf.DUMMYFUNCTION("""COMPUTED_VALUE""")," ")</f>
        <v> </v>
      </c>
      <c r="O964" s="5"/>
    </row>
    <row r="965">
      <c r="A965" s="2" t="str">
        <f>IFERROR(__xludf.DUMMYFUNCTION("""COMPUTED_VALUE"""),"1080")</f>
        <v>1080</v>
      </c>
      <c r="B965" s="2" t="str">
        <f>IFERROR(__xludf.DUMMYFUNCTION("""COMPUTED_VALUE"""),"LEWIS-PALMER 38")</f>
        <v>LEWIS-PALMER 38</v>
      </c>
      <c r="C965" s="2" t="str">
        <f>IFERROR(__xludf.DUMMYFUNCTION("""COMPUTED_VALUE"""),"05093")</f>
        <v>05093</v>
      </c>
      <c r="D965" s="2" t="str">
        <f>IFERROR(__xludf.DUMMYFUNCTION("""COMPUTED_VALUE"""),"MONUMENT CHARTER ACADEMY SECONDARY SCHOOL")</f>
        <v>MONUMENT CHARTER ACADEMY SECONDARY SCHOOL</v>
      </c>
      <c r="E965" s="3"/>
      <c r="F965" s="3" t="str">
        <f>IFERROR(__xludf.DUMMYFUNCTION("""COMPUTED_VALUE"""),"Y")</f>
        <v>Y</v>
      </c>
      <c r="G965" s="3"/>
      <c r="H965" s="3"/>
      <c r="I965" s="3" t="str">
        <f>IFERROR(__xludf.DUMMYFUNCTION("""COMPUTED_VALUE""")," ")</f>
        <v> </v>
      </c>
      <c r="J965" s="3" t="str">
        <f>IFERROR(__xludf.DUMMYFUNCTION("""COMPUTED_VALUE""")," ")</f>
        <v> </v>
      </c>
      <c r="K965" s="3" t="str">
        <f>IFERROR(__xludf.DUMMYFUNCTION("""COMPUTED_VALUE"""),"Y")</f>
        <v>Y</v>
      </c>
      <c r="L965" s="3" t="str">
        <f>IFERROR(__xludf.DUMMYFUNCTION("""COMPUTED_VALUE""")," ")</f>
        <v> </v>
      </c>
      <c r="M965" s="3"/>
      <c r="N965" s="5" t="str">
        <f>IFERROR(__xludf.DUMMYFUNCTION("""COMPUTED_VALUE""")," ")</f>
        <v> </v>
      </c>
      <c r="O965" s="5"/>
    </row>
    <row r="966">
      <c r="A966" s="2" t="str">
        <f>IFERROR(__xludf.DUMMYFUNCTION("""COMPUTED_VALUE"""),"1080")</f>
        <v>1080</v>
      </c>
      <c r="B966" s="2" t="str">
        <f>IFERROR(__xludf.DUMMYFUNCTION("""COMPUTED_VALUE"""),"LEWIS-PALMER 38")</f>
        <v>LEWIS-PALMER 38</v>
      </c>
      <c r="C966" s="2" t="str">
        <f>IFERROR(__xludf.DUMMYFUNCTION("""COMPUTED_VALUE"""),"05096")</f>
        <v>05096</v>
      </c>
      <c r="D966" s="2" t="str">
        <f>IFERROR(__xludf.DUMMYFUNCTION("""COMPUTED_VALUE"""),"LEWIS-PALMER ELEMENTARY SCHOOL")</f>
        <v>LEWIS-PALMER ELEMENTARY SCHOOL</v>
      </c>
      <c r="E966" s="3" t="str">
        <f>IFERROR(__xludf.DUMMYFUNCTION("""COMPUTED_VALUE"""),"Y")</f>
        <v>Y</v>
      </c>
      <c r="F966" s="3" t="str">
        <f>IFERROR(__xludf.DUMMYFUNCTION("""COMPUTED_VALUE"""),"Y")</f>
        <v>Y</v>
      </c>
      <c r="G966" s="3"/>
      <c r="H966" s="3"/>
      <c r="I966" s="3" t="str">
        <f>IFERROR(__xludf.DUMMYFUNCTION("""COMPUTED_VALUE""")," ")</f>
        <v> </v>
      </c>
      <c r="J966" s="3" t="str">
        <f>IFERROR(__xludf.DUMMYFUNCTION("""COMPUTED_VALUE""")," ")</f>
        <v> </v>
      </c>
      <c r="K966" s="3" t="str">
        <f>IFERROR(__xludf.DUMMYFUNCTION("""COMPUTED_VALUE"""),"Y")</f>
        <v>Y</v>
      </c>
      <c r="L966" s="3" t="str">
        <f>IFERROR(__xludf.DUMMYFUNCTION("""COMPUTED_VALUE""")," ")</f>
        <v> </v>
      </c>
      <c r="M966" s="3"/>
      <c r="N966" s="5" t="str">
        <f>IFERROR(__xludf.DUMMYFUNCTION("""COMPUTED_VALUE""")," ")</f>
        <v> </v>
      </c>
      <c r="O966" s="5"/>
    </row>
    <row r="967">
      <c r="A967" s="2" t="str">
        <f>IFERROR(__xludf.DUMMYFUNCTION("""COMPUTED_VALUE"""),"1080")</f>
        <v>1080</v>
      </c>
      <c r="B967" s="2" t="str">
        <f>IFERROR(__xludf.DUMMYFUNCTION("""COMPUTED_VALUE"""),"LEWIS-PALMER 38")</f>
        <v>LEWIS-PALMER 38</v>
      </c>
      <c r="C967" s="2" t="str">
        <f>IFERROR(__xludf.DUMMYFUNCTION("""COMPUTED_VALUE"""),"05098")</f>
        <v>05098</v>
      </c>
      <c r="D967" s="2" t="str">
        <f>IFERROR(__xludf.DUMMYFUNCTION("""COMPUTED_VALUE"""),"LEWIS-PALMER MIDDLE SCHOOL")</f>
        <v>LEWIS-PALMER MIDDLE SCHOOL</v>
      </c>
      <c r="E967" s="3"/>
      <c r="F967" s="3"/>
      <c r="G967" s="3"/>
      <c r="H967" s="3" t="str">
        <f>IFERROR(__xludf.DUMMYFUNCTION("""COMPUTED_VALUE"""),"Milk only")</f>
        <v>Milk only</v>
      </c>
      <c r="I967" s="3" t="str">
        <f>IFERROR(__xludf.DUMMYFUNCTION("""COMPUTED_VALUE""")," ")</f>
        <v> </v>
      </c>
      <c r="J967" s="3" t="str">
        <f>IFERROR(__xludf.DUMMYFUNCTION("""COMPUTED_VALUE""")," ")</f>
        <v> </v>
      </c>
      <c r="K967" s="3"/>
      <c r="L967" s="3" t="str">
        <f>IFERROR(__xludf.DUMMYFUNCTION("""COMPUTED_VALUE""")," ")</f>
        <v> </v>
      </c>
      <c r="M967" s="3"/>
      <c r="N967" s="5" t="str">
        <f>IFERROR(__xludf.DUMMYFUNCTION("""COMPUTED_VALUE""")," ")</f>
        <v> </v>
      </c>
      <c r="O967" s="5" t="str">
        <f>IFERROR(__xludf.DUMMYFUNCTION("""COMPUTED_VALUE"""),"not HSMA--milk only")</f>
        <v>not HSMA--milk only</v>
      </c>
    </row>
    <row r="968">
      <c r="A968" s="2" t="str">
        <f>IFERROR(__xludf.DUMMYFUNCTION("""COMPUTED_VALUE"""),"1080")</f>
        <v>1080</v>
      </c>
      <c r="B968" s="2" t="str">
        <f>IFERROR(__xludf.DUMMYFUNCTION("""COMPUTED_VALUE"""),"LEWIS-PALMER 38")</f>
        <v>LEWIS-PALMER 38</v>
      </c>
      <c r="C968" s="2" t="str">
        <f>IFERROR(__xludf.DUMMYFUNCTION("""COMPUTED_VALUE"""),"05100")</f>
        <v>05100</v>
      </c>
      <c r="D968" s="2" t="str">
        <f>IFERROR(__xludf.DUMMYFUNCTION("""COMPUTED_VALUE"""),"LEWIS-PALMER HIGH SCHOOL")</f>
        <v>LEWIS-PALMER HIGH SCHOOL</v>
      </c>
      <c r="E968" s="3"/>
      <c r="F968" s="3"/>
      <c r="G968" s="3"/>
      <c r="H968" s="3" t="str">
        <f>IFERROR(__xludf.DUMMYFUNCTION("""COMPUTED_VALUE"""),"Milk only")</f>
        <v>Milk only</v>
      </c>
      <c r="I968" s="3" t="str">
        <f>IFERROR(__xludf.DUMMYFUNCTION("""COMPUTED_VALUE""")," ")</f>
        <v> </v>
      </c>
      <c r="J968" s="3" t="str">
        <f>IFERROR(__xludf.DUMMYFUNCTION("""COMPUTED_VALUE""")," ")</f>
        <v> </v>
      </c>
      <c r="K968" s="3"/>
      <c r="L968" s="3" t="str">
        <f>IFERROR(__xludf.DUMMYFUNCTION("""COMPUTED_VALUE""")," ")</f>
        <v> </v>
      </c>
      <c r="M968" s="3"/>
      <c r="N968" s="5" t="str">
        <f>IFERROR(__xludf.DUMMYFUNCTION("""COMPUTED_VALUE""")," ")</f>
        <v> </v>
      </c>
      <c r="O968" s="5" t="str">
        <f>IFERROR(__xludf.DUMMYFUNCTION("""COMPUTED_VALUE"""),"not HSMA--milk only")</f>
        <v>not HSMA--milk only</v>
      </c>
    </row>
    <row r="969">
      <c r="A969" s="2" t="str">
        <f>IFERROR(__xludf.DUMMYFUNCTION("""COMPUTED_VALUE"""),"1080")</f>
        <v>1080</v>
      </c>
      <c r="B969" s="2" t="str">
        <f>IFERROR(__xludf.DUMMYFUNCTION("""COMPUTED_VALUE"""),"LEWIS-PALMER 38")</f>
        <v>LEWIS-PALMER 38</v>
      </c>
      <c r="C969" s="2" t="str">
        <f>IFERROR(__xludf.DUMMYFUNCTION("""COMPUTED_VALUE"""),"06678")</f>
        <v>06678</v>
      </c>
      <c r="D969" s="2" t="str">
        <f>IFERROR(__xludf.DUMMYFUNCTION("""COMPUTED_VALUE"""),"PALMER RIDGE HIGH SCHOOL")</f>
        <v>PALMER RIDGE HIGH SCHOOL</v>
      </c>
      <c r="E969" s="3"/>
      <c r="F969" s="3"/>
      <c r="G969" s="3"/>
      <c r="H969" s="3" t="str">
        <f>IFERROR(__xludf.DUMMYFUNCTION("""COMPUTED_VALUE"""),"Milk only")</f>
        <v>Milk only</v>
      </c>
      <c r="I969" s="3" t="str">
        <f>IFERROR(__xludf.DUMMYFUNCTION("""COMPUTED_VALUE""")," ")</f>
        <v> </v>
      </c>
      <c r="J969" s="3" t="str">
        <f>IFERROR(__xludf.DUMMYFUNCTION("""COMPUTED_VALUE""")," ")</f>
        <v> </v>
      </c>
      <c r="K969" s="3"/>
      <c r="L969" s="3" t="str">
        <f>IFERROR(__xludf.DUMMYFUNCTION("""COMPUTED_VALUE""")," ")</f>
        <v> </v>
      </c>
      <c r="M969" s="3"/>
      <c r="N969" s="5" t="str">
        <f>IFERROR(__xludf.DUMMYFUNCTION("""COMPUTED_VALUE""")," ")</f>
        <v> </v>
      </c>
      <c r="O969" s="5" t="str">
        <f>IFERROR(__xludf.DUMMYFUNCTION("""COMPUTED_VALUE"""),"not HSMA--milk only")</f>
        <v>not HSMA--milk only</v>
      </c>
    </row>
    <row r="970">
      <c r="A970" s="2" t="str">
        <f>IFERROR(__xludf.DUMMYFUNCTION("""COMPUTED_VALUE"""),"1080")</f>
        <v>1080</v>
      </c>
      <c r="B970" s="2" t="str">
        <f>IFERROR(__xludf.DUMMYFUNCTION("""COMPUTED_VALUE"""),"LEWIS-PALMER 38")</f>
        <v>LEWIS-PALMER 38</v>
      </c>
      <c r="C970" s="2" t="str">
        <f>IFERROR(__xludf.DUMMYFUNCTION("""COMPUTED_VALUE"""),"06682")</f>
        <v>06682</v>
      </c>
      <c r="D970" s="2" t="str">
        <f>IFERROR(__xludf.DUMMYFUNCTION("""COMPUTED_VALUE"""),"PALMER LAKE ELEMENTARY SCHOOL")</f>
        <v>PALMER LAKE ELEMENTARY SCHOOL</v>
      </c>
      <c r="E970" s="3" t="str">
        <f>IFERROR(__xludf.DUMMYFUNCTION("""COMPUTED_VALUE"""),"Y")</f>
        <v>Y</v>
      </c>
      <c r="F970" s="3" t="str">
        <f>IFERROR(__xludf.DUMMYFUNCTION("""COMPUTED_VALUE"""),"Y")</f>
        <v>Y</v>
      </c>
      <c r="G970" s="3"/>
      <c r="H970" s="3"/>
      <c r="I970" s="3" t="str">
        <f>IFERROR(__xludf.DUMMYFUNCTION("""COMPUTED_VALUE""")," ")</f>
        <v> </v>
      </c>
      <c r="J970" s="3" t="str">
        <f>IFERROR(__xludf.DUMMYFUNCTION("""COMPUTED_VALUE""")," ")</f>
        <v> </v>
      </c>
      <c r="K970" s="3" t="str">
        <f>IFERROR(__xludf.DUMMYFUNCTION("""COMPUTED_VALUE"""),"Y")</f>
        <v>Y</v>
      </c>
      <c r="L970" s="3" t="str">
        <f>IFERROR(__xludf.DUMMYFUNCTION("""COMPUTED_VALUE""")," ")</f>
        <v> </v>
      </c>
      <c r="M970" s="3"/>
      <c r="N970" s="5" t="str">
        <f>IFERROR(__xludf.DUMMYFUNCTION("""COMPUTED_VALUE""")," ")</f>
        <v> </v>
      </c>
      <c r="O970" s="5"/>
    </row>
    <row r="971">
      <c r="A971" s="2" t="str">
        <f>IFERROR(__xludf.DUMMYFUNCTION("""COMPUTED_VALUE"""),"1080")</f>
        <v>1080</v>
      </c>
      <c r="B971" s="2" t="str">
        <f>IFERROR(__xludf.DUMMYFUNCTION("""COMPUTED_VALUE"""),"LEWIS-PALMER 38")</f>
        <v>LEWIS-PALMER 38</v>
      </c>
      <c r="C971" s="2" t="str">
        <f>IFERROR(__xludf.DUMMYFUNCTION("""COMPUTED_VALUE"""),"07165")</f>
        <v>07165</v>
      </c>
      <c r="D971" s="2" t="str">
        <f>IFERROR(__xludf.DUMMYFUNCTION("""COMPUTED_VALUE"""),"PRAIRIE WINDS ELEMENTARY SCHOOL")</f>
        <v>PRAIRIE WINDS ELEMENTARY SCHOOL</v>
      </c>
      <c r="E971" s="3"/>
      <c r="F971" s="3" t="str">
        <f>IFERROR(__xludf.DUMMYFUNCTION("""COMPUTED_VALUE"""),"Y")</f>
        <v>Y</v>
      </c>
      <c r="G971" s="3"/>
      <c r="H971" s="3"/>
      <c r="I971" s="3" t="str">
        <f>IFERROR(__xludf.DUMMYFUNCTION("""COMPUTED_VALUE""")," ")</f>
        <v> </v>
      </c>
      <c r="J971" s="3" t="str">
        <f>IFERROR(__xludf.DUMMYFUNCTION("""COMPUTED_VALUE""")," ")</f>
        <v> </v>
      </c>
      <c r="K971" s="3" t="str">
        <f>IFERROR(__xludf.DUMMYFUNCTION("""COMPUTED_VALUE"""),"Y")</f>
        <v>Y</v>
      </c>
      <c r="L971" s="3" t="str">
        <f>IFERROR(__xludf.DUMMYFUNCTION("""COMPUTED_VALUE""")," ")</f>
        <v> </v>
      </c>
      <c r="M971" s="3"/>
      <c r="N971" s="5" t="str">
        <f>IFERROR(__xludf.DUMMYFUNCTION("""COMPUTED_VALUE""")," ")</f>
        <v> </v>
      </c>
      <c r="O971" s="5"/>
    </row>
    <row r="972">
      <c r="A972" s="2" t="str">
        <f>IFERROR(__xludf.DUMMYFUNCTION("""COMPUTED_VALUE"""),"1110")</f>
        <v>1110</v>
      </c>
      <c r="B972" s="2" t="str">
        <f>IFERROR(__xludf.DUMMYFUNCTION("""COMPUTED_VALUE"""),"DISTRICT 49")</f>
        <v>DISTRICT 49</v>
      </c>
      <c r="C972" s="2" t="str">
        <f>IFERROR(__xludf.DUMMYFUNCTION("""COMPUTED_VALUE"""),"00101")</f>
        <v>00101</v>
      </c>
      <c r="D972" s="2" t="str">
        <f>IFERROR(__xludf.DUMMYFUNCTION("""COMPUTED_VALUE"""),"Allies")</f>
        <v>Allies</v>
      </c>
      <c r="E972" s="3" t="str">
        <f>IFERROR(__xludf.DUMMYFUNCTION("""COMPUTED_VALUE"""),"Y")</f>
        <v>Y</v>
      </c>
      <c r="F972" s="3" t="str">
        <f>IFERROR(__xludf.DUMMYFUNCTION("""COMPUTED_VALUE"""),"Y")</f>
        <v>Y</v>
      </c>
      <c r="G972" s="3"/>
      <c r="H972" s="3"/>
      <c r="I972" s="3" t="str">
        <f>IFERROR(__xludf.DUMMYFUNCTION("""COMPUTED_VALUE""")," ")</f>
        <v> </v>
      </c>
      <c r="J972" s="3" t="str">
        <f>IFERROR(__xludf.DUMMYFUNCTION("""COMPUTED_VALUE""")," ")</f>
        <v> </v>
      </c>
      <c r="K972" s="3" t="str">
        <f>IFERROR(__xludf.DUMMYFUNCTION("""COMPUTED_VALUE"""),"Y")</f>
        <v>Y</v>
      </c>
      <c r="L972" s="3" t="str">
        <f>IFERROR(__xludf.DUMMYFUNCTION("""COMPUTED_VALUE"""),"Group 8")</f>
        <v>Group 8</v>
      </c>
      <c r="M972" s="3"/>
      <c r="N972" s="5" t="str">
        <f>IFERROR(__xludf.DUMMYFUNCTION("""COMPUTED_VALUE""")," ")</f>
        <v> </v>
      </c>
      <c r="O972" s="5"/>
    </row>
    <row r="973">
      <c r="A973" s="2" t="str">
        <f>IFERROR(__xludf.DUMMYFUNCTION("""COMPUTED_VALUE"""),"1110")</f>
        <v>1110</v>
      </c>
      <c r="B973" s="2" t="str">
        <f>IFERROR(__xludf.DUMMYFUNCTION("""COMPUTED_VALUE"""),"DISTRICT 49")</f>
        <v>DISTRICT 49</v>
      </c>
      <c r="C973" s="2" t="str">
        <f>IFERROR(__xludf.DUMMYFUNCTION("""COMPUTED_VALUE"""),"00467")</f>
        <v>00467</v>
      </c>
      <c r="D973" s="2" t="str">
        <f>IFERROR(__xludf.DUMMYFUNCTION("""COMPUTED_VALUE"""),"Mountain View Academy")</f>
        <v>Mountain View Academy</v>
      </c>
      <c r="E973" s="3" t="str">
        <f>IFERROR(__xludf.DUMMYFUNCTION("""COMPUTED_VALUE"""),"Y")</f>
        <v>Y</v>
      </c>
      <c r="F973" s="3" t="str">
        <f>IFERROR(__xludf.DUMMYFUNCTION("""COMPUTED_VALUE"""),"Y")</f>
        <v>Y</v>
      </c>
      <c r="G973" s="3"/>
      <c r="H973" s="3"/>
      <c r="I973" s="3" t="str">
        <f>IFERROR(__xludf.DUMMYFUNCTION("""COMPUTED_VALUE""")," ")</f>
        <v> </v>
      </c>
      <c r="J973" s="3" t="str">
        <f>IFERROR(__xludf.DUMMYFUNCTION("""COMPUTED_VALUE""")," ")</f>
        <v> </v>
      </c>
      <c r="K973" s="3" t="str">
        <f>IFERROR(__xludf.DUMMYFUNCTION("""COMPUTED_VALUE"""),"Y")</f>
        <v>Y</v>
      </c>
      <c r="L973" s="3" t="str">
        <f>IFERROR(__xludf.DUMMYFUNCTION("""COMPUTED_VALUE""")," ")</f>
        <v> </v>
      </c>
      <c r="M973" s="3"/>
      <c r="N973" s="5" t="str">
        <f>IFERROR(__xludf.DUMMYFUNCTION("""COMPUTED_VALUE""")," ")</f>
        <v> </v>
      </c>
      <c r="O973" s="5"/>
    </row>
    <row r="974">
      <c r="A974" s="2" t="str">
        <f>IFERROR(__xludf.DUMMYFUNCTION("""COMPUTED_VALUE"""),"1110")</f>
        <v>1110</v>
      </c>
      <c r="B974" s="2" t="str">
        <f>IFERROR(__xludf.DUMMYFUNCTION("""COMPUTED_VALUE"""),"DISTRICT 49")</f>
        <v>DISTRICT 49</v>
      </c>
      <c r="C974" s="2" t="str">
        <f>IFERROR(__xludf.DUMMYFUNCTION("""COMPUTED_VALUE"""),"00555")</f>
        <v>00555</v>
      </c>
      <c r="D974" s="2" t="str">
        <f>IFERROR(__xludf.DUMMYFUNCTION("""COMPUTED_VALUE"""),"BANNING LEWIS RANCH ACADEMY")</f>
        <v>BANNING LEWIS RANCH ACADEMY</v>
      </c>
      <c r="E974" s="3" t="str">
        <f>IFERROR(__xludf.DUMMYFUNCTION("""COMPUTED_VALUE"""),"Y")</f>
        <v>Y</v>
      </c>
      <c r="F974" s="3" t="str">
        <f>IFERROR(__xludf.DUMMYFUNCTION("""COMPUTED_VALUE"""),"Y")</f>
        <v>Y</v>
      </c>
      <c r="G974" s="3"/>
      <c r="H974" s="3"/>
      <c r="I974" s="3" t="str">
        <f>IFERROR(__xludf.DUMMYFUNCTION("""COMPUTED_VALUE""")," ")</f>
        <v> </v>
      </c>
      <c r="J974" s="3" t="str">
        <f>IFERROR(__xludf.DUMMYFUNCTION("""COMPUTED_VALUE""")," ")</f>
        <v> </v>
      </c>
      <c r="K974" s="3" t="str">
        <f>IFERROR(__xludf.DUMMYFUNCTION("""COMPUTED_VALUE"""),"Y")</f>
        <v>Y</v>
      </c>
      <c r="L974" s="3" t="str">
        <f>IFERROR(__xludf.DUMMYFUNCTION("""COMPUTED_VALUE""")," ")</f>
        <v> </v>
      </c>
      <c r="M974" s="3"/>
      <c r="N974" s="5" t="str">
        <f>IFERROR(__xludf.DUMMYFUNCTION("""COMPUTED_VALUE""")," ")</f>
        <v> </v>
      </c>
      <c r="O974" s="5"/>
    </row>
    <row r="975">
      <c r="A975" s="2" t="str">
        <f>IFERROR(__xludf.DUMMYFUNCTION("""COMPUTED_VALUE"""),"1110")</f>
        <v>1110</v>
      </c>
      <c r="B975" s="2" t="str">
        <f>IFERROR(__xludf.DUMMYFUNCTION("""COMPUTED_VALUE"""),"DISTRICT 49")</f>
        <v>DISTRICT 49</v>
      </c>
      <c r="C975" s="2" t="str">
        <f>IFERROR(__xludf.DUMMYFUNCTION("""COMPUTED_VALUE"""),"00696")</f>
        <v>00696</v>
      </c>
      <c r="D975" s="2" t="str">
        <f>IFERROR(__xludf.DUMMYFUNCTION("""COMPUTED_VALUE"""),"Bennett Ranch")</f>
        <v>Bennett Ranch</v>
      </c>
      <c r="E975" s="3" t="str">
        <f>IFERROR(__xludf.DUMMYFUNCTION("""COMPUTED_VALUE"""),"Y")</f>
        <v>Y</v>
      </c>
      <c r="F975" s="3" t="str">
        <f>IFERROR(__xludf.DUMMYFUNCTION("""COMPUTED_VALUE"""),"Y")</f>
        <v>Y</v>
      </c>
      <c r="G975" s="3"/>
      <c r="H975" s="3"/>
      <c r="I975" s="3" t="str">
        <f>IFERROR(__xludf.DUMMYFUNCTION("""COMPUTED_VALUE""")," ")</f>
        <v> </v>
      </c>
      <c r="J975" s="3" t="str">
        <f>IFERROR(__xludf.DUMMYFUNCTION("""COMPUTED_VALUE""")," ")</f>
        <v> </v>
      </c>
      <c r="K975" s="3" t="str">
        <f>IFERROR(__xludf.DUMMYFUNCTION("""COMPUTED_VALUE"""),"Y")</f>
        <v>Y</v>
      </c>
      <c r="L975" s="3" t="str">
        <f>IFERROR(__xludf.DUMMYFUNCTION("""COMPUTED_VALUE"""),"Group 6")</f>
        <v>Group 6</v>
      </c>
      <c r="M975" s="3"/>
      <c r="N975" s="5" t="str">
        <f>IFERROR(__xludf.DUMMYFUNCTION("""COMPUTED_VALUE""")," ")</f>
        <v> </v>
      </c>
      <c r="O975" s="5"/>
    </row>
    <row r="976">
      <c r="A976" s="2" t="str">
        <f>IFERROR(__xludf.DUMMYFUNCTION("""COMPUTED_VALUE"""),"1110")</f>
        <v>1110</v>
      </c>
      <c r="B976" s="2" t="str">
        <f>IFERROR(__xludf.DUMMYFUNCTION("""COMPUTED_VALUE"""),"DISTRICT 49")</f>
        <v>DISTRICT 49</v>
      </c>
      <c r="C976" s="2" t="str">
        <f>IFERROR(__xludf.DUMMYFUNCTION("""COMPUTED_VALUE"""),"01275")</f>
        <v>01275</v>
      </c>
      <c r="D976" s="2" t="str">
        <f>IFERROR(__xludf.DUMMYFUNCTION("""COMPUTED_VALUE"""),"Pioneer Technology and Arts Academy")</f>
        <v>Pioneer Technology and Arts Academy</v>
      </c>
      <c r="E976" s="3"/>
      <c r="F976" s="3" t="str">
        <f>IFERROR(__xludf.DUMMYFUNCTION("""COMPUTED_VALUE"""),"Y")</f>
        <v>Y</v>
      </c>
      <c r="G976" s="3"/>
      <c r="H976" s="3"/>
      <c r="I976" s="3" t="str">
        <f>IFERROR(__xludf.DUMMYFUNCTION("""COMPUTED_VALUE""")," ")</f>
        <v> </v>
      </c>
      <c r="J976" s="3" t="str">
        <f>IFERROR(__xludf.DUMMYFUNCTION("""COMPUTED_VALUE""")," ")</f>
        <v> </v>
      </c>
      <c r="K976" s="3" t="str">
        <f>IFERROR(__xludf.DUMMYFUNCTION("""COMPUTED_VALUE"""),"Y")</f>
        <v>Y</v>
      </c>
      <c r="L976" s="3" t="str">
        <f>IFERROR(__xludf.DUMMYFUNCTION("""COMPUTED_VALUE""")," ")</f>
        <v> </v>
      </c>
      <c r="M976" s="3"/>
      <c r="N976" s="5" t="str">
        <f>IFERROR(__xludf.DUMMYFUNCTION("""COMPUTED_VALUE""")," ")</f>
        <v> </v>
      </c>
      <c r="O976" s="5"/>
    </row>
    <row r="977">
      <c r="A977" s="2" t="str">
        <f>IFERROR(__xludf.DUMMYFUNCTION("""COMPUTED_VALUE"""),"1110")</f>
        <v>1110</v>
      </c>
      <c r="B977" s="2" t="str">
        <f>IFERROR(__xludf.DUMMYFUNCTION("""COMPUTED_VALUE"""),"DISTRICT 49")</f>
        <v>DISTRICT 49</v>
      </c>
      <c r="C977" s="2" t="str">
        <f>IFERROR(__xludf.DUMMYFUNCTION("""COMPUTED_VALUE"""),"01618")</f>
        <v>01618</v>
      </c>
      <c r="D977" s="2" t="str">
        <f>IFERROR(__xludf.DUMMYFUNCTION("""COMPUTED_VALUE"""),"EVANS INTERNATIONAL ELEMENTARY SCHOOL")</f>
        <v>EVANS INTERNATIONAL ELEMENTARY SCHOOL</v>
      </c>
      <c r="E977" s="3" t="str">
        <f>IFERROR(__xludf.DUMMYFUNCTION("""COMPUTED_VALUE"""),"Y")</f>
        <v>Y</v>
      </c>
      <c r="F977" s="3" t="str">
        <f>IFERROR(__xludf.DUMMYFUNCTION("""COMPUTED_VALUE"""),"Y")</f>
        <v>Y</v>
      </c>
      <c r="G977" s="3"/>
      <c r="H977" s="3"/>
      <c r="I977" s="3" t="str">
        <f>IFERROR(__xludf.DUMMYFUNCTION("""COMPUTED_VALUE""")," ")</f>
        <v> </v>
      </c>
      <c r="J977" s="3" t="str">
        <f>IFERROR(__xludf.DUMMYFUNCTION("""COMPUTED_VALUE""")," ")</f>
        <v> </v>
      </c>
      <c r="K977" s="3" t="str">
        <f>IFERROR(__xludf.DUMMYFUNCTION("""COMPUTED_VALUE"""),"Y")</f>
        <v>Y</v>
      </c>
      <c r="L977" s="3" t="str">
        <f>IFERROR(__xludf.DUMMYFUNCTION("""COMPUTED_VALUE"""),"Group 6")</f>
        <v>Group 6</v>
      </c>
      <c r="M977" s="3"/>
      <c r="N977" s="5" t="str">
        <f>IFERROR(__xludf.DUMMYFUNCTION("""COMPUTED_VALUE""")," ")</f>
        <v> </v>
      </c>
      <c r="O977" s="5"/>
    </row>
    <row r="978">
      <c r="A978" s="2" t="str">
        <f>IFERROR(__xludf.DUMMYFUNCTION("""COMPUTED_VALUE"""),"1110")</f>
        <v>1110</v>
      </c>
      <c r="B978" s="2" t="str">
        <f>IFERROR(__xludf.DUMMYFUNCTION("""COMPUTED_VALUE"""),"DISTRICT 49")</f>
        <v>DISTRICT 49</v>
      </c>
      <c r="C978" s="2" t="str">
        <f>IFERROR(__xludf.DUMMYFUNCTION("""COMPUTED_VALUE"""),"02902")</f>
        <v>02902</v>
      </c>
      <c r="D978" s="2" t="str">
        <f>IFERROR(__xludf.DUMMYFUNCTION("""COMPUTED_VALUE"""),"FALCON ELEMENTARY SCHOOL")</f>
        <v>FALCON ELEMENTARY SCHOOL</v>
      </c>
      <c r="E978" s="3" t="str">
        <f>IFERROR(__xludf.DUMMYFUNCTION("""COMPUTED_VALUE"""),"Y")</f>
        <v>Y</v>
      </c>
      <c r="F978" s="3" t="str">
        <f>IFERROR(__xludf.DUMMYFUNCTION("""COMPUTED_VALUE"""),"Y")</f>
        <v>Y</v>
      </c>
      <c r="G978" s="3"/>
      <c r="H978" s="3"/>
      <c r="I978" s="3" t="str">
        <f>IFERROR(__xludf.DUMMYFUNCTION("""COMPUTED_VALUE""")," ")</f>
        <v> </v>
      </c>
      <c r="J978" s="3" t="str">
        <f>IFERROR(__xludf.DUMMYFUNCTION("""COMPUTED_VALUE""")," ")</f>
        <v> </v>
      </c>
      <c r="K978" s="3" t="str">
        <f>IFERROR(__xludf.DUMMYFUNCTION("""COMPUTED_VALUE"""),"Y")</f>
        <v>Y</v>
      </c>
      <c r="L978" s="3" t="str">
        <f>IFERROR(__xludf.DUMMYFUNCTION("""COMPUTED_VALUE"""),"Group 7")</f>
        <v>Group 7</v>
      </c>
      <c r="M978" s="3"/>
      <c r="N978" s="5" t="str">
        <f>IFERROR(__xludf.DUMMYFUNCTION("""COMPUTED_VALUE""")," ")</f>
        <v> </v>
      </c>
      <c r="O978" s="5"/>
    </row>
    <row r="979">
      <c r="A979" s="2" t="str">
        <f>IFERROR(__xludf.DUMMYFUNCTION("""COMPUTED_VALUE"""),"1110")</f>
        <v>1110</v>
      </c>
      <c r="B979" s="2" t="str">
        <f>IFERROR(__xludf.DUMMYFUNCTION("""COMPUTED_VALUE"""),"DISTRICT 49")</f>
        <v>DISTRICT 49</v>
      </c>
      <c r="C979" s="2" t="str">
        <f>IFERROR(__xludf.DUMMYFUNCTION("""COMPUTED_VALUE"""),"02906")</f>
        <v>02906</v>
      </c>
      <c r="D979" s="2" t="str">
        <f>IFERROR(__xludf.DUMMYFUNCTION("""COMPUTED_VALUE"""),"FALCON MIDDLE SCHOOL")</f>
        <v>FALCON MIDDLE SCHOOL</v>
      </c>
      <c r="E979" s="3" t="str">
        <f>IFERROR(__xludf.DUMMYFUNCTION("""COMPUTED_VALUE"""),"Y")</f>
        <v>Y</v>
      </c>
      <c r="F979" s="3" t="str">
        <f>IFERROR(__xludf.DUMMYFUNCTION("""COMPUTED_VALUE"""),"Y")</f>
        <v>Y</v>
      </c>
      <c r="G979" s="3"/>
      <c r="H979" s="3"/>
      <c r="I979" s="3" t="str">
        <f>IFERROR(__xludf.DUMMYFUNCTION("""COMPUTED_VALUE""")," ")</f>
        <v> </v>
      </c>
      <c r="J979" s="3" t="str">
        <f>IFERROR(__xludf.DUMMYFUNCTION("""COMPUTED_VALUE""")," ")</f>
        <v> </v>
      </c>
      <c r="K979" s="3" t="str">
        <f>IFERROR(__xludf.DUMMYFUNCTION("""COMPUTED_VALUE"""),"Y")</f>
        <v>Y</v>
      </c>
      <c r="L979" s="3" t="str">
        <f>IFERROR(__xludf.DUMMYFUNCTION("""COMPUTED_VALUE"""),"Group 8")</f>
        <v>Group 8</v>
      </c>
      <c r="M979" s="3"/>
      <c r="N979" s="5" t="str">
        <f>IFERROR(__xludf.DUMMYFUNCTION("""COMPUTED_VALUE""")," ")</f>
        <v> </v>
      </c>
      <c r="O979" s="5"/>
    </row>
    <row r="980">
      <c r="A980" s="2" t="str">
        <f>IFERROR(__xludf.DUMMYFUNCTION("""COMPUTED_VALUE"""),"1110")</f>
        <v>1110</v>
      </c>
      <c r="B980" s="2" t="str">
        <f>IFERROR(__xludf.DUMMYFUNCTION("""COMPUTED_VALUE"""),"DISTRICT 49")</f>
        <v>DISTRICT 49</v>
      </c>
      <c r="C980" s="2" t="str">
        <f>IFERROR(__xludf.DUMMYFUNCTION("""COMPUTED_VALUE"""),"02908")</f>
        <v>02908</v>
      </c>
      <c r="D980" s="2" t="str">
        <f>IFERROR(__xludf.DUMMYFUNCTION("""COMPUTED_VALUE"""),"FALCON HIGH SCHOOL")</f>
        <v>FALCON HIGH SCHOOL</v>
      </c>
      <c r="E980" s="3" t="str">
        <f>IFERROR(__xludf.DUMMYFUNCTION("""COMPUTED_VALUE"""),"Y")</f>
        <v>Y</v>
      </c>
      <c r="F980" s="3" t="str">
        <f>IFERROR(__xludf.DUMMYFUNCTION("""COMPUTED_VALUE"""),"Y")</f>
        <v>Y</v>
      </c>
      <c r="G980" s="3"/>
      <c r="H980" s="3"/>
      <c r="I980" s="3" t="str">
        <f>IFERROR(__xludf.DUMMYFUNCTION("""COMPUTED_VALUE""")," ")</f>
        <v> </v>
      </c>
      <c r="J980" s="3" t="str">
        <f>IFERROR(__xludf.DUMMYFUNCTION("""COMPUTED_VALUE""")," ")</f>
        <v> </v>
      </c>
      <c r="K980" s="3" t="str">
        <f>IFERROR(__xludf.DUMMYFUNCTION("""COMPUTED_VALUE"""),"Y")</f>
        <v>Y</v>
      </c>
      <c r="L980" s="3" t="str">
        <f>IFERROR(__xludf.DUMMYFUNCTION("""COMPUTED_VALUE""")," ")</f>
        <v> </v>
      </c>
      <c r="M980" s="3"/>
      <c r="N980" s="5" t="str">
        <f>IFERROR(__xludf.DUMMYFUNCTION("""COMPUTED_VALUE""")," ")</f>
        <v> </v>
      </c>
      <c r="O980" s="5"/>
    </row>
    <row r="981">
      <c r="A981" s="2" t="str">
        <f>IFERROR(__xludf.DUMMYFUNCTION("""COMPUTED_VALUE"""),"1110")</f>
        <v>1110</v>
      </c>
      <c r="B981" s="2" t="str">
        <f>IFERROR(__xludf.DUMMYFUNCTION("""COMPUTED_VALUE"""),"DISTRICT 49")</f>
        <v>DISTRICT 49</v>
      </c>
      <c r="C981" s="2" t="str">
        <f>IFERROR(__xludf.DUMMYFUNCTION("""COMPUTED_VALUE"""),"04102")</f>
        <v>04102</v>
      </c>
      <c r="D981" s="2" t="str">
        <f>IFERROR(__xludf.DUMMYFUNCTION("""COMPUTED_VALUE"""),"HORIZON MIDDLE SCHOOL")</f>
        <v>HORIZON MIDDLE SCHOOL</v>
      </c>
      <c r="E981" s="3" t="str">
        <f>IFERROR(__xludf.DUMMYFUNCTION("""COMPUTED_VALUE"""),"Y")</f>
        <v>Y</v>
      </c>
      <c r="F981" s="3" t="str">
        <f>IFERROR(__xludf.DUMMYFUNCTION("""COMPUTED_VALUE"""),"Y")</f>
        <v>Y</v>
      </c>
      <c r="G981" s="3"/>
      <c r="H981" s="3"/>
      <c r="I981" s="3" t="str">
        <f>IFERROR(__xludf.DUMMYFUNCTION("""COMPUTED_VALUE""")," ")</f>
        <v> </v>
      </c>
      <c r="J981" s="3" t="str">
        <f>IFERROR(__xludf.DUMMYFUNCTION("""COMPUTED_VALUE""")," ")</f>
        <v> </v>
      </c>
      <c r="K981" s="3" t="str">
        <f>IFERROR(__xludf.DUMMYFUNCTION("""COMPUTED_VALUE"""),"Y")</f>
        <v>Y</v>
      </c>
      <c r="L981" s="3" t="str">
        <f>IFERROR(__xludf.DUMMYFUNCTION("""COMPUTED_VALUE"""),"Group 1")</f>
        <v>Group 1</v>
      </c>
      <c r="M981" s="3"/>
      <c r="N981" s="5" t="str">
        <f>IFERROR(__xludf.DUMMYFUNCTION("""COMPUTED_VALUE""")," ")</f>
        <v> </v>
      </c>
      <c r="O981" s="5"/>
    </row>
    <row r="982">
      <c r="A982" s="2" t="str">
        <f>IFERROR(__xludf.DUMMYFUNCTION("""COMPUTED_VALUE"""),"1110")</f>
        <v>1110</v>
      </c>
      <c r="B982" s="2" t="str">
        <f>IFERROR(__xludf.DUMMYFUNCTION("""COMPUTED_VALUE"""),"DISTRICT 49")</f>
        <v>DISTRICT 49</v>
      </c>
      <c r="C982" s="2" t="str">
        <f>IFERROR(__xludf.DUMMYFUNCTION("""COMPUTED_VALUE"""),"04251")</f>
        <v>04251</v>
      </c>
      <c r="D982" s="2" t="str">
        <f>IFERROR(__xludf.DUMMYFUNCTION("""COMPUTED_VALUE"""),"GRAND PEAK ACADEMY")</f>
        <v>GRAND PEAK ACADEMY</v>
      </c>
      <c r="E982" s="3" t="str">
        <f>IFERROR(__xludf.DUMMYFUNCTION("""COMPUTED_VALUE"""),"Y")</f>
        <v>Y</v>
      </c>
      <c r="F982" s="3" t="str">
        <f>IFERROR(__xludf.DUMMYFUNCTION("""COMPUTED_VALUE"""),"Y")</f>
        <v>Y</v>
      </c>
      <c r="G982" s="3"/>
      <c r="H982" s="3"/>
      <c r="I982" s="3" t="str">
        <f>IFERROR(__xludf.DUMMYFUNCTION("""COMPUTED_VALUE""")," ")</f>
        <v> </v>
      </c>
      <c r="J982" s="3" t="str">
        <f>IFERROR(__xludf.DUMMYFUNCTION("""COMPUTED_VALUE""")," ")</f>
        <v> </v>
      </c>
      <c r="K982" s="3" t="str">
        <f>IFERROR(__xludf.DUMMYFUNCTION("""COMPUTED_VALUE"""),"Y")</f>
        <v>Y</v>
      </c>
      <c r="L982" s="3" t="str">
        <f>IFERROR(__xludf.DUMMYFUNCTION("""COMPUTED_VALUE""")," ")</f>
        <v> </v>
      </c>
      <c r="M982" s="3"/>
      <c r="N982" s="5" t="str">
        <f>IFERROR(__xludf.DUMMYFUNCTION("""COMPUTED_VALUE""")," ")</f>
        <v> </v>
      </c>
      <c r="O982" s="5"/>
    </row>
    <row r="983">
      <c r="A983" s="2" t="str">
        <f>IFERROR(__xludf.DUMMYFUNCTION("""COMPUTED_VALUE"""),"1110")</f>
        <v>1110</v>
      </c>
      <c r="B983" s="2" t="str">
        <f>IFERROR(__xludf.DUMMYFUNCTION("""COMPUTED_VALUE"""),"DISTRICT 49")</f>
        <v>DISTRICT 49</v>
      </c>
      <c r="C983" s="2" t="str">
        <f>IFERROR(__xludf.DUMMYFUNCTION("""COMPUTED_VALUE"""),"04272")</f>
        <v>04272</v>
      </c>
      <c r="D983" s="2" t="str">
        <f>IFERROR(__xludf.DUMMYFUNCTION("""COMPUTED_VALUE"""),"Inspiration View Elementary")</f>
        <v>Inspiration View Elementary</v>
      </c>
      <c r="E983" s="3" t="str">
        <f>IFERROR(__xludf.DUMMYFUNCTION("""COMPUTED_VALUE"""),"Y")</f>
        <v>Y</v>
      </c>
      <c r="F983" s="3" t="str">
        <f>IFERROR(__xludf.DUMMYFUNCTION("""COMPUTED_VALUE"""),"Y")</f>
        <v>Y</v>
      </c>
      <c r="G983" s="3"/>
      <c r="H983" s="3"/>
      <c r="I983" s="3" t="str">
        <f>IFERROR(__xludf.DUMMYFUNCTION("""COMPUTED_VALUE""")," ")</f>
        <v> </v>
      </c>
      <c r="J983" s="3" t="str">
        <f>IFERROR(__xludf.DUMMYFUNCTION("""COMPUTED_VALUE""")," ")</f>
        <v> </v>
      </c>
      <c r="K983" s="3" t="str">
        <f>IFERROR(__xludf.DUMMYFUNCTION("""COMPUTED_VALUE"""),"Y")</f>
        <v>Y</v>
      </c>
      <c r="L983" s="3" t="str">
        <f>IFERROR(__xludf.DUMMYFUNCTION("""COMPUTED_VALUE"""),"Group 3")</f>
        <v>Group 3</v>
      </c>
      <c r="M983" s="3"/>
      <c r="N983" s="5" t="str">
        <f>IFERROR(__xludf.DUMMYFUNCTION("""COMPUTED_VALUE""")," ")</f>
        <v> </v>
      </c>
      <c r="O983" s="5"/>
    </row>
    <row r="984">
      <c r="A984" s="2" t="str">
        <f>IFERROR(__xludf.DUMMYFUNCTION("""COMPUTED_VALUE"""),"1110")</f>
        <v>1110</v>
      </c>
      <c r="B984" s="2" t="str">
        <f>IFERROR(__xludf.DUMMYFUNCTION("""COMPUTED_VALUE"""),"DISTRICT 49")</f>
        <v>DISTRICT 49</v>
      </c>
      <c r="C984" s="2" t="str">
        <f>IFERROR(__xludf.DUMMYFUNCTION("""COMPUTED_VALUE"""),"05191")</f>
        <v>05191</v>
      </c>
      <c r="D984" s="2" t="str">
        <f>IFERROR(__xludf.DUMMYFUNCTION("""COMPUTED_VALUE"""),"Liberty Tree Academy")</f>
        <v>Liberty Tree Academy</v>
      </c>
      <c r="E984" s="3"/>
      <c r="F984" s="3" t="str">
        <f>IFERROR(__xludf.DUMMYFUNCTION("""COMPUTED_VALUE"""),"Y")</f>
        <v>Y</v>
      </c>
      <c r="G984" s="3"/>
      <c r="H984" s="3"/>
      <c r="I984" s="3" t="str">
        <f>IFERROR(__xludf.DUMMYFUNCTION("""COMPUTED_VALUE""")," ")</f>
        <v> </v>
      </c>
      <c r="J984" s="3" t="str">
        <f>IFERROR(__xludf.DUMMYFUNCTION("""COMPUTED_VALUE""")," ")</f>
        <v> </v>
      </c>
      <c r="K984" s="3" t="str">
        <f>IFERROR(__xludf.DUMMYFUNCTION("""COMPUTED_VALUE"""),"Y")</f>
        <v>Y</v>
      </c>
      <c r="L984" s="3" t="str">
        <f>IFERROR(__xludf.DUMMYFUNCTION("""COMPUTED_VALUE""")," ")</f>
        <v> </v>
      </c>
      <c r="M984" s="3"/>
      <c r="N984" s="5" t="str">
        <f>IFERROR(__xludf.DUMMYFUNCTION("""COMPUTED_VALUE""")," ")</f>
        <v> </v>
      </c>
      <c r="O984" s="5"/>
    </row>
    <row r="985">
      <c r="A985" s="2" t="str">
        <f>IFERROR(__xludf.DUMMYFUNCTION("""COMPUTED_VALUE"""),"1110")</f>
        <v>1110</v>
      </c>
      <c r="B985" s="2" t="str">
        <f>IFERROR(__xludf.DUMMYFUNCTION("""COMPUTED_VALUE"""),"DISTRICT 49")</f>
        <v>DISTRICT 49</v>
      </c>
      <c r="C985" s="2" t="str">
        <f>IFERROR(__xludf.DUMMYFUNCTION("""COMPUTED_VALUE"""),"05779")</f>
        <v>05779</v>
      </c>
      <c r="D985" s="2" t="str">
        <f>IFERROR(__xludf.DUMMYFUNCTION("""COMPUTED_VALUE"""),"MERIDIAN RANCH INTERNATIONAL SCHOOL")</f>
        <v>MERIDIAN RANCH INTERNATIONAL SCHOOL</v>
      </c>
      <c r="E985" s="3" t="str">
        <f>IFERROR(__xludf.DUMMYFUNCTION("""COMPUTED_VALUE"""),"Y")</f>
        <v>Y</v>
      </c>
      <c r="F985" s="3" t="str">
        <f>IFERROR(__xludf.DUMMYFUNCTION("""COMPUTED_VALUE"""),"Y")</f>
        <v>Y</v>
      </c>
      <c r="G985" s="3"/>
      <c r="H985" s="3"/>
      <c r="I985" s="3" t="str">
        <f>IFERROR(__xludf.DUMMYFUNCTION("""COMPUTED_VALUE""")," ")</f>
        <v> </v>
      </c>
      <c r="J985" s="3" t="str">
        <f>IFERROR(__xludf.DUMMYFUNCTION("""COMPUTED_VALUE""")," ")</f>
        <v> </v>
      </c>
      <c r="K985" s="3" t="str">
        <f>IFERROR(__xludf.DUMMYFUNCTION("""COMPUTED_VALUE"""),"Y")</f>
        <v>Y</v>
      </c>
      <c r="L985" s="3" t="str">
        <f>IFERROR(__xludf.DUMMYFUNCTION("""COMPUTED_VALUE"""),"Group 8")</f>
        <v>Group 8</v>
      </c>
      <c r="M985" s="3"/>
      <c r="N985" s="5" t="str">
        <f>IFERROR(__xludf.DUMMYFUNCTION("""COMPUTED_VALUE""")," ")</f>
        <v> </v>
      </c>
      <c r="O985" s="5"/>
    </row>
    <row r="986">
      <c r="A986" s="2" t="str">
        <f>IFERROR(__xludf.DUMMYFUNCTION("""COMPUTED_VALUE"""),"1110")</f>
        <v>1110</v>
      </c>
      <c r="B986" s="2" t="str">
        <f>IFERROR(__xludf.DUMMYFUNCTION("""COMPUTED_VALUE"""),"DISTRICT 49")</f>
        <v>DISTRICT 49</v>
      </c>
      <c r="C986" s="2" t="str">
        <f>IFERROR(__xludf.DUMMYFUNCTION("""COMPUTED_VALUE"""),"06483")</f>
        <v>06483</v>
      </c>
      <c r="D986" s="2" t="str">
        <f>IFERROR(__xludf.DUMMYFUNCTION("""COMPUTED_VALUE"""),"ODYSSEY ELEMENTARY SCHOOL")</f>
        <v>ODYSSEY ELEMENTARY SCHOOL</v>
      </c>
      <c r="E986" s="3" t="str">
        <f>IFERROR(__xludf.DUMMYFUNCTION("""COMPUTED_VALUE"""),"Y")</f>
        <v>Y</v>
      </c>
      <c r="F986" s="3" t="str">
        <f>IFERROR(__xludf.DUMMYFUNCTION("""COMPUTED_VALUE"""),"Y")</f>
        <v>Y</v>
      </c>
      <c r="G986" s="3"/>
      <c r="H986" s="3"/>
      <c r="I986" s="3" t="str">
        <f>IFERROR(__xludf.DUMMYFUNCTION("""COMPUTED_VALUE""")," ")</f>
        <v> </v>
      </c>
      <c r="J986" s="3" t="str">
        <f>IFERROR(__xludf.DUMMYFUNCTION("""COMPUTED_VALUE""")," ")</f>
        <v> </v>
      </c>
      <c r="K986" s="3" t="str">
        <f>IFERROR(__xludf.DUMMYFUNCTION("""COMPUTED_VALUE"""),"Y")</f>
        <v>Y</v>
      </c>
      <c r="L986" s="3" t="str">
        <f>IFERROR(__xludf.DUMMYFUNCTION("""COMPUTED_VALUE"""),"Group 1")</f>
        <v>Group 1</v>
      </c>
      <c r="M986" s="3"/>
      <c r="N986" s="5" t="str">
        <f>IFERROR(__xludf.DUMMYFUNCTION("""COMPUTED_VALUE""")," ")</f>
        <v> </v>
      </c>
      <c r="O986" s="5"/>
    </row>
    <row r="987">
      <c r="A987" s="2" t="str">
        <f>IFERROR(__xludf.DUMMYFUNCTION("""COMPUTED_VALUE"""),"1110")</f>
        <v>1110</v>
      </c>
      <c r="B987" s="2" t="str">
        <f>IFERROR(__xludf.DUMMYFUNCTION("""COMPUTED_VALUE"""),"DISTRICT 49")</f>
        <v>DISTRICT 49</v>
      </c>
      <c r="C987" s="2" t="str">
        <f>IFERROR(__xludf.DUMMYFUNCTION("""COMPUTED_VALUE"""),"06810")</f>
        <v>06810</v>
      </c>
      <c r="D987" s="2" t="str">
        <f>IFERROR(__xludf.DUMMYFUNCTION("""COMPUTED_VALUE"""),"PATRIOT HIGH SCHOOL")</f>
        <v>PATRIOT HIGH SCHOOL</v>
      </c>
      <c r="E987" s="3" t="str">
        <f>IFERROR(__xludf.DUMMYFUNCTION("""COMPUTED_VALUE"""),"Y")</f>
        <v>Y</v>
      </c>
      <c r="F987" s="3" t="str">
        <f>IFERROR(__xludf.DUMMYFUNCTION("""COMPUTED_VALUE"""),"Y")</f>
        <v>Y</v>
      </c>
      <c r="G987" s="3"/>
      <c r="H987" s="3"/>
      <c r="I987" s="3" t="str">
        <f>IFERROR(__xludf.DUMMYFUNCTION("""COMPUTED_VALUE""")," ")</f>
        <v> </v>
      </c>
      <c r="J987" s="3" t="str">
        <f>IFERROR(__xludf.DUMMYFUNCTION("""COMPUTED_VALUE""")," ")</f>
        <v> </v>
      </c>
      <c r="K987" s="3" t="str">
        <f>IFERROR(__xludf.DUMMYFUNCTION("""COMPUTED_VALUE"""),"Y")</f>
        <v>Y</v>
      </c>
      <c r="L987" s="3" t="str">
        <f>IFERROR(__xludf.DUMMYFUNCTION("""COMPUTED_VALUE"""),"Group 8")</f>
        <v>Group 8</v>
      </c>
      <c r="M987" s="3"/>
      <c r="N987" s="5" t="str">
        <f>IFERROR(__xludf.DUMMYFUNCTION("""COMPUTED_VALUE""")," ")</f>
        <v> </v>
      </c>
      <c r="O987" s="5"/>
    </row>
    <row r="988">
      <c r="A988" s="2" t="str">
        <f>IFERROR(__xludf.DUMMYFUNCTION("""COMPUTED_VALUE"""),"1110")</f>
        <v>1110</v>
      </c>
      <c r="B988" s="2" t="str">
        <f>IFERROR(__xludf.DUMMYFUNCTION("""COMPUTED_VALUE"""),"DISTRICT 49")</f>
        <v>DISTRICT 49</v>
      </c>
      <c r="C988" s="2" t="str">
        <f>IFERROR(__xludf.DUMMYFUNCTION("""COMPUTED_VALUE"""),"06935")</f>
        <v>06935</v>
      </c>
      <c r="D988" s="2" t="str">
        <f>IFERROR(__xludf.DUMMYFUNCTION("""COMPUTED_VALUE"""),"PIKES PEAK SCHOOL EXPEDITIONARY LEARNING")</f>
        <v>PIKES PEAK SCHOOL EXPEDITIONARY LEARNING</v>
      </c>
      <c r="E988" s="3"/>
      <c r="F988" s="3" t="str">
        <f>IFERROR(__xludf.DUMMYFUNCTION("""COMPUTED_VALUE"""),"Y")</f>
        <v>Y</v>
      </c>
      <c r="G988" s="3"/>
      <c r="H988" s="3"/>
      <c r="I988" s="3" t="str">
        <f>IFERROR(__xludf.DUMMYFUNCTION("""COMPUTED_VALUE""")," ")</f>
        <v> </v>
      </c>
      <c r="J988" s="3" t="str">
        <f>IFERROR(__xludf.DUMMYFUNCTION("""COMPUTED_VALUE""")," ")</f>
        <v> </v>
      </c>
      <c r="K988" s="3" t="str">
        <f>IFERROR(__xludf.DUMMYFUNCTION("""COMPUTED_VALUE"""),"Y")</f>
        <v>Y</v>
      </c>
      <c r="L988" s="3" t="str">
        <f>IFERROR(__xludf.DUMMYFUNCTION("""COMPUTED_VALUE""")," ")</f>
        <v> </v>
      </c>
      <c r="M988" s="3"/>
      <c r="N988" s="5" t="str">
        <f>IFERROR(__xludf.DUMMYFUNCTION("""COMPUTED_VALUE""")," ")</f>
        <v> </v>
      </c>
      <c r="O988" s="5"/>
    </row>
    <row r="989">
      <c r="A989" s="2" t="str">
        <f>IFERROR(__xludf.DUMMYFUNCTION("""COMPUTED_VALUE"""),"1110")</f>
        <v>1110</v>
      </c>
      <c r="B989" s="2" t="str">
        <f>IFERROR(__xludf.DUMMYFUNCTION("""COMPUTED_VALUE"""),"DISTRICT 49")</f>
        <v>DISTRICT 49</v>
      </c>
      <c r="C989" s="2" t="str">
        <f>IFERROR(__xludf.DUMMYFUNCTION("""COMPUTED_VALUE"""),"07317")</f>
        <v>07317</v>
      </c>
      <c r="D989" s="2" t="str">
        <f>IFERROR(__xludf.DUMMYFUNCTION("""COMPUTED_VALUE"""),"REMINGTON ELEMENTARY SCHOOL")</f>
        <v>REMINGTON ELEMENTARY SCHOOL</v>
      </c>
      <c r="E989" s="3" t="str">
        <f>IFERROR(__xludf.DUMMYFUNCTION("""COMPUTED_VALUE"""),"Y")</f>
        <v>Y</v>
      </c>
      <c r="F989" s="3" t="str">
        <f>IFERROR(__xludf.DUMMYFUNCTION("""COMPUTED_VALUE"""),"Y")</f>
        <v>Y</v>
      </c>
      <c r="G989" s="3"/>
      <c r="H989" s="3"/>
      <c r="I989" s="3" t="str">
        <f>IFERROR(__xludf.DUMMYFUNCTION("""COMPUTED_VALUE""")," ")</f>
        <v> </v>
      </c>
      <c r="J989" s="3" t="str">
        <f>IFERROR(__xludf.DUMMYFUNCTION("""COMPUTED_VALUE""")," ")</f>
        <v> </v>
      </c>
      <c r="K989" s="3" t="str">
        <f>IFERROR(__xludf.DUMMYFUNCTION("""COMPUTED_VALUE"""),"Y")</f>
        <v>Y</v>
      </c>
      <c r="L989" s="3" t="str">
        <f>IFERROR(__xludf.DUMMYFUNCTION("""COMPUTED_VALUE"""),"Group 5")</f>
        <v>Group 5</v>
      </c>
      <c r="M989" s="3"/>
      <c r="N989" s="5" t="str">
        <f>IFERROR(__xludf.DUMMYFUNCTION("""COMPUTED_VALUE""")," ")</f>
        <v> </v>
      </c>
      <c r="O989" s="5"/>
    </row>
    <row r="990">
      <c r="A990" s="2" t="str">
        <f>IFERROR(__xludf.DUMMYFUNCTION("""COMPUTED_VALUE"""),"1110")</f>
        <v>1110</v>
      </c>
      <c r="B990" s="2" t="str">
        <f>IFERROR(__xludf.DUMMYFUNCTION("""COMPUTED_VALUE"""),"DISTRICT 49")</f>
        <v>DISTRICT 49</v>
      </c>
      <c r="C990" s="2" t="str">
        <f>IFERROR(__xludf.DUMMYFUNCTION("""COMPUTED_VALUE"""),"07339")</f>
        <v>07339</v>
      </c>
      <c r="D990" s="2" t="str">
        <f>IFERROR(__xludf.DUMMYFUNCTION("""COMPUTED_VALUE"""),"RIDGEVIEW ELEMENTARY SCHOOL")</f>
        <v>RIDGEVIEW ELEMENTARY SCHOOL</v>
      </c>
      <c r="E990" s="3" t="str">
        <f>IFERROR(__xludf.DUMMYFUNCTION("""COMPUTED_VALUE"""),"Y")</f>
        <v>Y</v>
      </c>
      <c r="F990" s="3" t="str">
        <f>IFERROR(__xludf.DUMMYFUNCTION("""COMPUTED_VALUE"""),"Y")</f>
        <v>Y</v>
      </c>
      <c r="G990" s="3"/>
      <c r="H990" s="3"/>
      <c r="I990" s="3" t="str">
        <f>IFERROR(__xludf.DUMMYFUNCTION("""COMPUTED_VALUE""")," ")</f>
        <v> </v>
      </c>
      <c r="J990" s="3" t="str">
        <f>IFERROR(__xludf.DUMMYFUNCTION("""COMPUTED_VALUE""")," ")</f>
        <v> </v>
      </c>
      <c r="K990" s="3" t="str">
        <f>IFERROR(__xludf.DUMMYFUNCTION("""COMPUTED_VALUE"""),"Y")</f>
        <v>Y</v>
      </c>
      <c r="L990" s="3" t="str">
        <f>IFERROR(__xludf.DUMMYFUNCTION("""COMPUTED_VALUE"""),"Group 4")</f>
        <v>Group 4</v>
      </c>
      <c r="M990" s="3"/>
      <c r="N990" s="5" t="str">
        <f>IFERROR(__xludf.DUMMYFUNCTION("""COMPUTED_VALUE"""),"Y")</f>
        <v>Y</v>
      </c>
      <c r="O990" s="5"/>
    </row>
    <row r="991">
      <c r="A991" s="2" t="str">
        <f>IFERROR(__xludf.DUMMYFUNCTION("""COMPUTED_VALUE"""),"1110")</f>
        <v>1110</v>
      </c>
      <c r="B991" s="2" t="str">
        <f>IFERROR(__xludf.DUMMYFUNCTION("""COMPUTED_VALUE"""),"DISTRICT 49")</f>
        <v>DISTRICT 49</v>
      </c>
      <c r="C991" s="2" t="str">
        <f>IFERROR(__xludf.DUMMYFUNCTION("""COMPUTED_VALUE"""),"07613")</f>
        <v>07613</v>
      </c>
      <c r="D991" s="2" t="str">
        <f>IFERROR(__xludf.DUMMYFUNCTION("""COMPUTED_VALUE"""),"SAND CREEK HIGH SCHOOL")</f>
        <v>SAND CREEK HIGH SCHOOL</v>
      </c>
      <c r="E991" s="3" t="str">
        <f>IFERROR(__xludf.DUMMYFUNCTION("""COMPUTED_VALUE"""),"Y")</f>
        <v>Y</v>
      </c>
      <c r="F991" s="3" t="str">
        <f>IFERROR(__xludf.DUMMYFUNCTION("""COMPUTED_VALUE"""),"Y")</f>
        <v>Y</v>
      </c>
      <c r="G991" s="3"/>
      <c r="H991" s="3"/>
      <c r="I991" s="3" t="str">
        <f>IFERROR(__xludf.DUMMYFUNCTION("""COMPUTED_VALUE""")," ")</f>
        <v> </v>
      </c>
      <c r="J991" s="3" t="str">
        <f>IFERROR(__xludf.DUMMYFUNCTION("""COMPUTED_VALUE""")," ")</f>
        <v> </v>
      </c>
      <c r="K991" s="3" t="str">
        <f>IFERROR(__xludf.DUMMYFUNCTION("""COMPUTED_VALUE"""),"Y")</f>
        <v>Y</v>
      </c>
      <c r="L991" s="3" t="str">
        <f>IFERROR(__xludf.DUMMYFUNCTION("""COMPUTED_VALUE"""),"Group 8")</f>
        <v>Group 8</v>
      </c>
      <c r="M991" s="3"/>
      <c r="N991" s="5" t="str">
        <f>IFERROR(__xludf.DUMMYFUNCTION("""COMPUTED_VALUE""")," ")</f>
        <v> </v>
      </c>
      <c r="O991" s="5"/>
    </row>
    <row r="992">
      <c r="A992" s="2" t="str">
        <f>IFERROR(__xludf.DUMMYFUNCTION("""COMPUTED_VALUE"""),"1110")</f>
        <v>1110</v>
      </c>
      <c r="B992" s="2" t="str">
        <f>IFERROR(__xludf.DUMMYFUNCTION("""COMPUTED_VALUE"""),"DISTRICT 49")</f>
        <v>DISTRICT 49</v>
      </c>
      <c r="C992" s="2" t="str">
        <f>IFERROR(__xludf.DUMMYFUNCTION("""COMPUTED_VALUE"""),"07960")</f>
        <v>07960</v>
      </c>
      <c r="D992" s="2" t="str">
        <f>IFERROR(__xludf.DUMMYFUNCTION("""COMPUTED_VALUE"""),"SKYVIEW MIDDLE SCHOOL")</f>
        <v>SKYVIEW MIDDLE SCHOOL</v>
      </c>
      <c r="E992" s="3" t="str">
        <f>IFERROR(__xludf.DUMMYFUNCTION("""COMPUTED_VALUE"""),"Y")</f>
        <v>Y</v>
      </c>
      <c r="F992" s="3" t="str">
        <f>IFERROR(__xludf.DUMMYFUNCTION("""COMPUTED_VALUE"""),"Y")</f>
        <v>Y</v>
      </c>
      <c r="G992" s="3"/>
      <c r="H992" s="3"/>
      <c r="I992" s="3" t="str">
        <f>IFERROR(__xludf.DUMMYFUNCTION("""COMPUTED_VALUE""")," ")</f>
        <v> </v>
      </c>
      <c r="J992" s="3" t="str">
        <f>IFERROR(__xludf.DUMMYFUNCTION("""COMPUTED_VALUE""")," ")</f>
        <v> </v>
      </c>
      <c r="K992" s="3" t="str">
        <f>IFERROR(__xludf.DUMMYFUNCTION("""COMPUTED_VALUE"""),"Y")</f>
        <v>Y</v>
      </c>
      <c r="L992" s="3" t="str">
        <f>IFERROR(__xludf.DUMMYFUNCTION("""COMPUTED_VALUE"""),"Group 3")</f>
        <v>Group 3</v>
      </c>
      <c r="M992" s="3"/>
      <c r="N992" s="5" t="str">
        <f>IFERROR(__xludf.DUMMYFUNCTION("""COMPUTED_VALUE""")," ")</f>
        <v> </v>
      </c>
      <c r="O992" s="5"/>
    </row>
    <row r="993">
      <c r="A993" s="2" t="str">
        <f>IFERROR(__xludf.DUMMYFUNCTION("""COMPUTED_VALUE"""),"1110")</f>
        <v>1110</v>
      </c>
      <c r="B993" s="2" t="str">
        <f>IFERROR(__xludf.DUMMYFUNCTION("""COMPUTED_VALUE"""),"DISTRICT 49")</f>
        <v>DISTRICT 49</v>
      </c>
      <c r="C993" s="2" t="str">
        <f>IFERROR(__xludf.DUMMYFUNCTION("""COMPUTED_VALUE"""),"08010")</f>
        <v>08010</v>
      </c>
      <c r="D993" s="2" t="str">
        <f>IFERROR(__xludf.DUMMYFUNCTION("""COMPUTED_VALUE"""),"SPRINGS RANCH ELEMENTARY SCHOOL")</f>
        <v>SPRINGS RANCH ELEMENTARY SCHOOL</v>
      </c>
      <c r="E993" s="3" t="str">
        <f>IFERROR(__xludf.DUMMYFUNCTION("""COMPUTED_VALUE"""),"Y")</f>
        <v>Y</v>
      </c>
      <c r="F993" s="3" t="str">
        <f>IFERROR(__xludf.DUMMYFUNCTION("""COMPUTED_VALUE"""),"Y")</f>
        <v>Y</v>
      </c>
      <c r="G993" s="3"/>
      <c r="H993" s="3"/>
      <c r="I993" s="3" t="str">
        <f>IFERROR(__xludf.DUMMYFUNCTION("""COMPUTED_VALUE""")," ")</f>
        <v> </v>
      </c>
      <c r="J993" s="3" t="str">
        <f>IFERROR(__xludf.DUMMYFUNCTION("""COMPUTED_VALUE""")," ")</f>
        <v> </v>
      </c>
      <c r="K993" s="3" t="str">
        <f>IFERROR(__xludf.DUMMYFUNCTION("""COMPUTED_VALUE"""),"Y")</f>
        <v>Y</v>
      </c>
      <c r="L993" s="3" t="str">
        <f>IFERROR(__xludf.DUMMYFUNCTION("""COMPUTED_VALUE"""),"Group 1")</f>
        <v>Group 1</v>
      </c>
      <c r="M993" s="3"/>
      <c r="N993" s="5" t="str">
        <f>IFERROR(__xludf.DUMMYFUNCTION("""COMPUTED_VALUE""")," ")</f>
        <v> </v>
      </c>
      <c r="O993" s="5"/>
    </row>
    <row r="994">
      <c r="A994" s="2" t="str">
        <f>IFERROR(__xludf.DUMMYFUNCTION("""COMPUTED_VALUE"""),"1110")</f>
        <v>1110</v>
      </c>
      <c r="B994" s="2" t="str">
        <f>IFERROR(__xludf.DUMMYFUNCTION("""COMPUTED_VALUE"""),"DISTRICT 49")</f>
        <v>DISTRICT 49</v>
      </c>
      <c r="C994" s="2" t="str">
        <f>IFERROR(__xludf.DUMMYFUNCTION("""COMPUTED_VALUE"""),"08266")</f>
        <v>08266</v>
      </c>
      <c r="D994" s="2" t="str">
        <f>IFERROR(__xludf.DUMMYFUNCTION("""COMPUTED_VALUE"""),"STETSON ELEMENTARY SCHOOL")</f>
        <v>STETSON ELEMENTARY SCHOOL</v>
      </c>
      <c r="E994" s="3" t="str">
        <f>IFERROR(__xludf.DUMMYFUNCTION("""COMPUTED_VALUE"""),"Y")</f>
        <v>Y</v>
      </c>
      <c r="F994" s="3" t="str">
        <f>IFERROR(__xludf.DUMMYFUNCTION("""COMPUTED_VALUE"""),"Y")</f>
        <v>Y</v>
      </c>
      <c r="G994" s="3"/>
      <c r="H994" s="3"/>
      <c r="I994" s="3" t="str">
        <f>IFERROR(__xludf.DUMMYFUNCTION("""COMPUTED_VALUE""")," ")</f>
        <v> </v>
      </c>
      <c r="J994" s="3" t="str">
        <f>IFERROR(__xludf.DUMMYFUNCTION("""COMPUTED_VALUE""")," ")</f>
        <v> </v>
      </c>
      <c r="K994" s="3" t="str">
        <f>IFERROR(__xludf.DUMMYFUNCTION("""COMPUTED_VALUE"""),"Y")</f>
        <v>Y</v>
      </c>
      <c r="L994" s="3" t="str">
        <f>IFERROR(__xludf.DUMMYFUNCTION("""COMPUTED_VALUE"""),"Group 2")</f>
        <v>Group 2</v>
      </c>
      <c r="M994" s="3"/>
      <c r="N994" s="5" t="str">
        <f>IFERROR(__xludf.DUMMYFUNCTION("""COMPUTED_VALUE""")," ")</f>
        <v> </v>
      </c>
      <c r="O994" s="5"/>
    </row>
    <row r="995">
      <c r="A995" s="2" t="str">
        <f>IFERROR(__xludf.DUMMYFUNCTION("""COMPUTED_VALUE"""),"1110")</f>
        <v>1110</v>
      </c>
      <c r="B995" s="2" t="str">
        <f>IFERROR(__xludf.DUMMYFUNCTION("""COMPUTED_VALUE"""),"DISTRICT 49")</f>
        <v>DISTRICT 49</v>
      </c>
      <c r="C995" s="2" t="str">
        <f>IFERROR(__xludf.DUMMYFUNCTION("""COMPUTED_VALUE"""),"08791")</f>
        <v>08791</v>
      </c>
      <c r="D995" s="2" t="str">
        <f>IFERROR(__xludf.DUMMYFUNCTION("""COMPUTED_VALUE"""),"VISTA RIDGE HIGH SCHOOL")</f>
        <v>VISTA RIDGE HIGH SCHOOL</v>
      </c>
      <c r="E995" s="3" t="str">
        <f>IFERROR(__xludf.DUMMYFUNCTION("""COMPUTED_VALUE"""),"Y")</f>
        <v>Y</v>
      </c>
      <c r="F995" s="3" t="str">
        <f>IFERROR(__xludf.DUMMYFUNCTION("""COMPUTED_VALUE"""),"Y")</f>
        <v>Y</v>
      </c>
      <c r="G995" s="3"/>
      <c r="H995" s="3"/>
      <c r="I995" s="3" t="str">
        <f>IFERROR(__xludf.DUMMYFUNCTION("""COMPUTED_VALUE""")," ")</f>
        <v> </v>
      </c>
      <c r="J995" s="3" t="str">
        <f>IFERROR(__xludf.DUMMYFUNCTION("""COMPUTED_VALUE""")," ")</f>
        <v> </v>
      </c>
      <c r="K995" s="3" t="str">
        <f>IFERROR(__xludf.DUMMYFUNCTION("""COMPUTED_VALUE"""),"Y")</f>
        <v>Y</v>
      </c>
      <c r="L995" s="3" t="str">
        <f>IFERROR(__xludf.DUMMYFUNCTION("""COMPUTED_VALUE""")," ")</f>
        <v> </v>
      </c>
      <c r="M995" s="3"/>
      <c r="N995" s="5" t="str">
        <f>IFERROR(__xludf.DUMMYFUNCTION("""COMPUTED_VALUE""")," ")</f>
        <v> </v>
      </c>
      <c r="O995" s="5"/>
    </row>
    <row r="996">
      <c r="A996" s="2" t="str">
        <f>IFERROR(__xludf.DUMMYFUNCTION("""COMPUTED_VALUE"""),"1110")</f>
        <v>1110</v>
      </c>
      <c r="B996" s="2" t="str">
        <f>IFERROR(__xludf.DUMMYFUNCTION("""COMPUTED_VALUE"""),"DISTRICT 49")</f>
        <v>DISTRICT 49</v>
      </c>
      <c r="C996" s="2" t="str">
        <f>IFERROR(__xludf.DUMMYFUNCTION("""COMPUTED_VALUE"""),"09706")</f>
        <v>09706</v>
      </c>
      <c r="D996" s="2" t="str">
        <f>IFERROR(__xludf.DUMMYFUNCTION("""COMPUTED_VALUE"""),"WOODMEN HILLS ELEMENTARY SCHOOL")</f>
        <v>WOODMEN HILLS ELEMENTARY SCHOOL</v>
      </c>
      <c r="E996" s="3" t="str">
        <f>IFERROR(__xludf.DUMMYFUNCTION("""COMPUTED_VALUE"""),"Y")</f>
        <v>Y</v>
      </c>
      <c r="F996" s="3" t="str">
        <f>IFERROR(__xludf.DUMMYFUNCTION("""COMPUTED_VALUE"""),"Y")</f>
        <v>Y</v>
      </c>
      <c r="G996" s="3"/>
      <c r="H996" s="3"/>
      <c r="I996" s="3" t="str">
        <f>IFERROR(__xludf.DUMMYFUNCTION("""COMPUTED_VALUE""")," ")</f>
        <v> </v>
      </c>
      <c r="J996" s="3" t="str">
        <f>IFERROR(__xludf.DUMMYFUNCTION("""COMPUTED_VALUE""")," ")</f>
        <v> </v>
      </c>
      <c r="K996" s="3" t="str">
        <f>IFERROR(__xludf.DUMMYFUNCTION("""COMPUTED_VALUE"""),"Y")</f>
        <v>Y</v>
      </c>
      <c r="L996" s="3" t="str">
        <f>IFERROR(__xludf.DUMMYFUNCTION("""COMPUTED_VALUE""")," ")</f>
        <v> </v>
      </c>
      <c r="M996" s="3"/>
      <c r="N996" s="5" t="str">
        <f>IFERROR(__xludf.DUMMYFUNCTION("""COMPUTED_VALUE""")," ")</f>
        <v> </v>
      </c>
      <c r="O996" s="5"/>
    </row>
    <row r="997">
      <c r="A997" s="2" t="str">
        <f>IFERROR(__xludf.DUMMYFUNCTION("""COMPUTED_VALUE"""),"1120")</f>
        <v>1120</v>
      </c>
      <c r="B997" s="2" t="str">
        <f>IFERROR(__xludf.DUMMYFUNCTION("""COMPUTED_VALUE"""),"EDISON              54 JT")</f>
        <v>EDISON              54 JT</v>
      </c>
      <c r="C997" s="2" t="str">
        <f>IFERROR(__xludf.DUMMYFUNCTION("""COMPUTED_VALUE"""),"02514")</f>
        <v>02514</v>
      </c>
      <c r="D997" s="2" t="str">
        <f>IFERROR(__xludf.DUMMYFUNCTION("""COMPUTED_VALUE"""),"EDISON ELEMENTARY SCHOOL")</f>
        <v>EDISON ELEMENTARY SCHOOL</v>
      </c>
      <c r="E997" s="3" t="str">
        <f>IFERROR(__xludf.DUMMYFUNCTION("""COMPUTED_VALUE"""),"Y")</f>
        <v>Y</v>
      </c>
      <c r="F997" s="3" t="str">
        <f>IFERROR(__xludf.DUMMYFUNCTION("""COMPUTED_VALUE"""),"Y")</f>
        <v>Y</v>
      </c>
      <c r="G997" s="3"/>
      <c r="H997" s="3"/>
      <c r="I997" s="3" t="str">
        <f>IFERROR(__xludf.DUMMYFUNCTION("""COMPUTED_VALUE""")," ")</f>
        <v> </v>
      </c>
      <c r="J997" s="3" t="str">
        <f>IFERROR(__xludf.DUMMYFUNCTION("""COMPUTED_VALUE""")," ")</f>
        <v> </v>
      </c>
      <c r="K997" s="3" t="str">
        <f>IFERROR(__xludf.DUMMYFUNCTION("""COMPUTED_VALUE"""),"Y")</f>
        <v>Y</v>
      </c>
      <c r="L997" s="3" t="str">
        <f>IFERROR(__xludf.DUMMYFUNCTION("""COMPUTED_VALUE"""),"Group 1")</f>
        <v>Group 1</v>
      </c>
      <c r="M997" s="3"/>
      <c r="N997" s="5" t="str">
        <f>IFERROR(__xludf.DUMMYFUNCTION("""COMPUTED_VALUE""")," ")</f>
        <v> </v>
      </c>
      <c r="O997" s="5"/>
    </row>
    <row r="998">
      <c r="A998" s="2" t="str">
        <f>IFERROR(__xludf.DUMMYFUNCTION("""COMPUTED_VALUE"""),"1120")</f>
        <v>1120</v>
      </c>
      <c r="B998" s="2" t="str">
        <f>IFERROR(__xludf.DUMMYFUNCTION("""COMPUTED_VALUE"""),"EDISON              54 JT")</f>
        <v>EDISON              54 JT</v>
      </c>
      <c r="C998" s="2" t="str">
        <f>IFERROR(__xludf.DUMMYFUNCTION("""COMPUTED_VALUE"""),"02526")</f>
        <v>02526</v>
      </c>
      <c r="D998" s="2" t="str">
        <f>IFERROR(__xludf.DUMMYFUNCTION("""COMPUTED_VALUE"""),"EDISON JUNIOR-SENIOR HIGH SCHOOL")</f>
        <v>EDISON JUNIOR-SENIOR HIGH SCHOOL</v>
      </c>
      <c r="E998" s="3" t="str">
        <f>IFERROR(__xludf.DUMMYFUNCTION("""COMPUTED_VALUE"""),"Y")</f>
        <v>Y</v>
      </c>
      <c r="F998" s="3" t="str">
        <f>IFERROR(__xludf.DUMMYFUNCTION("""COMPUTED_VALUE"""),"Y")</f>
        <v>Y</v>
      </c>
      <c r="G998" s="3"/>
      <c r="H998" s="3"/>
      <c r="I998" s="3" t="str">
        <f>IFERROR(__xludf.DUMMYFUNCTION("""COMPUTED_VALUE""")," ")</f>
        <v> </v>
      </c>
      <c r="J998" s="3" t="str">
        <f>IFERROR(__xludf.DUMMYFUNCTION("""COMPUTED_VALUE""")," ")</f>
        <v> </v>
      </c>
      <c r="K998" s="3" t="str">
        <f>IFERROR(__xludf.DUMMYFUNCTION("""COMPUTED_VALUE"""),"Y")</f>
        <v>Y</v>
      </c>
      <c r="L998" s="3" t="str">
        <f>IFERROR(__xludf.DUMMYFUNCTION("""COMPUTED_VALUE"""),"Group 1")</f>
        <v>Group 1</v>
      </c>
      <c r="M998" s="3"/>
      <c r="N998" s="5" t="str">
        <f>IFERROR(__xludf.DUMMYFUNCTION("""COMPUTED_VALUE""")," ")</f>
        <v> </v>
      </c>
      <c r="O998" s="5"/>
    </row>
    <row r="999">
      <c r="A999" s="2" t="str">
        <f>IFERROR(__xludf.DUMMYFUNCTION("""COMPUTED_VALUE"""),"1130")</f>
        <v>1130</v>
      </c>
      <c r="B999" s="2" t="str">
        <f>IFERROR(__xludf.DUMMYFUNCTION("""COMPUTED_VALUE"""),"MIAMI/YODER         60 JT")</f>
        <v>MIAMI/YODER         60 JT</v>
      </c>
      <c r="C999" s="2" t="str">
        <f>IFERROR(__xludf.DUMMYFUNCTION("""COMPUTED_VALUE"""),"05850")</f>
        <v>05850</v>
      </c>
      <c r="D999" s="2" t="str">
        <f>IFERROR(__xludf.DUMMYFUNCTION("""COMPUTED_VALUE"""),"MIAMI/YODER ELEMENTARY SCHOOL")</f>
        <v>MIAMI/YODER ELEMENTARY SCHOOL</v>
      </c>
      <c r="E999" s="3" t="str">
        <f>IFERROR(__xludf.DUMMYFUNCTION("""COMPUTED_VALUE"""),"Y")</f>
        <v>Y</v>
      </c>
      <c r="F999" s="3" t="str">
        <f>IFERROR(__xludf.DUMMYFUNCTION("""COMPUTED_VALUE"""),"Y")</f>
        <v>Y</v>
      </c>
      <c r="G999" s="3"/>
      <c r="H999" s="3"/>
      <c r="I999" s="3" t="str">
        <f>IFERROR(__xludf.DUMMYFUNCTION("""COMPUTED_VALUE"""),"Y")</f>
        <v>Y</v>
      </c>
      <c r="J999" s="3" t="str">
        <f>IFERROR(__xludf.DUMMYFUNCTION("""COMPUTED_VALUE""")," ")</f>
        <v> </v>
      </c>
      <c r="K999" s="3" t="str">
        <f>IFERROR(__xludf.DUMMYFUNCTION("""COMPUTED_VALUE"""),"Y")</f>
        <v>Y</v>
      </c>
      <c r="L999" s="3" t="str">
        <f>IFERROR(__xludf.DUMMYFUNCTION("""COMPUTED_VALUE"""),"Group 1")</f>
        <v>Group 1</v>
      </c>
      <c r="M999" s="3"/>
      <c r="N999" s="5" t="str">
        <f>IFERROR(__xludf.DUMMYFUNCTION("""COMPUTED_VALUE""")," ")</f>
        <v> </v>
      </c>
      <c r="O999" s="5"/>
    </row>
    <row r="1000">
      <c r="A1000" s="2" t="str">
        <f>IFERROR(__xludf.DUMMYFUNCTION("""COMPUTED_VALUE"""),"1130")</f>
        <v>1130</v>
      </c>
      <c r="B1000" s="2" t="str">
        <f>IFERROR(__xludf.DUMMYFUNCTION("""COMPUTED_VALUE"""),"MIAMI/YODER         60 JT")</f>
        <v>MIAMI/YODER         60 JT</v>
      </c>
      <c r="C1000" s="2" t="str">
        <f>IFERROR(__xludf.DUMMYFUNCTION("""COMPUTED_VALUE"""),"05854")</f>
        <v>05854</v>
      </c>
      <c r="D1000" s="2" t="str">
        <f>IFERROR(__xludf.DUMMYFUNCTION("""COMPUTED_VALUE"""),"MIAMI/YODER MIDDLE/HIGH SCHOOL")</f>
        <v>MIAMI/YODER MIDDLE/HIGH SCHOOL</v>
      </c>
      <c r="E1000" s="3" t="str">
        <f>IFERROR(__xludf.DUMMYFUNCTION("""COMPUTED_VALUE"""),"Y")</f>
        <v>Y</v>
      </c>
      <c r="F1000" s="3" t="str">
        <f>IFERROR(__xludf.DUMMYFUNCTION("""COMPUTED_VALUE"""),"Y")</f>
        <v>Y</v>
      </c>
      <c r="G1000" s="3"/>
      <c r="H1000" s="3"/>
      <c r="I1000" s="3" t="str">
        <f>IFERROR(__xludf.DUMMYFUNCTION("""COMPUTED_VALUE""")," ")</f>
        <v> </v>
      </c>
      <c r="J1000" s="3" t="str">
        <f>IFERROR(__xludf.DUMMYFUNCTION("""COMPUTED_VALUE""")," ")</f>
        <v> </v>
      </c>
      <c r="K1000" s="3" t="str">
        <f>IFERROR(__xludf.DUMMYFUNCTION("""COMPUTED_VALUE"""),"Y")</f>
        <v>Y</v>
      </c>
      <c r="L1000" s="3" t="str">
        <f>IFERROR(__xludf.DUMMYFUNCTION("""COMPUTED_VALUE"""),"Group 2")</f>
        <v>Group 2</v>
      </c>
      <c r="M1000" s="3"/>
      <c r="N1000" s="5" t="str">
        <f>IFERROR(__xludf.DUMMYFUNCTION("""COMPUTED_VALUE""")," ")</f>
        <v> </v>
      </c>
      <c r="O1000" s="5"/>
    </row>
    <row r="1001">
      <c r="A1001" s="2" t="str">
        <f>IFERROR(__xludf.DUMMYFUNCTION("""COMPUTED_VALUE"""),"1140")</f>
        <v>1140</v>
      </c>
      <c r="B1001" s="2" t="str">
        <f>IFERROR(__xludf.DUMMYFUNCTION("""COMPUTED_VALUE"""),"CANON CITY          RE-1")</f>
        <v>CANON CITY          RE-1</v>
      </c>
      <c r="C1001" s="2" t="str">
        <f>IFERROR(__xludf.DUMMYFUNCTION("""COMPUTED_VALUE"""),"01262")</f>
        <v>01262</v>
      </c>
      <c r="D1001" s="2" t="str">
        <f>IFERROR(__xludf.DUMMYFUNCTION("""COMPUTED_VALUE"""),"CANON CITY MIDDLE SCHOOL")</f>
        <v>CANON CITY MIDDLE SCHOOL</v>
      </c>
      <c r="E1001" s="3" t="str">
        <f>IFERROR(__xludf.DUMMYFUNCTION("""COMPUTED_VALUE"""),"Y")</f>
        <v>Y</v>
      </c>
      <c r="F1001" s="3" t="str">
        <f>IFERROR(__xludf.DUMMYFUNCTION("""COMPUTED_VALUE"""),"Y")</f>
        <v>Y</v>
      </c>
      <c r="G1001" s="3"/>
      <c r="H1001" s="3"/>
      <c r="I1001" s="3" t="str">
        <f>IFERROR(__xludf.DUMMYFUNCTION("""COMPUTED_VALUE""")," ")</f>
        <v> </v>
      </c>
      <c r="J1001" s="3" t="str">
        <f>IFERROR(__xludf.DUMMYFUNCTION("""COMPUTED_VALUE""")," ")</f>
        <v> </v>
      </c>
      <c r="K1001" s="3" t="str">
        <f>IFERROR(__xludf.DUMMYFUNCTION("""COMPUTED_VALUE"""),"Y")</f>
        <v>Y</v>
      </c>
      <c r="L1001" s="3" t="str">
        <f>IFERROR(__xludf.DUMMYFUNCTION("""COMPUTED_VALUE"""),"Group 2")</f>
        <v>Group 2</v>
      </c>
      <c r="M1001" s="3"/>
      <c r="N1001" s="5" t="str">
        <f>IFERROR(__xludf.DUMMYFUNCTION("""COMPUTED_VALUE"""),"Y")</f>
        <v>Y</v>
      </c>
      <c r="O1001" s="5"/>
    </row>
    <row r="1002">
      <c r="A1002" s="2" t="str">
        <f>IFERROR(__xludf.DUMMYFUNCTION("""COMPUTED_VALUE"""),"1140")</f>
        <v>1140</v>
      </c>
      <c r="B1002" s="2" t="str">
        <f>IFERROR(__xludf.DUMMYFUNCTION("""COMPUTED_VALUE"""),"CANON CITY          RE-1")</f>
        <v>CANON CITY          RE-1</v>
      </c>
      <c r="C1002" s="2" t="str">
        <f>IFERROR(__xludf.DUMMYFUNCTION("""COMPUTED_VALUE"""),"01266")</f>
        <v>01266</v>
      </c>
      <c r="D1002" s="2" t="str">
        <f>IFERROR(__xludf.DUMMYFUNCTION("""COMPUTED_VALUE"""),"CANON CITY HIGH SCHOOL")</f>
        <v>CANON CITY HIGH SCHOOL</v>
      </c>
      <c r="E1002" s="3" t="str">
        <f>IFERROR(__xludf.DUMMYFUNCTION("""COMPUTED_VALUE"""),"Y")</f>
        <v>Y</v>
      </c>
      <c r="F1002" s="3" t="str">
        <f>IFERROR(__xludf.DUMMYFUNCTION("""COMPUTED_VALUE"""),"Y")</f>
        <v>Y</v>
      </c>
      <c r="G1002" s="3"/>
      <c r="H1002" s="3"/>
      <c r="I1002" s="3" t="str">
        <f>IFERROR(__xludf.DUMMYFUNCTION("""COMPUTED_VALUE""")," ")</f>
        <v> </v>
      </c>
      <c r="J1002" s="3" t="str">
        <f>IFERROR(__xludf.DUMMYFUNCTION("""COMPUTED_VALUE""")," ")</f>
        <v> </v>
      </c>
      <c r="K1002" s="3" t="str">
        <f>IFERROR(__xludf.DUMMYFUNCTION("""COMPUTED_VALUE"""),"Y")</f>
        <v>Y</v>
      </c>
      <c r="L1002" s="3" t="str">
        <f>IFERROR(__xludf.DUMMYFUNCTION("""COMPUTED_VALUE""")," ")</f>
        <v> </v>
      </c>
      <c r="M1002" s="3"/>
      <c r="N1002" s="5" t="str">
        <f>IFERROR(__xludf.DUMMYFUNCTION("""COMPUTED_VALUE"""),"Y")</f>
        <v>Y</v>
      </c>
      <c r="O1002" s="5"/>
    </row>
    <row r="1003">
      <c r="A1003" s="2" t="str">
        <f>IFERROR(__xludf.DUMMYFUNCTION("""COMPUTED_VALUE"""),"1140")</f>
        <v>1140</v>
      </c>
      <c r="B1003" s="2" t="str">
        <f>IFERROR(__xludf.DUMMYFUNCTION("""COMPUTED_VALUE"""),"CANON CITY          RE-1")</f>
        <v>CANON CITY          RE-1</v>
      </c>
      <c r="C1003" s="2" t="str">
        <f>IFERROR(__xludf.DUMMYFUNCTION("""COMPUTED_VALUE"""),"03802")</f>
        <v>03802</v>
      </c>
      <c r="D1003" s="2" t="str">
        <f>IFERROR(__xludf.DUMMYFUNCTION("""COMPUTED_VALUE"""),"HARRISON SCHOOL")</f>
        <v>HARRISON SCHOOL</v>
      </c>
      <c r="E1003" s="3" t="str">
        <f>IFERROR(__xludf.DUMMYFUNCTION("""COMPUTED_VALUE"""),"Y")</f>
        <v>Y</v>
      </c>
      <c r="F1003" s="3" t="str">
        <f>IFERROR(__xludf.DUMMYFUNCTION("""COMPUTED_VALUE"""),"Y")</f>
        <v>Y</v>
      </c>
      <c r="G1003" s="3"/>
      <c r="H1003" s="3"/>
      <c r="I1003" s="3" t="str">
        <f>IFERROR(__xludf.DUMMYFUNCTION("""COMPUTED_VALUE""")," ")</f>
        <v> </v>
      </c>
      <c r="J1003" s="3" t="str">
        <f>IFERROR(__xludf.DUMMYFUNCTION("""COMPUTED_VALUE"""),"Y")</f>
        <v>Y</v>
      </c>
      <c r="K1003" s="3" t="str">
        <f>IFERROR(__xludf.DUMMYFUNCTION("""COMPUTED_VALUE"""),"Y")</f>
        <v>Y</v>
      </c>
      <c r="L1003" s="3" t="str">
        <f>IFERROR(__xludf.DUMMYFUNCTION("""COMPUTED_VALUE"""),"Group 4")</f>
        <v>Group 4</v>
      </c>
      <c r="M1003" s="3"/>
      <c r="N1003" s="5" t="str">
        <f>IFERROR(__xludf.DUMMYFUNCTION("""COMPUTED_VALUE"""),"Y")</f>
        <v>Y</v>
      </c>
      <c r="O1003" s="5"/>
    </row>
    <row r="1004">
      <c r="A1004" s="2" t="str">
        <f>IFERROR(__xludf.DUMMYFUNCTION("""COMPUTED_VALUE"""),"1140")</f>
        <v>1140</v>
      </c>
      <c r="B1004" s="2" t="str">
        <f>IFERROR(__xludf.DUMMYFUNCTION("""COMPUTED_VALUE"""),"CANON CITY          RE-1")</f>
        <v>CANON CITY          RE-1</v>
      </c>
      <c r="C1004" s="2" t="str">
        <f>IFERROR(__xludf.DUMMYFUNCTION("""COMPUTED_VALUE"""),"05166")</f>
        <v>05166</v>
      </c>
      <c r="D1004" s="2" t="str">
        <f>IFERROR(__xludf.DUMMYFUNCTION("""COMPUTED_VALUE"""),"Lincoln School of Science and Technology")</f>
        <v>Lincoln School of Science and Technology</v>
      </c>
      <c r="E1004" s="3" t="str">
        <f>IFERROR(__xludf.DUMMYFUNCTION("""COMPUTED_VALUE"""),"Y")</f>
        <v>Y</v>
      </c>
      <c r="F1004" s="3" t="str">
        <f>IFERROR(__xludf.DUMMYFUNCTION("""COMPUTED_VALUE"""),"Y")</f>
        <v>Y</v>
      </c>
      <c r="G1004" s="3"/>
      <c r="H1004" s="3"/>
      <c r="I1004" s="3" t="str">
        <f>IFERROR(__xludf.DUMMYFUNCTION("""COMPUTED_VALUE""")," ")</f>
        <v> </v>
      </c>
      <c r="J1004" s="3" t="str">
        <f>IFERROR(__xludf.DUMMYFUNCTION("""COMPUTED_VALUE""")," ")</f>
        <v> </v>
      </c>
      <c r="K1004" s="3" t="str">
        <f>IFERROR(__xludf.DUMMYFUNCTION("""COMPUTED_VALUE"""),"Y")</f>
        <v>Y</v>
      </c>
      <c r="L1004" s="3" t="str">
        <f>IFERROR(__xludf.DUMMYFUNCTION("""COMPUTED_VALUE"""),"Group 4")</f>
        <v>Group 4</v>
      </c>
      <c r="M1004" s="3"/>
      <c r="N1004" s="5" t="str">
        <f>IFERROR(__xludf.DUMMYFUNCTION("""COMPUTED_VALUE"""),"Y")</f>
        <v>Y</v>
      </c>
      <c r="O1004" s="5"/>
    </row>
    <row r="1005">
      <c r="A1005" s="2" t="str">
        <f>IFERROR(__xludf.DUMMYFUNCTION("""COMPUTED_VALUE"""),"1140")</f>
        <v>1140</v>
      </c>
      <c r="B1005" s="2" t="str">
        <f>IFERROR(__xludf.DUMMYFUNCTION("""COMPUTED_VALUE"""),"CANON CITY          RE-1")</f>
        <v>CANON CITY          RE-1</v>
      </c>
      <c r="C1005" s="2" t="str">
        <f>IFERROR(__xludf.DUMMYFUNCTION("""COMPUTED_VALUE"""),"05704")</f>
        <v>05704</v>
      </c>
      <c r="D1005" s="2" t="str">
        <f>IFERROR(__xludf.DUMMYFUNCTION("""COMPUTED_VALUE"""),"MC KINLEY ELEMENTARY SCHOOL")</f>
        <v>MC KINLEY ELEMENTARY SCHOOL</v>
      </c>
      <c r="E1005" s="3" t="str">
        <f>IFERROR(__xludf.DUMMYFUNCTION("""COMPUTED_VALUE"""),"Y")</f>
        <v>Y</v>
      </c>
      <c r="F1005" s="3" t="str">
        <f>IFERROR(__xludf.DUMMYFUNCTION("""COMPUTED_VALUE"""),"Y")</f>
        <v>Y</v>
      </c>
      <c r="G1005" s="3"/>
      <c r="H1005" s="3"/>
      <c r="I1005" s="3" t="str">
        <f>IFERROR(__xludf.DUMMYFUNCTION("""COMPUTED_VALUE""")," ")</f>
        <v> </v>
      </c>
      <c r="J1005" s="3" t="str">
        <f>IFERROR(__xludf.DUMMYFUNCTION("""COMPUTED_VALUE""")," ")</f>
        <v> </v>
      </c>
      <c r="K1005" s="3" t="str">
        <f>IFERROR(__xludf.DUMMYFUNCTION("""COMPUTED_VALUE"""),"Y")</f>
        <v>Y</v>
      </c>
      <c r="L1005" s="3" t="str">
        <f>IFERROR(__xludf.DUMMYFUNCTION("""COMPUTED_VALUE"""),"Group 4")</f>
        <v>Group 4</v>
      </c>
      <c r="M1005" s="3"/>
      <c r="N1005" s="5" t="str">
        <f>IFERROR(__xludf.DUMMYFUNCTION("""COMPUTED_VALUE"""),"Y")</f>
        <v>Y</v>
      </c>
      <c r="O1005" s="5"/>
    </row>
    <row r="1006">
      <c r="A1006" s="2" t="str">
        <f>IFERROR(__xludf.DUMMYFUNCTION("""COMPUTED_VALUE"""),"1140")</f>
        <v>1140</v>
      </c>
      <c r="B1006" s="2" t="str">
        <f>IFERROR(__xludf.DUMMYFUNCTION("""COMPUTED_VALUE"""),"CANON CITY          RE-1")</f>
        <v>CANON CITY          RE-1</v>
      </c>
      <c r="C1006" s="2" t="str">
        <f>IFERROR(__xludf.DUMMYFUNCTION("""COMPUTED_VALUE"""),"06752")</f>
        <v>06752</v>
      </c>
      <c r="D1006" s="2" t="str">
        <f>IFERROR(__xludf.DUMMYFUNCTION("""COMPUTED_VALUE"""),"MOUNT VIEW CORE KNOWLEDGE CHARTER SCHOOL")</f>
        <v>MOUNT VIEW CORE KNOWLEDGE CHARTER SCHOOL</v>
      </c>
      <c r="E1006" s="3"/>
      <c r="F1006" s="3" t="str">
        <f>IFERROR(__xludf.DUMMYFUNCTION("""COMPUTED_VALUE"""),"Y")</f>
        <v>Y</v>
      </c>
      <c r="G1006" s="3"/>
      <c r="H1006" s="3"/>
      <c r="I1006" s="3" t="str">
        <f>IFERROR(__xludf.DUMMYFUNCTION("""COMPUTED_VALUE""")," ")</f>
        <v> </v>
      </c>
      <c r="J1006" s="3" t="str">
        <f>IFERROR(__xludf.DUMMYFUNCTION("""COMPUTED_VALUE""")," ")</f>
        <v> </v>
      </c>
      <c r="K1006" s="3" t="str">
        <f>IFERROR(__xludf.DUMMYFUNCTION("""COMPUTED_VALUE"""),"Y")</f>
        <v>Y</v>
      </c>
      <c r="L1006" s="3" t="str">
        <f>IFERROR(__xludf.DUMMYFUNCTION("""COMPUTED_VALUE""")," ")</f>
        <v> </v>
      </c>
      <c r="M1006" s="3"/>
      <c r="N1006" s="5" t="str">
        <f>IFERROR(__xludf.DUMMYFUNCTION("""COMPUTED_VALUE""")," ")</f>
        <v> </v>
      </c>
      <c r="O1006" s="5"/>
    </row>
    <row r="1007">
      <c r="A1007" s="2" t="str">
        <f>IFERROR(__xludf.DUMMYFUNCTION("""COMPUTED_VALUE"""),"1140")</f>
        <v>1140</v>
      </c>
      <c r="B1007" s="2" t="str">
        <f>IFERROR(__xludf.DUMMYFUNCTION("""COMPUTED_VALUE"""),"CANON CITY          RE-1")</f>
        <v>CANON CITY          RE-1</v>
      </c>
      <c r="C1007" s="2" t="str">
        <f>IFERROR(__xludf.DUMMYFUNCTION("""COMPUTED_VALUE"""),"07950")</f>
        <v>07950</v>
      </c>
      <c r="D1007" s="2" t="str">
        <f>IFERROR(__xludf.DUMMYFUNCTION("""COMPUTED_VALUE"""),"Canon Exploratory School")</f>
        <v>Canon Exploratory School</v>
      </c>
      <c r="E1007" s="3" t="str">
        <f>IFERROR(__xludf.DUMMYFUNCTION("""COMPUTED_VALUE"""),"Y")</f>
        <v>Y</v>
      </c>
      <c r="F1007" s="3" t="str">
        <f>IFERROR(__xludf.DUMMYFUNCTION("""COMPUTED_VALUE"""),"Y")</f>
        <v>Y</v>
      </c>
      <c r="G1007" s="3"/>
      <c r="H1007" s="3"/>
      <c r="I1007" s="3" t="str">
        <f>IFERROR(__xludf.DUMMYFUNCTION("""COMPUTED_VALUE""")," ")</f>
        <v> </v>
      </c>
      <c r="J1007" s="3" t="str">
        <f>IFERROR(__xludf.DUMMYFUNCTION("""COMPUTED_VALUE""")," ")</f>
        <v> </v>
      </c>
      <c r="K1007" s="3" t="str">
        <f>IFERROR(__xludf.DUMMYFUNCTION("""COMPUTED_VALUE"""),"Y")</f>
        <v>Y</v>
      </c>
      <c r="L1007" s="3" t="str">
        <f>IFERROR(__xludf.DUMMYFUNCTION("""COMPUTED_VALUE"""),"Group 3")</f>
        <v>Group 3</v>
      </c>
      <c r="M1007" s="3"/>
      <c r="N1007" s="5" t="str">
        <f>IFERROR(__xludf.DUMMYFUNCTION("""COMPUTED_VALUE"""),"Y")</f>
        <v>Y</v>
      </c>
      <c r="O1007" s="5"/>
    </row>
    <row r="1008">
      <c r="A1008" s="2" t="str">
        <f>IFERROR(__xludf.DUMMYFUNCTION("""COMPUTED_VALUE"""),"1140")</f>
        <v>1140</v>
      </c>
      <c r="B1008" s="2" t="str">
        <f>IFERROR(__xludf.DUMMYFUNCTION("""COMPUTED_VALUE"""),"CANON CITY          RE-1")</f>
        <v>CANON CITY          RE-1</v>
      </c>
      <c r="C1008" s="2" t="str">
        <f>IFERROR(__xludf.DUMMYFUNCTION("""COMPUTED_VALUE"""),"09248")</f>
        <v>09248</v>
      </c>
      <c r="D1008" s="2" t="str">
        <f>IFERROR(__xludf.DUMMYFUNCTION("""COMPUTED_VALUE"""),"WASHINGTON ELEMENTARY SCHOOL")</f>
        <v>WASHINGTON ELEMENTARY SCHOOL</v>
      </c>
      <c r="E1008" s="3" t="str">
        <f>IFERROR(__xludf.DUMMYFUNCTION("""COMPUTED_VALUE"""),"Y")</f>
        <v>Y</v>
      </c>
      <c r="F1008" s="3" t="str">
        <f>IFERROR(__xludf.DUMMYFUNCTION("""COMPUTED_VALUE"""),"Y")</f>
        <v>Y</v>
      </c>
      <c r="G1008" s="3"/>
      <c r="H1008" s="3"/>
      <c r="I1008" s="3" t="str">
        <f>IFERROR(__xludf.DUMMYFUNCTION("""COMPUTED_VALUE""")," ")</f>
        <v> </v>
      </c>
      <c r="J1008" s="3" t="str">
        <f>IFERROR(__xludf.DUMMYFUNCTION("""COMPUTED_VALUE"""),"Y")</f>
        <v>Y</v>
      </c>
      <c r="K1008" s="3" t="str">
        <f>IFERROR(__xludf.DUMMYFUNCTION("""COMPUTED_VALUE"""),"Y")</f>
        <v>Y</v>
      </c>
      <c r="L1008" s="3" t="str">
        <f>IFERROR(__xludf.DUMMYFUNCTION("""COMPUTED_VALUE"""),"Group 1")</f>
        <v>Group 1</v>
      </c>
      <c r="M1008" s="3"/>
      <c r="N1008" s="5" t="str">
        <f>IFERROR(__xludf.DUMMYFUNCTION("""COMPUTED_VALUE"""),"Y")</f>
        <v>Y</v>
      </c>
      <c r="O1008" s="5"/>
    </row>
    <row r="1009">
      <c r="A1009" s="2" t="str">
        <f>IFERROR(__xludf.DUMMYFUNCTION("""COMPUTED_VALUE"""),"1150")</f>
        <v>1150</v>
      </c>
      <c r="B1009" s="2" t="str">
        <f>IFERROR(__xludf.DUMMYFUNCTION("""COMPUTED_VALUE"""),"FREMONT            RE-2")</f>
        <v>FREMONT            RE-2</v>
      </c>
      <c r="C1009" s="2" t="str">
        <f>IFERROR(__xludf.DUMMYFUNCTION("""COMPUTED_VALUE"""),"03002")</f>
        <v>03002</v>
      </c>
      <c r="D1009" s="2" t="str">
        <f>IFERROR(__xludf.DUMMYFUNCTION("""COMPUTED_VALUE"""),"FLORENCE JR/SR HIGH SCHOOL")</f>
        <v>FLORENCE JR/SR HIGH SCHOOL</v>
      </c>
      <c r="E1009" s="3" t="str">
        <f>IFERROR(__xludf.DUMMYFUNCTION("""COMPUTED_VALUE"""),"Y")</f>
        <v>Y</v>
      </c>
      <c r="F1009" s="3" t="str">
        <f>IFERROR(__xludf.DUMMYFUNCTION("""COMPUTED_VALUE"""),"Y")</f>
        <v>Y</v>
      </c>
      <c r="G1009" s="3" t="str">
        <f>IFERROR(__xludf.DUMMYFUNCTION("""COMPUTED_VALUE"""),"Y")</f>
        <v>Y</v>
      </c>
      <c r="H1009" s="3"/>
      <c r="I1009" s="3" t="str">
        <f>IFERROR(__xludf.DUMMYFUNCTION("""COMPUTED_VALUE""")," ")</f>
        <v> </v>
      </c>
      <c r="J1009" s="3" t="str">
        <f>IFERROR(__xludf.DUMMYFUNCTION("""COMPUTED_VALUE""")," ")</f>
        <v> </v>
      </c>
      <c r="K1009" s="3" t="str">
        <f>IFERROR(__xludf.DUMMYFUNCTION("""COMPUTED_VALUE"""),"Y")</f>
        <v>Y</v>
      </c>
      <c r="L1009" s="3" t="str">
        <f>IFERROR(__xludf.DUMMYFUNCTION("""COMPUTED_VALUE"""),"Group 3")</f>
        <v>Group 3</v>
      </c>
      <c r="M1009" s="3"/>
      <c r="N1009" s="5" t="str">
        <f>IFERROR(__xludf.DUMMYFUNCTION("""COMPUTED_VALUE""")," ")</f>
        <v> </v>
      </c>
      <c r="O1009" s="5"/>
    </row>
    <row r="1010">
      <c r="A1010" s="2" t="str">
        <f>IFERROR(__xludf.DUMMYFUNCTION("""COMPUTED_VALUE"""),"1150")</f>
        <v>1150</v>
      </c>
      <c r="B1010" s="2" t="str">
        <f>IFERROR(__xludf.DUMMYFUNCTION("""COMPUTED_VALUE"""),"FREMONT            RE-2")</f>
        <v>FREMONT            RE-2</v>
      </c>
      <c r="C1010" s="2" t="str">
        <f>IFERROR(__xludf.DUMMYFUNCTION("""COMPUTED_VALUE"""),"03224")</f>
        <v>03224</v>
      </c>
      <c r="D1010" s="2" t="str">
        <f>IFERROR(__xludf.DUMMYFUNCTION("""COMPUTED_VALUE"""),"FREMONT ELEMENTARY SCHOOL")</f>
        <v>FREMONT ELEMENTARY SCHOOL</v>
      </c>
      <c r="E1010" s="3" t="str">
        <f>IFERROR(__xludf.DUMMYFUNCTION("""COMPUTED_VALUE"""),"Y")</f>
        <v>Y</v>
      </c>
      <c r="F1010" s="3" t="str">
        <f>IFERROR(__xludf.DUMMYFUNCTION("""COMPUTED_VALUE"""),"Y")</f>
        <v>Y</v>
      </c>
      <c r="G1010" s="3" t="str">
        <f>IFERROR(__xludf.DUMMYFUNCTION("""COMPUTED_VALUE"""),"Y")</f>
        <v>Y</v>
      </c>
      <c r="H1010" s="3"/>
      <c r="I1010" s="3" t="str">
        <f>IFERROR(__xludf.DUMMYFUNCTION("""COMPUTED_VALUE""")," ")</f>
        <v> </v>
      </c>
      <c r="J1010" s="3" t="str">
        <f>IFERROR(__xludf.DUMMYFUNCTION("""COMPUTED_VALUE""")," ")</f>
        <v> </v>
      </c>
      <c r="K1010" s="3" t="str">
        <f>IFERROR(__xludf.DUMMYFUNCTION("""COMPUTED_VALUE"""),"Y")</f>
        <v>Y</v>
      </c>
      <c r="L1010" s="3" t="str">
        <f>IFERROR(__xludf.DUMMYFUNCTION("""COMPUTED_VALUE"""),"Group 2")</f>
        <v>Group 2</v>
      </c>
      <c r="M1010" s="3"/>
      <c r="N1010" s="5" t="str">
        <f>IFERROR(__xludf.DUMMYFUNCTION("""COMPUTED_VALUE""")," ")</f>
        <v> </v>
      </c>
      <c r="O1010" s="5"/>
    </row>
    <row r="1011">
      <c r="A1011" s="2" t="str">
        <f>IFERROR(__xludf.DUMMYFUNCTION("""COMPUTED_VALUE"""),"1150")</f>
        <v>1150</v>
      </c>
      <c r="B1011" s="2" t="str">
        <f>IFERROR(__xludf.DUMMYFUNCTION("""COMPUTED_VALUE"""),"FREMONT            RE-2")</f>
        <v>FREMONT            RE-2</v>
      </c>
      <c r="C1011" s="2" t="str">
        <f>IFERROR(__xludf.DUMMYFUNCTION("""COMPUTED_VALUE"""),"06858")</f>
        <v>06858</v>
      </c>
      <c r="D1011" s="2" t="str">
        <f>IFERROR(__xludf.DUMMYFUNCTION("""COMPUTED_VALUE"""),"PENROSE ELEMENTARY SCHOOL")</f>
        <v>PENROSE ELEMENTARY SCHOOL</v>
      </c>
      <c r="E1011" s="3" t="str">
        <f>IFERROR(__xludf.DUMMYFUNCTION("""COMPUTED_VALUE"""),"Y")</f>
        <v>Y</v>
      </c>
      <c r="F1011" s="3" t="str">
        <f>IFERROR(__xludf.DUMMYFUNCTION("""COMPUTED_VALUE"""),"Y")</f>
        <v>Y</v>
      </c>
      <c r="G1011" s="3" t="str">
        <f>IFERROR(__xludf.DUMMYFUNCTION("""COMPUTED_VALUE"""),"Y")</f>
        <v>Y</v>
      </c>
      <c r="H1011" s="3"/>
      <c r="I1011" s="3" t="str">
        <f>IFERROR(__xludf.DUMMYFUNCTION("""COMPUTED_VALUE""")," ")</f>
        <v> </v>
      </c>
      <c r="J1011" s="3" t="str">
        <f>IFERROR(__xludf.DUMMYFUNCTION("""COMPUTED_VALUE""")," ")</f>
        <v> </v>
      </c>
      <c r="K1011" s="3" t="str">
        <f>IFERROR(__xludf.DUMMYFUNCTION("""COMPUTED_VALUE"""),"Y")</f>
        <v>Y</v>
      </c>
      <c r="L1011" s="3" t="str">
        <f>IFERROR(__xludf.DUMMYFUNCTION("""COMPUTED_VALUE"""),"Group 1")</f>
        <v>Group 1</v>
      </c>
      <c r="M1011" s="3"/>
      <c r="N1011" s="5" t="str">
        <f>IFERROR(__xludf.DUMMYFUNCTION("""COMPUTED_VALUE""")," ")</f>
        <v> </v>
      </c>
      <c r="O1011" s="5"/>
    </row>
    <row r="1012">
      <c r="A1012" s="2" t="str">
        <f>IFERROR(__xludf.DUMMYFUNCTION("""COMPUTED_VALUE"""),"1160")</f>
        <v>1160</v>
      </c>
      <c r="B1012" s="2" t="str">
        <f>IFERROR(__xludf.DUMMYFUNCTION("""COMPUTED_VALUE"""),"COTOPAXI            RE-3")</f>
        <v>COTOPAXI            RE-3</v>
      </c>
      <c r="C1012" s="2" t="str">
        <f>IFERROR(__xludf.DUMMYFUNCTION("""COMPUTED_VALUE"""),"03220")</f>
        <v>03220</v>
      </c>
      <c r="D1012" s="2" t="str">
        <f>IFERROR(__xludf.DUMMYFUNCTION("""COMPUTED_VALUE"""),"COTOPAXI ELEMENTARY SCHOOL")</f>
        <v>COTOPAXI ELEMENTARY SCHOOL</v>
      </c>
      <c r="E1012" s="3" t="str">
        <f>IFERROR(__xludf.DUMMYFUNCTION("""COMPUTED_VALUE"""),"Y")</f>
        <v>Y</v>
      </c>
      <c r="F1012" s="3" t="str">
        <f>IFERROR(__xludf.DUMMYFUNCTION("""COMPUTED_VALUE"""),"Y")</f>
        <v>Y</v>
      </c>
      <c r="G1012" s="3" t="str">
        <f>IFERROR(__xludf.DUMMYFUNCTION("""COMPUTED_VALUE"""),"Y")</f>
        <v>Y</v>
      </c>
      <c r="H1012" s="3"/>
      <c r="I1012" s="3" t="str">
        <f>IFERROR(__xludf.DUMMYFUNCTION("""COMPUTED_VALUE""")," ")</f>
        <v> </v>
      </c>
      <c r="J1012" s="3" t="str">
        <f>IFERROR(__xludf.DUMMYFUNCTION("""COMPUTED_VALUE""")," ")</f>
        <v> </v>
      </c>
      <c r="K1012" s="3" t="str">
        <f>IFERROR(__xludf.DUMMYFUNCTION("""COMPUTED_VALUE"""),"Y")</f>
        <v>Y</v>
      </c>
      <c r="L1012" s="3" t="str">
        <f>IFERROR(__xludf.DUMMYFUNCTION("""COMPUTED_VALUE"""),"Group 1")</f>
        <v>Group 1</v>
      </c>
      <c r="M1012" s="3"/>
      <c r="N1012" s="5" t="str">
        <f>IFERROR(__xludf.DUMMYFUNCTION("""COMPUTED_VALUE""")," ")</f>
        <v> </v>
      </c>
      <c r="O1012" s="5"/>
    </row>
    <row r="1013">
      <c r="A1013" s="2" t="str">
        <f>IFERROR(__xludf.DUMMYFUNCTION("""COMPUTED_VALUE"""),"1160")</f>
        <v>1160</v>
      </c>
      <c r="B1013" s="2" t="str">
        <f>IFERROR(__xludf.DUMMYFUNCTION("""COMPUTED_VALUE"""),"COTOPAXI            RE-3")</f>
        <v>COTOPAXI            RE-3</v>
      </c>
      <c r="C1013" s="2" t="str">
        <f>IFERROR(__xludf.DUMMYFUNCTION("""COMPUTED_VALUE"""),"03228")</f>
        <v>03228</v>
      </c>
      <c r="D1013" s="2" t="str">
        <f>IFERROR(__xludf.DUMMYFUNCTION("""COMPUTED_VALUE"""),"COTOPAXI JUNIOR-SENIOR HIGH SCHOOL")</f>
        <v>COTOPAXI JUNIOR-SENIOR HIGH SCHOOL</v>
      </c>
      <c r="E1013" s="3" t="str">
        <f>IFERROR(__xludf.DUMMYFUNCTION("""COMPUTED_VALUE"""),"Y")</f>
        <v>Y</v>
      </c>
      <c r="F1013" s="3" t="str">
        <f>IFERROR(__xludf.DUMMYFUNCTION("""COMPUTED_VALUE"""),"Y")</f>
        <v>Y</v>
      </c>
      <c r="G1013" s="3" t="str">
        <f>IFERROR(__xludf.DUMMYFUNCTION("""COMPUTED_VALUE"""),"Y")</f>
        <v>Y</v>
      </c>
      <c r="H1013" s="3"/>
      <c r="I1013" s="3" t="str">
        <f>IFERROR(__xludf.DUMMYFUNCTION("""COMPUTED_VALUE""")," ")</f>
        <v> </v>
      </c>
      <c r="J1013" s="3" t="str">
        <f>IFERROR(__xludf.DUMMYFUNCTION("""COMPUTED_VALUE""")," ")</f>
        <v> </v>
      </c>
      <c r="K1013" s="3" t="str">
        <f>IFERROR(__xludf.DUMMYFUNCTION("""COMPUTED_VALUE"""),"Y")</f>
        <v>Y</v>
      </c>
      <c r="L1013" s="3" t="str">
        <f>IFERROR(__xludf.DUMMYFUNCTION("""COMPUTED_VALUE"""),"Group 1")</f>
        <v>Group 1</v>
      </c>
      <c r="M1013" s="3"/>
      <c r="N1013" s="5" t="str">
        <f>IFERROR(__xludf.DUMMYFUNCTION("""COMPUTED_VALUE""")," ")</f>
        <v> </v>
      </c>
      <c r="O1013" s="5"/>
    </row>
    <row r="1014">
      <c r="A1014" s="2" t="str">
        <f>IFERROR(__xludf.DUMMYFUNCTION("""COMPUTED_VALUE"""),"1160")</f>
        <v>1160</v>
      </c>
      <c r="B1014" s="2" t="str">
        <f>IFERROR(__xludf.DUMMYFUNCTION("""COMPUTED_VALUE"""),"COTOPAXI            RE-3")</f>
        <v>COTOPAXI            RE-3</v>
      </c>
      <c r="C1014" s="2" t="str">
        <f>IFERROR(__xludf.DUMMYFUNCTION("""COMPUTED_VALUE"""),"04783")</f>
        <v>04783</v>
      </c>
      <c r="D1014" s="2" t="str">
        <f>IFERROR(__xludf.DUMMYFUNCTION("""COMPUTED_VALUE"""),"THE COTOPAXI EARLY LEARNING CENTER")</f>
        <v>THE COTOPAXI EARLY LEARNING CENTER</v>
      </c>
      <c r="E1014" s="3" t="str">
        <f>IFERROR(__xludf.DUMMYFUNCTION("""COMPUTED_VALUE"""),"Y")</f>
        <v>Y</v>
      </c>
      <c r="F1014" s="3" t="str">
        <f>IFERROR(__xludf.DUMMYFUNCTION("""COMPUTED_VALUE"""),"Y")</f>
        <v>Y</v>
      </c>
      <c r="G1014" s="3"/>
      <c r="H1014" s="3"/>
      <c r="I1014" s="3" t="str">
        <f>IFERROR(__xludf.DUMMYFUNCTION("""COMPUTED_VALUE""")," ")</f>
        <v> </v>
      </c>
      <c r="J1014" s="3" t="str">
        <f>IFERROR(__xludf.DUMMYFUNCTION("""COMPUTED_VALUE"""),"Y")</f>
        <v>Y</v>
      </c>
      <c r="K1014" s="3" t="str">
        <f>IFERROR(__xludf.DUMMYFUNCTION("""COMPUTED_VALUE"""),"Y")</f>
        <v>Y</v>
      </c>
      <c r="L1014" s="3" t="str">
        <f>IFERROR(__xludf.DUMMYFUNCTION("""COMPUTED_VALUE"""),"Group 1")</f>
        <v>Group 1</v>
      </c>
      <c r="M1014" s="3"/>
      <c r="N1014" s="5" t="str">
        <f>IFERROR(__xludf.DUMMYFUNCTION("""COMPUTED_VALUE""")," ")</f>
        <v> </v>
      </c>
      <c r="O1014" s="5"/>
    </row>
    <row r="1015">
      <c r="A1015" s="2" t="str">
        <f>IFERROR(__xludf.DUMMYFUNCTION("""COMPUTED_VALUE"""),"1180")</f>
        <v>1180</v>
      </c>
      <c r="B1015" s="2" t="str">
        <f>IFERROR(__xludf.DUMMYFUNCTION("""COMPUTED_VALUE"""),"ROARING FORK        RE-1")</f>
        <v>ROARING FORK        RE-1</v>
      </c>
      <c r="C1015" s="2" t="str">
        <f>IFERROR(__xludf.DUMMYFUNCTION("""COMPUTED_VALUE"""),"00429")</f>
        <v>00429</v>
      </c>
      <c r="D1015" s="2" t="str">
        <f>IFERROR(__xludf.DUMMYFUNCTION("""COMPUTED_VALUE"""),"CARBONDALE COMMUNITY CHARTER SCHOOL")</f>
        <v>CARBONDALE COMMUNITY CHARTER SCHOOL</v>
      </c>
      <c r="E1015" s="3"/>
      <c r="F1015" s="3" t="str">
        <f>IFERROR(__xludf.DUMMYFUNCTION("""COMPUTED_VALUE"""),"Y")</f>
        <v>Y</v>
      </c>
      <c r="G1015" s="3"/>
      <c r="H1015" s="3"/>
      <c r="I1015" s="3" t="str">
        <f>IFERROR(__xludf.DUMMYFUNCTION("""COMPUTED_VALUE""")," ")</f>
        <v> </v>
      </c>
      <c r="J1015" s="3" t="str">
        <f>IFERROR(__xludf.DUMMYFUNCTION("""COMPUTED_VALUE""")," ")</f>
        <v> </v>
      </c>
      <c r="K1015" s="3" t="str">
        <f>IFERROR(__xludf.DUMMYFUNCTION("""COMPUTED_VALUE"""),"Y")</f>
        <v>Y</v>
      </c>
      <c r="L1015" s="3" t="str">
        <f>IFERROR(__xludf.DUMMYFUNCTION("""COMPUTED_VALUE""")," ")</f>
        <v> </v>
      </c>
      <c r="M1015" s="3"/>
      <c r="N1015" s="5" t="str">
        <f>IFERROR(__xludf.DUMMYFUNCTION("""COMPUTED_VALUE""")," ")</f>
        <v> </v>
      </c>
      <c r="O1015" s="5"/>
    </row>
    <row r="1016">
      <c r="A1016" s="2" t="str">
        <f>IFERROR(__xludf.DUMMYFUNCTION("""COMPUTED_VALUE"""),"1180")</f>
        <v>1180</v>
      </c>
      <c r="B1016" s="2" t="str">
        <f>IFERROR(__xludf.DUMMYFUNCTION("""COMPUTED_VALUE"""),"ROARING FORK        RE-1")</f>
        <v>ROARING FORK        RE-1</v>
      </c>
      <c r="C1016" s="2" t="str">
        <f>IFERROR(__xludf.DUMMYFUNCTION("""COMPUTED_VALUE"""),"00560")</f>
        <v>00560</v>
      </c>
      <c r="D1016" s="2" t="str">
        <f>IFERROR(__xludf.DUMMYFUNCTION("""COMPUTED_VALUE"""),"BASALT ELEMENTARY SCHOOL")</f>
        <v>BASALT ELEMENTARY SCHOOL</v>
      </c>
      <c r="E1016" s="3" t="str">
        <f>IFERROR(__xludf.DUMMYFUNCTION("""COMPUTED_VALUE"""),"Y")</f>
        <v>Y</v>
      </c>
      <c r="F1016" s="3" t="str">
        <f>IFERROR(__xludf.DUMMYFUNCTION("""COMPUTED_VALUE"""),"Y")</f>
        <v>Y</v>
      </c>
      <c r="G1016" s="3"/>
      <c r="H1016" s="3"/>
      <c r="I1016" s="3" t="str">
        <f>IFERROR(__xludf.DUMMYFUNCTION("""COMPUTED_VALUE""")," ")</f>
        <v> </v>
      </c>
      <c r="J1016" s="3" t="str">
        <f>IFERROR(__xludf.DUMMYFUNCTION("""COMPUTED_VALUE""")," ")</f>
        <v> </v>
      </c>
      <c r="K1016" s="3" t="str">
        <f>IFERROR(__xludf.DUMMYFUNCTION("""COMPUTED_VALUE"""),"Y")</f>
        <v>Y</v>
      </c>
      <c r="L1016" s="3" t="str">
        <f>IFERROR(__xludf.DUMMYFUNCTION("""COMPUTED_VALUE""")," ")</f>
        <v> </v>
      </c>
      <c r="M1016" s="3"/>
      <c r="N1016" s="5" t="str">
        <f>IFERROR(__xludf.DUMMYFUNCTION("""COMPUTED_VALUE"""),"Y")</f>
        <v>Y</v>
      </c>
      <c r="O1016" s="5"/>
    </row>
    <row r="1017">
      <c r="A1017" s="2" t="str">
        <f>IFERROR(__xludf.DUMMYFUNCTION("""COMPUTED_VALUE"""),"1180")</f>
        <v>1180</v>
      </c>
      <c r="B1017" s="2" t="str">
        <f>IFERROR(__xludf.DUMMYFUNCTION("""COMPUTED_VALUE"""),"ROARING FORK        RE-1")</f>
        <v>ROARING FORK        RE-1</v>
      </c>
      <c r="C1017" s="2" t="str">
        <f>IFERROR(__xludf.DUMMYFUNCTION("""COMPUTED_VALUE"""),"00561")</f>
        <v>00561</v>
      </c>
      <c r="D1017" s="2" t="str">
        <f>IFERROR(__xludf.DUMMYFUNCTION("""COMPUTED_VALUE"""),"BASALT MIDDLE SCHOOL")</f>
        <v>BASALT MIDDLE SCHOOL</v>
      </c>
      <c r="E1017" s="3" t="str">
        <f>IFERROR(__xludf.DUMMYFUNCTION("""COMPUTED_VALUE"""),"Y")</f>
        <v>Y</v>
      </c>
      <c r="F1017" s="3" t="str">
        <f>IFERROR(__xludf.DUMMYFUNCTION("""COMPUTED_VALUE"""),"Y")</f>
        <v>Y</v>
      </c>
      <c r="G1017" s="3"/>
      <c r="H1017" s="3"/>
      <c r="I1017" s="3" t="str">
        <f>IFERROR(__xludf.DUMMYFUNCTION("""COMPUTED_VALUE""")," ")</f>
        <v> </v>
      </c>
      <c r="J1017" s="3" t="str">
        <f>IFERROR(__xludf.DUMMYFUNCTION("""COMPUTED_VALUE""")," ")</f>
        <v> </v>
      </c>
      <c r="K1017" s="3" t="str">
        <f>IFERROR(__xludf.DUMMYFUNCTION("""COMPUTED_VALUE"""),"Y")</f>
        <v>Y</v>
      </c>
      <c r="L1017" s="3" t="str">
        <f>IFERROR(__xludf.DUMMYFUNCTION("""COMPUTED_VALUE""")," ")</f>
        <v> </v>
      </c>
      <c r="M1017" s="3"/>
      <c r="N1017" s="5" t="str">
        <f>IFERROR(__xludf.DUMMYFUNCTION("""COMPUTED_VALUE"""),"Y")</f>
        <v>Y</v>
      </c>
      <c r="O1017" s="5"/>
    </row>
    <row r="1018">
      <c r="A1018" s="2" t="str">
        <f>IFERROR(__xludf.DUMMYFUNCTION("""COMPUTED_VALUE"""),"1180")</f>
        <v>1180</v>
      </c>
      <c r="B1018" s="2" t="str">
        <f>IFERROR(__xludf.DUMMYFUNCTION("""COMPUTED_VALUE"""),"ROARING FORK        RE-1")</f>
        <v>ROARING FORK        RE-1</v>
      </c>
      <c r="C1018" s="2" t="str">
        <f>IFERROR(__xludf.DUMMYFUNCTION("""COMPUTED_VALUE"""),"00570")</f>
        <v>00570</v>
      </c>
      <c r="D1018" s="2" t="str">
        <f>IFERROR(__xludf.DUMMYFUNCTION("""COMPUTED_VALUE"""),"BASALT HIGH SCHOOL")</f>
        <v>BASALT HIGH SCHOOL</v>
      </c>
      <c r="E1018" s="3" t="str">
        <f>IFERROR(__xludf.DUMMYFUNCTION("""COMPUTED_VALUE"""),"Y")</f>
        <v>Y</v>
      </c>
      <c r="F1018" s="3" t="str">
        <f>IFERROR(__xludf.DUMMYFUNCTION("""COMPUTED_VALUE"""),"Y")</f>
        <v>Y</v>
      </c>
      <c r="G1018" s="3"/>
      <c r="H1018" s="3"/>
      <c r="I1018" s="3" t="str">
        <f>IFERROR(__xludf.DUMMYFUNCTION("""COMPUTED_VALUE""")," ")</f>
        <v> </v>
      </c>
      <c r="J1018" s="3" t="str">
        <f>IFERROR(__xludf.DUMMYFUNCTION("""COMPUTED_VALUE""")," ")</f>
        <v> </v>
      </c>
      <c r="K1018" s="3" t="str">
        <f>IFERROR(__xludf.DUMMYFUNCTION("""COMPUTED_VALUE"""),"Y")</f>
        <v>Y</v>
      </c>
      <c r="L1018" s="3" t="str">
        <f>IFERROR(__xludf.DUMMYFUNCTION("""COMPUTED_VALUE""")," ")</f>
        <v> </v>
      </c>
      <c r="M1018" s="3"/>
      <c r="N1018" s="5" t="str">
        <f>IFERROR(__xludf.DUMMYFUNCTION("""COMPUTED_VALUE""")," ")</f>
        <v> </v>
      </c>
      <c r="O1018" s="5"/>
    </row>
    <row r="1019">
      <c r="A1019" s="2" t="str">
        <f>IFERROR(__xludf.DUMMYFUNCTION("""COMPUTED_VALUE"""),"1180")</f>
        <v>1180</v>
      </c>
      <c r="B1019" s="2" t="str">
        <f>IFERROR(__xludf.DUMMYFUNCTION("""COMPUTED_VALUE"""),"ROARING FORK        RE-1")</f>
        <v>ROARING FORK        RE-1</v>
      </c>
      <c r="C1019" s="2" t="str">
        <f>IFERROR(__xludf.DUMMYFUNCTION("""COMPUTED_VALUE"""),"01006")</f>
        <v>01006</v>
      </c>
      <c r="D1019" s="2" t="str">
        <f>IFERROR(__xludf.DUMMYFUNCTION("""COMPUTED_VALUE"""),"BRIDGES")</f>
        <v>BRIDGES</v>
      </c>
      <c r="E1019" s="3" t="str">
        <f>IFERROR(__xludf.DUMMYFUNCTION("""COMPUTED_VALUE"""),"Y")</f>
        <v>Y</v>
      </c>
      <c r="F1019" s="3" t="str">
        <f>IFERROR(__xludf.DUMMYFUNCTION("""COMPUTED_VALUE"""),"Y")</f>
        <v>Y</v>
      </c>
      <c r="G1019" s="3"/>
      <c r="H1019" s="3"/>
      <c r="I1019" s="3" t="str">
        <f>IFERROR(__xludf.DUMMYFUNCTION("""COMPUTED_VALUE""")," ")</f>
        <v> </v>
      </c>
      <c r="J1019" s="3" t="str">
        <f>IFERROR(__xludf.DUMMYFUNCTION("""COMPUTED_VALUE""")," ")</f>
        <v> </v>
      </c>
      <c r="K1019" s="3" t="str">
        <f>IFERROR(__xludf.DUMMYFUNCTION("""COMPUTED_VALUE"""),"Y")</f>
        <v>Y</v>
      </c>
      <c r="L1019" s="3" t="str">
        <f>IFERROR(__xludf.DUMMYFUNCTION("""COMPUTED_VALUE""")," ")</f>
        <v> </v>
      </c>
      <c r="M1019" s="3"/>
      <c r="N1019" s="5" t="str">
        <f>IFERROR(__xludf.DUMMYFUNCTION("""COMPUTED_VALUE""")," ")</f>
        <v> </v>
      </c>
      <c r="O1019" s="5"/>
    </row>
    <row r="1020">
      <c r="A1020" s="2" t="str">
        <f>IFERROR(__xludf.DUMMYFUNCTION("""COMPUTED_VALUE"""),"1180")</f>
        <v>1180</v>
      </c>
      <c r="B1020" s="2" t="str">
        <f>IFERROR(__xludf.DUMMYFUNCTION("""COMPUTED_VALUE"""),"ROARING FORK        RE-1")</f>
        <v>ROARING FORK        RE-1</v>
      </c>
      <c r="C1020" s="2" t="str">
        <f>IFERROR(__xludf.DUMMYFUNCTION("""COMPUTED_VALUE"""),"01296")</f>
        <v>01296</v>
      </c>
      <c r="D1020" s="2" t="str">
        <f>IFERROR(__xludf.DUMMYFUNCTION("""COMPUTED_VALUE"""),"CARBONDALE MIDDLE SCHOOL")</f>
        <v>CARBONDALE MIDDLE SCHOOL</v>
      </c>
      <c r="E1020" s="3" t="str">
        <f>IFERROR(__xludf.DUMMYFUNCTION("""COMPUTED_VALUE"""),"Y")</f>
        <v>Y</v>
      </c>
      <c r="F1020" s="3" t="str">
        <f>IFERROR(__xludf.DUMMYFUNCTION("""COMPUTED_VALUE"""),"Y")</f>
        <v>Y</v>
      </c>
      <c r="G1020" s="3"/>
      <c r="H1020" s="3"/>
      <c r="I1020" s="3" t="str">
        <f>IFERROR(__xludf.DUMMYFUNCTION("""COMPUTED_VALUE""")," ")</f>
        <v> </v>
      </c>
      <c r="J1020" s="3" t="str">
        <f>IFERROR(__xludf.DUMMYFUNCTION("""COMPUTED_VALUE""")," ")</f>
        <v> </v>
      </c>
      <c r="K1020" s="3" t="str">
        <f>IFERROR(__xludf.DUMMYFUNCTION("""COMPUTED_VALUE"""),"Y")</f>
        <v>Y</v>
      </c>
      <c r="L1020" s="3" t="str">
        <f>IFERROR(__xludf.DUMMYFUNCTION("""COMPUTED_VALUE""")," ")</f>
        <v> </v>
      </c>
      <c r="M1020" s="3"/>
      <c r="N1020" s="5" t="str">
        <f>IFERROR(__xludf.DUMMYFUNCTION("""COMPUTED_VALUE"""),"Y")</f>
        <v>Y</v>
      </c>
      <c r="O1020" s="5"/>
    </row>
    <row r="1021">
      <c r="A1021" s="2" t="str">
        <f>IFERROR(__xludf.DUMMYFUNCTION("""COMPUTED_VALUE"""),"1180")</f>
        <v>1180</v>
      </c>
      <c r="B1021" s="2" t="str">
        <f>IFERROR(__xludf.DUMMYFUNCTION("""COMPUTED_VALUE"""),"ROARING FORK        RE-1")</f>
        <v>ROARING FORK        RE-1</v>
      </c>
      <c r="C1021" s="2" t="str">
        <f>IFERROR(__xludf.DUMMYFUNCTION("""COMPUTED_VALUE"""),"02063")</f>
        <v>02063</v>
      </c>
      <c r="D1021" s="2" t="str">
        <f>IFERROR(__xludf.DUMMYFUNCTION("""COMPUTED_VALUE"""),"CRYSTAL RIVER ELEMENTARY SCHOOL")</f>
        <v>CRYSTAL RIVER ELEMENTARY SCHOOL</v>
      </c>
      <c r="E1021" s="3" t="str">
        <f>IFERROR(__xludf.DUMMYFUNCTION("""COMPUTED_VALUE"""),"Y")</f>
        <v>Y</v>
      </c>
      <c r="F1021" s="3" t="str">
        <f>IFERROR(__xludf.DUMMYFUNCTION("""COMPUTED_VALUE"""),"Y")</f>
        <v>Y</v>
      </c>
      <c r="G1021" s="3"/>
      <c r="H1021" s="3"/>
      <c r="I1021" s="3" t="str">
        <f>IFERROR(__xludf.DUMMYFUNCTION("""COMPUTED_VALUE""")," ")</f>
        <v> </v>
      </c>
      <c r="J1021" s="3" t="str">
        <f>IFERROR(__xludf.DUMMYFUNCTION("""COMPUTED_VALUE""")," ")</f>
        <v> </v>
      </c>
      <c r="K1021" s="3" t="str">
        <f>IFERROR(__xludf.DUMMYFUNCTION("""COMPUTED_VALUE"""),"Y")</f>
        <v>Y</v>
      </c>
      <c r="L1021" s="3" t="str">
        <f>IFERROR(__xludf.DUMMYFUNCTION("""COMPUTED_VALUE""")," ")</f>
        <v> </v>
      </c>
      <c r="M1021" s="3"/>
      <c r="N1021" s="5" t="str">
        <f>IFERROR(__xludf.DUMMYFUNCTION("""COMPUTED_VALUE"""),"Y")</f>
        <v>Y</v>
      </c>
      <c r="O1021" s="5"/>
    </row>
    <row r="1022">
      <c r="A1022" s="2" t="str">
        <f>IFERROR(__xludf.DUMMYFUNCTION("""COMPUTED_VALUE"""),"1180")</f>
        <v>1180</v>
      </c>
      <c r="B1022" s="2" t="str">
        <f>IFERROR(__xludf.DUMMYFUNCTION("""COMPUTED_VALUE"""),"ROARING FORK        RE-1")</f>
        <v>ROARING FORK        RE-1</v>
      </c>
      <c r="C1022" s="2" t="str">
        <f>IFERROR(__xludf.DUMMYFUNCTION("""COMPUTED_VALUE"""),"03460")</f>
        <v>03460</v>
      </c>
      <c r="D1022" s="2" t="str">
        <f>IFERROR(__xludf.DUMMYFUNCTION("""COMPUTED_VALUE"""),"GLENWOOD SPRINGS ELEMENTARY SCHOOL")</f>
        <v>GLENWOOD SPRINGS ELEMENTARY SCHOOL</v>
      </c>
      <c r="E1022" s="3" t="str">
        <f>IFERROR(__xludf.DUMMYFUNCTION("""COMPUTED_VALUE"""),"Y")</f>
        <v>Y</v>
      </c>
      <c r="F1022" s="3" t="str">
        <f>IFERROR(__xludf.DUMMYFUNCTION("""COMPUTED_VALUE"""),"Y")</f>
        <v>Y</v>
      </c>
      <c r="G1022" s="3"/>
      <c r="H1022" s="3"/>
      <c r="I1022" s="3" t="str">
        <f>IFERROR(__xludf.DUMMYFUNCTION("""COMPUTED_VALUE""")," ")</f>
        <v> </v>
      </c>
      <c r="J1022" s="3" t="str">
        <f>IFERROR(__xludf.DUMMYFUNCTION("""COMPUTED_VALUE""")," ")</f>
        <v> </v>
      </c>
      <c r="K1022" s="3" t="str">
        <f>IFERROR(__xludf.DUMMYFUNCTION("""COMPUTED_VALUE"""),"Y")</f>
        <v>Y</v>
      </c>
      <c r="L1022" s="3" t="str">
        <f>IFERROR(__xludf.DUMMYFUNCTION("""COMPUTED_VALUE""")," ")</f>
        <v> </v>
      </c>
      <c r="M1022" s="3"/>
      <c r="N1022" s="5" t="str">
        <f>IFERROR(__xludf.DUMMYFUNCTION("""COMPUTED_VALUE"""),"Y")</f>
        <v>Y</v>
      </c>
      <c r="O1022" s="5"/>
    </row>
    <row r="1023">
      <c r="A1023" s="2" t="str">
        <f>IFERROR(__xludf.DUMMYFUNCTION("""COMPUTED_VALUE"""),"1180")</f>
        <v>1180</v>
      </c>
      <c r="B1023" s="2" t="str">
        <f>IFERROR(__xludf.DUMMYFUNCTION("""COMPUTED_VALUE"""),"ROARING FORK        RE-1")</f>
        <v>ROARING FORK        RE-1</v>
      </c>
      <c r="C1023" s="2" t="str">
        <f>IFERROR(__xludf.DUMMYFUNCTION("""COMPUTED_VALUE"""),"03464")</f>
        <v>03464</v>
      </c>
      <c r="D1023" s="2" t="str">
        <f>IFERROR(__xludf.DUMMYFUNCTION("""COMPUTED_VALUE"""),"GLENWOOD SPRINGS MIDDLE SCHOOL")</f>
        <v>GLENWOOD SPRINGS MIDDLE SCHOOL</v>
      </c>
      <c r="E1023" s="3" t="str">
        <f>IFERROR(__xludf.DUMMYFUNCTION("""COMPUTED_VALUE"""),"Y")</f>
        <v>Y</v>
      </c>
      <c r="F1023" s="3" t="str">
        <f>IFERROR(__xludf.DUMMYFUNCTION("""COMPUTED_VALUE"""),"Y")</f>
        <v>Y</v>
      </c>
      <c r="G1023" s="3"/>
      <c r="H1023" s="3"/>
      <c r="I1023" s="3" t="str">
        <f>IFERROR(__xludf.DUMMYFUNCTION("""COMPUTED_VALUE""")," ")</f>
        <v> </v>
      </c>
      <c r="J1023" s="3" t="str">
        <f>IFERROR(__xludf.DUMMYFUNCTION("""COMPUTED_VALUE""")," ")</f>
        <v> </v>
      </c>
      <c r="K1023" s="3" t="str">
        <f>IFERROR(__xludf.DUMMYFUNCTION("""COMPUTED_VALUE"""),"Y")</f>
        <v>Y</v>
      </c>
      <c r="L1023" s="3" t="str">
        <f>IFERROR(__xludf.DUMMYFUNCTION("""COMPUTED_VALUE""")," ")</f>
        <v> </v>
      </c>
      <c r="M1023" s="3"/>
      <c r="N1023" s="5" t="str">
        <f>IFERROR(__xludf.DUMMYFUNCTION("""COMPUTED_VALUE""")," ")</f>
        <v> </v>
      </c>
      <c r="O1023" s="5"/>
    </row>
    <row r="1024">
      <c r="A1024" s="2" t="str">
        <f>IFERROR(__xludf.DUMMYFUNCTION("""COMPUTED_VALUE"""),"1180")</f>
        <v>1180</v>
      </c>
      <c r="B1024" s="2" t="str">
        <f>IFERROR(__xludf.DUMMYFUNCTION("""COMPUTED_VALUE"""),"ROARING FORK        RE-1")</f>
        <v>ROARING FORK        RE-1</v>
      </c>
      <c r="C1024" s="2" t="str">
        <f>IFERROR(__xludf.DUMMYFUNCTION("""COMPUTED_VALUE"""),"03468")</f>
        <v>03468</v>
      </c>
      <c r="D1024" s="2" t="str">
        <f>IFERROR(__xludf.DUMMYFUNCTION("""COMPUTED_VALUE"""),"GLENWOOD SPRINGS HIGH SCHOOL")</f>
        <v>GLENWOOD SPRINGS HIGH SCHOOL</v>
      </c>
      <c r="E1024" s="3" t="str">
        <f>IFERROR(__xludf.DUMMYFUNCTION("""COMPUTED_VALUE"""),"Y")</f>
        <v>Y</v>
      </c>
      <c r="F1024" s="3" t="str">
        <f>IFERROR(__xludf.DUMMYFUNCTION("""COMPUTED_VALUE"""),"Y")</f>
        <v>Y</v>
      </c>
      <c r="G1024" s="3"/>
      <c r="H1024" s="3"/>
      <c r="I1024" s="3" t="str">
        <f>IFERROR(__xludf.DUMMYFUNCTION("""COMPUTED_VALUE""")," ")</f>
        <v> </v>
      </c>
      <c r="J1024" s="3" t="str">
        <f>IFERROR(__xludf.DUMMYFUNCTION("""COMPUTED_VALUE""")," ")</f>
        <v> </v>
      </c>
      <c r="K1024" s="3" t="str">
        <f>IFERROR(__xludf.DUMMYFUNCTION("""COMPUTED_VALUE"""),"Y")</f>
        <v>Y</v>
      </c>
      <c r="L1024" s="3" t="str">
        <f>IFERROR(__xludf.DUMMYFUNCTION("""COMPUTED_VALUE""")," ")</f>
        <v> </v>
      </c>
      <c r="M1024" s="3"/>
      <c r="N1024" s="5" t="str">
        <f>IFERROR(__xludf.DUMMYFUNCTION("""COMPUTED_VALUE"""),"Y")</f>
        <v>Y</v>
      </c>
      <c r="O1024" s="5"/>
    </row>
    <row r="1025">
      <c r="A1025" s="2" t="str">
        <f>IFERROR(__xludf.DUMMYFUNCTION("""COMPUTED_VALUE"""),"1180")</f>
        <v>1180</v>
      </c>
      <c r="B1025" s="2" t="str">
        <f>IFERROR(__xludf.DUMMYFUNCTION("""COMPUTED_VALUE"""),"ROARING FORK        RE-1")</f>
        <v>ROARING FORK        RE-1</v>
      </c>
      <c r="C1025" s="2" t="str">
        <f>IFERROR(__xludf.DUMMYFUNCTION("""COMPUTED_VALUE"""),"06134")</f>
        <v>06134</v>
      </c>
      <c r="D1025" s="2" t="str">
        <f>IFERROR(__xludf.DUMMYFUNCTION("""COMPUTED_VALUE"""),"Yampah Mountain High School")</f>
        <v>Yampah Mountain High School</v>
      </c>
      <c r="E1025" s="3" t="str">
        <f>IFERROR(__xludf.DUMMYFUNCTION("""COMPUTED_VALUE"""),"Y")</f>
        <v>Y</v>
      </c>
      <c r="F1025" s="3" t="str">
        <f>IFERROR(__xludf.DUMMYFUNCTION("""COMPUTED_VALUE"""),"Y")</f>
        <v>Y</v>
      </c>
      <c r="G1025" s="3"/>
      <c r="H1025" s="3"/>
      <c r="I1025" s="3" t="str">
        <f>IFERROR(__xludf.DUMMYFUNCTION("""COMPUTED_VALUE""")," ")</f>
        <v> </v>
      </c>
      <c r="J1025" s="3" t="str">
        <f>IFERROR(__xludf.DUMMYFUNCTION("""COMPUTED_VALUE""")," ")</f>
        <v> </v>
      </c>
      <c r="K1025" s="3" t="str">
        <f>IFERROR(__xludf.DUMMYFUNCTION("""COMPUTED_VALUE"""),"Y")</f>
        <v>Y</v>
      </c>
      <c r="L1025" s="3" t="str">
        <f>IFERROR(__xludf.DUMMYFUNCTION("""COMPUTED_VALUE""")," ")</f>
        <v> </v>
      </c>
      <c r="M1025" s="3"/>
      <c r="N1025" s="5" t="str">
        <f>IFERROR(__xludf.DUMMYFUNCTION("""COMPUTED_VALUE""")," ")</f>
        <v> </v>
      </c>
      <c r="O1025" s="5"/>
    </row>
    <row r="1026">
      <c r="A1026" s="2" t="str">
        <f>IFERROR(__xludf.DUMMYFUNCTION("""COMPUTED_VALUE"""),"1180")</f>
        <v>1180</v>
      </c>
      <c r="B1026" s="2" t="str">
        <f>IFERROR(__xludf.DUMMYFUNCTION("""COMPUTED_VALUE"""),"ROARING FORK        RE-1")</f>
        <v>ROARING FORK        RE-1</v>
      </c>
      <c r="C1026" s="2" t="str">
        <f>IFERROR(__xludf.DUMMYFUNCTION("""COMPUTED_VALUE"""),"07298")</f>
        <v>07298</v>
      </c>
      <c r="D1026" s="2" t="str">
        <f>IFERROR(__xludf.DUMMYFUNCTION("""COMPUTED_VALUE"""),"RIVERVIEW SCHOOL")</f>
        <v>RIVERVIEW SCHOOL</v>
      </c>
      <c r="E1026" s="3" t="str">
        <f>IFERROR(__xludf.DUMMYFUNCTION("""COMPUTED_VALUE"""),"Y")</f>
        <v>Y</v>
      </c>
      <c r="F1026" s="3" t="str">
        <f>IFERROR(__xludf.DUMMYFUNCTION("""COMPUTED_VALUE"""),"Y")</f>
        <v>Y</v>
      </c>
      <c r="G1026" s="3"/>
      <c r="H1026" s="3"/>
      <c r="I1026" s="3" t="str">
        <f>IFERROR(__xludf.DUMMYFUNCTION("""COMPUTED_VALUE""")," ")</f>
        <v> </v>
      </c>
      <c r="J1026" s="3" t="str">
        <f>IFERROR(__xludf.DUMMYFUNCTION("""COMPUTED_VALUE"""),"Y")</f>
        <v>Y</v>
      </c>
      <c r="K1026" s="3" t="str">
        <f>IFERROR(__xludf.DUMMYFUNCTION("""COMPUTED_VALUE"""),"Y")</f>
        <v>Y</v>
      </c>
      <c r="L1026" s="3" t="str">
        <f>IFERROR(__xludf.DUMMYFUNCTION("""COMPUTED_VALUE""")," ")</f>
        <v> </v>
      </c>
      <c r="M1026" s="3"/>
      <c r="N1026" s="5" t="str">
        <f>IFERROR(__xludf.DUMMYFUNCTION("""COMPUTED_VALUE""")," ")</f>
        <v> </v>
      </c>
      <c r="O1026" s="5"/>
    </row>
    <row r="1027">
      <c r="A1027" s="2" t="str">
        <f>IFERROR(__xludf.DUMMYFUNCTION("""COMPUTED_VALUE"""),"1180")</f>
        <v>1180</v>
      </c>
      <c r="B1027" s="2" t="str">
        <f>IFERROR(__xludf.DUMMYFUNCTION("""COMPUTED_VALUE"""),"ROARING FORK        RE-1")</f>
        <v>ROARING FORK        RE-1</v>
      </c>
      <c r="C1027" s="2" t="str">
        <f>IFERROR(__xludf.DUMMYFUNCTION("""COMPUTED_VALUE"""),"07422")</f>
        <v>07422</v>
      </c>
      <c r="D1027" s="2" t="str">
        <f>IFERROR(__xludf.DUMMYFUNCTION("""COMPUTED_VALUE"""),"ROARING FORK HIGH SCHOOL")</f>
        <v>ROARING FORK HIGH SCHOOL</v>
      </c>
      <c r="E1027" s="3" t="str">
        <f>IFERROR(__xludf.DUMMYFUNCTION("""COMPUTED_VALUE"""),"Y")</f>
        <v>Y</v>
      </c>
      <c r="F1027" s="3" t="str">
        <f>IFERROR(__xludf.DUMMYFUNCTION("""COMPUTED_VALUE"""),"Y")</f>
        <v>Y</v>
      </c>
      <c r="G1027" s="3"/>
      <c r="H1027" s="3"/>
      <c r="I1027" s="3" t="str">
        <f>IFERROR(__xludf.DUMMYFUNCTION("""COMPUTED_VALUE""")," ")</f>
        <v> </v>
      </c>
      <c r="J1027" s="3" t="str">
        <f>IFERROR(__xludf.DUMMYFUNCTION("""COMPUTED_VALUE""")," ")</f>
        <v> </v>
      </c>
      <c r="K1027" s="3" t="str">
        <f>IFERROR(__xludf.DUMMYFUNCTION("""COMPUTED_VALUE"""),"Y")</f>
        <v>Y</v>
      </c>
      <c r="L1027" s="3" t="str">
        <f>IFERROR(__xludf.DUMMYFUNCTION("""COMPUTED_VALUE""")," ")</f>
        <v> </v>
      </c>
      <c r="M1027" s="3"/>
      <c r="N1027" s="5" t="str">
        <f>IFERROR(__xludf.DUMMYFUNCTION("""COMPUTED_VALUE""")," ")</f>
        <v> </v>
      </c>
      <c r="O1027" s="5"/>
    </row>
    <row r="1028">
      <c r="A1028" s="2" t="str">
        <f>IFERROR(__xludf.DUMMYFUNCTION("""COMPUTED_VALUE"""),"1180")</f>
        <v>1180</v>
      </c>
      <c r="B1028" s="2" t="str">
        <f>IFERROR(__xludf.DUMMYFUNCTION("""COMPUTED_VALUE"""),"ROARING FORK        RE-1")</f>
        <v>ROARING FORK        RE-1</v>
      </c>
      <c r="C1028" s="2" t="str">
        <f>IFERROR(__xludf.DUMMYFUNCTION("""COMPUTED_VALUE"""),"08038")</f>
        <v>08038</v>
      </c>
      <c r="D1028" s="2" t="str">
        <f>IFERROR(__xludf.DUMMYFUNCTION("""COMPUTED_VALUE"""),"SOPRIS ELEMENTARY SCHOOL")</f>
        <v>SOPRIS ELEMENTARY SCHOOL</v>
      </c>
      <c r="E1028" s="3" t="str">
        <f>IFERROR(__xludf.DUMMYFUNCTION("""COMPUTED_VALUE"""),"Y")</f>
        <v>Y</v>
      </c>
      <c r="F1028" s="3" t="str">
        <f>IFERROR(__xludf.DUMMYFUNCTION("""COMPUTED_VALUE"""),"Y")</f>
        <v>Y</v>
      </c>
      <c r="G1028" s="3"/>
      <c r="H1028" s="3"/>
      <c r="I1028" s="3" t="str">
        <f>IFERROR(__xludf.DUMMYFUNCTION("""COMPUTED_VALUE""")," ")</f>
        <v> </v>
      </c>
      <c r="J1028" s="3" t="str">
        <f>IFERROR(__xludf.DUMMYFUNCTION("""COMPUTED_VALUE""")," ")</f>
        <v> </v>
      </c>
      <c r="K1028" s="3" t="str">
        <f>IFERROR(__xludf.DUMMYFUNCTION("""COMPUTED_VALUE"""),"Y")</f>
        <v>Y</v>
      </c>
      <c r="L1028" s="3" t="str">
        <f>IFERROR(__xludf.DUMMYFUNCTION("""COMPUTED_VALUE""")," ")</f>
        <v> </v>
      </c>
      <c r="M1028" s="3"/>
      <c r="N1028" s="5" t="str">
        <f>IFERROR(__xludf.DUMMYFUNCTION("""COMPUTED_VALUE""")," ")</f>
        <v> </v>
      </c>
      <c r="O1028" s="5"/>
    </row>
    <row r="1029">
      <c r="A1029" s="2" t="str">
        <f>IFERROR(__xludf.DUMMYFUNCTION("""COMPUTED_VALUE"""),"1180")</f>
        <v>1180</v>
      </c>
      <c r="B1029" s="2" t="str">
        <f>IFERROR(__xludf.DUMMYFUNCTION("""COMPUTED_VALUE"""),"ROARING FORK        RE-1")</f>
        <v>ROARING FORK        RE-1</v>
      </c>
      <c r="C1029" s="2" t="str">
        <f>IFERROR(__xludf.DUMMYFUNCTION("""COMPUTED_VALUE"""),"08821")</f>
        <v>08821</v>
      </c>
      <c r="D1029" s="2" t="str">
        <f>IFERROR(__xludf.DUMMYFUNCTION("""COMPUTED_VALUE"""),"Two Rivers Community School")</f>
        <v>Two Rivers Community School</v>
      </c>
      <c r="E1029" s="3" t="str">
        <f>IFERROR(__xludf.DUMMYFUNCTION("""COMPUTED_VALUE"""),"Y")</f>
        <v>Y</v>
      </c>
      <c r="F1029" s="3" t="str">
        <f>IFERROR(__xludf.DUMMYFUNCTION("""COMPUTED_VALUE"""),"Y")</f>
        <v>Y</v>
      </c>
      <c r="G1029" s="3"/>
      <c r="H1029" s="3"/>
      <c r="I1029" s="3" t="str">
        <f>IFERROR(__xludf.DUMMYFUNCTION("""COMPUTED_VALUE""")," ")</f>
        <v> </v>
      </c>
      <c r="J1029" s="3" t="str">
        <f>IFERROR(__xludf.DUMMYFUNCTION("""COMPUTED_VALUE""")," ")</f>
        <v> </v>
      </c>
      <c r="K1029" s="3" t="str">
        <f>IFERROR(__xludf.DUMMYFUNCTION("""COMPUTED_VALUE"""),"Y")</f>
        <v>Y</v>
      </c>
      <c r="L1029" s="3" t="str">
        <f>IFERROR(__xludf.DUMMYFUNCTION("""COMPUTED_VALUE""")," ")</f>
        <v> </v>
      </c>
      <c r="M1029" s="3"/>
      <c r="N1029" s="5" t="str">
        <f>IFERROR(__xludf.DUMMYFUNCTION("""COMPUTED_VALUE""")," ")</f>
        <v> </v>
      </c>
      <c r="O1029" s="5"/>
    </row>
    <row r="1030">
      <c r="A1030" s="2" t="str">
        <f>IFERROR(__xludf.DUMMYFUNCTION("""COMPUTED_VALUE"""),"1195")</f>
        <v>1195</v>
      </c>
      <c r="B1030" s="2" t="str">
        <f>IFERROR(__xludf.DUMMYFUNCTION("""COMPUTED_VALUE"""),"GARFIELD RE-2")</f>
        <v>GARFIELD RE-2</v>
      </c>
      <c r="C1030" s="2" t="str">
        <f>IFERROR(__xludf.DUMMYFUNCTION("""COMPUTED_VALUE"""),"00065")</f>
        <v>00065</v>
      </c>
      <c r="D1030" s="2" t="str">
        <f>IFERROR(__xludf.DUMMYFUNCTION("""COMPUTED_VALUE"""),"COAL RIDGE HIGH SCHOOL")</f>
        <v>COAL RIDGE HIGH SCHOOL</v>
      </c>
      <c r="E1030" s="3" t="str">
        <f>IFERROR(__xludf.DUMMYFUNCTION("""COMPUTED_VALUE"""),"Y")</f>
        <v>Y</v>
      </c>
      <c r="F1030" s="3" t="str">
        <f>IFERROR(__xludf.DUMMYFUNCTION("""COMPUTED_VALUE"""),"Y")</f>
        <v>Y</v>
      </c>
      <c r="G1030" s="3"/>
      <c r="H1030" s="3"/>
      <c r="I1030" s="3" t="str">
        <f>IFERROR(__xludf.DUMMYFUNCTION("""COMPUTED_VALUE""")," ")</f>
        <v> </v>
      </c>
      <c r="J1030" s="3" t="str">
        <f>IFERROR(__xludf.DUMMYFUNCTION("""COMPUTED_VALUE""")," ")</f>
        <v> </v>
      </c>
      <c r="K1030" s="3" t="str">
        <f>IFERROR(__xludf.DUMMYFUNCTION("""COMPUTED_VALUE"""),"Y")</f>
        <v>Y</v>
      </c>
      <c r="L1030" s="3" t="str">
        <f>IFERROR(__xludf.DUMMYFUNCTION("""COMPUTED_VALUE"""),"Group 5")</f>
        <v>Group 5</v>
      </c>
      <c r="M1030" s="3"/>
      <c r="N1030" s="5" t="str">
        <f>IFERROR(__xludf.DUMMYFUNCTION("""COMPUTED_VALUE""")," ")</f>
        <v> </v>
      </c>
      <c r="O1030" s="5"/>
    </row>
    <row r="1031">
      <c r="A1031" s="2" t="str">
        <f>IFERROR(__xludf.DUMMYFUNCTION("""COMPUTED_VALUE"""),"1195")</f>
        <v>1195</v>
      </c>
      <c r="B1031" s="2" t="str">
        <f>IFERROR(__xludf.DUMMYFUNCTION("""COMPUTED_VALUE"""),"GARFIELD RE-2")</f>
        <v>GARFIELD RE-2</v>
      </c>
      <c r="C1031" s="2" t="str">
        <f>IFERROR(__xludf.DUMMYFUNCTION("""COMPUTED_VALUE"""),"02573")</f>
        <v>02573</v>
      </c>
      <c r="D1031" s="2" t="str">
        <f>IFERROR(__xludf.DUMMYFUNCTION("""COMPUTED_VALUE"""),"ELK CREEK ELEMENTARY")</f>
        <v>ELK CREEK ELEMENTARY</v>
      </c>
      <c r="E1031" s="3" t="str">
        <f>IFERROR(__xludf.DUMMYFUNCTION("""COMPUTED_VALUE"""),"Y")</f>
        <v>Y</v>
      </c>
      <c r="F1031" s="3" t="str">
        <f>IFERROR(__xludf.DUMMYFUNCTION("""COMPUTED_VALUE"""),"Y")</f>
        <v>Y</v>
      </c>
      <c r="G1031" s="3"/>
      <c r="H1031" s="3"/>
      <c r="I1031" s="3" t="str">
        <f>IFERROR(__xludf.DUMMYFUNCTION("""COMPUTED_VALUE""")," ")</f>
        <v> </v>
      </c>
      <c r="J1031" s="3" t="str">
        <f>IFERROR(__xludf.DUMMYFUNCTION("""COMPUTED_VALUE""")," ")</f>
        <v> </v>
      </c>
      <c r="K1031" s="3" t="str">
        <f>IFERROR(__xludf.DUMMYFUNCTION("""COMPUTED_VALUE"""),"Y")</f>
        <v>Y</v>
      </c>
      <c r="L1031" s="3" t="str">
        <f>IFERROR(__xludf.DUMMYFUNCTION("""COMPUTED_VALUE"""),"Group 4")</f>
        <v>Group 4</v>
      </c>
      <c r="M1031" s="3"/>
      <c r="N1031" s="5" t="str">
        <f>IFERROR(__xludf.DUMMYFUNCTION("""COMPUTED_VALUE""")," ")</f>
        <v> </v>
      </c>
      <c r="O1031" s="5"/>
    </row>
    <row r="1032">
      <c r="A1032" s="2" t="str">
        <f>IFERROR(__xludf.DUMMYFUNCTION("""COMPUTED_VALUE"""),"1195")</f>
        <v>1195</v>
      </c>
      <c r="B1032" s="2" t="str">
        <f>IFERROR(__xludf.DUMMYFUNCTION("""COMPUTED_VALUE"""),"GARFIELD RE-2")</f>
        <v>GARFIELD RE-2</v>
      </c>
      <c r="C1032" s="2" t="str">
        <f>IFERROR(__xludf.DUMMYFUNCTION("""COMPUTED_VALUE"""),"03281")</f>
        <v>03281</v>
      </c>
      <c r="D1032" s="2" t="str">
        <f>IFERROR(__xludf.DUMMYFUNCTION("""COMPUTED_VALUE"""),"GRAHAM MESA ELEMENTARY")</f>
        <v>GRAHAM MESA ELEMENTARY</v>
      </c>
      <c r="E1032" s="3" t="str">
        <f>IFERROR(__xludf.DUMMYFUNCTION("""COMPUTED_VALUE"""),"Y")</f>
        <v>Y</v>
      </c>
      <c r="F1032" s="3" t="str">
        <f>IFERROR(__xludf.DUMMYFUNCTION("""COMPUTED_VALUE"""),"Y")</f>
        <v>Y</v>
      </c>
      <c r="G1032" s="3"/>
      <c r="H1032" s="3"/>
      <c r="I1032" s="3" t="str">
        <f>IFERROR(__xludf.DUMMYFUNCTION("""COMPUTED_VALUE""")," ")</f>
        <v> </v>
      </c>
      <c r="J1032" s="3" t="str">
        <f>IFERROR(__xludf.DUMMYFUNCTION("""COMPUTED_VALUE""")," ")</f>
        <v> </v>
      </c>
      <c r="K1032" s="3" t="str">
        <f>IFERROR(__xludf.DUMMYFUNCTION("""COMPUTED_VALUE"""),"Y")</f>
        <v>Y</v>
      </c>
      <c r="L1032" s="3" t="str">
        <f>IFERROR(__xludf.DUMMYFUNCTION("""COMPUTED_VALUE"""),"Group 1")</f>
        <v>Group 1</v>
      </c>
      <c r="M1032" s="3"/>
      <c r="N1032" s="5" t="str">
        <f>IFERROR(__xludf.DUMMYFUNCTION("""COMPUTED_VALUE""")," ")</f>
        <v> </v>
      </c>
      <c r="O1032" s="5"/>
    </row>
    <row r="1033">
      <c r="A1033" s="2" t="str">
        <f>IFERROR(__xludf.DUMMYFUNCTION("""COMPUTED_VALUE"""),"1195")</f>
        <v>1195</v>
      </c>
      <c r="B1033" s="2" t="str">
        <f>IFERROR(__xludf.DUMMYFUNCTION("""COMPUTED_VALUE"""),"GARFIELD RE-2")</f>
        <v>GARFIELD RE-2</v>
      </c>
      <c r="C1033" s="2" t="str">
        <f>IFERROR(__xludf.DUMMYFUNCTION("""COMPUTED_VALUE"""),"03967")</f>
        <v>03967</v>
      </c>
      <c r="D1033" s="2" t="str">
        <f>IFERROR(__xludf.DUMMYFUNCTION("""COMPUTED_VALUE"""),"HIGHLAND ELEMENTARY SCHOOL")</f>
        <v>HIGHLAND ELEMENTARY SCHOOL</v>
      </c>
      <c r="E1033" s="3" t="str">
        <f>IFERROR(__xludf.DUMMYFUNCTION("""COMPUTED_VALUE"""),"Y")</f>
        <v>Y</v>
      </c>
      <c r="F1033" s="3" t="str">
        <f>IFERROR(__xludf.DUMMYFUNCTION("""COMPUTED_VALUE"""),"Y")</f>
        <v>Y</v>
      </c>
      <c r="G1033" s="3"/>
      <c r="H1033" s="3"/>
      <c r="I1033" s="3" t="str">
        <f>IFERROR(__xludf.DUMMYFUNCTION("""COMPUTED_VALUE""")," ")</f>
        <v> </v>
      </c>
      <c r="J1033" s="3" t="str">
        <f>IFERROR(__xludf.DUMMYFUNCTION("""COMPUTED_VALUE""")," ")</f>
        <v> </v>
      </c>
      <c r="K1033" s="3" t="str">
        <f>IFERROR(__xludf.DUMMYFUNCTION("""COMPUTED_VALUE"""),"Y")</f>
        <v>Y</v>
      </c>
      <c r="L1033" s="3" t="str">
        <f>IFERROR(__xludf.DUMMYFUNCTION("""COMPUTED_VALUE"""),"Group 3")</f>
        <v>Group 3</v>
      </c>
      <c r="M1033" s="3"/>
      <c r="N1033" s="5" t="str">
        <f>IFERROR(__xludf.DUMMYFUNCTION("""COMPUTED_VALUE""")," ")</f>
        <v> </v>
      </c>
      <c r="O1033" s="5"/>
    </row>
    <row r="1034">
      <c r="A1034" s="2" t="str">
        <f>IFERROR(__xludf.DUMMYFUNCTION("""COMPUTED_VALUE"""),"1195")</f>
        <v>1195</v>
      </c>
      <c r="B1034" s="2" t="str">
        <f>IFERROR(__xludf.DUMMYFUNCTION("""COMPUTED_VALUE"""),"GARFIELD RE-2")</f>
        <v>GARFIELD RE-2</v>
      </c>
      <c r="C1034" s="2" t="str">
        <f>IFERROR(__xludf.DUMMYFUNCTION("""COMPUTED_VALUE"""),"04510")</f>
        <v>04510</v>
      </c>
      <c r="D1034" s="2" t="str">
        <f>IFERROR(__xludf.DUMMYFUNCTION("""COMPUTED_VALUE"""),"KATHRYN SENOR ELEMENTARY SCHOOL")</f>
        <v>KATHRYN SENOR ELEMENTARY SCHOOL</v>
      </c>
      <c r="E1034" s="3" t="str">
        <f>IFERROR(__xludf.DUMMYFUNCTION("""COMPUTED_VALUE"""),"Y")</f>
        <v>Y</v>
      </c>
      <c r="F1034" s="3" t="str">
        <f>IFERROR(__xludf.DUMMYFUNCTION("""COMPUTED_VALUE"""),"Y")</f>
        <v>Y</v>
      </c>
      <c r="G1034" s="3"/>
      <c r="H1034" s="3"/>
      <c r="I1034" s="3" t="str">
        <f>IFERROR(__xludf.DUMMYFUNCTION("""COMPUTED_VALUE""")," ")</f>
        <v> </v>
      </c>
      <c r="J1034" s="3" t="str">
        <f>IFERROR(__xludf.DUMMYFUNCTION("""COMPUTED_VALUE""")," ")</f>
        <v> </v>
      </c>
      <c r="K1034" s="3" t="str">
        <f>IFERROR(__xludf.DUMMYFUNCTION("""COMPUTED_VALUE"""),"Y")</f>
        <v>Y</v>
      </c>
      <c r="L1034" s="3" t="str">
        <f>IFERROR(__xludf.DUMMYFUNCTION("""COMPUTED_VALUE"""),"Group 2")</f>
        <v>Group 2</v>
      </c>
      <c r="M1034" s="3"/>
      <c r="N1034" s="5" t="str">
        <f>IFERROR(__xludf.DUMMYFUNCTION("""COMPUTED_VALUE""")," ")</f>
        <v> </v>
      </c>
      <c r="O1034" s="5"/>
    </row>
    <row r="1035">
      <c r="A1035" s="2" t="str">
        <f>IFERROR(__xludf.DUMMYFUNCTION("""COMPUTED_VALUE"""),"1195")</f>
        <v>1195</v>
      </c>
      <c r="B1035" s="2" t="str">
        <f>IFERROR(__xludf.DUMMYFUNCTION("""COMPUTED_VALUE"""),"GARFIELD RE-2")</f>
        <v>GARFIELD RE-2</v>
      </c>
      <c r="C1035" s="2" t="str">
        <f>IFERROR(__xludf.DUMMYFUNCTION("""COMPUTED_VALUE"""),"07356")</f>
        <v>07356</v>
      </c>
      <c r="D1035" s="2" t="str">
        <f>IFERROR(__xludf.DUMMYFUNCTION("""COMPUTED_VALUE"""),"RIFLE MIDDLE SCHOOL")</f>
        <v>RIFLE MIDDLE SCHOOL</v>
      </c>
      <c r="E1035" s="3" t="str">
        <f>IFERROR(__xludf.DUMMYFUNCTION("""COMPUTED_VALUE"""),"Y")</f>
        <v>Y</v>
      </c>
      <c r="F1035" s="3" t="str">
        <f>IFERROR(__xludf.DUMMYFUNCTION("""COMPUTED_VALUE"""),"Y")</f>
        <v>Y</v>
      </c>
      <c r="G1035" s="3"/>
      <c r="H1035" s="3"/>
      <c r="I1035" s="3" t="str">
        <f>IFERROR(__xludf.DUMMYFUNCTION("""COMPUTED_VALUE""")," ")</f>
        <v> </v>
      </c>
      <c r="J1035" s="3" t="str">
        <f>IFERROR(__xludf.DUMMYFUNCTION("""COMPUTED_VALUE""")," ")</f>
        <v> </v>
      </c>
      <c r="K1035" s="3" t="str">
        <f>IFERROR(__xludf.DUMMYFUNCTION("""COMPUTED_VALUE"""),"Y")</f>
        <v>Y</v>
      </c>
      <c r="L1035" s="3" t="str">
        <f>IFERROR(__xludf.DUMMYFUNCTION("""COMPUTED_VALUE"""),"Group 1")</f>
        <v>Group 1</v>
      </c>
      <c r="M1035" s="3"/>
      <c r="N1035" s="5" t="str">
        <f>IFERROR(__xludf.DUMMYFUNCTION("""COMPUTED_VALUE"""),"Y")</f>
        <v>Y</v>
      </c>
      <c r="O1035" s="5"/>
    </row>
    <row r="1036">
      <c r="A1036" s="2" t="str">
        <f>IFERROR(__xludf.DUMMYFUNCTION("""COMPUTED_VALUE"""),"1195")</f>
        <v>1195</v>
      </c>
      <c r="B1036" s="2" t="str">
        <f>IFERROR(__xludf.DUMMYFUNCTION("""COMPUTED_VALUE"""),"GARFIELD RE-2")</f>
        <v>GARFIELD RE-2</v>
      </c>
      <c r="C1036" s="2" t="str">
        <f>IFERROR(__xludf.DUMMYFUNCTION("""COMPUTED_VALUE"""),"07360")</f>
        <v>07360</v>
      </c>
      <c r="D1036" s="2" t="str">
        <f>IFERROR(__xludf.DUMMYFUNCTION("""COMPUTED_VALUE"""),"RIFLE HIGH SCHOOL")</f>
        <v>RIFLE HIGH SCHOOL</v>
      </c>
      <c r="E1036" s="3" t="str">
        <f>IFERROR(__xludf.DUMMYFUNCTION("""COMPUTED_VALUE"""),"Y")</f>
        <v>Y</v>
      </c>
      <c r="F1036" s="3" t="str">
        <f>IFERROR(__xludf.DUMMYFUNCTION("""COMPUTED_VALUE"""),"Y")</f>
        <v>Y</v>
      </c>
      <c r="G1036" s="3"/>
      <c r="H1036" s="3"/>
      <c r="I1036" s="3" t="str">
        <f>IFERROR(__xludf.DUMMYFUNCTION("""COMPUTED_VALUE""")," ")</f>
        <v> </v>
      </c>
      <c r="J1036" s="3" t="str">
        <f>IFERROR(__xludf.DUMMYFUNCTION("""COMPUTED_VALUE""")," ")</f>
        <v> </v>
      </c>
      <c r="K1036" s="3" t="str">
        <f>IFERROR(__xludf.DUMMYFUNCTION("""COMPUTED_VALUE"""),"Y")</f>
        <v>Y</v>
      </c>
      <c r="L1036" s="3" t="str">
        <f>IFERROR(__xludf.DUMMYFUNCTION("""COMPUTED_VALUE"""),"Group 5")</f>
        <v>Group 5</v>
      </c>
      <c r="M1036" s="3"/>
      <c r="N1036" s="5" t="str">
        <f>IFERROR(__xludf.DUMMYFUNCTION("""COMPUTED_VALUE""")," ")</f>
        <v> </v>
      </c>
      <c r="O1036" s="5"/>
    </row>
    <row r="1037">
      <c r="A1037" s="2" t="str">
        <f>IFERROR(__xludf.DUMMYFUNCTION("""COMPUTED_VALUE"""),"1195")</f>
        <v>1195</v>
      </c>
      <c r="B1037" s="2" t="str">
        <f>IFERROR(__xludf.DUMMYFUNCTION("""COMPUTED_VALUE"""),"GARFIELD RE-2")</f>
        <v>GARFIELD RE-2</v>
      </c>
      <c r="C1037" s="2" t="str">
        <f>IFERROR(__xludf.DUMMYFUNCTION("""COMPUTED_VALUE"""),"07388")</f>
        <v>07388</v>
      </c>
      <c r="D1037" s="2" t="str">
        <f>IFERROR(__xludf.DUMMYFUNCTION("""COMPUTED_VALUE"""),"RIVERSIDE SCHOOL")</f>
        <v>RIVERSIDE SCHOOL</v>
      </c>
      <c r="E1037" s="3" t="str">
        <f>IFERROR(__xludf.DUMMYFUNCTION("""COMPUTED_VALUE"""),"Y")</f>
        <v>Y</v>
      </c>
      <c r="F1037" s="3" t="str">
        <f>IFERROR(__xludf.DUMMYFUNCTION("""COMPUTED_VALUE"""),"Y")</f>
        <v>Y</v>
      </c>
      <c r="G1037" s="3"/>
      <c r="H1037" s="3"/>
      <c r="I1037" s="3" t="str">
        <f>IFERROR(__xludf.DUMMYFUNCTION("""COMPUTED_VALUE""")," ")</f>
        <v> </v>
      </c>
      <c r="J1037" s="3" t="str">
        <f>IFERROR(__xludf.DUMMYFUNCTION("""COMPUTED_VALUE""")," ")</f>
        <v> </v>
      </c>
      <c r="K1037" s="3" t="str">
        <f>IFERROR(__xludf.DUMMYFUNCTION("""COMPUTED_VALUE"""),"Y")</f>
        <v>Y</v>
      </c>
      <c r="L1037" s="3" t="str">
        <f>IFERROR(__xludf.DUMMYFUNCTION("""COMPUTED_VALUE"""),"Group 5")</f>
        <v>Group 5</v>
      </c>
      <c r="M1037" s="3"/>
      <c r="N1037" s="5" t="str">
        <f>IFERROR(__xludf.DUMMYFUNCTION("""COMPUTED_VALUE""")," ")</f>
        <v> </v>
      </c>
      <c r="O1037" s="5"/>
    </row>
    <row r="1038">
      <c r="A1038" s="2" t="str">
        <f>IFERROR(__xludf.DUMMYFUNCTION("""COMPUTED_VALUE"""),"1195")</f>
        <v>1195</v>
      </c>
      <c r="B1038" s="2" t="str">
        <f>IFERROR(__xludf.DUMMYFUNCTION("""COMPUTED_VALUE"""),"GARFIELD RE-2")</f>
        <v>GARFIELD RE-2</v>
      </c>
      <c r="C1038" s="2" t="str">
        <f>IFERROR(__xludf.DUMMYFUNCTION("""COMPUTED_VALUE"""),"07890")</f>
        <v>07890</v>
      </c>
      <c r="D1038" s="2" t="str">
        <f>IFERROR(__xludf.DUMMYFUNCTION("""COMPUTED_VALUE"""),"CACTUS VALLEY ELEMENTARY SCHOOL")</f>
        <v>CACTUS VALLEY ELEMENTARY SCHOOL</v>
      </c>
      <c r="E1038" s="3" t="str">
        <f>IFERROR(__xludf.DUMMYFUNCTION("""COMPUTED_VALUE"""),"Y")</f>
        <v>Y</v>
      </c>
      <c r="F1038" s="3" t="str">
        <f>IFERROR(__xludf.DUMMYFUNCTION("""COMPUTED_VALUE"""),"Y")</f>
        <v>Y</v>
      </c>
      <c r="G1038" s="3"/>
      <c r="H1038" s="3"/>
      <c r="I1038" s="3" t="str">
        <f>IFERROR(__xludf.DUMMYFUNCTION("""COMPUTED_VALUE""")," ")</f>
        <v> </v>
      </c>
      <c r="J1038" s="3" t="str">
        <f>IFERROR(__xludf.DUMMYFUNCTION("""COMPUTED_VALUE""")," ")</f>
        <v> </v>
      </c>
      <c r="K1038" s="3" t="str">
        <f>IFERROR(__xludf.DUMMYFUNCTION("""COMPUTED_VALUE"""),"Y")</f>
        <v>Y</v>
      </c>
      <c r="L1038" s="3" t="str">
        <f>IFERROR(__xludf.DUMMYFUNCTION("""COMPUTED_VALUE"""),"Group 3")</f>
        <v>Group 3</v>
      </c>
      <c r="M1038" s="3"/>
      <c r="N1038" s="5" t="str">
        <f>IFERROR(__xludf.DUMMYFUNCTION("""COMPUTED_VALUE""")," ")</f>
        <v> </v>
      </c>
      <c r="O1038" s="5"/>
    </row>
    <row r="1039">
      <c r="A1039" s="2" t="str">
        <f>IFERROR(__xludf.DUMMYFUNCTION("""COMPUTED_VALUE"""),"1195")</f>
        <v>1195</v>
      </c>
      <c r="B1039" s="2" t="str">
        <f>IFERROR(__xludf.DUMMYFUNCTION("""COMPUTED_VALUE"""),"GARFIELD RE-2")</f>
        <v>GARFIELD RE-2</v>
      </c>
      <c r="C1039" s="2" t="str">
        <f>IFERROR(__xludf.DUMMYFUNCTION("""COMPUTED_VALUE"""),"09231")</f>
        <v>09231</v>
      </c>
      <c r="D1039" s="2" t="str">
        <f>IFERROR(__xludf.DUMMYFUNCTION("""COMPUTED_VALUE"""),"WAMSLEY ELEMENTARY SCHOOL")</f>
        <v>WAMSLEY ELEMENTARY SCHOOL</v>
      </c>
      <c r="E1039" s="3" t="str">
        <f>IFERROR(__xludf.DUMMYFUNCTION("""COMPUTED_VALUE"""),"Y")</f>
        <v>Y</v>
      </c>
      <c r="F1039" s="3" t="str">
        <f>IFERROR(__xludf.DUMMYFUNCTION("""COMPUTED_VALUE"""),"Y")</f>
        <v>Y</v>
      </c>
      <c r="G1039" s="3"/>
      <c r="H1039" s="3"/>
      <c r="I1039" s="3" t="str">
        <f>IFERROR(__xludf.DUMMYFUNCTION("""COMPUTED_VALUE""")," ")</f>
        <v> </v>
      </c>
      <c r="J1039" s="3" t="str">
        <f>IFERROR(__xludf.DUMMYFUNCTION("""COMPUTED_VALUE""")," ")</f>
        <v> </v>
      </c>
      <c r="K1039" s="3" t="str">
        <f>IFERROR(__xludf.DUMMYFUNCTION("""COMPUTED_VALUE"""),"Y")</f>
        <v>Y</v>
      </c>
      <c r="L1039" s="3" t="str">
        <f>IFERROR(__xludf.DUMMYFUNCTION("""COMPUTED_VALUE"""),"Group 3")</f>
        <v>Group 3</v>
      </c>
      <c r="M1039" s="3"/>
      <c r="N1039" s="5" t="str">
        <f>IFERROR(__xludf.DUMMYFUNCTION("""COMPUTED_VALUE""")," ")</f>
        <v> </v>
      </c>
      <c r="O1039" s="5"/>
    </row>
    <row r="1040">
      <c r="A1040" s="2" t="str">
        <f>IFERROR(__xludf.DUMMYFUNCTION("""COMPUTED_VALUE"""),"1220")</f>
        <v>1220</v>
      </c>
      <c r="B1040" s="2" t="str">
        <f>IFERROR(__xludf.DUMMYFUNCTION("""COMPUTED_VALUE"""),"GARFIELD            16")</f>
        <v>GARFIELD            16</v>
      </c>
      <c r="C1040" s="2" t="str">
        <f>IFERROR(__xludf.DUMMYFUNCTION("""COMPUTED_VALUE"""),"03578")</f>
        <v>03578</v>
      </c>
      <c r="D1040" s="2" t="str">
        <f>IFERROR(__xludf.DUMMYFUNCTION("""COMPUTED_VALUE"""),"BEA UNDERWOOD ELEMENTARY SCHOOL")</f>
        <v>BEA UNDERWOOD ELEMENTARY SCHOOL</v>
      </c>
      <c r="E1040" s="3" t="str">
        <f>IFERROR(__xludf.DUMMYFUNCTION("""COMPUTED_VALUE"""),"Y")</f>
        <v>Y</v>
      </c>
      <c r="F1040" s="3" t="str">
        <f>IFERROR(__xludf.DUMMYFUNCTION("""COMPUTED_VALUE"""),"Y")</f>
        <v>Y</v>
      </c>
      <c r="G1040" s="3" t="str">
        <f>IFERROR(__xludf.DUMMYFUNCTION("""COMPUTED_VALUE"""),"Y")</f>
        <v>Y</v>
      </c>
      <c r="H1040" s="3"/>
      <c r="I1040" s="3" t="str">
        <f>IFERROR(__xludf.DUMMYFUNCTION("""COMPUTED_VALUE""")," ")</f>
        <v> </v>
      </c>
      <c r="J1040" s="3" t="str">
        <f>IFERROR(__xludf.DUMMYFUNCTION("""COMPUTED_VALUE"""),"Y")</f>
        <v>Y</v>
      </c>
      <c r="K1040" s="3" t="str">
        <f>IFERROR(__xludf.DUMMYFUNCTION("""COMPUTED_VALUE"""),"Y")</f>
        <v>Y</v>
      </c>
      <c r="L1040" s="3" t="str">
        <f>IFERROR(__xludf.DUMMYFUNCTION("""COMPUTED_VALUE"""),"Group 3")</f>
        <v>Group 3</v>
      </c>
      <c r="M1040" s="3"/>
      <c r="N1040" s="5" t="str">
        <f>IFERROR(__xludf.DUMMYFUNCTION("""COMPUTED_VALUE"""),"Y")</f>
        <v>Y</v>
      </c>
      <c r="O1040" s="5"/>
    </row>
    <row r="1041">
      <c r="A1041" s="2" t="str">
        <f>IFERROR(__xludf.DUMMYFUNCTION("""COMPUTED_VALUE"""),"1220")</f>
        <v>1220</v>
      </c>
      <c r="B1041" s="2" t="str">
        <f>IFERROR(__xludf.DUMMYFUNCTION("""COMPUTED_VALUE"""),"GARFIELD            16")</f>
        <v>GARFIELD            16</v>
      </c>
      <c r="C1041" s="2" t="str">
        <f>IFERROR(__xludf.DUMMYFUNCTION("""COMPUTED_VALUE"""),"03585")</f>
        <v>03585</v>
      </c>
      <c r="D1041" s="2" t="str">
        <f>IFERROR(__xludf.DUMMYFUNCTION("""COMPUTED_VALUE"""),"GRAND VALLEY CENTER FOR FAMILY LEARNING")</f>
        <v>GRAND VALLEY CENTER FOR FAMILY LEARNING</v>
      </c>
      <c r="E1041" s="3" t="str">
        <f>IFERROR(__xludf.DUMMYFUNCTION("""COMPUTED_VALUE"""),"Y")</f>
        <v>Y</v>
      </c>
      <c r="F1041" s="3" t="str">
        <f>IFERROR(__xludf.DUMMYFUNCTION("""COMPUTED_VALUE"""),"Y")</f>
        <v>Y</v>
      </c>
      <c r="G1041" s="3" t="str">
        <f>IFERROR(__xludf.DUMMYFUNCTION("""COMPUTED_VALUE"""),"Y")</f>
        <v>Y</v>
      </c>
      <c r="H1041" s="3"/>
      <c r="I1041" s="3" t="str">
        <f>IFERROR(__xludf.DUMMYFUNCTION("""COMPUTED_VALUE""")," ")</f>
        <v> </v>
      </c>
      <c r="J1041" s="3" t="str">
        <f>IFERROR(__xludf.DUMMYFUNCTION("""COMPUTED_VALUE"""),"Y")</f>
        <v>Y</v>
      </c>
      <c r="K1041" s="3" t="str">
        <f>IFERROR(__xludf.DUMMYFUNCTION("""COMPUTED_VALUE"""),"Y")</f>
        <v>Y</v>
      </c>
      <c r="L1041" s="3" t="str">
        <f>IFERROR(__xludf.DUMMYFUNCTION("""COMPUTED_VALUE"""),"Group 3")</f>
        <v>Group 3</v>
      </c>
      <c r="M1041" s="3"/>
      <c r="N1041" s="5" t="str">
        <f>IFERROR(__xludf.DUMMYFUNCTION("""COMPUTED_VALUE""")," ")</f>
        <v> </v>
      </c>
      <c r="O1041" s="5"/>
    </row>
    <row r="1042">
      <c r="A1042" s="2" t="str">
        <f>IFERROR(__xludf.DUMMYFUNCTION("""COMPUTED_VALUE"""),"1220")</f>
        <v>1220</v>
      </c>
      <c r="B1042" s="2" t="str">
        <f>IFERROR(__xludf.DUMMYFUNCTION("""COMPUTED_VALUE"""),"GARFIELD            16")</f>
        <v>GARFIELD            16</v>
      </c>
      <c r="C1042" s="2" t="str">
        <f>IFERROR(__xludf.DUMMYFUNCTION("""COMPUTED_VALUE"""),"03586")</f>
        <v>03586</v>
      </c>
      <c r="D1042" s="2" t="str">
        <f>IFERROR(__xludf.DUMMYFUNCTION("""COMPUTED_VALUE"""),"GRAND VALLEY HIGH SCHOOL")</f>
        <v>GRAND VALLEY HIGH SCHOOL</v>
      </c>
      <c r="E1042" s="3" t="str">
        <f>IFERROR(__xludf.DUMMYFUNCTION("""COMPUTED_VALUE"""),"Y")</f>
        <v>Y</v>
      </c>
      <c r="F1042" s="3" t="str">
        <f>IFERROR(__xludf.DUMMYFUNCTION("""COMPUTED_VALUE"""),"Y")</f>
        <v>Y</v>
      </c>
      <c r="G1042" s="3" t="str">
        <f>IFERROR(__xludf.DUMMYFUNCTION("""COMPUTED_VALUE"""),"Y")</f>
        <v>Y</v>
      </c>
      <c r="H1042" s="3"/>
      <c r="I1042" s="3" t="str">
        <f>IFERROR(__xludf.DUMMYFUNCTION("""COMPUTED_VALUE""")," ")</f>
        <v> </v>
      </c>
      <c r="J1042" s="3" t="str">
        <f>IFERROR(__xludf.DUMMYFUNCTION("""COMPUTED_VALUE""")," ")</f>
        <v> </v>
      </c>
      <c r="K1042" s="3" t="str">
        <f>IFERROR(__xludf.DUMMYFUNCTION("""COMPUTED_VALUE"""),"Y")</f>
        <v>Y</v>
      </c>
      <c r="L1042" s="3" t="str">
        <f>IFERROR(__xludf.DUMMYFUNCTION("""COMPUTED_VALUE"""),"Group 2")</f>
        <v>Group 2</v>
      </c>
      <c r="M1042" s="3"/>
      <c r="N1042" s="5" t="str">
        <f>IFERROR(__xludf.DUMMYFUNCTION("""COMPUTED_VALUE""")," ")</f>
        <v> </v>
      </c>
      <c r="O1042" s="5"/>
    </row>
    <row r="1043">
      <c r="A1043" s="2" t="str">
        <f>IFERROR(__xludf.DUMMYFUNCTION("""COMPUTED_VALUE"""),"1220")</f>
        <v>1220</v>
      </c>
      <c r="B1043" s="2" t="str">
        <f>IFERROR(__xludf.DUMMYFUNCTION("""COMPUTED_VALUE"""),"GARFIELD            16")</f>
        <v>GARFIELD            16</v>
      </c>
      <c r="C1043" s="2" t="str">
        <f>IFERROR(__xludf.DUMMYFUNCTION("""COMPUTED_VALUE"""),"08274")</f>
        <v>08274</v>
      </c>
      <c r="D1043" s="2" t="str">
        <f>IFERROR(__xludf.DUMMYFUNCTION("""COMPUTED_VALUE"""),"GRAND VALLEY MIDDLE SCHOOL")</f>
        <v>GRAND VALLEY MIDDLE SCHOOL</v>
      </c>
      <c r="E1043" s="3" t="str">
        <f>IFERROR(__xludf.DUMMYFUNCTION("""COMPUTED_VALUE"""),"Y")</f>
        <v>Y</v>
      </c>
      <c r="F1043" s="3" t="str">
        <f>IFERROR(__xludf.DUMMYFUNCTION("""COMPUTED_VALUE"""),"Y")</f>
        <v>Y</v>
      </c>
      <c r="G1043" s="3" t="str">
        <f>IFERROR(__xludf.DUMMYFUNCTION("""COMPUTED_VALUE"""),"Y")</f>
        <v>Y</v>
      </c>
      <c r="H1043" s="3"/>
      <c r="I1043" s="3" t="str">
        <f>IFERROR(__xludf.DUMMYFUNCTION("""COMPUTED_VALUE""")," ")</f>
        <v> </v>
      </c>
      <c r="J1043" s="3" t="str">
        <f>IFERROR(__xludf.DUMMYFUNCTION("""COMPUTED_VALUE""")," ")</f>
        <v> </v>
      </c>
      <c r="K1043" s="3" t="str">
        <f>IFERROR(__xludf.DUMMYFUNCTION("""COMPUTED_VALUE"""),"Y")</f>
        <v>Y</v>
      </c>
      <c r="L1043" s="3" t="str">
        <f>IFERROR(__xludf.DUMMYFUNCTION("""COMPUTED_VALUE"""),"Group 1")</f>
        <v>Group 1</v>
      </c>
      <c r="M1043" s="3"/>
      <c r="N1043" s="5" t="str">
        <f>IFERROR(__xludf.DUMMYFUNCTION("""COMPUTED_VALUE""")," ")</f>
        <v> </v>
      </c>
      <c r="O1043" s="5"/>
    </row>
    <row r="1044">
      <c r="A1044" s="2" t="str">
        <f>IFERROR(__xludf.DUMMYFUNCTION("""COMPUTED_VALUE"""),"1325")</f>
        <v>1325</v>
      </c>
      <c r="B1044" s="2" t="str">
        <f>IFERROR(__xludf.DUMMYFUNCTION("""COMPUTED_VALUE"""),"ANNUNCIATION CATHOLIC SCHOOL")</f>
        <v>ANNUNCIATION CATHOLIC SCHOOL</v>
      </c>
      <c r="C1044" s="2" t="str">
        <f>IFERROR(__xludf.DUMMYFUNCTION("""COMPUTED_VALUE"""),"01325")</f>
        <v>01325</v>
      </c>
      <c r="D1044" s="2" t="str">
        <f>IFERROR(__xludf.DUMMYFUNCTION("""COMPUTED_VALUE"""),"Annunciation")</f>
        <v>Annunciation</v>
      </c>
      <c r="E1044" s="3" t="str">
        <f>IFERROR(__xludf.DUMMYFUNCTION("""COMPUTED_VALUE"""),"Y")</f>
        <v>Y</v>
      </c>
      <c r="F1044" s="3" t="str">
        <f>IFERROR(__xludf.DUMMYFUNCTION("""COMPUTED_VALUE"""),"Y")</f>
        <v>Y</v>
      </c>
      <c r="G1044" s="3" t="str">
        <f>IFERROR(__xludf.DUMMYFUNCTION("""COMPUTED_VALUE"""),"Y")</f>
        <v>Y</v>
      </c>
      <c r="H1044" s="3"/>
      <c r="I1044" s="3" t="str">
        <f>IFERROR(__xludf.DUMMYFUNCTION("""COMPUTED_VALUE""")," ")</f>
        <v> </v>
      </c>
      <c r="J1044" s="3" t="str">
        <f>IFERROR(__xludf.DUMMYFUNCTION("""COMPUTED_VALUE""")," ")</f>
        <v> </v>
      </c>
      <c r="K1044" s="3" t="str">
        <f>IFERROR(__xludf.DUMMYFUNCTION("""COMPUTED_VALUE"""),"Not eligibile")</f>
        <v>Not eligibile</v>
      </c>
      <c r="L1044" s="3" t="str">
        <f>IFERROR(__xludf.DUMMYFUNCTION("""COMPUTED_VALUE"""),"Individual")</f>
        <v>Individual</v>
      </c>
      <c r="M1044" s="3"/>
      <c r="N1044" s="5" t="str">
        <f>IFERROR(__xludf.DUMMYFUNCTION("""COMPUTED_VALUE""")," ")</f>
        <v> </v>
      </c>
      <c r="O1044" s="5"/>
    </row>
    <row r="1045">
      <c r="A1045" s="2" t="str">
        <f>IFERROR(__xludf.DUMMYFUNCTION("""COMPUTED_VALUE"""),"1330")</f>
        <v>1330</v>
      </c>
      <c r="B1045" s="2" t="str">
        <f>IFERROR(__xludf.DUMMYFUNCTION("""COMPUTED_VALUE"""),"GILPIN COUNTY       RE-1")</f>
        <v>GILPIN COUNTY       RE-1</v>
      </c>
      <c r="C1045" s="2" t="str">
        <f>IFERROR(__xludf.DUMMYFUNCTION("""COMPUTED_VALUE"""),"01632")</f>
        <v>01632</v>
      </c>
      <c r="D1045" s="2" t="str">
        <f>IFERROR(__xludf.DUMMYFUNCTION("""COMPUTED_VALUE"""),"GILPIN COUNTY ELEMENTARY SCHOOL")</f>
        <v>GILPIN COUNTY ELEMENTARY SCHOOL</v>
      </c>
      <c r="E1045" s="3" t="str">
        <f>IFERROR(__xludf.DUMMYFUNCTION("""COMPUTED_VALUE"""),"Y")</f>
        <v>Y</v>
      </c>
      <c r="F1045" s="3" t="str">
        <f>IFERROR(__xludf.DUMMYFUNCTION("""COMPUTED_VALUE"""),"Y")</f>
        <v>Y</v>
      </c>
      <c r="G1045" s="3"/>
      <c r="H1045" s="3"/>
      <c r="I1045" s="3" t="str">
        <f>IFERROR(__xludf.DUMMYFUNCTION("""COMPUTED_VALUE""")," ")</f>
        <v> </v>
      </c>
      <c r="J1045" s="3" t="str">
        <f>IFERROR(__xludf.DUMMYFUNCTION("""COMPUTED_VALUE""")," ")</f>
        <v> </v>
      </c>
      <c r="K1045" s="3" t="str">
        <f>IFERROR(__xludf.DUMMYFUNCTION("""COMPUTED_VALUE"""),"Y")</f>
        <v>Y</v>
      </c>
      <c r="L1045" s="3" t="str">
        <f>IFERROR(__xludf.DUMMYFUNCTION("""COMPUTED_VALUE"""),"Group 1")</f>
        <v>Group 1</v>
      </c>
      <c r="M1045" s="3"/>
      <c r="N1045" s="5" t="str">
        <f>IFERROR(__xludf.DUMMYFUNCTION("""COMPUTED_VALUE""")," ")</f>
        <v> </v>
      </c>
      <c r="O1045" s="5"/>
    </row>
    <row r="1046">
      <c r="A1046" s="2" t="str">
        <f>IFERROR(__xludf.DUMMYFUNCTION("""COMPUTED_VALUE"""),"1330")</f>
        <v>1330</v>
      </c>
      <c r="B1046" s="2" t="str">
        <f>IFERROR(__xludf.DUMMYFUNCTION("""COMPUTED_VALUE"""),"GILPIN COUNTY       RE-1")</f>
        <v>GILPIN COUNTY       RE-1</v>
      </c>
      <c r="C1046" s="2" t="str">
        <f>IFERROR(__xludf.DUMMYFUNCTION("""COMPUTED_VALUE"""),"01634")</f>
        <v>01634</v>
      </c>
      <c r="D1046" s="2" t="str">
        <f>IFERROR(__xludf.DUMMYFUNCTION("""COMPUTED_VALUE"""),"GILPIN COUNTY UNDIVIDED HIGH SCHOOL")</f>
        <v>GILPIN COUNTY UNDIVIDED HIGH SCHOOL</v>
      </c>
      <c r="E1046" s="3" t="str">
        <f>IFERROR(__xludf.DUMMYFUNCTION("""COMPUTED_VALUE"""),"Y")</f>
        <v>Y</v>
      </c>
      <c r="F1046" s="3" t="str">
        <f>IFERROR(__xludf.DUMMYFUNCTION("""COMPUTED_VALUE"""),"Y")</f>
        <v>Y</v>
      </c>
      <c r="G1046" s="3"/>
      <c r="H1046" s="3"/>
      <c r="I1046" s="3" t="str">
        <f>IFERROR(__xludf.DUMMYFUNCTION("""COMPUTED_VALUE""")," ")</f>
        <v> </v>
      </c>
      <c r="J1046" s="3" t="str">
        <f>IFERROR(__xludf.DUMMYFUNCTION("""COMPUTED_VALUE""")," ")</f>
        <v> </v>
      </c>
      <c r="K1046" s="3" t="str">
        <f>IFERROR(__xludf.DUMMYFUNCTION("""COMPUTED_VALUE"""),"Y")</f>
        <v>Y</v>
      </c>
      <c r="L1046" s="3" t="str">
        <f>IFERROR(__xludf.DUMMYFUNCTION("""COMPUTED_VALUE"""),"Group 2")</f>
        <v>Group 2</v>
      </c>
      <c r="M1046" s="3"/>
      <c r="N1046" s="5" t="str">
        <f>IFERROR(__xludf.DUMMYFUNCTION("""COMPUTED_VALUE""")," ")</f>
        <v> </v>
      </c>
      <c r="O1046" s="5"/>
    </row>
    <row r="1047">
      <c r="A1047" s="2" t="str">
        <f>IFERROR(__xludf.DUMMYFUNCTION("""COMPUTED_VALUE"""),"1340")</f>
        <v>1340</v>
      </c>
      <c r="B1047" s="2" t="str">
        <f>IFERROR(__xludf.DUMMYFUNCTION("""COMPUTED_VALUE"""),"WEST GRAND 1-JT")</f>
        <v>WEST GRAND 1-JT</v>
      </c>
      <c r="C1047" s="2" t="str">
        <f>IFERROR(__xludf.DUMMYFUNCTION("""COMPUTED_VALUE"""),"09420")</f>
        <v>09420</v>
      </c>
      <c r="D1047" s="2" t="str">
        <f>IFERROR(__xludf.DUMMYFUNCTION("""COMPUTED_VALUE"""),"WEST GRAND HIGH SCHOOL")</f>
        <v>WEST GRAND HIGH SCHOOL</v>
      </c>
      <c r="E1047" s="3" t="str">
        <f>IFERROR(__xludf.DUMMYFUNCTION("""COMPUTED_VALUE"""),"Y")</f>
        <v>Y</v>
      </c>
      <c r="F1047" s="3" t="str">
        <f>IFERROR(__xludf.DUMMYFUNCTION("""COMPUTED_VALUE"""),"Y")</f>
        <v>Y</v>
      </c>
      <c r="G1047" s="3"/>
      <c r="H1047" s="3"/>
      <c r="I1047" s="3" t="str">
        <f>IFERROR(__xludf.DUMMYFUNCTION("""COMPUTED_VALUE""")," ")</f>
        <v> </v>
      </c>
      <c r="J1047" s="3" t="str">
        <f>IFERROR(__xludf.DUMMYFUNCTION("""COMPUTED_VALUE""")," ")</f>
        <v> </v>
      </c>
      <c r="K1047" s="3" t="str">
        <f>IFERROR(__xludf.DUMMYFUNCTION("""COMPUTED_VALUE"""),"Y")</f>
        <v>Y</v>
      </c>
      <c r="L1047" s="3" t="str">
        <f>IFERROR(__xludf.DUMMYFUNCTION("""COMPUTED_VALUE""")," ")</f>
        <v> </v>
      </c>
      <c r="M1047" s="3"/>
      <c r="N1047" s="5" t="str">
        <f>IFERROR(__xludf.DUMMYFUNCTION("""COMPUTED_VALUE""")," ")</f>
        <v> </v>
      </c>
      <c r="O1047" s="5"/>
    </row>
    <row r="1048">
      <c r="A1048" s="2" t="str">
        <f>IFERROR(__xludf.DUMMYFUNCTION("""COMPUTED_VALUE"""),"1340")</f>
        <v>1340</v>
      </c>
      <c r="B1048" s="2" t="str">
        <f>IFERROR(__xludf.DUMMYFUNCTION("""COMPUTED_VALUE"""),"WEST GRAND 1-JT")</f>
        <v>WEST GRAND 1-JT</v>
      </c>
      <c r="C1048" s="2" t="str">
        <f>IFERROR(__xludf.DUMMYFUNCTION("""COMPUTED_VALUE"""),"09422")</f>
        <v>09422</v>
      </c>
      <c r="D1048" s="2" t="str">
        <f>IFERROR(__xludf.DUMMYFUNCTION("""COMPUTED_VALUE"""),"WEST GRAND ELEMENTARY AND MIDDLE SCHOOL")</f>
        <v>WEST GRAND ELEMENTARY AND MIDDLE SCHOOL</v>
      </c>
      <c r="E1048" s="3" t="str">
        <f>IFERROR(__xludf.DUMMYFUNCTION("""COMPUTED_VALUE"""),"Y")</f>
        <v>Y</v>
      </c>
      <c r="F1048" s="3" t="str">
        <f>IFERROR(__xludf.DUMMYFUNCTION("""COMPUTED_VALUE"""),"Y")</f>
        <v>Y</v>
      </c>
      <c r="G1048" s="3"/>
      <c r="H1048" s="3"/>
      <c r="I1048" s="3" t="str">
        <f>IFERROR(__xludf.DUMMYFUNCTION("""COMPUTED_VALUE""")," ")</f>
        <v> </v>
      </c>
      <c r="J1048" s="3" t="str">
        <f>IFERROR(__xludf.DUMMYFUNCTION("""COMPUTED_VALUE""")," ")</f>
        <v> </v>
      </c>
      <c r="K1048" s="3" t="str">
        <f>IFERROR(__xludf.DUMMYFUNCTION("""COMPUTED_VALUE"""),"Y")</f>
        <v>Y</v>
      </c>
      <c r="L1048" s="3" t="str">
        <f>IFERROR(__xludf.DUMMYFUNCTION("""COMPUTED_VALUE""")," ")</f>
        <v> </v>
      </c>
      <c r="M1048" s="3"/>
      <c r="N1048" s="5" t="str">
        <f>IFERROR(__xludf.DUMMYFUNCTION("""COMPUTED_VALUE""")," ")</f>
        <v> </v>
      </c>
      <c r="O1048" s="5"/>
    </row>
    <row r="1049">
      <c r="A1049" s="2" t="str">
        <f>IFERROR(__xludf.DUMMYFUNCTION("""COMPUTED_VALUE"""),"1350")</f>
        <v>1350</v>
      </c>
      <c r="B1049" s="2" t="str">
        <f>IFERROR(__xludf.DUMMYFUNCTION("""COMPUTED_VALUE"""),"EAST GRAND          2")</f>
        <v>EAST GRAND          2</v>
      </c>
      <c r="C1049" s="2" t="str">
        <f>IFERROR(__xludf.DUMMYFUNCTION("""COMPUTED_VALUE"""),"02376")</f>
        <v>02376</v>
      </c>
      <c r="D1049" s="2" t="str">
        <f>IFERROR(__xludf.DUMMYFUNCTION("""COMPUTED_VALUE"""),"EAST GRAND MIDDLE SCHOOL")</f>
        <v>EAST GRAND MIDDLE SCHOOL</v>
      </c>
      <c r="E1049" s="3" t="str">
        <f>IFERROR(__xludf.DUMMYFUNCTION("""COMPUTED_VALUE"""),"Y")</f>
        <v>Y</v>
      </c>
      <c r="F1049" s="3" t="str">
        <f>IFERROR(__xludf.DUMMYFUNCTION("""COMPUTED_VALUE"""),"Y")</f>
        <v>Y</v>
      </c>
      <c r="G1049" s="3"/>
      <c r="H1049" s="3"/>
      <c r="I1049" s="3" t="str">
        <f>IFERROR(__xludf.DUMMYFUNCTION("""COMPUTED_VALUE""")," ")</f>
        <v> </v>
      </c>
      <c r="J1049" s="3" t="str">
        <f>IFERROR(__xludf.DUMMYFUNCTION("""COMPUTED_VALUE""")," ")</f>
        <v> </v>
      </c>
      <c r="K1049" s="3" t="str">
        <f>IFERROR(__xludf.DUMMYFUNCTION("""COMPUTED_VALUE"""),"Y")</f>
        <v>Y</v>
      </c>
      <c r="L1049" s="3" t="str">
        <f>IFERROR(__xludf.DUMMYFUNCTION("""COMPUTED_VALUE""")," ")</f>
        <v> </v>
      </c>
      <c r="M1049" s="3"/>
      <c r="N1049" s="5" t="str">
        <f>IFERROR(__xludf.DUMMYFUNCTION("""COMPUTED_VALUE""")," ")</f>
        <v> </v>
      </c>
      <c r="O1049" s="5"/>
    </row>
    <row r="1050">
      <c r="A1050" s="2" t="str">
        <f>IFERROR(__xludf.DUMMYFUNCTION("""COMPUTED_VALUE"""),"1350")</f>
        <v>1350</v>
      </c>
      <c r="B1050" s="2" t="str">
        <f>IFERROR(__xludf.DUMMYFUNCTION("""COMPUTED_VALUE"""),"EAST GRAND          2")</f>
        <v>EAST GRAND          2</v>
      </c>
      <c r="C1050" s="2" t="str">
        <f>IFERROR(__xludf.DUMMYFUNCTION("""COMPUTED_VALUE"""),"03182")</f>
        <v>03182</v>
      </c>
      <c r="D1050" s="2" t="str">
        <f>IFERROR(__xludf.DUMMYFUNCTION("""COMPUTED_VALUE"""),"FRASER VALLEY ELEMENTARY SCHOOL")</f>
        <v>FRASER VALLEY ELEMENTARY SCHOOL</v>
      </c>
      <c r="E1050" s="3" t="str">
        <f>IFERROR(__xludf.DUMMYFUNCTION("""COMPUTED_VALUE"""),"Y")</f>
        <v>Y</v>
      </c>
      <c r="F1050" s="3" t="str">
        <f>IFERROR(__xludf.DUMMYFUNCTION("""COMPUTED_VALUE"""),"Y")</f>
        <v>Y</v>
      </c>
      <c r="G1050" s="3"/>
      <c r="H1050" s="3"/>
      <c r="I1050" s="3" t="str">
        <f>IFERROR(__xludf.DUMMYFUNCTION("""COMPUTED_VALUE""")," ")</f>
        <v> </v>
      </c>
      <c r="J1050" s="3" t="str">
        <f>IFERROR(__xludf.DUMMYFUNCTION("""COMPUTED_VALUE""")," ")</f>
        <v> </v>
      </c>
      <c r="K1050" s="3" t="str">
        <f>IFERROR(__xludf.DUMMYFUNCTION("""COMPUTED_VALUE"""),"Y")</f>
        <v>Y</v>
      </c>
      <c r="L1050" s="3" t="str">
        <f>IFERROR(__xludf.DUMMYFUNCTION("""COMPUTED_VALUE"""),"Group 1")</f>
        <v>Group 1</v>
      </c>
      <c r="M1050" s="3"/>
      <c r="N1050" s="5" t="str">
        <f>IFERROR(__xludf.DUMMYFUNCTION("""COMPUTED_VALUE""")," ")</f>
        <v> </v>
      </c>
      <c r="O1050" s="5"/>
    </row>
    <row r="1051">
      <c r="A1051" s="2" t="str">
        <f>IFERROR(__xludf.DUMMYFUNCTION("""COMPUTED_VALUE"""),"1350")</f>
        <v>1350</v>
      </c>
      <c r="B1051" s="2" t="str">
        <f>IFERROR(__xludf.DUMMYFUNCTION("""COMPUTED_VALUE"""),"EAST GRAND          2")</f>
        <v>EAST GRAND          2</v>
      </c>
      <c r="C1051" s="2" t="str">
        <f>IFERROR(__xludf.DUMMYFUNCTION("""COMPUTED_VALUE"""),"03556")</f>
        <v>03556</v>
      </c>
      <c r="D1051" s="2" t="str">
        <f>IFERROR(__xludf.DUMMYFUNCTION("""COMPUTED_VALUE"""),"GRANBY ELEMENTARY SCHOOL")</f>
        <v>GRANBY ELEMENTARY SCHOOL</v>
      </c>
      <c r="E1051" s="3" t="str">
        <f>IFERROR(__xludf.DUMMYFUNCTION("""COMPUTED_VALUE"""),"Y")</f>
        <v>Y</v>
      </c>
      <c r="F1051" s="3" t="str">
        <f>IFERROR(__xludf.DUMMYFUNCTION("""COMPUTED_VALUE"""),"Y")</f>
        <v>Y</v>
      </c>
      <c r="G1051" s="3"/>
      <c r="H1051" s="3"/>
      <c r="I1051" s="3" t="str">
        <f>IFERROR(__xludf.DUMMYFUNCTION("""COMPUTED_VALUE""")," ")</f>
        <v> </v>
      </c>
      <c r="J1051" s="3" t="str">
        <f>IFERROR(__xludf.DUMMYFUNCTION("""COMPUTED_VALUE""")," ")</f>
        <v> </v>
      </c>
      <c r="K1051" s="3" t="str">
        <f>IFERROR(__xludf.DUMMYFUNCTION("""COMPUTED_VALUE"""),"Y")</f>
        <v>Y</v>
      </c>
      <c r="L1051" s="3" t="str">
        <f>IFERROR(__xludf.DUMMYFUNCTION("""COMPUTED_VALUE"""),"Group 1")</f>
        <v>Group 1</v>
      </c>
      <c r="M1051" s="3"/>
      <c r="N1051" s="5" t="str">
        <f>IFERROR(__xludf.DUMMYFUNCTION("""COMPUTED_VALUE""")," ")</f>
        <v> </v>
      </c>
      <c r="O1051" s="5"/>
    </row>
    <row r="1052">
      <c r="A1052" s="2" t="str">
        <f>IFERROR(__xludf.DUMMYFUNCTION("""COMPUTED_VALUE"""),"1350")</f>
        <v>1350</v>
      </c>
      <c r="B1052" s="2" t="str">
        <f>IFERROR(__xludf.DUMMYFUNCTION("""COMPUTED_VALUE"""),"EAST GRAND          2")</f>
        <v>EAST GRAND          2</v>
      </c>
      <c r="C1052" s="2" t="str">
        <f>IFERROR(__xludf.DUMMYFUNCTION("""COMPUTED_VALUE"""),"05864")</f>
        <v>05864</v>
      </c>
      <c r="D1052" s="2" t="str">
        <f>IFERROR(__xludf.DUMMYFUNCTION("""COMPUTED_VALUE"""),"MIDDLE PARK HIGH SCHOOL")</f>
        <v>MIDDLE PARK HIGH SCHOOL</v>
      </c>
      <c r="E1052" s="3" t="str">
        <f>IFERROR(__xludf.DUMMYFUNCTION("""COMPUTED_VALUE"""),"Y")</f>
        <v>Y</v>
      </c>
      <c r="F1052" s="3" t="str">
        <f>IFERROR(__xludf.DUMMYFUNCTION("""COMPUTED_VALUE"""),"Y")</f>
        <v>Y</v>
      </c>
      <c r="G1052" s="3"/>
      <c r="H1052" s="3"/>
      <c r="I1052" s="3" t="str">
        <f>IFERROR(__xludf.DUMMYFUNCTION("""COMPUTED_VALUE""")," ")</f>
        <v> </v>
      </c>
      <c r="J1052" s="3" t="str">
        <f>IFERROR(__xludf.DUMMYFUNCTION("""COMPUTED_VALUE""")," ")</f>
        <v> </v>
      </c>
      <c r="K1052" s="3" t="str">
        <f>IFERROR(__xludf.DUMMYFUNCTION("""COMPUTED_VALUE"""),"Y")</f>
        <v>Y</v>
      </c>
      <c r="L1052" s="3" t="str">
        <f>IFERROR(__xludf.DUMMYFUNCTION("""COMPUTED_VALUE""")," ")</f>
        <v> </v>
      </c>
      <c r="M1052" s="3"/>
      <c r="N1052" s="5" t="str">
        <f>IFERROR(__xludf.DUMMYFUNCTION("""COMPUTED_VALUE""")," ")</f>
        <v> </v>
      </c>
      <c r="O1052" s="5"/>
    </row>
    <row r="1053">
      <c r="A1053" s="2" t="str">
        <f>IFERROR(__xludf.DUMMYFUNCTION("""COMPUTED_VALUE"""),"1360")</f>
        <v>1360</v>
      </c>
      <c r="B1053" s="2" t="str">
        <f>IFERROR(__xludf.DUMMYFUNCTION("""COMPUTED_VALUE"""),"GUNNISON WATERSHED  RE1J")</f>
        <v>GUNNISON WATERSHED  RE1J</v>
      </c>
      <c r="C1053" s="2" t="str">
        <f>IFERROR(__xludf.DUMMYFUNCTION("""COMPUTED_VALUE"""),"01447")</f>
        <v>01447</v>
      </c>
      <c r="D1053" s="2" t="str">
        <f>IFERROR(__xludf.DUMMYFUNCTION("""COMPUTED_VALUE"""),"CRESTED BUTTE ELEMENTARY SCHOOL")</f>
        <v>CRESTED BUTTE ELEMENTARY SCHOOL</v>
      </c>
      <c r="E1053" s="3" t="str">
        <f>IFERROR(__xludf.DUMMYFUNCTION("""COMPUTED_VALUE"""),"Y")</f>
        <v>Y</v>
      </c>
      <c r="F1053" s="3" t="str">
        <f>IFERROR(__xludf.DUMMYFUNCTION("""COMPUTED_VALUE"""),"Y")</f>
        <v>Y</v>
      </c>
      <c r="G1053" s="3"/>
      <c r="H1053" s="3"/>
      <c r="I1053" s="3" t="str">
        <f>IFERROR(__xludf.DUMMYFUNCTION("""COMPUTED_VALUE""")," ")</f>
        <v> </v>
      </c>
      <c r="J1053" s="3" t="str">
        <f>IFERROR(__xludf.DUMMYFUNCTION("""COMPUTED_VALUE""")," ")</f>
        <v> </v>
      </c>
      <c r="K1053" s="3" t="str">
        <f>IFERROR(__xludf.DUMMYFUNCTION("""COMPUTED_VALUE"""),"Y")</f>
        <v>Y</v>
      </c>
      <c r="L1053" s="3" t="str">
        <f>IFERROR(__xludf.DUMMYFUNCTION("""COMPUTED_VALUE""")," ")</f>
        <v> </v>
      </c>
      <c r="M1053" s="3"/>
      <c r="N1053" s="5" t="str">
        <f>IFERROR(__xludf.DUMMYFUNCTION("""COMPUTED_VALUE""")," ")</f>
        <v> </v>
      </c>
      <c r="O1053" s="5"/>
    </row>
    <row r="1054">
      <c r="A1054" s="2" t="str">
        <f>IFERROR(__xludf.DUMMYFUNCTION("""COMPUTED_VALUE"""),"1360")</f>
        <v>1360</v>
      </c>
      <c r="B1054" s="2" t="str">
        <f>IFERROR(__xludf.DUMMYFUNCTION("""COMPUTED_VALUE"""),"GUNNISON WATERSHED  RE1J")</f>
        <v>GUNNISON WATERSHED  RE1J</v>
      </c>
      <c r="C1054" s="2" t="str">
        <f>IFERROR(__xludf.DUMMYFUNCTION("""COMPUTED_VALUE"""),"02006")</f>
        <v>02006</v>
      </c>
      <c r="D1054" s="2" t="str">
        <f>IFERROR(__xludf.DUMMYFUNCTION("""COMPUTED_VALUE"""),"CRESTED BUTTE SECONDARY SCHOOL")</f>
        <v>CRESTED BUTTE SECONDARY SCHOOL</v>
      </c>
      <c r="E1054" s="3" t="str">
        <f>IFERROR(__xludf.DUMMYFUNCTION("""COMPUTED_VALUE"""),"Y")</f>
        <v>Y</v>
      </c>
      <c r="F1054" s="3" t="str">
        <f>IFERROR(__xludf.DUMMYFUNCTION("""COMPUTED_VALUE"""),"Y")</f>
        <v>Y</v>
      </c>
      <c r="G1054" s="3"/>
      <c r="H1054" s="3"/>
      <c r="I1054" s="3" t="str">
        <f>IFERROR(__xludf.DUMMYFUNCTION("""COMPUTED_VALUE""")," ")</f>
        <v> </v>
      </c>
      <c r="J1054" s="3" t="str">
        <f>IFERROR(__xludf.DUMMYFUNCTION("""COMPUTED_VALUE""")," ")</f>
        <v> </v>
      </c>
      <c r="K1054" s="3" t="str">
        <f>IFERROR(__xludf.DUMMYFUNCTION("""COMPUTED_VALUE"""),"Y")</f>
        <v>Y</v>
      </c>
      <c r="L1054" s="3" t="str">
        <f>IFERROR(__xludf.DUMMYFUNCTION("""COMPUTED_VALUE""")," ")</f>
        <v> </v>
      </c>
      <c r="M1054" s="3"/>
      <c r="N1054" s="5" t="str">
        <f>IFERROR(__xludf.DUMMYFUNCTION("""COMPUTED_VALUE""")," ")</f>
        <v> </v>
      </c>
      <c r="O1054" s="5"/>
    </row>
    <row r="1055">
      <c r="A1055" s="2" t="str">
        <f>IFERROR(__xludf.DUMMYFUNCTION("""COMPUTED_VALUE"""),"1360")</f>
        <v>1360</v>
      </c>
      <c r="B1055" s="2" t="str">
        <f>IFERROR(__xludf.DUMMYFUNCTION("""COMPUTED_VALUE"""),"GUNNISON WATERSHED  RE1J")</f>
        <v>GUNNISON WATERSHED  RE1J</v>
      </c>
      <c r="C1055" s="2" t="str">
        <f>IFERROR(__xludf.DUMMYFUNCTION("""COMPUTED_VALUE"""),"03690")</f>
        <v>03690</v>
      </c>
      <c r="D1055" s="2" t="str">
        <f>IFERROR(__xludf.DUMMYFUNCTION("""COMPUTED_VALUE"""),"GUNNISON ELEMENTARY SCHOOL")</f>
        <v>GUNNISON ELEMENTARY SCHOOL</v>
      </c>
      <c r="E1055" s="3" t="str">
        <f>IFERROR(__xludf.DUMMYFUNCTION("""COMPUTED_VALUE"""),"Y")</f>
        <v>Y</v>
      </c>
      <c r="F1055" s="3" t="str">
        <f>IFERROR(__xludf.DUMMYFUNCTION("""COMPUTED_VALUE"""),"Y")</f>
        <v>Y</v>
      </c>
      <c r="G1055" s="3"/>
      <c r="H1055" s="3"/>
      <c r="I1055" s="3" t="str">
        <f>IFERROR(__xludf.DUMMYFUNCTION("""COMPUTED_VALUE""")," ")</f>
        <v> </v>
      </c>
      <c r="J1055" s="3" t="str">
        <f>IFERROR(__xludf.DUMMYFUNCTION("""COMPUTED_VALUE""")," ")</f>
        <v> </v>
      </c>
      <c r="K1055" s="3" t="str">
        <f>IFERROR(__xludf.DUMMYFUNCTION("""COMPUTED_VALUE"""),"Y")</f>
        <v>Y</v>
      </c>
      <c r="L1055" s="3" t="str">
        <f>IFERROR(__xludf.DUMMYFUNCTION("""COMPUTED_VALUE""")," ")</f>
        <v> </v>
      </c>
      <c r="M1055" s="3"/>
      <c r="N1055" s="5" t="str">
        <f>IFERROR(__xludf.DUMMYFUNCTION("""COMPUTED_VALUE"""),"Y")</f>
        <v>Y</v>
      </c>
      <c r="O1055" s="5"/>
    </row>
    <row r="1056">
      <c r="A1056" s="2" t="str">
        <f>IFERROR(__xludf.DUMMYFUNCTION("""COMPUTED_VALUE"""),"1360")</f>
        <v>1360</v>
      </c>
      <c r="B1056" s="2" t="str">
        <f>IFERROR(__xludf.DUMMYFUNCTION("""COMPUTED_VALUE"""),"GUNNISON WATERSHED  RE1J")</f>
        <v>GUNNISON WATERSHED  RE1J</v>
      </c>
      <c r="C1056" s="2" t="str">
        <f>IFERROR(__xludf.DUMMYFUNCTION("""COMPUTED_VALUE"""),"03694")</f>
        <v>03694</v>
      </c>
      <c r="D1056" s="2" t="str">
        <f>IFERROR(__xludf.DUMMYFUNCTION("""COMPUTED_VALUE"""),"GUNNISON HIGH SCHOOL")</f>
        <v>GUNNISON HIGH SCHOOL</v>
      </c>
      <c r="E1056" s="3" t="str">
        <f>IFERROR(__xludf.DUMMYFUNCTION("""COMPUTED_VALUE"""),"Y")</f>
        <v>Y</v>
      </c>
      <c r="F1056" s="3" t="str">
        <f>IFERROR(__xludf.DUMMYFUNCTION("""COMPUTED_VALUE"""),"Y")</f>
        <v>Y</v>
      </c>
      <c r="G1056" s="3"/>
      <c r="H1056" s="3"/>
      <c r="I1056" s="3" t="str">
        <f>IFERROR(__xludf.DUMMYFUNCTION("""COMPUTED_VALUE""")," ")</f>
        <v> </v>
      </c>
      <c r="J1056" s="3" t="str">
        <f>IFERROR(__xludf.DUMMYFUNCTION("""COMPUTED_VALUE""")," ")</f>
        <v> </v>
      </c>
      <c r="K1056" s="3" t="str">
        <f>IFERROR(__xludf.DUMMYFUNCTION("""COMPUTED_VALUE"""),"Y")</f>
        <v>Y</v>
      </c>
      <c r="L1056" s="3" t="str">
        <f>IFERROR(__xludf.DUMMYFUNCTION("""COMPUTED_VALUE""")," ")</f>
        <v> </v>
      </c>
      <c r="M1056" s="3"/>
      <c r="N1056" s="5" t="str">
        <f>IFERROR(__xludf.DUMMYFUNCTION("""COMPUTED_VALUE""")," ")</f>
        <v> </v>
      </c>
      <c r="O1056" s="5"/>
    </row>
    <row r="1057">
      <c r="A1057" s="2" t="str">
        <f>IFERROR(__xludf.DUMMYFUNCTION("""COMPUTED_VALUE"""),"1360")</f>
        <v>1360</v>
      </c>
      <c r="B1057" s="2" t="str">
        <f>IFERROR(__xludf.DUMMYFUNCTION("""COMPUTED_VALUE"""),"GUNNISON WATERSHED  RE1J")</f>
        <v>GUNNISON WATERSHED  RE1J</v>
      </c>
      <c r="C1057" s="2" t="str">
        <f>IFERROR(__xludf.DUMMYFUNCTION("""COMPUTED_VALUE"""),"03697")</f>
        <v>03697</v>
      </c>
      <c r="D1057" s="2" t="str">
        <f>IFERROR(__xludf.DUMMYFUNCTION("""COMPUTED_VALUE"""),"GUNNISON MIDDLE SCHOOL")</f>
        <v>GUNNISON MIDDLE SCHOOL</v>
      </c>
      <c r="E1057" s="3" t="str">
        <f>IFERROR(__xludf.DUMMYFUNCTION("""COMPUTED_VALUE"""),"Y")</f>
        <v>Y</v>
      </c>
      <c r="F1057" s="3" t="str">
        <f>IFERROR(__xludf.DUMMYFUNCTION("""COMPUTED_VALUE"""),"Y")</f>
        <v>Y</v>
      </c>
      <c r="G1057" s="3"/>
      <c r="H1057" s="3"/>
      <c r="I1057" s="3" t="str">
        <f>IFERROR(__xludf.DUMMYFUNCTION("""COMPUTED_VALUE""")," ")</f>
        <v> </v>
      </c>
      <c r="J1057" s="3" t="str">
        <f>IFERROR(__xludf.DUMMYFUNCTION("""COMPUTED_VALUE""")," ")</f>
        <v> </v>
      </c>
      <c r="K1057" s="3" t="str">
        <f>IFERROR(__xludf.DUMMYFUNCTION("""COMPUTED_VALUE"""),"Y")</f>
        <v>Y</v>
      </c>
      <c r="L1057" s="3" t="str">
        <f>IFERROR(__xludf.DUMMYFUNCTION("""COMPUTED_VALUE""")," ")</f>
        <v> </v>
      </c>
      <c r="M1057" s="3"/>
      <c r="N1057" s="5" t="str">
        <f>IFERROR(__xludf.DUMMYFUNCTION("""COMPUTED_VALUE""")," ")</f>
        <v> </v>
      </c>
      <c r="O1057" s="5"/>
    </row>
    <row r="1058">
      <c r="A1058" s="2" t="str">
        <f>IFERROR(__xludf.DUMMYFUNCTION("""COMPUTED_VALUE"""),"1360")</f>
        <v>1360</v>
      </c>
      <c r="B1058" s="2" t="str">
        <f>IFERROR(__xludf.DUMMYFUNCTION("""COMPUTED_VALUE"""),"GUNNISON WATERSHED  RE1J")</f>
        <v>GUNNISON WATERSHED  RE1J</v>
      </c>
      <c r="C1058" s="2" t="str">
        <f>IFERROR(__xludf.DUMMYFUNCTION("""COMPUTED_VALUE"""),"03702")</f>
        <v>03702</v>
      </c>
      <c r="D1058" s="2" t="str">
        <f>IFERROR(__xludf.DUMMYFUNCTION("""COMPUTED_VALUE"""),"LAKE PRESCHOOL")</f>
        <v>LAKE PRESCHOOL</v>
      </c>
      <c r="E1058" s="3" t="str">
        <f>IFERROR(__xludf.DUMMYFUNCTION("""COMPUTED_VALUE"""),"Y")</f>
        <v>Y</v>
      </c>
      <c r="F1058" s="3" t="str">
        <f>IFERROR(__xludf.DUMMYFUNCTION("""COMPUTED_VALUE"""),"Y")</f>
        <v>Y</v>
      </c>
      <c r="G1058" s="3"/>
      <c r="H1058" s="3"/>
      <c r="I1058" s="3" t="str">
        <f>IFERROR(__xludf.DUMMYFUNCTION("""COMPUTED_VALUE""")," ")</f>
        <v> </v>
      </c>
      <c r="J1058" s="3" t="str">
        <f>IFERROR(__xludf.DUMMYFUNCTION("""COMPUTED_VALUE""")," ")</f>
        <v> </v>
      </c>
      <c r="K1058" s="3" t="str">
        <f>IFERROR(__xludf.DUMMYFUNCTION("""COMPUTED_VALUE"""),"Y")</f>
        <v>Y</v>
      </c>
      <c r="L1058" s="3" t="str">
        <f>IFERROR(__xludf.DUMMYFUNCTION("""COMPUTED_VALUE""")," ")</f>
        <v> </v>
      </c>
      <c r="M1058" s="3"/>
      <c r="N1058" s="5" t="str">
        <f>IFERROR(__xludf.DUMMYFUNCTION("""COMPUTED_VALUE"""),"Y")</f>
        <v>Y</v>
      </c>
      <c r="O1058" s="5"/>
    </row>
    <row r="1059">
      <c r="A1059" s="2" t="str">
        <f>IFERROR(__xludf.DUMMYFUNCTION("""COMPUTED_VALUE"""),"1380")</f>
        <v>1380</v>
      </c>
      <c r="B1059" s="2" t="str">
        <f>IFERROR(__xludf.DUMMYFUNCTION("""COMPUTED_VALUE"""),"HINSDALE COUNTY     RE 1")</f>
        <v>HINSDALE COUNTY     RE 1</v>
      </c>
      <c r="C1059" s="2" t="str">
        <f>IFERROR(__xludf.DUMMYFUNCTION("""COMPUTED_VALUE"""),"04899")</f>
        <v>04899</v>
      </c>
      <c r="D1059" s="2" t="str">
        <f>IFERROR(__xludf.DUMMYFUNCTION("""COMPUTED_VALUE"""),"LAKE CITY COMMUNITY SCHOOL")</f>
        <v>LAKE CITY COMMUNITY SCHOOL</v>
      </c>
      <c r="E1059" s="3" t="str">
        <f>IFERROR(__xludf.DUMMYFUNCTION("""COMPUTED_VALUE"""),"Y")</f>
        <v>Y</v>
      </c>
      <c r="F1059" s="3" t="str">
        <f>IFERROR(__xludf.DUMMYFUNCTION("""COMPUTED_VALUE"""),"Y")</f>
        <v>Y</v>
      </c>
      <c r="G1059" s="3"/>
      <c r="H1059" s="3"/>
      <c r="I1059" s="3" t="str">
        <f>IFERROR(__xludf.DUMMYFUNCTION("""COMPUTED_VALUE""")," ")</f>
        <v> </v>
      </c>
      <c r="J1059" s="3" t="str">
        <f>IFERROR(__xludf.DUMMYFUNCTION("""COMPUTED_VALUE""")," ")</f>
        <v> </v>
      </c>
      <c r="K1059" s="3" t="str">
        <f>IFERROR(__xludf.DUMMYFUNCTION("""COMPUTED_VALUE"""),"Y")</f>
        <v>Y</v>
      </c>
      <c r="L1059" s="3" t="str">
        <f>IFERROR(__xludf.DUMMYFUNCTION("""COMPUTED_VALUE"""),"Group 1")</f>
        <v>Group 1</v>
      </c>
      <c r="M1059" s="3"/>
      <c r="N1059" s="5" t="str">
        <f>IFERROR(__xludf.DUMMYFUNCTION("""COMPUTED_VALUE""")," ")</f>
        <v> </v>
      </c>
      <c r="O1059" s="5"/>
    </row>
    <row r="1060">
      <c r="A1060" s="2" t="str">
        <f>IFERROR(__xludf.DUMMYFUNCTION("""COMPUTED_VALUE"""),"1390")</f>
        <v>1390</v>
      </c>
      <c r="B1060" s="2" t="str">
        <f>IFERROR(__xludf.DUMMYFUNCTION("""COMPUTED_VALUE"""),"HUERFANO            RE-1")</f>
        <v>HUERFANO            RE-1</v>
      </c>
      <c r="C1060" s="2" t="str">
        <f>IFERROR(__xludf.DUMMYFUNCTION("""COMPUTED_VALUE"""),"00063")</f>
        <v>00063</v>
      </c>
      <c r="D1060" s="2" t="str">
        <f>IFERROR(__xludf.DUMMYFUNCTION("""COMPUTED_VALUE"""),"PEAKVIEW SCHOOL")</f>
        <v>PEAKVIEW SCHOOL</v>
      </c>
      <c r="E1060" s="3" t="str">
        <f>IFERROR(__xludf.DUMMYFUNCTION("""COMPUTED_VALUE"""),"Y")</f>
        <v>Y</v>
      </c>
      <c r="F1060" s="3" t="str">
        <f>IFERROR(__xludf.DUMMYFUNCTION("""COMPUTED_VALUE"""),"Y")</f>
        <v>Y</v>
      </c>
      <c r="G1060" s="3" t="str">
        <f>IFERROR(__xludf.DUMMYFUNCTION("""COMPUTED_VALUE"""),"Y")</f>
        <v>Y</v>
      </c>
      <c r="H1060" s="3"/>
      <c r="I1060" s="3" t="str">
        <f>IFERROR(__xludf.DUMMYFUNCTION("""COMPUTED_VALUE""")," ")</f>
        <v> </v>
      </c>
      <c r="J1060" s="3" t="str">
        <f>IFERROR(__xludf.DUMMYFUNCTION("""COMPUTED_VALUE""")," ")</f>
        <v> </v>
      </c>
      <c r="K1060" s="3" t="str">
        <f>IFERROR(__xludf.DUMMYFUNCTION("""COMPUTED_VALUE"""),"Y")</f>
        <v>Y</v>
      </c>
      <c r="L1060" s="3" t="str">
        <f>IFERROR(__xludf.DUMMYFUNCTION("""COMPUTED_VALUE"""),"Group 1")</f>
        <v>Group 1</v>
      </c>
      <c r="M1060" s="3"/>
      <c r="N1060" s="5" t="str">
        <f>IFERROR(__xludf.DUMMYFUNCTION("""COMPUTED_VALUE""")," ")</f>
        <v> </v>
      </c>
      <c r="O1060" s="5"/>
    </row>
    <row r="1061">
      <c r="A1061" s="2" t="str">
        <f>IFERROR(__xludf.DUMMYFUNCTION("""COMPUTED_VALUE"""),"1390")</f>
        <v>1390</v>
      </c>
      <c r="B1061" s="2" t="str">
        <f>IFERROR(__xludf.DUMMYFUNCTION("""COMPUTED_VALUE"""),"HUERFANO            RE-1")</f>
        <v>HUERFANO            RE-1</v>
      </c>
      <c r="C1061" s="2" t="str">
        <f>IFERROR(__xludf.DUMMYFUNCTION("""COMPUTED_VALUE"""),"03306")</f>
        <v>03306</v>
      </c>
      <c r="D1061" s="2" t="str">
        <f>IFERROR(__xludf.DUMMYFUNCTION("""COMPUTED_VALUE"""),"GARDNER ELEMENTARY SCHOOL")</f>
        <v>GARDNER ELEMENTARY SCHOOL</v>
      </c>
      <c r="E1061" s="3" t="str">
        <f>IFERROR(__xludf.DUMMYFUNCTION("""COMPUTED_VALUE"""),"Y")</f>
        <v>Y</v>
      </c>
      <c r="F1061" s="3" t="str">
        <f>IFERROR(__xludf.DUMMYFUNCTION("""COMPUTED_VALUE"""),"Y")</f>
        <v>Y</v>
      </c>
      <c r="G1061" s="3" t="str">
        <f>IFERROR(__xludf.DUMMYFUNCTION("""COMPUTED_VALUE"""),"Y")</f>
        <v>Y</v>
      </c>
      <c r="H1061" s="3"/>
      <c r="I1061" s="3" t="str">
        <f>IFERROR(__xludf.DUMMYFUNCTION("""COMPUTED_VALUE""")," ")</f>
        <v> </v>
      </c>
      <c r="J1061" s="3" t="str">
        <f>IFERROR(__xludf.DUMMYFUNCTION("""COMPUTED_VALUE""")," ")</f>
        <v> </v>
      </c>
      <c r="K1061" s="3" t="str">
        <f>IFERROR(__xludf.DUMMYFUNCTION("""COMPUTED_VALUE"""),"Y")</f>
        <v>Y</v>
      </c>
      <c r="L1061" s="3" t="str">
        <f>IFERROR(__xludf.DUMMYFUNCTION("""COMPUTED_VALUE"""),"Group 1")</f>
        <v>Group 1</v>
      </c>
      <c r="M1061" s="3"/>
      <c r="N1061" s="5" t="str">
        <f>IFERROR(__xludf.DUMMYFUNCTION("""COMPUTED_VALUE""")," ")</f>
        <v> </v>
      </c>
      <c r="O1061" s="5"/>
    </row>
    <row r="1062">
      <c r="A1062" s="2" t="str">
        <f>IFERROR(__xludf.DUMMYFUNCTION("""COMPUTED_VALUE"""),"1390")</f>
        <v>1390</v>
      </c>
      <c r="B1062" s="2" t="str">
        <f>IFERROR(__xludf.DUMMYFUNCTION("""COMPUTED_VALUE"""),"HUERFANO            RE-1")</f>
        <v>HUERFANO            RE-1</v>
      </c>
      <c r="C1062" s="2" t="str">
        <f>IFERROR(__xludf.DUMMYFUNCTION("""COMPUTED_VALUE"""),"09212")</f>
        <v>09212</v>
      </c>
      <c r="D1062" s="2" t="str">
        <f>IFERROR(__xludf.DUMMYFUNCTION("""COMPUTED_VALUE"""),"JOHN MALL HIGH SCHOOL")</f>
        <v>JOHN MALL HIGH SCHOOL</v>
      </c>
      <c r="E1062" s="3" t="str">
        <f>IFERROR(__xludf.DUMMYFUNCTION("""COMPUTED_VALUE"""),"Y")</f>
        <v>Y</v>
      </c>
      <c r="F1062" s="3" t="str">
        <f>IFERROR(__xludf.DUMMYFUNCTION("""COMPUTED_VALUE"""),"Y")</f>
        <v>Y</v>
      </c>
      <c r="G1062" s="3"/>
      <c r="H1062" s="3"/>
      <c r="I1062" s="3" t="str">
        <f>IFERROR(__xludf.DUMMYFUNCTION("""COMPUTED_VALUE""")," ")</f>
        <v> </v>
      </c>
      <c r="J1062" s="3" t="str">
        <f>IFERROR(__xludf.DUMMYFUNCTION("""COMPUTED_VALUE""")," ")</f>
        <v> </v>
      </c>
      <c r="K1062" s="3" t="str">
        <f>IFERROR(__xludf.DUMMYFUNCTION("""COMPUTED_VALUE"""),"Y")</f>
        <v>Y</v>
      </c>
      <c r="L1062" s="3" t="str">
        <f>IFERROR(__xludf.DUMMYFUNCTION("""COMPUTED_VALUE"""),"Group 1")</f>
        <v>Group 1</v>
      </c>
      <c r="M1062" s="3"/>
      <c r="N1062" s="5" t="str">
        <f>IFERROR(__xludf.DUMMYFUNCTION("""COMPUTED_VALUE""")," ")</f>
        <v> </v>
      </c>
      <c r="O1062" s="5"/>
    </row>
    <row r="1063">
      <c r="A1063" s="2" t="str">
        <f>IFERROR(__xludf.DUMMYFUNCTION("""COMPUTED_VALUE"""),"1400")</f>
        <v>1400</v>
      </c>
      <c r="B1063" s="2" t="str">
        <f>IFERROR(__xludf.DUMMYFUNCTION("""COMPUTED_VALUE"""),"LA VETA RE-2")</f>
        <v>LA VETA RE-2</v>
      </c>
      <c r="C1063" s="2" t="str">
        <f>IFERROR(__xludf.DUMMYFUNCTION("""COMPUTED_VALUE"""),"04860")</f>
        <v>04860</v>
      </c>
      <c r="D1063" s="2" t="str">
        <f>IFERROR(__xludf.DUMMYFUNCTION("""COMPUTED_VALUE"""),"LA VETA ELEMENTARY SCHOOL")</f>
        <v>LA VETA ELEMENTARY SCHOOL</v>
      </c>
      <c r="E1063" s="3" t="str">
        <f>IFERROR(__xludf.DUMMYFUNCTION("""COMPUTED_VALUE"""),"Y")</f>
        <v>Y</v>
      </c>
      <c r="F1063" s="3" t="str">
        <f>IFERROR(__xludf.DUMMYFUNCTION("""COMPUTED_VALUE"""),"Y")</f>
        <v>Y</v>
      </c>
      <c r="G1063" s="3"/>
      <c r="H1063" s="3"/>
      <c r="I1063" s="3" t="str">
        <f>IFERROR(__xludf.DUMMYFUNCTION("""COMPUTED_VALUE"""),"Y")</f>
        <v>Y</v>
      </c>
      <c r="J1063" s="3" t="str">
        <f>IFERROR(__xludf.DUMMYFUNCTION("""COMPUTED_VALUE""")," ")</f>
        <v> </v>
      </c>
      <c r="K1063" s="3" t="str">
        <f>IFERROR(__xludf.DUMMYFUNCTION("""COMPUTED_VALUE"""),"Y")</f>
        <v>Y</v>
      </c>
      <c r="L1063" s="3" t="str">
        <f>IFERROR(__xludf.DUMMYFUNCTION("""COMPUTED_VALUE"""),"Group 1")</f>
        <v>Group 1</v>
      </c>
      <c r="M1063" s="3"/>
      <c r="N1063" s="5" t="str">
        <f>IFERROR(__xludf.DUMMYFUNCTION("""COMPUTED_VALUE""")," ")</f>
        <v> </v>
      </c>
      <c r="O1063" s="5"/>
    </row>
    <row r="1064">
      <c r="A1064" s="2" t="str">
        <f>IFERROR(__xludf.DUMMYFUNCTION("""COMPUTED_VALUE"""),"1400")</f>
        <v>1400</v>
      </c>
      <c r="B1064" s="2" t="str">
        <f>IFERROR(__xludf.DUMMYFUNCTION("""COMPUTED_VALUE"""),"LA VETA RE-2")</f>
        <v>LA VETA RE-2</v>
      </c>
      <c r="C1064" s="2" t="str">
        <f>IFERROR(__xludf.DUMMYFUNCTION("""COMPUTED_VALUE"""),"04864")</f>
        <v>04864</v>
      </c>
      <c r="D1064" s="2" t="str">
        <f>IFERROR(__xludf.DUMMYFUNCTION("""COMPUTED_VALUE"""),"LA VETA JUNIOR-SENIOR HIGH SCHOOL")</f>
        <v>LA VETA JUNIOR-SENIOR HIGH SCHOOL</v>
      </c>
      <c r="E1064" s="3" t="str">
        <f>IFERROR(__xludf.DUMMYFUNCTION("""COMPUTED_VALUE"""),"Y")</f>
        <v>Y</v>
      </c>
      <c r="F1064" s="3" t="str">
        <f>IFERROR(__xludf.DUMMYFUNCTION("""COMPUTED_VALUE"""),"Y")</f>
        <v>Y</v>
      </c>
      <c r="G1064" s="3"/>
      <c r="H1064" s="3"/>
      <c r="I1064" s="3" t="str">
        <f>IFERROR(__xludf.DUMMYFUNCTION("""COMPUTED_VALUE""")," ")</f>
        <v> </v>
      </c>
      <c r="J1064" s="3" t="str">
        <f>IFERROR(__xludf.DUMMYFUNCTION("""COMPUTED_VALUE""")," ")</f>
        <v> </v>
      </c>
      <c r="K1064" s="3" t="str">
        <f>IFERROR(__xludf.DUMMYFUNCTION("""COMPUTED_VALUE"""),"Y")</f>
        <v>Y</v>
      </c>
      <c r="L1064" s="3" t="str">
        <f>IFERROR(__xludf.DUMMYFUNCTION("""COMPUTED_VALUE"""),"Group 2")</f>
        <v>Group 2</v>
      </c>
      <c r="M1064" s="3"/>
      <c r="N1064" s="5" t="str">
        <f>IFERROR(__xludf.DUMMYFUNCTION("""COMPUTED_VALUE""")," ")</f>
        <v> </v>
      </c>
      <c r="O1064" s="5"/>
    </row>
    <row r="1065">
      <c r="A1065" s="2" t="str">
        <f>IFERROR(__xludf.DUMMYFUNCTION("""COMPUTED_VALUE"""),"1410")</f>
        <v>1410</v>
      </c>
      <c r="B1065" s="2" t="str">
        <f>IFERROR(__xludf.DUMMYFUNCTION("""COMPUTED_VALUE"""),"NORTH PARK R-1")</f>
        <v>NORTH PARK R-1</v>
      </c>
      <c r="C1065" s="2" t="str">
        <f>IFERROR(__xludf.DUMMYFUNCTION("""COMPUTED_VALUE"""),"06358")</f>
        <v>06358</v>
      </c>
      <c r="D1065" s="2" t="str">
        <f>IFERROR(__xludf.DUMMYFUNCTION("""COMPUTED_VALUE"""),"NORTH PARK SCHOOL")</f>
        <v>NORTH PARK SCHOOL</v>
      </c>
      <c r="E1065" s="3" t="str">
        <f>IFERROR(__xludf.DUMMYFUNCTION("""COMPUTED_VALUE"""),"Y")</f>
        <v>Y</v>
      </c>
      <c r="F1065" s="3" t="str">
        <f>IFERROR(__xludf.DUMMYFUNCTION("""COMPUTED_VALUE"""),"Y")</f>
        <v>Y</v>
      </c>
      <c r="G1065" s="3"/>
      <c r="H1065" s="3"/>
      <c r="I1065" s="3" t="str">
        <f>IFERROR(__xludf.DUMMYFUNCTION("""COMPUTED_VALUE""")," ")</f>
        <v> </v>
      </c>
      <c r="J1065" s="3" t="str">
        <f>IFERROR(__xludf.DUMMYFUNCTION("""COMPUTED_VALUE""")," ")</f>
        <v> </v>
      </c>
      <c r="K1065" s="3" t="str">
        <f>IFERROR(__xludf.DUMMYFUNCTION("""COMPUTED_VALUE"""),"Y")</f>
        <v>Y</v>
      </c>
      <c r="L1065" s="3" t="str">
        <f>IFERROR(__xludf.DUMMYFUNCTION("""COMPUTED_VALUE""")," ")</f>
        <v> </v>
      </c>
      <c r="M1065" s="3" t="str">
        <f>IFERROR(__xludf.DUMMYFUNCTION("""COMPUTED_VALUE"""),"Year 3")</f>
        <v>Year 3</v>
      </c>
      <c r="N1065" s="5" t="str">
        <f>IFERROR(__xludf.DUMMYFUNCTION("""COMPUTED_VALUE""")," ")</f>
        <v> </v>
      </c>
      <c r="O1065" s="5"/>
    </row>
    <row r="1066">
      <c r="A1066" s="2" t="str">
        <f>IFERROR(__xludf.DUMMYFUNCTION("""COMPUTED_VALUE"""),"1420")</f>
        <v>1420</v>
      </c>
      <c r="B1066" s="2" t="str">
        <f>IFERROR(__xludf.DUMMYFUNCTION("""COMPUTED_VALUE"""),"JEFFERSON COUNTY R-1")</f>
        <v>JEFFERSON COUNTY R-1</v>
      </c>
      <c r="C1066" s="2" t="str">
        <f>IFERROR(__xludf.DUMMYFUNCTION("""COMPUTED_VALUE"""),"00030")</f>
        <v>00030</v>
      </c>
      <c r="D1066" s="2" t="str">
        <f>IFERROR(__xludf.DUMMYFUNCTION("""COMPUTED_VALUE"""),"ADAMS ELEMENTARY SCHOOL")</f>
        <v>ADAMS ELEMENTARY SCHOOL</v>
      </c>
      <c r="E1066" s="3" t="str">
        <f>IFERROR(__xludf.DUMMYFUNCTION("""COMPUTED_VALUE"""),"Y")</f>
        <v>Y</v>
      </c>
      <c r="F1066" s="3" t="str">
        <f>IFERROR(__xludf.DUMMYFUNCTION("""COMPUTED_VALUE"""),"Y")</f>
        <v>Y</v>
      </c>
      <c r="G1066" s="3"/>
      <c r="H1066" s="3"/>
      <c r="I1066" s="3" t="str">
        <f>IFERROR(__xludf.DUMMYFUNCTION("""COMPUTED_VALUE""")," ")</f>
        <v> </v>
      </c>
      <c r="J1066" s="3" t="str">
        <f>IFERROR(__xludf.DUMMYFUNCTION("""COMPUTED_VALUE""")," ")</f>
        <v> </v>
      </c>
      <c r="K1066" s="3" t="str">
        <f>IFERROR(__xludf.DUMMYFUNCTION("""COMPUTED_VALUE"""),"Y")</f>
        <v>Y</v>
      </c>
      <c r="L1066" s="3" t="str">
        <f>IFERROR(__xludf.DUMMYFUNCTION("""COMPUTED_VALUE"""),"Group 14")</f>
        <v>Group 14</v>
      </c>
      <c r="M1066" s="3"/>
      <c r="N1066" s="5" t="str">
        <f>IFERROR(__xludf.DUMMYFUNCTION("""COMPUTED_VALUE""")," ")</f>
        <v> </v>
      </c>
      <c r="O1066" s="5"/>
    </row>
    <row r="1067">
      <c r="A1067" s="2" t="str">
        <f>IFERROR(__xludf.DUMMYFUNCTION("""COMPUTED_VALUE"""),"1420")</f>
        <v>1420</v>
      </c>
      <c r="B1067" s="2" t="str">
        <f>IFERROR(__xludf.DUMMYFUNCTION("""COMPUTED_VALUE"""),"JEFFERSON COUNTY R-1")</f>
        <v>JEFFERSON COUNTY R-1</v>
      </c>
      <c r="C1067" s="2" t="str">
        <f>IFERROR(__xludf.DUMMYFUNCTION("""COMPUTED_VALUE"""),"00033")</f>
        <v>00033</v>
      </c>
      <c r="D1067" s="2" t="str">
        <f>IFERROR(__xludf.DUMMYFUNCTION("""COMPUTED_VALUE"""),"MC LAIN COMMUNITY HIGH SCHOOL")</f>
        <v>MC LAIN COMMUNITY HIGH SCHOOL</v>
      </c>
      <c r="E1067" s="3" t="str">
        <f>IFERROR(__xludf.DUMMYFUNCTION("""COMPUTED_VALUE"""),"Y")</f>
        <v>Y</v>
      </c>
      <c r="F1067" s="3" t="str">
        <f>IFERROR(__xludf.DUMMYFUNCTION("""COMPUTED_VALUE"""),"Y")</f>
        <v>Y</v>
      </c>
      <c r="G1067" s="3"/>
      <c r="H1067" s="3"/>
      <c r="I1067" s="3" t="str">
        <f>IFERROR(__xludf.DUMMYFUNCTION("""COMPUTED_VALUE""")," ")</f>
        <v> </v>
      </c>
      <c r="J1067" s="3" t="str">
        <f>IFERROR(__xludf.DUMMYFUNCTION("""COMPUTED_VALUE""")," ")</f>
        <v> </v>
      </c>
      <c r="K1067" s="3" t="str">
        <f>IFERROR(__xludf.DUMMYFUNCTION("""COMPUTED_VALUE"""),"Y")</f>
        <v>Y</v>
      </c>
      <c r="L1067" s="3" t="str">
        <f>IFERROR(__xludf.DUMMYFUNCTION("""COMPUTED_VALUE"""),"Group 12")</f>
        <v>Group 12</v>
      </c>
      <c r="M1067" s="3"/>
      <c r="N1067" s="5" t="str">
        <f>IFERROR(__xludf.DUMMYFUNCTION("""COMPUTED_VALUE""")," ")</f>
        <v> </v>
      </c>
      <c r="O1067" s="5"/>
    </row>
    <row r="1068">
      <c r="A1068" s="2" t="str">
        <f>IFERROR(__xludf.DUMMYFUNCTION("""COMPUTED_VALUE"""),"1420")</f>
        <v>1420</v>
      </c>
      <c r="B1068" s="2" t="str">
        <f>IFERROR(__xludf.DUMMYFUNCTION("""COMPUTED_VALUE"""),"JEFFERSON COUNTY R-1")</f>
        <v>JEFFERSON COUNTY R-1</v>
      </c>
      <c r="C1068" s="2" t="str">
        <f>IFERROR(__xludf.DUMMYFUNCTION("""COMPUTED_VALUE"""),"00108")</f>
        <v>00108</v>
      </c>
      <c r="D1068" s="2" t="str">
        <f>IFERROR(__xludf.DUMMYFUNCTION("""COMPUTED_VALUE"""),"ALAMEDA INTERNATIONAL HIGH SCHOOL")</f>
        <v>ALAMEDA INTERNATIONAL HIGH SCHOOL</v>
      </c>
      <c r="E1068" s="3" t="str">
        <f>IFERROR(__xludf.DUMMYFUNCTION("""COMPUTED_VALUE"""),"Y")</f>
        <v>Y</v>
      </c>
      <c r="F1068" s="3" t="str">
        <f>IFERROR(__xludf.DUMMYFUNCTION("""COMPUTED_VALUE"""),"Y")</f>
        <v>Y</v>
      </c>
      <c r="G1068" s="3"/>
      <c r="H1068" s="3"/>
      <c r="I1068" s="3" t="str">
        <f>IFERROR(__xludf.DUMMYFUNCTION("""COMPUTED_VALUE""")," ")</f>
        <v> </v>
      </c>
      <c r="J1068" s="3" t="str">
        <f>IFERROR(__xludf.DUMMYFUNCTION("""COMPUTED_VALUE"""),"Y")</f>
        <v>Y</v>
      </c>
      <c r="K1068" s="3" t="str">
        <f>IFERROR(__xludf.DUMMYFUNCTION("""COMPUTED_VALUE"""),"Y")</f>
        <v>Y</v>
      </c>
      <c r="L1068" s="3" t="str">
        <f>IFERROR(__xludf.DUMMYFUNCTION("""COMPUTED_VALUE"""),"Group 9")</f>
        <v>Group 9</v>
      </c>
      <c r="M1068" s="3"/>
      <c r="N1068" s="5" t="str">
        <f>IFERROR(__xludf.DUMMYFUNCTION("""COMPUTED_VALUE""")," ")</f>
        <v> </v>
      </c>
      <c r="O1068" s="5"/>
    </row>
    <row r="1069">
      <c r="A1069" s="2" t="str">
        <f>IFERROR(__xludf.DUMMYFUNCTION("""COMPUTED_VALUE"""),"1420")</f>
        <v>1420</v>
      </c>
      <c r="B1069" s="2" t="str">
        <f>IFERROR(__xludf.DUMMYFUNCTION("""COMPUTED_VALUE"""),"JEFFERSON COUNTY R-1")</f>
        <v>JEFFERSON COUNTY R-1</v>
      </c>
      <c r="C1069" s="2" t="str">
        <f>IFERROR(__xludf.DUMMYFUNCTION("""COMPUTED_VALUE"""),"00370")</f>
        <v>00370</v>
      </c>
      <c r="D1069" s="2" t="str">
        <f>IFERROR(__xludf.DUMMYFUNCTION("""COMPUTED_VALUE"""),"ARVADA HIGH SCHOOL")</f>
        <v>ARVADA HIGH SCHOOL</v>
      </c>
      <c r="E1069" s="3" t="str">
        <f>IFERROR(__xludf.DUMMYFUNCTION("""COMPUTED_VALUE"""),"Y")</f>
        <v>Y</v>
      </c>
      <c r="F1069" s="3" t="str">
        <f>IFERROR(__xludf.DUMMYFUNCTION("""COMPUTED_VALUE"""),"Y")</f>
        <v>Y</v>
      </c>
      <c r="G1069" s="3"/>
      <c r="H1069" s="3"/>
      <c r="I1069" s="3" t="str">
        <f>IFERROR(__xludf.DUMMYFUNCTION("""COMPUTED_VALUE""")," ")</f>
        <v> </v>
      </c>
      <c r="J1069" s="3" t="str">
        <f>IFERROR(__xludf.DUMMYFUNCTION("""COMPUTED_VALUE"""),"Y")</f>
        <v>Y</v>
      </c>
      <c r="K1069" s="3" t="str">
        <f>IFERROR(__xludf.DUMMYFUNCTION("""COMPUTED_VALUE"""),"Y")</f>
        <v>Y</v>
      </c>
      <c r="L1069" s="3" t="str">
        <f>IFERROR(__xludf.DUMMYFUNCTION("""COMPUTED_VALUE"""),"Group 7")</f>
        <v>Group 7</v>
      </c>
      <c r="M1069" s="3"/>
      <c r="N1069" s="5" t="str">
        <f>IFERROR(__xludf.DUMMYFUNCTION("""COMPUTED_VALUE""")," ")</f>
        <v> </v>
      </c>
      <c r="O1069" s="5"/>
    </row>
    <row r="1070">
      <c r="A1070" s="2" t="str">
        <f>IFERROR(__xludf.DUMMYFUNCTION("""COMPUTED_VALUE"""),"1420")</f>
        <v>1420</v>
      </c>
      <c r="B1070" s="2" t="str">
        <f>IFERROR(__xludf.DUMMYFUNCTION("""COMPUTED_VALUE"""),"JEFFERSON COUNTY R-1")</f>
        <v>JEFFERSON COUNTY R-1</v>
      </c>
      <c r="C1070" s="2" t="str">
        <f>IFERROR(__xludf.DUMMYFUNCTION("""COMPUTED_VALUE"""),"00378")</f>
        <v>00378</v>
      </c>
      <c r="D1070" s="2" t="str">
        <f>IFERROR(__xludf.DUMMYFUNCTION("""COMPUTED_VALUE"""),"ARVADA WEST HIGH SCHOOL")</f>
        <v>ARVADA WEST HIGH SCHOOL</v>
      </c>
      <c r="E1070" s="3" t="str">
        <f>IFERROR(__xludf.DUMMYFUNCTION("""COMPUTED_VALUE"""),"Y")</f>
        <v>Y</v>
      </c>
      <c r="F1070" s="3" t="str">
        <f>IFERROR(__xludf.DUMMYFUNCTION("""COMPUTED_VALUE"""),"Y")</f>
        <v>Y</v>
      </c>
      <c r="G1070" s="3"/>
      <c r="H1070" s="3"/>
      <c r="I1070" s="3" t="str">
        <f>IFERROR(__xludf.DUMMYFUNCTION("""COMPUTED_VALUE""")," ")</f>
        <v> </v>
      </c>
      <c r="J1070" s="3" t="str">
        <f>IFERROR(__xludf.DUMMYFUNCTION("""COMPUTED_VALUE""")," ")</f>
        <v> </v>
      </c>
      <c r="K1070" s="3" t="str">
        <f>IFERROR(__xludf.DUMMYFUNCTION("""COMPUTED_VALUE"""),"Y")</f>
        <v>Y</v>
      </c>
      <c r="L1070" s="3" t="str">
        <f>IFERROR(__xludf.DUMMYFUNCTION("""COMPUTED_VALUE"""),"Group 12")</f>
        <v>Group 12</v>
      </c>
      <c r="M1070" s="3"/>
      <c r="N1070" s="5" t="str">
        <f>IFERROR(__xludf.DUMMYFUNCTION("""COMPUTED_VALUE""")," ")</f>
        <v> </v>
      </c>
      <c r="O1070" s="5"/>
    </row>
    <row r="1071">
      <c r="A1071" s="2" t="str">
        <f>IFERROR(__xludf.DUMMYFUNCTION("""COMPUTED_VALUE"""),"1420")</f>
        <v>1420</v>
      </c>
      <c r="B1071" s="2" t="str">
        <f>IFERROR(__xludf.DUMMYFUNCTION("""COMPUTED_VALUE"""),"JEFFERSON COUNTY R-1")</f>
        <v>JEFFERSON COUNTY R-1</v>
      </c>
      <c r="C1071" s="2" t="str">
        <f>IFERROR(__xludf.DUMMYFUNCTION("""COMPUTED_VALUE"""),"00499")</f>
        <v>00499</v>
      </c>
      <c r="D1071" s="2" t="str">
        <f>IFERROR(__xludf.DUMMYFUNCTION("""COMPUTED_VALUE"""),"Jeffco Transition Services School")</f>
        <v>Jeffco Transition Services School</v>
      </c>
      <c r="E1071" s="3" t="str">
        <f>IFERROR(__xludf.DUMMYFUNCTION("""COMPUTED_VALUE"""),"Y")</f>
        <v>Y</v>
      </c>
      <c r="F1071" s="3" t="str">
        <f>IFERROR(__xludf.DUMMYFUNCTION("""COMPUTED_VALUE"""),"Y")</f>
        <v>Y</v>
      </c>
      <c r="G1071" s="3"/>
      <c r="H1071" s="3"/>
      <c r="I1071" s="3" t="str">
        <f>IFERROR(__xludf.DUMMYFUNCTION("""COMPUTED_VALUE""")," ")</f>
        <v> </v>
      </c>
      <c r="J1071" s="3" t="str">
        <f>IFERROR(__xludf.DUMMYFUNCTION("""COMPUTED_VALUE""")," ")</f>
        <v> </v>
      </c>
      <c r="K1071" s="3" t="str">
        <f>IFERROR(__xludf.DUMMYFUNCTION("""COMPUTED_VALUE"""),"Y")</f>
        <v>Y</v>
      </c>
      <c r="L1071" s="3" t="str">
        <f>IFERROR(__xludf.DUMMYFUNCTION("""COMPUTED_VALUE"""),"Group 2")</f>
        <v>Group 2</v>
      </c>
      <c r="M1071" s="3"/>
      <c r="N1071" s="5" t="str">
        <f>IFERROR(__xludf.DUMMYFUNCTION("""COMPUTED_VALUE""")," ")</f>
        <v> </v>
      </c>
      <c r="O1071" s="5"/>
    </row>
    <row r="1072">
      <c r="A1072" s="2" t="str">
        <f>IFERROR(__xludf.DUMMYFUNCTION("""COMPUTED_VALUE"""),"1420")</f>
        <v>1420</v>
      </c>
      <c r="B1072" s="2" t="str">
        <f>IFERROR(__xludf.DUMMYFUNCTION("""COMPUTED_VALUE"""),"JEFFERSON COUNTY R-1")</f>
        <v>JEFFERSON COUNTY R-1</v>
      </c>
      <c r="C1072" s="2" t="str">
        <f>IFERROR(__xludf.DUMMYFUNCTION("""COMPUTED_VALUE"""),"00660")</f>
        <v>00660</v>
      </c>
      <c r="D1072" s="2" t="str">
        <f>IFERROR(__xludf.DUMMYFUNCTION("""COMPUTED_VALUE"""),"BEAR CREEK K-8 SCHOOL")</f>
        <v>BEAR CREEK K-8 SCHOOL</v>
      </c>
      <c r="E1072" s="3" t="str">
        <f>IFERROR(__xludf.DUMMYFUNCTION("""COMPUTED_VALUE"""),"Y")</f>
        <v>Y</v>
      </c>
      <c r="F1072" s="3" t="str">
        <f>IFERROR(__xludf.DUMMYFUNCTION("""COMPUTED_VALUE"""),"Y")</f>
        <v>Y</v>
      </c>
      <c r="G1072" s="3"/>
      <c r="H1072" s="3"/>
      <c r="I1072" s="3" t="str">
        <f>IFERROR(__xludf.DUMMYFUNCTION("""COMPUTED_VALUE""")," ")</f>
        <v> </v>
      </c>
      <c r="J1072" s="3" t="str">
        <f>IFERROR(__xludf.DUMMYFUNCTION("""COMPUTED_VALUE""")," ")</f>
        <v> </v>
      </c>
      <c r="K1072" s="3" t="str">
        <f>IFERROR(__xludf.DUMMYFUNCTION("""COMPUTED_VALUE"""),"Y")</f>
        <v>Y</v>
      </c>
      <c r="L1072" s="3" t="str">
        <f>IFERROR(__xludf.DUMMYFUNCTION("""COMPUTED_VALUE"""),"Group 3")</f>
        <v>Group 3</v>
      </c>
      <c r="M1072" s="3"/>
      <c r="N1072" s="5" t="str">
        <f>IFERROR(__xludf.DUMMYFUNCTION("""COMPUTED_VALUE"""),"Y")</f>
        <v>Y</v>
      </c>
      <c r="O1072" s="5"/>
    </row>
    <row r="1073">
      <c r="A1073" s="2" t="str">
        <f>IFERROR(__xludf.DUMMYFUNCTION("""COMPUTED_VALUE"""),"1420")</f>
        <v>1420</v>
      </c>
      <c r="B1073" s="2" t="str">
        <f>IFERROR(__xludf.DUMMYFUNCTION("""COMPUTED_VALUE"""),"JEFFERSON COUNTY R-1")</f>
        <v>JEFFERSON COUNTY R-1</v>
      </c>
      <c r="C1073" s="2" t="str">
        <f>IFERROR(__xludf.DUMMYFUNCTION("""COMPUTED_VALUE"""),"00664")</f>
        <v>00664</v>
      </c>
      <c r="D1073" s="2" t="str">
        <f>IFERROR(__xludf.DUMMYFUNCTION("""COMPUTED_VALUE"""),"BEAR CREEK HIGH SCHOOL")</f>
        <v>BEAR CREEK HIGH SCHOOL</v>
      </c>
      <c r="E1073" s="3" t="str">
        <f>IFERROR(__xludf.DUMMYFUNCTION("""COMPUTED_VALUE"""),"Y")</f>
        <v>Y</v>
      </c>
      <c r="F1073" s="3" t="str">
        <f>IFERROR(__xludf.DUMMYFUNCTION("""COMPUTED_VALUE"""),"Y")</f>
        <v>Y</v>
      </c>
      <c r="G1073" s="3"/>
      <c r="H1073" s="3"/>
      <c r="I1073" s="3" t="str">
        <f>IFERROR(__xludf.DUMMYFUNCTION("""COMPUTED_VALUE""")," ")</f>
        <v> </v>
      </c>
      <c r="J1073" s="3" t="str">
        <f>IFERROR(__xludf.DUMMYFUNCTION("""COMPUTED_VALUE""")," ")</f>
        <v> </v>
      </c>
      <c r="K1073" s="3" t="str">
        <f>IFERROR(__xludf.DUMMYFUNCTION("""COMPUTED_VALUE"""),"Y")</f>
        <v>Y</v>
      </c>
      <c r="L1073" s="3" t="str">
        <f>IFERROR(__xludf.DUMMYFUNCTION("""COMPUTED_VALUE""")," ")</f>
        <v> </v>
      </c>
      <c r="M1073" s="3"/>
      <c r="N1073" s="5" t="str">
        <f>IFERROR(__xludf.DUMMYFUNCTION("""COMPUTED_VALUE""")," ")</f>
        <v> </v>
      </c>
      <c r="O1073" s="5"/>
    </row>
    <row r="1074">
      <c r="A1074" s="2" t="str">
        <f>IFERROR(__xludf.DUMMYFUNCTION("""COMPUTED_VALUE"""),"1420")</f>
        <v>1420</v>
      </c>
      <c r="B1074" s="2" t="str">
        <f>IFERROR(__xludf.DUMMYFUNCTION("""COMPUTED_VALUE"""),"JEFFERSON COUNTY R-1")</f>
        <v>JEFFERSON COUNTY R-1</v>
      </c>
      <c r="C1074" s="2" t="str">
        <f>IFERROR(__xludf.DUMMYFUNCTION("""COMPUTED_VALUE"""),"00694")</f>
        <v>00694</v>
      </c>
      <c r="D1074" s="2" t="str">
        <f>IFERROR(__xludf.DUMMYFUNCTION("""COMPUTED_VALUE"""),"BELL MIDDLE SCHOOL")</f>
        <v>BELL MIDDLE SCHOOL</v>
      </c>
      <c r="E1074" s="3" t="str">
        <f>IFERROR(__xludf.DUMMYFUNCTION("""COMPUTED_VALUE"""),"Y")</f>
        <v>Y</v>
      </c>
      <c r="F1074" s="3" t="str">
        <f>IFERROR(__xludf.DUMMYFUNCTION("""COMPUTED_VALUE"""),"Y")</f>
        <v>Y</v>
      </c>
      <c r="G1074" s="3"/>
      <c r="H1074" s="3"/>
      <c r="I1074" s="3" t="str">
        <f>IFERROR(__xludf.DUMMYFUNCTION("""COMPUTED_VALUE""")," ")</f>
        <v> </v>
      </c>
      <c r="J1074" s="3" t="str">
        <f>IFERROR(__xludf.DUMMYFUNCTION("""COMPUTED_VALUE""")," ")</f>
        <v> </v>
      </c>
      <c r="K1074" s="3" t="str">
        <f>IFERROR(__xludf.DUMMYFUNCTION("""COMPUTED_VALUE"""),"Y")</f>
        <v>Y</v>
      </c>
      <c r="L1074" s="3" t="str">
        <f>IFERROR(__xludf.DUMMYFUNCTION("""COMPUTED_VALUE"""),"Group 1")</f>
        <v>Group 1</v>
      </c>
      <c r="M1074" s="3"/>
      <c r="N1074" s="5" t="str">
        <f>IFERROR(__xludf.DUMMYFUNCTION("""COMPUTED_VALUE""")," ")</f>
        <v> </v>
      </c>
      <c r="O1074" s="5"/>
    </row>
    <row r="1075">
      <c r="A1075" s="2" t="str">
        <f>IFERROR(__xludf.DUMMYFUNCTION("""COMPUTED_VALUE"""),"1420")</f>
        <v>1420</v>
      </c>
      <c r="B1075" s="2" t="str">
        <f>IFERROR(__xludf.DUMMYFUNCTION("""COMPUTED_VALUE"""),"JEFFERSON COUNTY R-1")</f>
        <v>JEFFERSON COUNTY R-1</v>
      </c>
      <c r="C1075" s="2" t="str">
        <f>IFERROR(__xludf.DUMMYFUNCTION("""COMPUTED_VALUE"""),"00724")</f>
        <v>00724</v>
      </c>
      <c r="D1075" s="2" t="str">
        <f>IFERROR(__xludf.DUMMYFUNCTION("""COMPUTED_VALUE"""),"BELMAR ELEMENTARY SCHOOL")</f>
        <v>BELMAR ELEMENTARY SCHOOL</v>
      </c>
      <c r="E1075" s="3" t="str">
        <f>IFERROR(__xludf.DUMMYFUNCTION("""COMPUTED_VALUE"""),"Y")</f>
        <v>Y</v>
      </c>
      <c r="F1075" s="3" t="str">
        <f>IFERROR(__xludf.DUMMYFUNCTION("""COMPUTED_VALUE"""),"Y")</f>
        <v>Y</v>
      </c>
      <c r="G1075" s="3" t="str">
        <f>IFERROR(__xludf.DUMMYFUNCTION("""COMPUTED_VALUE"""),"Y")</f>
        <v>Y</v>
      </c>
      <c r="H1075" s="3"/>
      <c r="I1075" s="3" t="str">
        <f>IFERROR(__xludf.DUMMYFUNCTION("""COMPUTED_VALUE""")," ")</f>
        <v> </v>
      </c>
      <c r="J1075" s="3" t="str">
        <f>IFERROR(__xludf.DUMMYFUNCTION("""COMPUTED_VALUE""")," ")</f>
        <v> </v>
      </c>
      <c r="K1075" s="3" t="str">
        <f>IFERROR(__xludf.DUMMYFUNCTION("""COMPUTED_VALUE"""),"Y")</f>
        <v>Y</v>
      </c>
      <c r="L1075" s="3" t="str">
        <f>IFERROR(__xludf.DUMMYFUNCTION("""COMPUTED_VALUE"""),"Group 10")</f>
        <v>Group 10</v>
      </c>
      <c r="M1075" s="3"/>
      <c r="N1075" s="5" t="str">
        <f>IFERROR(__xludf.DUMMYFUNCTION("""COMPUTED_VALUE""")," ")</f>
        <v> </v>
      </c>
      <c r="O1075" s="5"/>
    </row>
    <row r="1076">
      <c r="A1076" s="2" t="str">
        <f>IFERROR(__xludf.DUMMYFUNCTION("""COMPUTED_VALUE"""),"1420")</f>
        <v>1420</v>
      </c>
      <c r="B1076" s="2" t="str">
        <f>IFERROR(__xludf.DUMMYFUNCTION("""COMPUTED_VALUE"""),"JEFFERSON COUNTY R-1")</f>
        <v>JEFFERSON COUNTY R-1</v>
      </c>
      <c r="C1076" s="2" t="str">
        <f>IFERROR(__xludf.DUMMYFUNCTION("""COMPUTED_VALUE"""),"00779")</f>
        <v>00779</v>
      </c>
      <c r="D1076" s="2" t="str">
        <f>IFERROR(__xludf.DUMMYFUNCTION("""COMPUTED_VALUE"""),"BERGEN ELEMENTARY SCHOOL")</f>
        <v>BERGEN ELEMENTARY SCHOOL</v>
      </c>
      <c r="E1076" s="3" t="str">
        <f>IFERROR(__xludf.DUMMYFUNCTION("""COMPUTED_VALUE"""),"Y")</f>
        <v>Y</v>
      </c>
      <c r="F1076" s="3" t="str">
        <f>IFERROR(__xludf.DUMMYFUNCTION("""COMPUTED_VALUE"""),"Y")</f>
        <v>Y</v>
      </c>
      <c r="G1076" s="3"/>
      <c r="H1076" s="3"/>
      <c r="I1076" s="3" t="str">
        <f>IFERROR(__xludf.DUMMYFUNCTION("""COMPUTED_VALUE""")," ")</f>
        <v> </v>
      </c>
      <c r="J1076" s="3" t="str">
        <f>IFERROR(__xludf.DUMMYFUNCTION("""COMPUTED_VALUE""")," ")</f>
        <v> </v>
      </c>
      <c r="K1076" s="3" t="str">
        <f>IFERROR(__xludf.DUMMYFUNCTION("""COMPUTED_VALUE"""),"Y")</f>
        <v>Y</v>
      </c>
      <c r="L1076" s="3" t="str">
        <f>IFERROR(__xludf.DUMMYFUNCTION("""COMPUTED_VALUE""")," ")</f>
        <v> </v>
      </c>
      <c r="M1076" s="3"/>
      <c r="N1076" s="5" t="str">
        <f>IFERROR(__xludf.DUMMYFUNCTION("""COMPUTED_VALUE""")," ")</f>
        <v> </v>
      </c>
      <c r="O1076" s="5"/>
    </row>
    <row r="1077">
      <c r="A1077" s="2" t="str">
        <f>IFERROR(__xludf.DUMMYFUNCTION("""COMPUTED_VALUE"""),"1420")</f>
        <v>1420</v>
      </c>
      <c r="B1077" s="2" t="str">
        <f>IFERROR(__xludf.DUMMYFUNCTION("""COMPUTED_VALUE"""),"JEFFERSON COUNTY R-1")</f>
        <v>JEFFERSON COUNTY R-1</v>
      </c>
      <c r="C1077" s="2" t="str">
        <f>IFERROR(__xludf.DUMMYFUNCTION("""COMPUTED_VALUE"""),"00950")</f>
        <v>00950</v>
      </c>
      <c r="D1077" s="2" t="str">
        <f>IFERROR(__xludf.DUMMYFUNCTION("""COMPUTED_VALUE"""),"BRADFORD K-8 SOUTH")</f>
        <v>BRADFORD K-8 SOUTH</v>
      </c>
      <c r="E1077" s="3" t="str">
        <f>IFERROR(__xludf.DUMMYFUNCTION("""COMPUTED_VALUE"""),"Y")</f>
        <v>Y</v>
      </c>
      <c r="F1077" s="3" t="str">
        <f>IFERROR(__xludf.DUMMYFUNCTION("""COMPUTED_VALUE"""),"Y")</f>
        <v>Y</v>
      </c>
      <c r="G1077" s="3"/>
      <c r="H1077" s="3"/>
      <c r="I1077" s="3" t="str">
        <f>IFERROR(__xludf.DUMMYFUNCTION("""COMPUTED_VALUE""")," ")</f>
        <v> </v>
      </c>
      <c r="J1077" s="3" t="str">
        <f>IFERROR(__xludf.DUMMYFUNCTION("""COMPUTED_VALUE""")," ")</f>
        <v> </v>
      </c>
      <c r="K1077" s="3" t="str">
        <f>IFERROR(__xludf.DUMMYFUNCTION("""COMPUTED_VALUE"""),"Y")</f>
        <v>Y</v>
      </c>
      <c r="L1077" s="3" t="str">
        <f>IFERROR(__xludf.DUMMYFUNCTION("""COMPUTED_VALUE"""),"Group 11")</f>
        <v>Group 11</v>
      </c>
      <c r="M1077" s="3"/>
      <c r="N1077" s="5" t="str">
        <f>IFERROR(__xludf.DUMMYFUNCTION("""COMPUTED_VALUE""")," ")</f>
        <v> </v>
      </c>
      <c r="O1077" s="5"/>
    </row>
    <row r="1078">
      <c r="A1078" s="2" t="str">
        <f>IFERROR(__xludf.DUMMYFUNCTION("""COMPUTED_VALUE"""),"1420")</f>
        <v>1420</v>
      </c>
      <c r="B1078" s="2" t="str">
        <f>IFERROR(__xludf.DUMMYFUNCTION("""COMPUTED_VALUE"""),"JEFFERSON COUNTY R-1")</f>
        <v>JEFFERSON COUNTY R-1</v>
      </c>
      <c r="C1078" s="2" t="str">
        <f>IFERROR(__xludf.DUMMYFUNCTION("""COMPUTED_VALUE"""),"00951")</f>
        <v>00951</v>
      </c>
      <c r="D1078" s="2" t="str">
        <f>IFERROR(__xludf.DUMMYFUNCTION("""COMPUTED_VALUE"""),"BLUE HERON ELEMENTARY SCHOOL")</f>
        <v>BLUE HERON ELEMENTARY SCHOOL</v>
      </c>
      <c r="E1078" s="3" t="str">
        <f>IFERROR(__xludf.DUMMYFUNCTION("""COMPUTED_VALUE"""),"Y")</f>
        <v>Y</v>
      </c>
      <c r="F1078" s="3" t="str">
        <f>IFERROR(__xludf.DUMMYFUNCTION("""COMPUTED_VALUE"""),"Y")</f>
        <v>Y</v>
      </c>
      <c r="G1078" s="3"/>
      <c r="H1078" s="3"/>
      <c r="I1078" s="3" t="str">
        <f>IFERROR(__xludf.DUMMYFUNCTION("""COMPUTED_VALUE""")," ")</f>
        <v> </v>
      </c>
      <c r="J1078" s="3" t="str">
        <f>IFERROR(__xludf.DUMMYFUNCTION("""COMPUTED_VALUE""")," ")</f>
        <v> </v>
      </c>
      <c r="K1078" s="3" t="str">
        <f>IFERROR(__xludf.DUMMYFUNCTION("""COMPUTED_VALUE"""),"Y")</f>
        <v>Y</v>
      </c>
      <c r="L1078" s="3" t="str">
        <f>IFERROR(__xludf.DUMMYFUNCTION("""COMPUTED_VALUE"""),"Group 12")</f>
        <v>Group 12</v>
      </c>
      <c r="M1078" s="3"/>
      <c r="N1078" s="5" t="str">
        <f>IFERROR(__xludf.DUMMYFUNCTION("""COMPUTED_VALUE""")," ")</f>
        <v> </v>
      </c>
      <c r="O1078" s="5"/>
    </row>
    <row r="1079">
      <c r="A1079" s="2" t="str">
        <f>IFERROR(__xludf.DUMMYFUNCTION("""COMPUTED_VALUE"""),"1420")</f>
        <v>1420</v>
      </c>
      <c r="B1079" s="2" t="str">
        <f>IFERROR(__xludf.DUMMYFUNCTION("""COMPUTED_VALUE"""),"JEFFERSON COUNTY R-1")</f>
        <v>JEFFERSON COUNTY R-1</v>
      </c>
      <c r="C1079" s="2" t="str">
        <f>IFERROR(__xludf.DUMMYFUNCTION("""COMPUTED_VALUE"""),"00952")</f>
        <v>00952</v>
      </c>
      <c r="D1079" s="2" t="str">
        <f>IFERROR(__xludf.DUMMYFUNCTION("""COMPUTED_VALUE"""),"BRADFORD K-8 NORTH")</f>
        <v>BRADFORD K-8 NORTH</v>
      </c>
      <c r="E1079" s="3" t="str">
        <f>IFERROR(__xludf.DUMMYFUNCTION("""COMPUTED_VALUE"""),"Y")</f>
        <v>Y</v>
      </c>
      <c r="F1079" s="3" t="str">
        <f>IFERROR(__xludf.DUMMYFUNCTION("""COMPUTED_VALUE"""),"Y")</f>
        <v>Y</v>
      </c>
      <c r="G1079" s="3"/>
      <c r="H1079" s="3"/>
      <c r="I1079" s="3" t="str">
        <f>IFERROR(__xludf.DUMMYFUNCTION("""COMPUTED_VALUE""")," ")</f>
        <v> </v>
      </c>
      <c r="J1079" s="3" t="str">
        <f>IFERROR(__xludf.DUMMYFUNCTION("""COMPUTED_VALUE""")," ")</f>
        <v> </v>
      </c>
      <c r="K1079" s="3" t="str">
        <f>IFERROR(__xludf.DUMMYFUNCTION("""COMPUTED_VALUE"""),"Y")</f>
        <v>Y</v>
      </c>
      <c r="L1079" s="3" t="str">
        <f>IFERROR(__xludf.DUMMYFUNCTION("""COMPUTED_VALUE""")," ")</f>
        <v> </v>
      </c>
      <c r="M1079" s="3"/>
      <c r="N1079" s="5" t="str">
        <f>IFERROR(__xludf.DUMMYFUNCTION("""COMPUTED_VALUE""")," ")</f>
        <v> </v>
      </c>
      <c r="O1079" s="5"/>
    </row>
    <row r="1080">
      <c r="A1080" s="2" t="str">
        <f>IFERROR(__xludf.DUMMYFUNCTION("""COMPUTED_VALUE"""),"1420")</f>
        <v>1420</v>
      </c>
      <c r="B1080" s="2" t="str">
        <f>IFERROR(__xludf.DUMMYFUNCTION("""COMPUTED_VALUE"""),"JEFFERSON COUNTY R-1")</f>
        <v>JEFFERSON COUNTY R-1</v>
      </c>
      <c r="C1080" s="2" t="str">
        <f>IFERROR(__xludf.DUMMYFUNCTION("""COMPUTED_VALUE"""),"00965")</f>
        <v>00965</v>
      </c>
      <c r="D1080" s="2" t="str">
        <f>IFERROR(__xludf.DUMMYFUNCTION("""COMPUTED_VALUE"""),"BRADY EXPLORATION SCHOOL")</f>
        <v>BRADY EXPLORATION SCHOOL</v>
      </c>
      <c r="E1080" s="3" t="str">
        <f>IFERROR(__xludf.DUMMYFUNCTION("""COMPUTED_VALUE"""),"Y")</f>
        <v>Y</v>
      </c>
      <c r="F1080" s="3" t="str">
        <f>IFERROR(__xludf.DUMMYFUNCTION("""COMPUTED_VALUE"""),"Y")</f>
        <v>Y</v>
      </c>
      <c r="G1080" s="3"/>
      <c r="H1080" s="3"/>
      <c r="I1080" s="3" t="str">
        <f>IFERROR(__xludf.DUMMYFUNCTION("""COMPUTED_VALUE""")," ")</f>
        <v> </v>
      </c>
      <c r="J1080" s="3" t="str">
        <f>IFERROR(__xludf.DUMMYFUNCTION("""COMPUTED_VALUE"""),"Y")</f>
        <v>Y</v>
      </c>
      <c r="K1080" s="3" t="str">
        <f>IFERROR(__xludf.DUMMYFUNCTION("""COMPUTED_VALUE"""),"Y")</f>
        <v>Y</v>
      </c>
      <c r="L1080" s="3" t="str">
        <f>IFERROR(__xludf.DUMMYFUNCTION("""COMPUTED_VALUE"""),"Group 1")</f>
        <v>Group 1</v>
      </c>
      <c r="M1080" s="3"/>
      <c r="N1080" s="5" t="str">
        <f>IFERROR(__xludf.DUMMYFUNCTION("""COMPUTED_VALUE""")," ")</f>
        <v> </v>
      </c>
      <c r="O1080" s="5"/>
    </row>
    <row r="1081">
      <c r="A1081" s="2" t="str">
        <f>IFERROR(__xludf.DUMMYFUNCTION("""COMPUTED_VALUE"""),"1420")</f>
        <v>1420</v>
      </c>
      <c r="B1081" s="2" t="str">
        <f>IFERROR(__xludf.DUMMYFUNCTION("""COMPUTED_VALUE"""),"JEFFERSON COUNTY R-1")</f>
        <v>JEFFERSON COUNTY R-1</v>
      </c>
      <c r="C1081" s="2" t="str">
        <f>IFERROR(__xludf.DUMMYFUNCTION("""COMPUTED_VALUE"""),"01244")</f>
        <v>01244</v>
      </c>
      <c r="D1081" s="2" t="str">
        <f>IFERROR(__xludf.DUMMYFUNCTION("""COMPUTED_VALUE"""),"Campbell Early Learning Cener")</f>
        <v>Campbell Early Learning Cener</v>
      </c>
      <c r="E1081" s="3" t="str">
        <f>IFERROR(__xludf.DUMMYFUNCTION("""COMPUTED_VALUE"""),"Y")</f>
        <v>Y</v>
      </c>
      <c r="F1081" s="3" t="str">
        <f>IFERROR(__xludf.DUMMYFUNCTION("""COMPUTED_VALUE"""),"Y")</f>
        <v>Y</v>
      </c>
      <c r="G1081" s="3"/>
      <c r="H1081" s="3"/>
      <c r="I1081" s="3" t="str">
        <f>IFERROR(__xludf.DUMMYFUNCTION("""COMPUTED_VALUE""")," ")</f>
        <v> </v>
      </c>
      <c r="J1081" s="3" t="str">
        <f>IFERROR(__xludf.DUMMYFUNCTION("""COMPUTED_VALUE""")," ")</f>
        <v> </v>
      </c>
      <c r="K1081" s="3" t="str">
        <f>IFERROR(__xludf.DUMMYFUNCTION("""COMPUTED_VALUE"""),"Y")</f>
        <v>Y</v>
      </c>
      <c r="L1081" s="3" t="str">
        <f>IFERROR(__xludf.DUMMYFUNCTION("""COMPUTED_VALUE"""),"Group 1")</f>
        <v>Group 1</v>
      </c>
      <c r="M1081" s="3"/>
      <c r="N1081" s="5" t="str">
        <f>IFERROR(__xludf.DUMMYFUNCTION("""COMPUTED_VALUE""")," ")</f>
        <v> </v>
      </c>
      <c r="O1081" s="5"/>
    </row>
    <row r="1082">
      <c r="A1082" s="2" t="str">
        <f>IFERROR(__xludf.DUMMYFUNCTION("""COMPUTED_VALUE"""),"1420")</f>
        <v>1420</v>
      </c>
      <c r="B1082" s="2" t="str">
        <f>IFERROR(__xludf.DUMMYFUNCTION("""COMPUTED_VALUE"""),"JEFFERSON COUNTY R-1")</f>
        <v>JEFFERSON COUNTY R-1</v>
      </c>
      <c r="C1082" s="2" t="str">
        <f>IFERROR(__xludf.DUMMYFUNCTION("""COMPUTED_VALUE"""),"01318")</f>
        <v>01318</v>
      </c>
      <c r="D1082" s="2" t="str">
        <f>IFERROR(__xludf.DUMMYFUNCTION("""COMPUTED_VALUE"""),"CARMODY MIDDLE SCHOOL")</f>
        <v>CARMODY MIDDLE SCHOOL</v>
      </c>
      <c r="E1082" s="3" t="str">
        <f>IFERROR(__xludf.DUMMYFUNCTION("""COMPUTED_VALUE"""),"Y")</f>
        <v>Y</v>
      </c>
      <c r="F1082" s="3" t="str">
        <f>IFERROR(__xludf.DUMMYFUNCTION("""COMPUTED_VALUE"""),"Y")</f>
        <v>Y</v>
      </c>
      <c r="G1082" s="3"/>
      <c r="H1082" s="3"/>
      <c r="I1082" s="3" t="str">
        <f>IFERROR(__xludf.DUMMYFUNCTION("""COMPUTED_VALUE""")," ")</f>
        <v> </v>
      </c>
      <c r="J1082" s="3" t="str">
        <f>IFERROR(__xludf.DUMMYFUNCTION("""COMPUTED_VALUE""")," ")</f>
        <v> </v>
      </c>
      <c r="K1082" s="3" t="str">
        <f>IFERROR(__xludf.DUMMYFUNCTION("""COMPUTED_VALUE"""),"Y")</f>
        <v>Y</v>
      </c>
      <c r="L1082" s="3" t="str">
        <f>IFERROR(__xludf.DUMMYFUNCTION("""COMPUTED_VALUE"""),"Group 8")</f>
        <v>Group 8</v>
      </c>
      <c r="M1082" s="3"/>
      <c r="N1082" s="5" t="str">
        <f>IFERROR(__xludf.DUMMYFUNCTION("""COMPUTED_VALUE""")," ")</f>
        <v> </v>
      </c>
      <c r="O1082" s="5"/>
    </row>
    <row r="1083">
      <c r="A1083" s="2" t="str">
        <f>IFERROR(__xludf.DUMMYFUNCTION("""COMPUTED_VALUE"""),"1420")</f>
        <v>1420</v>
      </c>
      <c r="B1083" s="2" t="str">
        <f>IFERROR(__xludf.DUMMYFUNCTION("""COMPUTED_VALUE"""),"JEFFERSON COUNTY R-1")</f>
        <v>JEFFERSON COUNTY R-1</v>
      </c>
      <c r="C1083" s="2" t="str">
        <f>IFERROR(__xludf.DUMMYFUNCTION("""COMPUTED_VALUE"""),"01522")</f>
        <v>01522</v>
      </c>
      <c r="D1083" s="2" t="str">
        <f>IFERROR(__xludf.DUMMYFUNCTION("""COMPUTED_VALUE"""),"CHATFIELD HIGH SCHOOL")</f>
        <v>CHATFIELD HIGH SCHOOL</v>
      </c>
      <c r="E1083" s="3" t="str">
        <f>IFERROR(__xludf.DUMMYFUNCTION("""COMPUTED_VALUE"""),"Y")</f>
        <v>Y</v>
      </c>
      <c r="F1083" s="3" t="str">
        <f>IFERROR(__xludf.DUMMYFUNCTION("""COMPUTED_VALUE"""),"Y")</f>
        <v>Y</v>
      </c>
      <c r="G1083" s="3"/>
      <c r="H1083" s="3"/>
      <c r="I1083" s="3" t="str">
        <f>IFERROR(__xludf.DUMMYFUNCTION("""COMPUTED_VALUE""")," ")</f>
        <v> </v>
      </c>
      <c r="J1083" s="3" t="str">
        <f>IFERROR(__xludf.DUMMYFUNCTION("""COMPUTED_VALUE""")," ")</f>
        <v> </v>
      </c>
      <c r="K1083" s="3" t="str">
        <f>IFERROR(__xludf.DUMMYFUNCTION("""COMPUTED_VALUE"""),"Y")</f>
        <v>Y</v>
      </c>
      <c r="L1083" s="3" t="str">
        <f>IFERROR(__xludf.DUMMYFUNCTION("""COMPUTED_VALUE""")," ")</f>
        <v> </v>
      </c>
      <c r="M1083" s="3"/>
      <c r="N1083" s="5" t="str">
        <f>IFERROR(__xludf.DUMMYFUNCTION("""COMPUTED_VALUE""")," ")</f>
        <v> </v>
      </c>
      <c r="O1083" s="5"/>
    </row>
    <row r="1084">
      <c r="A1084" s="2" t="str">
        <f>IFERROR(__xludf.DUMMYFUNCTION("""COMPUTED_VALUE"""),"1420")</f>
        <v>1420</v>
      </c>
      <c r="B1084" s="2" t="str">
        <f>IFERROR(__xludf.DUMMYFUNCTION("""COMPUTED_VALUE"""),"JEFFERSON COUNTY R-1")</f>
        <v>JEFFERSON COUNTY R-1</v>
      </c>
      <c r="C1084" s="2" t="str">
        <f>IFERROR(__xludf.DUMMYFUNCTION("""COMPUTED_VALUE"""),"01730")</f>
        <v>01730</v>
      </c>
      <c r="D1084" s="2" t="str">
        <f>IFERROR(__xludf.DUMMYFUNCTION("""COMPUTED_VALUE"""),"JEFFERSON ACADEMY COAL CREEK CANYON")</f>
        <v>JEFFERSON ACADEMY COAL CREEK CANYON</v>
      </c>
      <c r="E1084" s="3" t="str">
        <f>IFERROR(__xludf.DUMMYFUNCTION("""COMPUTED_VALUE"""),"Y")</f>
        <v>Y</v>
      </c>
      <c r="F1084" s="3" t="str">
        <f>IFERROR(__xludf.DUMMYFUNCTION("""COMPUTED_VALUE"""),"Y")</f>
        <v>Y</v>
      </c>
      <c r="G1084" s="3"/>
      <c r="H1084" s="3"/>
      <c r="I1084" s="3" t="str">
        <f>IFERROR(__xludf.DUMMYFUNCTION("""COMPUTED_VALUE""")," ")</f>
        <v> </v>
      </c>
      <c r="J1084" s="3" t="str">
        <f>IFERROR(__xludf.DUMMYFUNCTION("""COMPUTED_VALUE""")," ")</f>
        <v> </v>
      </c>
      <c r="K1084" s="3" t="str">
        <f>IFERROR(__xludf.DUMMYFUNCTION("""COMPUTED_VALUE"""),"Y")</f>
        <v>Y</v>
      </c>
      <c r="L1084" s="3" t="str">
        <f>IFERROR(__xludf.DUMMYFUNCTION("""COMPUTED_VALUE"""),"Group 1")</f>
        <v>Group 1</v>
      </c>
      <c r="M1084" s="3"/>
      <c r="N1084" s="5" t="str">
        <f>IFERROR(__xludf.DUMMYFUNCTION("""COMPUTED_VALUE""")," ")</f>
        <v> </v>
      </c>
      <c r="O1084" s="5"/>
    </row>
    <row r="1085">
      <c r="A1085" s="2" t="str">
        <f>IFERROR(__xludf.DUMMYFUNCTION("""COMPUTED_VALUE"""),"1420")</f>
        <v>1420</v>
      </c>
      <c r="B1085" s="2" t="str">
        <f>IFERROR(__xludf.DUMMYFUNCTION("""COMPUTED_VALUE"""),"JEFFERSON COUNTY R-1")</f>
        <v>JEFFERSON COUNTY R-1</v>
      </c>
      <c r="C1085" s="2" t="str">
        <f>IFERROR(__xludf.DUMMYFUNCTION("""COMPUTED_VALUE"""),"01861")</f>
        <v>01861</v>
      </c>
      <c r="D1085" s="2" t="str">
        <f>IFERROR(__xludf.DUMMYFUNCTION("""COMPUTED_VALUE"""),"COLUMBINE HILLS ELEMENTARY SCHOOL")</f>
        <v>COLUMBINE HILLS ELEMENTARY SCHOOL</v>
      </c>
      <c r="E1085" s="3" t="str">
        <f>IFERROR(__xludf.DUMMYFUNCTION("""COMPUTED_VALUE"""),"Y")</f>
        <v>Y</v>
      </c>
      <c r="F1085" s="3" t="str">
        <f>IFERROR(__xludf.DUMMYFUNCTION("""COMPUTED_VALUE"""),"Y")</f>
        <v>Y</v>
      </c>
      <c r="G1085" s="3"/>
      <c r="H1085" s="3"/>
      <c r="I1085" s="3" t="str">
        <f>IFERROR(__xludf.DUMMYFUNCTION("""COMPUTED_VALUE""")," ")</f>
        <v> </v>
      </c>
      <c r="J1085" s="3" t="str">
        <f>IFERROR(__xludf.DUMMYFUNCTION("""COMPUTED_VALUE""")," ")</f>
        <v> </v>
      </c>
      <c r="K1085" s="3" t="str">
        <f>IFERROR(__xludf.DUMMYFUNCTION("""COMPUTED_VALUE"""),"Y")</f>
        <v>Y</v>
      </c>
      <c r="L1085" s="3" t="str">
        <f>IFERROR(__xludf.DUMMYFUNCTION("""COMPUTED_VALUE"""),"Group 8")</f>
        <v>Group 8</v>
      </c>
      <c r="M1085" s="3"/>
      <c r="N1085" s="5" t="str">
        <f>IFERROR(__xludf.DUMMYFUNCTION("""COMPUTED_VALUE""")," ")</f>
        <v> </v>
      </c>
      <c r="O1085" s="5"/>
    </row>
    <row r="1086">
      <c r="A1086" s="2" t="str">
        <f>IFERROR(__xludf.DUMMYFUNCTION("""COMPUTED_VALUE"""),"1420")</f>
        <v>1420</v>
      </c>
      <c r="B1086" s="2" t="str">
        <f>IFERROR(__xludf.DUMMYFUNCTION("""COMPUTED_VALUE"""),"JEFFERSON COUNTY R-1")</f>
        <v>JEFFERSON COUNTY R-1</v>
      </c>
      <c r="C1086" s="2" t="str">
        <f>IFERROR(__xludf.DUMMYFUNCTION("""COMPUTED_VALUE"""),"01864")</f>
        <v>01864</v>
      </c>
      <c r="D1086" s="2" t="str">
        <f>IFERROR(__xludf.DUMMYFUNCTION("""COMPUTED_VALUE"""),"COLUMBINE HIGH SCHOOL")</f>
        <v>COLUMBINE HIGH SCHOOL</v>
      </c>
      <c r="E1086" s="3" t="str">
        <f>IFERROR(__xludf.DUMMYFUNCTION("""COMPUTED_VALUE"""),"Y")</f>
        <v>Y</v>
      </c>
      <c r="F1086" s="3" t="str">
        <f>IFERROR(__xludf.DUMMYFUNCTION("""COMPUTED_VALUE"""),"Y")</f>
        <v>Y</v>
      </c>
      <c r="G1086" s="3"/>
      <c r="H1086" s="3"/>
      <c r="I1086" s="3" t="str">
        <f>IFERROR(__xludf.DUMMYFUNCTION("""COMPUTED_VALUE""")," ")</f>
        <v> </v>
      </c>
      <c r="J1086" s="3" t="str">
        <f>IFERROR(__xludf.DUMMYFUNCTION("""COMPUTED_VALUE""")," ")</f>
        <v> </v>
      </c>
      <c r="K1086" s="3" t="str">
        <f>IFERROR(__xludf.DUMMYFUNCTION("""COMPUTED_VALUE"""),"Y")</f>
        <v>Y</v>
      </c>
      <c r="L1086" s="3" t="str">
        <f>IFERROR(__xludf.DUMMYFUNCTION("""COMPUTED_VALUE""")," ")</f>
        <v> </v>
      </c>
      <c r="M1086" s="3"/>
      <c r="N1086" s="5" t="str">
        <f>IFERROR(__xludf.DUMMYFUNCTION("""COMPUTED_VALUE""")," ")</f>
        <v> </v>
      </c>
      <c r="O1086" s="5"/>
    </row>
    <row r="1087">
      <c r="A1087" s="2" t="str">
        <f>IFERROR(__xludf.DUMMYFUNCTION("""COMPUTED_VALUE"""),"1420")</f>
        <v>1420</v>
      </c>
      <c r="B1087" s="2" t="str">
        <f>IFERROR(__xludf.DUMMYFUNCTION("""COMPUTED_VALUE"""),"JEFFERSON COUNTY R-1")</f>
        <v>JEFFERSON COUNTY R-1</v>
      </c>
      <c r="C1087" s="2" t="str">
        <f>IFERROR(__xludf.DUMMYFUNCTION("""COMPUTED_VALUE"""),"01876")</f>
        <v>01876</v>
      </c>
      <c r="D1087" s="2" t="str">
        <f>IFERROR(__xludf.DUMMYFUNCTION("""COMPUTED_VALUE"""),"CORONADO ELEMENTARY SCHOOL")</f>
        <v>CORONADO ELEMENTARY SCHOOL</v>
      </c>
      <c r="E1087" s="3" t="str">
        <f>IFERROR(__xludf.DUMMYFUNCTION("""COMPUTED_VALUE"""),"Y")</f>
        <v>Y</v>
      </c>
      <c r="F1087" s="3" t="str">
        <f>IFERROR(__xludf.DUMMYFUNCTION("""COMPUTED_VALUE"""),"Y")</f>
        <v>Y</v>
      </c>
      <c r="G1087" s="3"/>
      <c r="H1087" s="3"/>
      <c r="I1087" s="3" t="str">
        <f>IFERROR(__xludf.DUMMYFUNCTION("""COMPUTED_VALUE""")," ")</f>
        <v> </v>
      </c>
      <c r="J1087" s="3" t="str">
        <f>IFERROR(__xludf.DUMMYFUNCTION("""COMPUTED_VALUE""")," ")</f>
        <v> </v>
      </c>
      <c r="K1087" s="3" t="str">
        <f>IFERROR(__xludf.DUMMYFUNCTION("""COMPUTED_VALUE"""),"Y")</f>
        <v>Y</v>
      </c>
      <c r="L1087" s="3" t="str">
        <f>IFERROR(__xludf.DUMMYFUNCTION("""COMPUTED_VALUE""")," ")</f>
        <v> </v>
      </c>
      <c r="M1087" s="3"/>
      <c r="N1087" s="5" t="str">
        <f>IFERROR(__xludf.DUMMYFUNCTION("""COMPUTED_VALUE""")," ")</f>
        <v> </v>
      </c>
      <c r="O1087" s="5"/>
    </row>
    <row r="1088">
      <c r="A1088" s="2" t="str">
        <f>IFERROR(__xludf.DUMMYFUNCTION("""COMPUTED_VALUE"""),"1420")</f>
        <v>1420</v>
      </c>
      <c r="B1088" s="2" t="str">
        <f>IFERROR(__xludf.DUMMYFUNCTION("""COMPUTED_VALUE"""),"JEFFERSON COUNTY R-1")</f>
        <v>JEFFERSON COUNTY R-1</v>
      </c>
      <c r="C1088" s="2" t="str">
        <f>IFERROR(__xludf.DUMMYFUNCTION("""COMPUTED_VALUE"""),"01886")</f>
        <v>01886</v>
      </c>
      <c r="D1088" s="2" t="str">
        <f>IFERROR(__xludf.DUMMYFUNCTION("""COMPUTED_VALUE"""),"CONIFER SENIOR HIGH SCHOOL")</f>
        <v>CONIFER SENIOR HIGH SCHOOL</v>
      </c>
      <c r="E1088" s="3" t="str">
        <f>IFERROR(__xludf.DUMMYFUNCTION("""COMPUTED_VALUE"""),"Y")</f>
        <v>Y</v>
      </c>
      <c r="F1088" s="3" t="str">
        <f>IFERROR(__xludf.DUMMYFUNCTION("""COMPUTED_VALUE"""),"Y")</f>
        <v>Y</v>
      </c>
      <c r="G1088" s="3"/>
      <c r="H1088" s="3"/>
      <c r="I1088" s="3" t="str">
        <f>IFERROR(__xludf.DUMMYFUNCTION("""COMPUTED_VALUE""")," ")</f>
        <v> </v>
      </c>
      <c r="J1088" s="3" t="str">
        <f>IFERROR(__xludf.DUMMYFUNCTION("""COMPUTED_VALUE""")," ")</f>
        <v> </v>
      </c>
      <c r="K1088" s="3" t="str">
        <f>IFERROR(__xludf.DUMMYFUNCTION("""COMPUTED_VALUE"""),"Y")</f>
        <v>Y</v>
      </c>
      <c r="L1088" s="3" t="str">
        <f>IFERROR(__xludf.DUMMYFUNCTION("""COMPUTED_VALUE""")," ")</f>
        <v> </v>
      </c>
      <c r="M1088" s="3"/>
      <c r="N1088" s="5" t="str">
        <f>IFERROR(__xludf.DUMMYFUNCTION("""COMPUTED_VALUE""")," ")</f>
        <v> </v>
      </c>
      <c r="O1088" s="5"/>
    </row>
    <row r="1089">
      <c r="A1089" s="2" t="str">
        <f>IFERROR(__xludf.DUMMYFUNCTION("""COMPUTED_VALUE"""),"1420")</f>
        <v>1420</v>
      </c>
      <c r="B1089" s="2" t="str">
        <f>IFERROR(__xludf.DUMMYFUNCTION("""COMPUTED_VALUE"""),"JEFFERSON COUNTY R-1")</f>
        <v>JEFFERSON COUNTY R-1</v>
      </c>
      <c r="C1089" s="2" t="str">
        <f>IFERROR(__xludf.DUMMYFUNCTION("""COMPUTED_VALUE"""),"01976")</f>
        <v>01976</v>
      </c>
      <c r="D1089" s="2" t="str">
        <f>IFERROR(__xludf.DUMMYFUNCTION("""COMPUTED_VALUE"""),"CREIGHTON MIDDLE SCHOOL")</f>
        <v>CREIGHTON MIDDLE SCHOOL</v>
      </c>
      <c r="E1089" s="3" t="str">
        <f>IFERROR(__xludf.DUMMYFUNCTION("""COMPUTED_VALUE"""),"Y")</f>
        <v>Y</v>
      </c>
      <c r="F1089" s="3" t="str">
        <f>IFERROR(__xludf.DUMMYFUNCTION("""COMPUTED_VALUE"""),"Y")</f>
        <v>Y</v>
      </c>
      <c r="G1089" s="3"/>
      <c r="H1089" s="3"/>
      <c r="I1089" s="3" t="str">
        <f>IFERROR(__xludf.DUMMYFUNCTION("""COMPUTED_VALUE""")," ")</f>
        <v> </v>
      </c>
      <c r="J1089" s="3" t="str">
        <f>IFERROR(__xludf.DUMMYFUNCTION("""COMPUTED_VALUE""")," ")</f>
        <v> </v>
      </c>
      <c r="K1089" s="3" t="str">
        <f>IFERROR(__xludf.DUMMYFUNCTION("""COMPUTED_VALUE"""),"Y")</f>
        <v>Y</v>
      </c>
      <c r="L1089" s="3" t="str">
        <f>IFERROR(__xludf.DUMMYFUNCTION("""COMPUTED_VALUE"""),"Group 9")</f>
        <v>Group 9</v>
      </c>
      <c r="M1089" s="3"/>
      <c r="N1089" s="5" t="str">
        <f>IFERROR(__xludf.DUMMYFUNCTION("""COMPUTED_VALUE""")," ")</f>
        <v> </v>
      </c>
      <c r="O1089" s="5"/>
    </row>
    <row r="1090">
      <c r="A1090" s="2" t="str">
        <f>IFERROR(__xludf.DUMMYFUNCTION("""COMPUTED_VALUE"""),"1420")</f>
        <v>1420</v>
      </c>
      <c r="B1090" s="2" t="str">
        <f>IFERROR(__xludf.DUMMYFUNCTION("""COMPUTED_VALUE"""),"JEFFERSON COUNTY R-1")</f>
        <v>JEFFERSON COUNTY R-1</v>
      </c>
      <c r="C1090" s="2" t="str">
        <f>IFERROR(__xludf.DUMMYFUNCTION("""COMPUTED_VALUE"""),"02093")</f>
        <v>02093</v>
      </c>
      <c r="D1090" s="2" t="str">
        <f>IFERROR(__xludf.DUMMYFUNCTION("""COMPUTED_VALUE"""),"DAKOTA RIDGE SENIOR HIGH SCHOOL")</f>
        <v>DAKOTA RIDGE SENIOR HIGH SCHOOL</v>
      </c>
      <c r="E1090" s="3" t="str">
        <f>IFERROR(__xludf.DUMMYFUNCTION("""COMPUTED_VALUE"""),"Y")</f>
        <v>Y</v>
      </c>
      <c r="F1090" s="3" t="str">
        <f>IFERROR(__xludf.DUMMYFUNCTION("""COMPUTED_VALUE"""),"Y")</f>
        <v>Y</v>
      </c>
      <c r="G1090" s="3"/>
      <c r="H1090" s="3"/>
      <c r="I1090" s="3" t="str">
        <f>IFERROR(__xludf.DUMMYFUNCTION("""COMPUTED_VALUE""")," ")</f>
        <v> </v>
      </c>
      <c r="J1090" s="3" t="str">
        <f>IFERROR(__xludf.DUMMYFUNCTION("""COMPUTED_VALUE""")," ")</f>
        <v> </v>
      </c>
      <c r="K1090" s="3" t="str">
        <f>IFERROR(__xludf.DUMMYFUNCTION("""COMPUTED_VALUE"""),"Y")</f>
        <v>Y</v>
      </c>
      <c r="L1090" s="3" t="str">
        <f>IFERROR(__xludf.DUMMYFUNCTION("""COMPUTED_VALUE""")," ")</f>
        <v> </v>
      </c>
      <c r="M1090" s="3"/>
      <c r="N1090" s="5" t="str">
        <f>IFERROR(__xludf.DUMMYFUNCTION("""COMPUTED_VALUE""")," ")</f>
        <v> </v>
      </c>
      <c r="O1090" s="5"/>
    </row>
    <row r="1091">
      <c r="A1091" s="2" t="str">
        <f>IFERROR(__xludf.DUMMYFUNCTION("""COMPUTED_VALUE"""),"1420")</f>
        <v>1420</v>
      </c>
      <c r="B1091" s="2" t="str">
        <f>IFERROR(__xludf.DUMMYFUNCTION("""COMPUTED_VALUE"""),"JEFFERSON COUNTY R-1")</f>
        <v>JEFFERSON COUNTY R-1</v>
      </c>
      <c r="C1091" s="2" t="str">
        <f>IFERROR(__xludf.DUMMYFUNCTION("""COMPUTED_VALUE"""),"02120")</f>
        <v>02120</v>
      </c>
      <c r="D1091" s="2" t="str">
        <f>IFERROR(__xludf.DUMMYFUNCTION("""COMPUTED_VALUE"""),"D'EVELYN JUNIOR/SENIOR HIGH SCHOOL")</f>
        <v>D'EVELYN JUNIOR/SENIOR HIGH SCHOOL</v>
      </c>
      <c r="E1091" s="3" t="str">
        <f>IFERROR(__xludf.DUMMYFUNCTION("""COMPUTED_VALUE"""),"Y")</f>
        <v>Y</v>
      </c>
      <c r="F1091" s="3" t="str">
        <f>IFERROR(__xludf.DUMMYFUNCTION("""COMPUTED_VALUE"""),"Y")</f>
        <v>Y</v>
      </c>
      <c r="G1091" s="3"/>
      <c r="H1091" s="3"/>
      <c r="I1091" s="3" t="str">
        <f>IFERROR(__xludf.DUMMYFUNCTION("""COMPUTED_VALUE""")," ")</f>
        <v> </v>
      </c>
      <c r="J1091" s="3" t="str">
        <f>IFERROR(__xludf.DUMMYFUNCTION("""COMPUTED_VALUE""")," ")</f>
        <v> </v>
      </c>
      <c r="K1091" s="3" t="str">
        <f>IFERROR(__xludf.DUMMYFUNCTION("""COMPUTED_VALUE"""),"Y")</f>
        <v>Y</v>
      </c>
      <c r="L1091" s="3" t="str">
        <f>IFERROR(__xludf.DUMMYFUNCTION("""COMPUTED_VALUE""")," ")</f>
        <v> </v>
      </c>
      <c r="M1091" s="3"/>
      <c r="N1091" s="5" t="str">
        <f>IFERROR(__xludf.DUMMYFUNCTION("""COMPUTED_VALUE""")," ")</f>
        <v> </v>
      </c>
      <c r="O1091" s="5"/>
    </row>
    <row r="1092">
      <c r="A1092" s="2" t="str">
        <f>IFERROR(__xludf.DUMMYFUNCTION("""COMPUTED_VALUE"""),"1420")</f>
        <v>1420</v>
      </c>
      <c r="B1092" s="2" t="str">
        <f>IFERROR(__xludf.DUMMYFUNCTION("""COMPUTED_VALUE"""),"JEFFERSON COUNTY R-1")</f>
        <v>JEFFERSON COUNTY R-1</v>
      </c>
      <c r="C1092" s="2" t="str">
        <f>IFERROR(__xludf.DUMMYFUNCTION("""COMPUTED_VALUE"""),"02130")</f>
        <v>02130</v>
      </c>
      <c r="D1092" s="2" t="str">
        <f>IFERROR(__xludf.DUMMYFUNCTION("""COMPUTED_VALUE"""),"DEER CREEK MIDDLE SCHOOL")</f>
        <v>DEER CREEK MIDDLE SCHOOL</v>
      </c>
      <c r="E1092" s="3" t="str">
        <f>IFERROR(__xludf.DUMMYFUNCTION("""COMPUTED_VALUE"""),"Y")</f>
        <v>Y</v>
      </c>
      <c r="F1092" s="3" t="str">
        <f>IFERROR(__xludf.DUMMYFUNCTION("""COMPUTED_VALUE"""),"Y")</f>
        <v>Y</v>
      </c>
      <c r="G1092" s="3"/>
      <c r="H1092" s="3"/>
      <c r="I1092" s="3" t="str">
        <f>IFERROR(__xludf.DUMMYFUNCTION("""COMPUTED_VALUE""")," ")</f>
        <v> </v>
      </c>
      <c r="J1092" s="3" t="str">
        <f>IFERROR(__xludf.DUMMYFUNCTION("""COMPUTED_VALUE""")," ")</f>
        <v> </v>
      </c>
      <c r="K1092" s="3" t="str">
        <f>IFERROR(__xludf.DUMMYFUNCTION("""COMPUTED_VALUE"""),"Y")</f>
        <v>Y</v>
      </c>
      <c r="L1092" s="3" t="str">
        <f>IFERROR(__xludf.DUMMYFUNCTION("""COMPUTED_VALUE"""),"Group 7")</f>
        <v>Group 7</v>
      </c>
      <c r="M1092" s="3"/>
      <c r="N1092" s="5" t="str">
        <f>IFERROR(__xludf.DUMMYFUNCTION("""COMPUTED_VALUE""")," ")</f>
        <v> </v>
      </c>
      <c r="O1092" s="5"/>
    </row>
    <row r="1093">
      <c r="A1093" s="2" t="str">
        <f>IFERROR(__xludf.DUMMYFUNCTION("""COMPUTED_VALUE"""),"1420")</f>
        <v>1420</v>
      </c>
      <c r="B1093" s="2" t="str">
        <f>IFERROR(__xludf.DUMMYFUNCTION("""COMPUTED_VALUE"""),"JEFFERSON COUNTY R-1")</f>
        <v>JEFFERSON COUNTY R-1</v>
      </c>
      <c r="C1093" s="2" t="str">
        <f>IFERROR(__xludf.DUMMYFUNCTION("""COMPUTED_VALUE"""),"02189")</f>
        <v>02189</v>
      </c>
      <c r="D1093" s="2" t="str">
        <f>IFERROR(__xludf.DUMMYFUNCTION("""COMPUTED_VALUE"""),"Doral Academy")</f>
        <v>Doral Academy</v>
      </c>
      <c r="E1093" s="3" t="str">
        <f>IFERROR(__xludf.DUMMYFUNCTION("""COMPUTED_VALUE"""),"Y")</f>
        <v>Y</v>
      </c>
      <c r="F1093" s="3" t="str">
        <f>IFERROR(__xludf.DUMMYFUNCTION("""COMPUTED_VALUE"""),"Y")</f>
        <v>Y</v>
      </c>
      <c r="G1093" s="3"/>
      <c r="H1093" s="3"/>
      <c r="I1093" s="3" t="str">
        <f>IFERROR(__xludf.DUMMYFUNCTION("""COMPUTED_VALUE""")," ")</f>
        <v> </v>
      </c>
      <c r="J1093" s="3" t="str">
        <f>IFERROR(__xludf.DUMMYFUNCTION("""COMPUTED_VALUE""")," ")</f>
        <v> </v>
      </c>
      <c r="K1093" s="3" t="str">
        <f>IFERROR(__xludf.DUMMYFUNCTION("""COMPUTED_VALUE"""),"Y")</f>
        <v>Y</v>
      </c>
      <c r="L1093" s="3" t="str">
        <f>IFERROR(__xludf.DUMMYFUNCTION("""COMPUTED_VALUE"""),"Group 16")</f>
        <v>Group 16</v>
      </c>
      <c r="M1093" s="3"/>
      <c r="N1093" s="5" t="str">
        <f>IFERROR(__xludf.DUMMYFUNCTION("""COMPUTED_VALUE""")," ")</f>
        <v> </v>
      </c>
      <c r="O1093" s="5"/>
    </row>
    <row r="1094">
      <c r="A1094" s="2" t="str">
        <f>IFERROR(__xludf.DUMMYFUNCTION("""COMPUTED_VALUE"""),"1420")</f>
        <v>1420</v>
      </c>
      <c r="B1094" s="2" t="str">
        <f>IFERROR(__xludf.DUMMYFUNCTION("""COMPUTED_VALUE"""),"JEFFERSON COUNTY R-1")</f>
        <v>JEFFERSON COUNTY R-1</v>
      </c>
      <c r="C1094" s="2" t="str">
        <f>IFERROR(__xludf.DUMMYFUNCTION("""COMPUTED_VALUE"""),"02194")</f>
        <v>02194</v>
      </c>
      <c r="D1094" s="2" t="str">
        <f>IFERROR(__xludf.DUMMYFUNCTION("""COMPUTED_VALUE"""),"DEVINNY ELEMENTARY SCHOOL")</f>
        <v>DEVINNY ELEMENTARY SCHOOL</v>
      </c>
      <c r="E1094" s="3" t="str">
        <f>IFERROR(__xludf.DUMMYFUNCTION("""COMPUTED_VALUE"""),"Y")</f>
        <v>Y</v>
      </c>
      <c r="F1094" s="3" t="str">
        <f>IFERROR(__xludf.DUMMYFUNCTION("""COMPUTED_VALUE"""),"Y")</f>
        <v>Y</v>
      </c>
      <c r="G1094" s="3"/>
      <c r="H1094" s="3"/>
      <c r="I1094" s="3" t="str">
        <f>IFERROR(__xludf.DUMMYFUNCTION("""COMPUTED_VALUE""")," ")</f>
        <v> </v>
      </c>
      <c r="J1094" s="3" t="str">
        <f>IFERROR(__xludf.DUMMYFUNCTION("""COMPUTED_VALUE""")," ")</f>
        <v> </v>
      </c>
      <c r="K1094" s="3" t="str">
        <f>IFERROR(__xludf.DUMMYFUNCTION("""COMPUTED_VALUE"""),"Y")</f>
        <v>Y</v>
      </c>
      <c r="L1094" s="3" t="str">
        <f>IFERROR(__xludf.DUMMYFUNCTION("""COMPUTED_VALUE""")," ")</f>
        <v> </v>
      </c>
      <c r="M1094" s="3"/>
      <c r="N1094" s="5" t="str">
        <f>IFERROR(__xludf.DUMMYFUNCTION("""COMPUTED_VALUE""")," ")</f>
        <v> </v>
      </c>
      <c r="O1094" s="5"/>
    </row>
    <row r="1095">
      <c r="A1095" s="2" t="str">
        <f>IFERROR(__xludf.DUMMYFUNCTION("""COMPUTED_VALUE"""),"1420")</f>
        <v>1420</v>
      </c>
      <c r="B1095" s="2" t="str">
        <f>IFERROR(__xludf.DUMMYFUNCTION("""COMPUTED_VALUE"""),"JEFFERSON COUNTY R-1")</f>
        <v>JEFFERSON COUNTY R-1</v>
      </c>
      <c r="C1095" s="2" t="str">
        <f>IFERROR(__xludf.DUMMYFUNCTION("""COMPUTED_VALUE"""),"02288")</f>
        <v>02288</v>
      </c>
      <c r="D1095" s="2" t="str">
        <f>IFERROR(__xludf.DUMMYFUNCTION("""COMPUTED_VALUE"""),"DRAKE JUNIOR HIGH SCHOOL")</f>
        <v>DRAKE JUNIOR HIGH SCHOOL</v>
      </c>
      <c r="E1095" s="3" t="str">
        <f>IFERROR(__xludf.DUMMYFUNCTION("""COMPUTED_VALUE"""),"Y")</f>
        <v>Y</v>
      </c>
      <c r="F1095" s="3" t="str">
        <f>IFERROR(__xludf.DUMMYFUNCTION("""COMPUTED_VALUE"""),"Y")</f>
        <v>Y</v>
      </c>
      <c r="G1095" s="3"/>
      <c r="H1095" s="3"/>
      <c r="I1095" s="3" t="str">
        <f>IFERROR(__xludf.DUMMYFUNCTION("""COMPUTED_VALUE""")," ")</f>
        <v> </v>
      </c>
      <c r="J1095" s="3" t="str">
        <f>IFERROR(__xludf.DUMMYFUNCTION("""COMPUTED_VALUE""")," ")</f>
        <v> </v>
      </c>
      <c r="K1095" s="3" t="str">
        <f>IFERROR(__xludf.DUMMYFUNCTION("""COMPUTED_VALUE"""),"Y")</f>
        <v>Y</v>
      </c>
      <c r="L1095" s="3" t="str">
        <f>IFERROR(__xludf.DUMMYFUNCTION("""COMPUTED_VALUE"""),"Group 1")</f>
        <v>Group 1</v>
      </c>
      <c r="M1095" s="3"/>
      <c r="N1095" s="5" t="str">
        <f>IFERROR(__xludf.DUMMYFUNCTION("""COMPUTED_VALUE""")," ")</f>
        <v> </v>
      </c>
      <c r="O1095" s="5"/>
    </row>
    <row r="1096">
      <c r="A1096" s="2" t="str">
        <f>IFERROR(__xludf.DUMMYFUNCTION("""COMPUTED_VALUE"""),"1420")</f>
        <v>1420</v>
      </c>
      <c r="B1096" s="2" t="str">
        <f>IFERROR(__xludf.DUMMYFUNCTION("""COMPUTED_VALUE"""),"JEFFERSON COUNTY R-1")</f>
        <v>JEFFERSON COUNTY R-1</v>
      </c>
      <c r="C1096" s="2" t="str">
        <f>IFERROR(__xludf.DUMMYFUNCTION("""COMPUTED_VALUE"""),"02300")</f>
        <v>02300</v>
      </c>
      <c r="D1096" s="2" t="str">
        <f>IFERROR(__xludf.DUMMYFUNCTION("""COMPUTED_VALUE"""),"DUNSTAN MIDDLE SCHOOL")</f>
        <v>DUNSTAN MIDDLE SCHOOL</v>
      </c>
      <c r="E1096" s="3" t="str">
        <f>IFERROR(__xludf.DUMMYFUNCTION("""COMPUTED_VALUE"""),"Y")</f>
        <v>Y</v>
      </c>
      <c r="F1096" s="3" t="str">
        <f>IFERROR(__xludf.DUMMYFUNCTION("""COMPUTED_VALUE"""),"Y")</f>
        <v>Y</v>
      </c>
      <c r="G1096" s="3"/>
      <c r="H1096" s="3"/>
      <c r="I1096" s="3" t="str">
        <f>IFERROR(__xludf.DUMMYFUNCTION("""COMPUTED_VALUE""")," ")</f>
        <v> </v>
      </c>
      <c r="J1096" s="3" t="str">
        <f>IFERROR(__xludf.DUMMYFUNCTION("""COMPUTED_VALUE""")," ")</f>
        <v> </v>
      </c>
      <c r="K1096" s="3" t="str">
        <f>IFERROR(__xludf.DUMMYFUNCTION("""COMPUTED_VALUE"""),"Y")</f>
        <v>Y</v>
      </c>
      <c r="L1096" s="3" t="str">
        <f>IFERROR(__xludf.DUMMYFUNCTION("""COMPUTED_VALUE"""),"Group 13")</f>
        <v>Group 13</v>
      </c>
      <c r="M1096" s="3"/>
      <c r="N1096" s="5" t="str">
        <f>IFERROR(__xludf.DUMMYFUNCTION("""COMPUTED_VALUE""")," ")</f>
        <v> </v>
      </c>
      <c r="O1096" s="5"/>
    </row>
    <row r="1097">
      <c r="A1097" s="2" t="str">
        <f>IFERROR(__xludf.DUMMYFUNCTION("""COMPUTED_VALUE"""),"1420")</f>
        <v>1420</v>
      </c>
      <c r="B1097" s="2" t="str">
        <f>IFERROR(__xludf.DUMMYFUNCTION("""COMPUTED_VALUE"""),"JEFFERSON COUNTY R-1")</f>
        <v>JEFFERSON COUNTY R-1</v>
      </c>
      <c r="C1097" s="2" t="str">
        <f>IFERROR(__xludf.DUMMYFUNCTION("""COMPUTED_VALUE"""),"02322")</f>
        <v>02322</v>
      </c>
      <c r="D1097" s="2" t="str">
        <f>IFERROR(__xludf.DUMMYFUNCTION("""COMPUTED_VALUE"""),"DUTCH CREEK ELEMENTARY SCHOOL")</f>
        <v>DUTCH CREEK ELEMENTARY SCHOOL</v>
      </c>
      <c r="E1097" s="3" t="str">
        <f>IFERROR(__xludf.DUMMYFUNCTION("""COMPUTED_VALUE"""),"Y")</f>
        <v>Y</v>
      </c>
      <c r="F1097" s="3" t="str">
        <f>IFERROR(__xludf.DUMMYFUNCTION("""COMPUTED_VALUE"""),"Y")</f>
        <v>Y</v>
      </c>
      <c r="G1097" s="3"/>
      <c r="H1097" s="3"/>
      <c r="I1097" s="3" t="str">
        <f>IFERROR(__xludf.DUMMYFUNCTION("""COMPUTED_VALUE""")," ")</f>
        <v> </v>
      </c>
      <c r="J1097" s="3" t="str">
        <f>IFERROR(__xludf.DUMMYFUNCTION("""COMPUTED_VALUE""")," ")</f>
        <v> </v>
      </c>
      <c r="K1097" s="3" t="str">
        <f>IFERROR(__xludf.DUMMYFUNCTION("""COMPUTED_VALUE"""),"Y")</f>
        <v>Y</v>
      </c>
      <c r="L1097" s="3" t="str">
        <f>IFERROR(__xludf.DUMMYFUNCTION("""COMPUTED_VALUE"""),"Group 19")</f>
        <v>Group 19</v>
      </c>
      <c r="M1097" s="3"/>
      <c r="N1097" s="5" t="str">
        <f>IFERROR(__xludf.DUMMYFUNCTION("""COMPUTED_VALUE""")," ")</f>
        <v> </v>
      </c>
      <c r="O1097" s="5"/>
    </row>
    <row r="1098">
      <c r="A1098" s="2" t="str">
        <f>IFERROR(__xludf.DUMMYFUNCTION("""COMPUTED_VALUE"""),"1420")</f>
        <v>1420</v>
      </c>
      <c r="B1098" s="2" t="str">
        <f>IFERROR(__xludf.DUMMYFUNCTION("""COMPUTED_VALUE"""),"JEFFERSON COUNTY R-1")</f>
        <v>JEFFERSON COUNTY R-1</v>
      </c>
      <c r="C1098" s="2" t="str">
        <f>IFERROR(__xludf.DUMMYFUNCTION("""COMPUTED_VALUE"""),"02496")</f>
        <v>02496</v>
      </c>
      <c r="D1098" s="2" t="str">
        <f>IFERROR(__xludf.DUMMYFUNCTION("""COMPUTED_VALUE"""),"EDGEWATER ELEMENTARY SCHOOL")</f>
        <v>EDGEWATER ELEMENTARY SCHOOL</v>
      </c>
      <c r="E1098" s="3" t="str">
        <f>IFERROR(__xludf.DUMMYFUNCTION("""COMPUTED_VALUE"""),"Y")</f>
        <v>Y</v>
      </c>
      <c r="F1098" s="3" t="str">
        <f>IFERROR(__xludf.DUMMYFUNCTION("""COMPUTED_VALUE"""),"Y")</f>
        <v>Y</v>
      </c>
      <c r="G1098" s="3" t="str">
        <f>IFERROR(__xludf.DUMMYFUNCTION("""COMPUTED_VALUE"""),"Y")</f>
        <v>Y</v>
      </c>
      <c r="H1098" s="3"/>
      <c r="I1098" s="3" t="str">
        <f>IFERROR(__xludf.DUMMYFUNCTION("""COMPUTED_VALUE"""),"Y")</f>
        <v>Y</v>
      </c>
      <c r="J1098" s="3" t="str">
        <f>IFERROR(__xludf.DUMMYFUNCTION("""COMPUTED_VALUE"""),"Y")</f>
        <v>Y</v>
      </c>
      <c r="K1098" s="3" t="str">
        <f>IFERROR(__xludf.DUMMYFUNCTION("""COMPUTED_VALUE"""),"Y")</f>
        <v>Y</v>
      </c>
      <c r="L1098" s="3" t="str">
        <f>IFERROR(__xludf.DUMMYFUNCTION("""COMPUTED_VALUE"""),"Group 3")</f>
        <v>Group 3</v>
      </c>
      <c r="M1098" s="3"/>
      <c r="N1098" s="5" t="str">
        <f>IFERROR(__xludf.DUMMYFUNCTION("""COMPUTED_VALUE"""),"Y")</f>
        <v>Y</v>
      </c>
      <c r="O1098" s="5"/>
    </row>
    <row r="1099">
      <c r="A1099" s="2" t="str">
        <f>IFERROR(__xludf.DUMMYFUNCTION("""COMPUTED_VALUE"""),"1420")</f>
        <v>1420</v>
      </c>
      <c r="B1099" s="2" t="str">
        <f>IFERROR(__xludf.DUMMYFUNCTION("""COMPUTED_VALUE"""),"JEFFERSON COUNTY R-1")</f>
        <v>JEFFERSON COUNTY R-1</v>
      </c>
      <c r="C1099" s="2" t="str">
        <f>IFERROR(__xludf.DUMMYFUNCTION("""COMPUTED_VALUE"""),"02550")</f>
        <v>02550</v>
      </c>
      <c r="D1099" s="2" t="str">
        <f>IFERROR(__xludf.DUMMYFUNCTION("""COMPUTED_VALUE"""),"EIBER ELEMENTARY SCHOOL")</f>
        <v>EIBER ELEMENTARY SCHOOL</v>
      </c>
      <c r="E1099" s="3" t="str">
        <f>IFERROR(__xludf.DUMMYFUNCTION("""COMPUTED_VALUE"""),"Y")</f>
        <v>Y</v>
      </c>
      <c r="F1099" s="3" t="str">
        <f>IFERROR(__xludf.DUMMYFUNCTION("""COMPUTED_VALUE"""),"Y")</f>
        <v>Y</v>
      </c>
      <c r="G1099" s="3"/>
      <c r="H1099" s="3"/>
      <c r="I1099" s="3" t="str">
        <f>IFERROR(__xludf.DUMMYFUNCTION("""COMPUTED_VALUE"""),"Y")</f>
        <v>Y</v>
      </c>
      <c r="J1099" s="3" t="str">
        <f>IFERROR(__xludf.DUMMYFUNCTION("""COMPUTED_VALUE"""),"Y")</f>
        <v>Y</v>
      </c>
      <c r="K1099" s="3" t="str">
        <f>IFERROR(__xludf.DUMMYFUNCTION("""COMPUTED_VALUE"""),"Y")</f>
        <v>Y</v>
      </c>
      <c r="L1099" s="3" t="str">
        <f>IFERROR(__xludf.DUMMYFUNCTION("""COMPUTED_VALUE"""),"Group 23")</f>
        <v>Group 23</v>
      </c>
      <c r="M1099" s="3"/>
      <c r="N1099" s="5" t="str">
        <f>IFERROR(__xludf.DUMMYFUNCTION("""COMPUTED_VALUE""")," ")</f>
        <v> </v>
      </c>
      <c r="O1099" s="5"/>
    </row>
    <row r="1100">
      <c r="A1100" s="2" t="str">
        <f>IFERROR(__xludf.DUMMYFUNCTION("""COMPUTED_VALUE"""),"1420")</f>
        <v>1420</v>
      </c>
      <c r="B1100" s="2" t="str">
        <f>IFERROR(__xludf.DUMMYFUNCTION("""COMPUTED_VALUE"""),"JEFFERSON COUNTY R-1")</f>
        <v>JEFFERSON COUNTY R-1</v>
      </c>
      <c r="C1100" s="2" t="str">
        <f>IFERROR(__xludf.DUMMYFUNCTION("""COMPUTED_VALUE"""),"02616")</f>
        <v>02616</v>
      </c>
      <c r="D1100" s="2" t="str">
        <f>IFERROR(__xludf.DUMMYFUNCTION("""COMPUTED_VALUE"""),"ELK CREEK ELEMENTARY SCHOOL")</f>
        <v>ELK CREEK ELEMENTARY SCHOOL</v>
      </c>
      <c r="E1100" s="3" t="str">
        <f>IFERROR(__xludf.DUMMYFUNCTION("""COMPUTED_VALUE"""),"Y")</f>
        <v>Y</v>
      </c>
      <c r="F1100" s="3" t="str">
        <f>IFERROR(__xludf.DUMMYFUNCTION("""COMPUTED_VALUE"""),"Y")</f>
        <v>Y</v>
      </c>
      <c r="G1100" s="3"/>
      <c r="H1100" s="3"/>
      <c r="I1100" s="3" t="str">
        <f>IFERROR(__xludf.DUMMYFUNCTION("""COMPUTED_VALUE""")," ")</f>
        <v> </v>
      </c>
      <c r="J1100" s="3" t="str">
        <f>IFERROR(__xludf.DUMMYFUNCTION("""COMPUTED_VALUE""")," ")</f>
        <v> </v>
      </c>
      <c r="K1100" s="3" t="str">
        <f>IFERROR(__xludf.DUMMYFUNCTION("""COMPUTED_VALUE"""),"Y")</f>
        <v>Y</v>
      </c>
      <c r="L1100" s="3" t="str">
        <f>IFERROR(__xludf.DUMMYFUNCTION("""COMPUTED_VALUE""")," ")</f>
        <v> </v>
      </c>
      <c r="M1100" s="3"/>
      <c r="N1100" s="5" t="str">
        <f>IFERROR(__xludf.DUMMYFUNCTION("""COMPUTED_VALUE""")," ")</f>
        <v> </v>
      </c>
      <c r="O1100" s="5"/>
    </row>
    <row r="1101">
      <c r="A1101" s="2" t="str">
        <f>IFERROR(__xludf.DUMMYFUNCTION("""COMPUTED_VALUE"""),"1420")</f>
        <v>1420</v>
      </c>
      <c r="B1101" s="2" t="str">
        <f>IFERROR(__xludf.DUMMYFUNCTION("""COMPUTED_VALUE"""),"JEFFERSON COUNTY R-1")</f>
        <v>JEFFERSON COUNTY R-1</v>
      </c>
      <c r="C1101" s="2" t="str">
        <f>IFERROR(__xludf.DUMMYFUNCTION("""COMPUTED_VALUE"""),"02820")</f>
        <v>02820</v>
      </c>
      <c r="D1101" s="2" t="str">
        <f>IFERROR(__xludf.DUMMYFUNCTION("""COMPUTED_VALUE"""),"EVERITT MIDDLE SCHOOL")</f>
        <v>EVERITT MIDDLE SCHOOL</v>
      </c>
      <c r="E1101" s="3" t="str">
        <f>IFERROR(__xludf.DUMMYFUNCTION("""COMPUTED_VALUE"""),"Y")</f>
        <v>Y</v>
      </c>
      <c r="F1101" s="3" t="str">
        <f>IFERROR(__xludf.DUMMYFUNCTION("""COMPUTED_VALUE"""),"Y")</f>
        <v>Y</v>
      </c>
      <c r="G1101" s="3"/>
      <c r="H1101" s="3"/>
      <c r="I1101" s="3" t="str">
        <f>IFERROR(__xludf.DUMMYFUNCTION("""COMPUTED_VALUE""")," ")</f>
        <v> </v>
      </c>
      <c r="J1101" s="3" t="str">
        <f>IFERROR(__xludf.DUMMYFUNCTION("""COMPUTED_VALUE""")," ")</f>
        <v> </v>
      </c>
      <c r="K1101" s="3" t="str">
        <f>IFERROR(__xludf.DUMMYFUNCTION("""COMPUTED_VALUE"""),"Y")</f>
        <v>Y</v>
      </c>
      <c r="L1101" s="3" t="str">
        <f>IFERROR(__xludf.DUMMYFUNCTION("""COMPUTED_VALUE"""),"Group 10")</f>
        <v>Group 10</v>
      </c>
      <c r="M1101" s="3"/>
      <c r="N1101" s="5" t="str">
        <f>IFERROR(__xludf.DUMMYFUNCTION("""COMPUTED_VALUE""")," ")</f>
        <v> </v>
      </c>
      <c r="O1101" s="5"/>
    </row>
    <row r="1102">
      <c r="A1102" s="2" t="str">
        <f>IFERROR(__xludf.DUMMYFUNCTION("""COMPUTED_VALUE"""),"1420")</f>
        <v>1420</v>
      </c>
      <c r="B1102" s="2" t="str">
        <f>IFERROR(__xludf.DUMMYFUNCTION("""COMPUTED_VALUE"""),"JEFFERSON COUNTY R-1")</f>
        <v>JEFFERSON COUNTY R-1</v>
      </c>
      <c r="C1102" s="2" t="str">
        <f>IFERROR(__xludf.DUMMYFUNCTION("""COMPUTED_VALUE"""),"02832")</f>
        <v>02832</v>
      </c>
      <c r="D1102" s="2" t="str">
        <f>IFERROR(__xludf.DUMMYFUNCTION("""COMPUTED_VALUE"""),"EVERGREEN MIDDLE SCHOOL")</f>
        <v>EVERGREEN MIDDLE SCHOOL</v>
      </c>
      <c r="E1102" s="3" t="str">
        <f>IFERROR(__xludf.DUMMYFUNCTION("""COMPUTED_VALUE"""),"Y")</f>
        <v>Y</v>
      </c>
      <c r="F1102" s="3" t="str">
        <f>IFERROR(__xludf.DUMMYFUNCTION("""COMPUTED_VALUE"""),"Y")</f>
        <v>Y</v>
      </c>
      <c r="G1102" s="3"/>
      <c r="H1102" s="3"/>
      <c r="I1102" s="3" t="str">
        <f>IFERROR(__xludf.DUMMYFUNCTION("""COMPUTED_VALUE""")," ")</f>
        <v> </v>
      </c>
      <c r="J1102" s="3" t="str">
        <f>IFERROR(__xludf.DUMMYFUNCTION("""COMPUTED_VALUE""")," ")</f>
        <v> </v>
      </c>
      <c r="K1102" s="3" t="str">
        <f>IFERROR(__xludf.DUMMYFUNCTION("""COMPUTED_VALUE"""),"Y")</f>
        <v>Y</v>
      </c>
      <c r="L1102" s="3" t="str">
        <f>IFERROR(__xludf.DUMMYFUNCTION("""COMPUTED_VALUE"""),"Group 11")</f>
        <v>Group 11</v>
      </c>
      <c r="M1102" s="3"/>
      <c r="N1102" s="5" t="str">
        <f>IFERROR(__xludf.DUMMYFUNCTION("""COMPUTED_VALUE""")," ")</f>
        <v> </v>
      </c>
      <c r="O1102" s="5"/>
    </row>
    <row r="1103">
      <c r="A1103" s="2" t="str">
        <f>IFERROR(__xludf.DUMMYFUNCTION("""COMPUTED_VALUE"""),"1420")</f>
        <v>1420</v>
      </c>
      <c r="B1103" s="2" t="str">
        <f>IFERROR(__xludf.DUMMYFUNCTION("""COMPUTED_VALUE"""),"JEFFERSON COUNTY R-1")</f>
        <v>JEFFERSON COUNTY R-1</v>
      </c>
      <c r="C1103" s="2" t="str">
        <f>IFERROR(__xludf.DUMMYFUNCTION("""COMPUTED_VALUE"""),"02836")</f>
        <v>02836</v>
      </c>
      <c r="D1103" s="2" t="str">
        <f>IFERROR(__xludf.DUMMYFUNCTION("""COMPUTED_VALUE"""),"EVERGREEN HIGH SCHOOL")</f>
        <v>EVERGREEN HIGH SCHOOL</v>
      </c>
      <c r="E1103" s="3" t="str">
        <f>IFERROR(__xludf.DUMMYFUNCTION("""COMPUTED_VALUE"""),"Y")</f>
        <v>Y</v>
      </c>
      <c r="F1103" s="3" t="str">
        <f>IFERROR(__xludf.DUMMYFUNCTION("""COMPUTED_VALUE"""),"Y")</f>
        <v>Y</v>
      </c>
      <c r="G1103" s="3"/>
      <c r="H1103" s="3"/>
      <c r="I1103" s="3" t="str">
        <f>IFERROR(__xludf.DUMMYFUNCTION("""COMPUTED_VALUE""")," ")</f>
        <v> </v>
      </c>
      <c r="J1103" s="3" t="str">
        <f>IFERROR(__xludf.DUMMYFUNCTION("""COMPUTED_VALUE""")," ")</f>
        <v> </v>
      </c>
      <c r="K1103" s="3" t="str">
        <f>IFERROR(__xludf.DUMMYFUNCTION("""COMPUTED_VALUE"""),"Y")</f>
        <v>Y</v>
      </c>
      <c r="L1103" s="3" t="str">
        <f>IFERROR(__xludf.DUMMYFUNCTION("""COMPUTED_VALUE""")," ")</f>
        <v> </v>
      </c>
      <c r="M1103" s="3"/>
      <c r="N1103" s="5" t="str">
        <f>IFERROR(__xludf.DUMMYFUNCTION("""COMPUTED_VALUE""")," ")</f>
        <v> </v>
      </c>
      <c r="O1103" s="5"/>
    </row>
    <row r="1104">
      <c r="A1104" s="2" t="str">
        <f>IFERROR(__xludf.DUMMYFUNCTION("""COMPUTED_VALUE"""),"1420")</f>
        <v>1420</v>
      </c>
      <c r="B1104" s="2" t="str">
        <f>IFERROR(__xludf.DUMMYFUNCTION("""COMPUTED_VALUE"""),"JEFFERSON COUNTY R-1")</f>
        <v>JEFFERSON COUNTY R-1</v>
      </c>
      <c r="C1104" s="2" t="str">
        <f>IFERROR(__xludf.DUMMYFUNCTION("""COMPUTED_VALUE"""),"02866")</f>
        <v>02866</v>
      </c>
      <c r="D1104" s="2" t="str">
        <f>IFERROR(__xludf.DUMMYFUNCTION("""COMPUTED_VALUE"""),"FAIRMOUNT ELEMENTARY SCHOOL")</f>
        <v>FAIRMOUNT ELEMENTARY SCHOOL</v>
      </c>
      <c r="E1104" s="3" t="str">
        <f>IFERROR(__xludf.DUMMYFUNCTION("""COMPUTED_VALUE"""),"Y")</f>
        <v>Y</v>
      </c>
      <c r="F1104" s="3" t="str">
        <f>IFERROR(__xludf.DUMMYFUNCTION("""COMPUTED_VALUE"""),"Y")</f>
        <v>Y</v>
      </c>
      <c r="G1104" s="3"/>
      <c r="H1104" s="3"/>
      <c r="I1104" s="3" t="str">
        <f>IFERROR(__xludf.DUMMYFUNCTION("""COMPUTED_VALUE""")," ")</f>
        <v> </v>
      </c>
      <c r="J1104" s="3" t="str">
        <f>IFERROR(__xludf.DUMMYFUNCTION("""COMPUTED_VALUE""")," ")</f>
        <v> </v>
      </c>
      <c r="K1104" s="3" t="str">
        <f>IFERROR(__xludf.DUMMYFUNCTION("""COMPUTED_VALUE"""),"Y")</f>
        <v>Y</v>
      </c>
      <c r="L1104" s="3" t="str">
        <f>IFERROR(__xludf.DUMMYFUNCTION("""COMPUTED_VALUE""")," ")</f>
        <v> </v>
      </c>
      <c r="M1104" s="3"/>
      <c r="N1104" s="5" t="str">
        <f>IFERROR(__xludf.DUMMYFUNCTION("""COMPUTED_VALUE""")," ")</f>
        <v> </v>
      </c>
      <c r="O1104" s="5"/>
    </row>
    <row r="1105">
      <c r="A1105" s="2" t="str">
        <f>IFERROR(__xludf.DUMMYFUNCTION("""COMPUTED_VALUE"""),"1420")</f>
        <v>1420</v>
      </c>
      <c r="B1105" s="2" t="str">
        <f>IFERROR(__xludf.DUMMYFUNCTION("""COMPUTED_VALUE"""),"JEFFERSON COUNTY R-1")</f>
        <v>JEFFERSON COUNTY R-1</v>
      </c>
      <c r="C1105" s="2" t="str">
        <f>IFERROR(__xludf.DUMMYFUNCTION("""COMPUTED_VALUE"""),"02963")</f>
        <v>02963</v>
      </c>
      <c r="D1105" s="2" t="str">
        <f>IFERROR(__xludf.DUMMYFUNCTION("""COMPUTED_VALUE"""),"FALCON BLUFFS MIDDLE SCHOOL")</f>
        <v>FALCON BLUFFS MIDDLE SCHOOL</v>
      </c>
      <c r="E1105" s="3" t="str">
        <f>IFERROR(__xludf.DUMMYFUNCTION("""COMPUTED_VALUE"""),"Y")</f>
        <v>Y</v>
      </c>
      <c r="F1105" s="3" t="str">
        <f>IFERROR(__xludf.DUMMYFUNCTION("""COMPUTED_VALUE"""),"Y")</f>
        <v>Y</v>
      </c>
      <c r="G1105" s="3"/>
      <c r="H1105" s="3"/>
      <c r="I1105" s="3" t="str">
        <f>IFERROR(__xludf.DUMMYFUNCTION("""COMPUTED_VALUE""")," ")</f>
        <v> </v>
      </c>
      <c r="J1105" s="3" t="str">
        <f>IFERROR(__xludf.DUMMYFUNCTION("""COMPUTED_VALUE""")," ")</f>
        <v> </v>
      </c>
      <c r="K1105" s="3" t="str">
        <f>IFERROR(__xludf.DUMMYFUNCTION("""COMPUTED_VALUE"""),"Y")</f>
        <v>Y</v>
      </c>
      <c r="L1105" s="3" t="str">
        <f>IFERROR(__xludf.DUMMYFUNCTION("""COMPUTED_VALUE"""),"Group 14")</f>
        <v>Group 14</v>
      </c>
      <c r="M1105" s="3"/>
      <c r="N1105" s="5" t="str">
        <f>IFERROR(__xludf.DUMMYFUNCTION("""COMPUTED_VALUE""")," ")</f>
        <v> </v>
      </c>
      <c r="O1105" s="5"/>
    </row>
    <row r="1106">
      <c r="A1106" s="2" t="str">
        <f>IFERROR(__xludf.DUMMYFUNCTION("""COMPUTED_VALUE"""),"1420")</f>
        <v>1420</v>
      </c>
      <c r="B1106" s="2" t="str">
        <f>IFERROR(__xludf.DUMMYFUNCTION("""COMPUTED_VALUE"""),"JEFFERSON COUNTY R-1")</f>
        <v>JEFFERSON COUNTY R-1</v>
      </c>
      <c r="C1106" s="2" t="str">
        <f>IFERROR(__xludf.DUMMYFUNCTION("""COMPUTED_VALUE"""),"03025")</f>
        <v>03025</v>
      </c>
      <c r="D1106" s="2" t="str">
        <f>IFERROR(__xludf.DUMMYFUNCTION("""COMPUTED_VALUE"""),"FOOTHILLS ELEMENTARY SCHOOL")</f>
        <v>FOOTHILLS ELEMENTARY SCHOOL</v>
      </c>
      <c r="E1106" s="3" t="str">
        <f>IFERROR(__xludf.DUMMYFUNCTION("""COMPUTED_VALUE"""),"Y")</f>
        <v>Y</v>
      </c>
      <c r="F1106" s="3" t="str">
        <f>IFERROR(__xludf.DUMMYFUNCTION("""COMPUTED_VALUE"""),"Y")</f>
        <v>Y</v>
      </c>
      <c r="G1106" s="3" t="str">
        <f>IFERROR(__xludf.DUMMYFUNCTION("""COMPUTED_VALUE"""),"Y")</f>
        <v>Y</v>
      </c>
      <c r="H1106" s="3"/>
      <c r="I1106" s="3" t="str">
        <f>IFERROR(__xludf.DUMMYFUNCTION("""COMPUTED_VALUE""")," ")</f>
        <v> </v>
      </c>
      <c r="J1106" s="3" t="str">
        <f>IFERROR(__xludf.DUMMYFUNCTION("""COMPUTED_VALUE""")," ")</f>
        <v> </v>
      </c>
      <c r="K1106" s="3" t="str">
        <f>IFERROR(__xludf.DUMMYFUNCTION("""COMPUTED_VALUE"""),"Y")</f>
        <v>Y</v>
      </c>
      <c r="L1106" s="3" t="str">
        <f>IFERROR(__xludf.DUMMYFUNCTION("""COMPUTED_VALUE"""),"Group 19")</f>
        <v>Group 19</v>
      </c>
      <c r="M1106" s="3"/>
      <c r="N1106" s="5" t="str">
        <f>IFERROR(__xludf.DUMMYFUNCTION("""COMPUTED_VALUE""")," ")</f>
        <v> </v>
      </c>
      <c r="O1106" s="5"/>
    </row>
    <row r="1107">
      <c r="A1107" s="2" t="str">
        <f>IFERROR(__xludf.DUMMYFUNCTION("""COMPUTED_VALUE"""),"1420")</f>
        <v>1420</v>
      </c>
      <c r="B1107" s="2" t="str">
        <f>IFERROR(__xludf.DUMMYFUNCTION("""COMPUTED_VALUE"""),"JEFFERSON COUNTY R-1")</f>
        <v>JEFFERSON COUNTY R-1</v>
      </c>
      <c r="C1107" s="2" t="str">
        <f>IFERROR(__xludf.DUMMYFUNCTION("""COMPUTED_VALUE"""),"03088")</f>
        <v>03088</v>
      </c>
      <c r="D1107" s="2" t="str">
        <f>IFERROR(__xludf.DUMMYFUNCTION("""COMPUTED_VALUE"""),"FOSTER DUAL LANGUAGE PK-8")</f>
        <v>FOSTER DUAL LANGUAGE PK-8</v>
      </c>
      <c r="E1107" s="3" t="str">
        <f>IFERROR(__xludf.DUMMYFUNCTION("""COMPUTED_VALUE"""),"Y")</f>
        <v>Y</v>
      </c>
      <c r="F1107" s="3" t="str">
        <f>IFERROR(__xludf.DUMMYFUNCTION("""COMPUTED_VALUE"""),"Y")</f>
        <v>Y</v>
      </c>
      <c r="G1107" s="3" t="str">
        <f>IFERROR(__xludf.DUMMYFUNCTION("""COMPUTED_VALUE"""),"Y")</f>
        <v>Y</v>
      </c>
      <c r="H1107" s="3"/>
      <c r="I1107" s="3" t="str">
        <f>IFERROR(__xludf.DUMMYFUNCTION("""COMPUTED_VALUE""")," ")</f>
        <v> </v>
      </c>
      <c r="J1107" s="3" t="str">
        <f>IFERROR(__xludf.DUMMYFUNCTION("""COMPUTED_VALUE""")," ")</f>
        <v> </v>
      </c>
      <c r="K1107" s="3" t="str">
        <f>IFERROR(__xludf.DUMMYFUNCTION("""COMPUTED_VALUE"""),"Y")</f>
        <v>Y</v>
      </c>
      <c r="L1107" s="3" t="str">
        <f>IFERROR(__xludf.DUMMYFUNCTION("""COMPUTED_VALUE"""),"Group 19")</f>
        <v>Group 19</v>
      </c>
      <c r="M1107" s="3"/>
      <c r="N1107" s="5" t="str">
        <f>IFERROR(__xludf.DUMMYFUNCTION("""COMPUTED_VALUE""")," ")</f>
        <v> </v>
      </c>
      <c r="O1107" s="5"/>
    </row>
    <row r="1108">
      <c r="A1108" s="2" t="str">
        <f>IFERROR(__xludf.DUMMYFUNCTION("""COMPUTED_VALUE"""),"1420")</f>
        <v>1420</v>
      </c>
      <c r="B1108" s="2" t="str">
        <f>IFERROR(__xludf.DUMMYFUNCTION("""COMPUTED_VALUE"""),"JEFFERSON COUNTY R-1")</f>
        <v>JEFFERSON COUNTY R-1</v>
      </c>
      <c r="C1108" s="2" t="str">
        <f>IFERROR(__xludf.DUMMYFUNCTION("""COMPUTED_VALUE"""),"03201")</f>
        <v>03201</v>
      </c>
      <c r="D1108" s="2" t="str">
        <f>IFERROR(__xludf.DUMMYFUNCTION("""COMPUTED_VALUE"""),"FREE HORIZON MONTESSORI CHARTER SCHOOL")</f>
        <v>FREE HORIZON MONTESSORI CHARTER SCHOOL</v>
      </c>
      <c r="E1108" s="3" t="str">
        <f>IFERROR(__xludf.DUMMYFUNCTION("""COMPUTED_VALUE"""),"Y")</f>
        <v>Y</v>
      </c>
      <c r="F1108" s="3" t="str">
        <f>IFERROR(__xludf.DUMMYFUNCTION("""COMPUTED_VALUE"""),"Y")</f>
        <v>Y</v>
      </c>
      <c r="G1108" s="3"/>
      <c r="H1108" s="3"/>
      <c r="I1108" s="3" t="str">
        <f>IFERROR(__xludf.DUMMYFUNCTION("""COMPUTED_VALUE""")," ")</f>
        <v> </v>
      </c>
      <c r="J1108" s="3" t="str">
        <f>IFERROR(__xludf.DUMMYFUNCTION("""COMPUTED_VALUE""")," ")</f>
        <v> </v>
      </c>
      <c r="K1108" s="3" t="str">
        <f>IFERROR(__xludf.DUMMYFUNCTION("""COMPUTED_VALUE"""),"Y")</f>
        <v>Y</v>
      </c>
      <c r="L1108" s="3" t="str">
        <f>IFERROR(__xludf.DUMMYFUNCTION("""COMPUTED_VALUE""")," ")</f>
        <v> </v>
      </c>
      <c r="M1108" s="3"/>
      <c r="N1108" s="5" t="str">
        <f>IFERROR(__xludf.DUMMYFUNCTION("""COMPUTED_VALUE""")," ")</f>
        <v> </v>
      </c>
      <c r="O1108" s="5"/>
    </row>
    <row r="1109">
      <c r="A1109" s="2" t="str">
        <f>IFERROR(__xludf.DUMMYFUNCTION("""COMPUTED_VALUE"""),"1420")</f>
        <v>1420</v>
      </c>
      <c r="B1109" s="2" t="str">
        <f>IFERROR(__xludf.DUMMYFUNCTION("""COMPUTED_VALUE"""),"JEFFERSON COUNTY R-1")</f>
        <v>JEFFERSON COUNTY R-1</v>
      </c>
      <c r="C1109" s="2" t="str">
        <f>IFERROR(__xludf.DUMMYFUNCTION("""COMPUTED_VALUE"""),"03216")</f>
        <v>03216</v>
      </c>
      <c r="D1109" s="2" t="str">
        <f>IFERROR(__xludf.DUMMYFUNCTION("""COMPUTED_VALUE"""),"FREMONT ELEMENTARY SCHOOL")</f>
        <v>FREMONT ELEMENTARY SCHOOL</v>
      </c>
      <c r="E1109" s="3" t="str">
        <f>IFERROR(__xludf.DUMMYFUNCTION("""COMPUTED_VALUE"""),"Y")</f>
        <v>Y</v>
      </c>
      <c r="F1109" s="3" t="str">
        <f>IFERROR(__xludf.DUMMYFUNCTION("""COMPUTED_VALUE"""),"Y")</f>
        <v>Y</v>
      </c>
      <c r="G1109" s="3"/>
      <c r="H1109" s="3"/>
      <c r="I1109" s="3" t="str">
        <f>IFERROR(__xludf.DUMMYFUNCTION("""COMPUTED_VALUE""")," ")</f>
        <v> </v>
      </c>
      <c r="J1109" s="3" t="str">
        <f>IFERROR(__xludf.DUMMYFUNCTION("""COMPUTED_VALUE""")," ")</f>
        <v> </v>
      </c>
      <c r="K1109" s="3" t="str">
        <f>IFERROR(__xludf.DUMMYFUNCTION("""COMPUTED_VALUE"""),"Y")</f>
        <v>Y</v>
      </c>
      <c r="L1109" s="3" t="str">
        <f>IFERROR(__xludf.DUMMYFUNCTION("""COMPUTED_VALUE""")," ")</f>
        <v> </v>
      </c>
      <c r="M1109" s="3"/>
      <c r="N1109" s="5" t="str">
        <f>IFERROR(__xludf.DUMMYFUNCTION("""COMPUTED_VALUE""")," ")</f>
        <v> </v>
      </c>
      <c r="O1109" s="5"/>
    </row>
    <row r="1110">
      <c r="A1110" s="2" t="str">
        <f>IFERROR(__xludf.DUMMYFUNCTION("""COMPUTED_VALUE"""),"1420")</f>
        <v>1420</v>
      </c>
      <c r="B1110" s="2" t="str">
        <f>IFERROR(__xludf.DUMMYFUNCTION("""COMPUTED_VALUE"""),"JEFFERSON COUNTY R-1")</f>
        <v>JEFFERSON COUNTY R-1</v>
      </c>
      <c r="C1110" s="2" t="str">
        <f>IFERROR(__xludf.DUMMYFUNCTION("""COMPUTED_VALUE"""),"03502")</f>
        <v>03502</v>
      </c>
      <c r="D1110" s="2" t="str">
        <f>IFERROR(__xludf.DUMMYFUNCTION("""COMPUTED_VALUE"""),"GOLDEN HIGH SCHOOL")</f>
        <v>GOLDEN HIGH SCHOOL</v>
      </c>
      <c r="E1110" s="3" t="str">
        <f>IFERROR(__xludf.DUMMYFUNCTION("""COMPUTED_VALUE"""),"Y")</f>
        <v>Y</v>
      </c>
      <c r="F1110" s="3" t="str">
        <f>IFERROR(__xludf.DUMMYFUNCTION("""COMPUTED_VALUE"""),"Y")</f>
        <v>Y</v>
      </c>
      <c r="G1110" s="3"/>
      <c r="H1110" s="3"/>
      <c r="I1110" s="3" t="str">
        <f>IFERROR(__xludf.DUMMYFUNCTION("""COMPUTED_VALUE""")," ")</f>
        <v> </v>
      </c>
      <c r="J1110" s="3" t="str">
        <f>IFERROR(__xludf.DUMMYFUNCTION("""COMPUTED_VALUE""")," ")</f>
        <v> </v>
      </c>
      <c r="K1110" s="3" t="str">
        <f>IFERROR(__xludf.DUMMYFUNCTION("""COMPUTED_VALUE"""),"Y")</f>
        <v>Y</v>
      </c>
      <c r="L1110" s="3" t="str">
        <f>IFERROR(__xludf.DUMMYFUNCTION("""COMPUTED_VALUE""")," ")</f>
        <v> </v>
      </c>
      <c r="M1110" s="3"/>
      <c r="N1110" s="5" t="str">
        <f>IFERROR(__xludf.DUMMYFUNCTION("""COMPUTED_VALUE""")," ")</f>
        <v> </v>
      </c>
      <c r="O1110" s="5"/>
    </row>
    <row r="1111">
      <c r="A1111" s="2" t="str">
        <f>IFERROR(__xludf.DUMMYFUNCTION("""COMPUTED_VALUE"""),"1420")</f>
        <v>1420</v>
      </c>
      <c r="B1111" s="2" t="str">
        <f>IFERROR(__xludf.DUMMYFUNCTION("""COMPUTED_VALUE"""),"JEFFERSON COUNTY R-1")</f>
        <v>JEFFERSON COUNTY R-1</v>
      </c>
      <c r="C1111" s="2" t="str">
        <f>IFERROR(__xludf.DUMMYFUNCTION("""COMPUTED_VALUE"""),"03536")</f>
        <v>03536</v>
      </c>
      <c r="D1111" s="2" t="str">
        <f>IFERROR(__xludf.DUMMYFUNCTION("""COMPUTED_VALUE"""),"GOVERNOR'S RANCH ELEMENTARY SCHOOL")</f>
        <v>GOVERNOR'S RANCH ELEMENTARY SCHOOL</v>
      </c>
      <c r="E1111" s="3" t="str">
        <f>IFERROR(__xludf.DUMMYFUNCTION("""COMPUTED_VALUE"""),"Y")</f>
        <v>Y</v>
      </c>
      <c r="F1111" s="3" t="str">
        <f>IFERROR(__xludf.DUMMYFUNCTION("""COMPUTED_VALUE"""),"Y")</f>
        <v>Y</v>
      </c>
      <c r="G1111" s="3"/>
      <c r="H1111" s="3"/>
      <c r="I1111" s="3" t="str">
        <f>IFERROR(__xludf.DUMMYFUNCTION("""COMPUTED_VALUE""")," ")</f>
        <v> </v>
      </c>
      <c r="J1111" s="3" t="str">
        <f>IFERROR(__xludf.DUMMYFUNCTION("""COMPUTED_VALUE""")," ")</f>
        <v> </v>
      </c>
      <c r="K1111" s="3" t="str">
        <f>IFERROR(__xludf.DUMMYFUNCTION("""COMPUTED_VALUE"""),"Y")</f>
        <v>Y</v>
      </c>
      <c r="L1111" s="3" t="str">
        <f>IFERROR(__xludf.DUMMYFUNCTION("""COMPUTED_VALUE""")," ")</f>
        <v> </v>
      </c>
      <c r="M1111" s="3"/>
      <c r="N1111" s="5" t="str">
        <f>IFERROR(__xludf.DUMMYFUNCTION("""COMPUTED_VALUE""")," ")</f>
        <v> </v>
      </c>
      <c r="O1111" s="5"/>
    </row>
    <row r="1112">
      <c r="A1112" s="2" t="str">
        <f>IFERROR(__xludf.DUMMYFUNCTION("""COMPUTED_VALUE"""),"1420")</f>
        <v>1420</v>
      </c>
      <c r="B1112" s="2" t="str">
        <f>IFERROR(__xludf.DUMMYFUNCTION("""COMPUTED_VALUE"""),"JEFFERSON COUNTY R-1")</f>
        <v>JEFFERSON COUNTY R-1</v>
      </c>
      <c r="C1112" s="2" t="str">
        <f>IFERROR(__xludf.DUMMYFUNCTION("""COMPUTED_VALUE"""),"03622")</f>
        <v>03622</v>
      </c>
      <c r="D1112" s="2" t="str">
        <f>IFERROR(__xludf.DUMMYFUNCTION("""COMPUTED_VALUE"""),"GREEN GABLES ELEMENTARY SCHOOL")</f>
        <v>GREEN GABLES ELEMENTARY SCHOOL</v>
      </c>
      <c r="E1112" s="3" t="str">
        <f>IFERROR(__xludf.DUMMYFUNCTION("""COMPUTED_VALUE"""),"Y")</f>
        <v>Y</v>
      </c>
      <c r="F1112" s="3" t="str">
        <f>IFERROR(__xludf.DUMMYFUNCTION("""COMPUTED_VALUE"""),"Y")</f>
        <v>Y</v>
      </c>
      <c r="G1112" s="3"/>
      <c r="H1112" s="3"/>
      <c r="I1112" s="3" t="str">
        <f>IFERROR(__xludf.DUMMYFUNCTION("""COMPUTED_VALUE""")," ")</f>
        <v> </v>
      </c>
      <c r="J1112" s="3" t="str">
        <f>IFERROR(__xludf.DUMMYFUNCTION("""COMPUTED_VALUE""")," ")</f>
        <v> </v>
      </c>
      <c r="K1112" s="3" t="str">
        <f>IFERROR(__xludf.DUMMYFUNCTION("""COMPUTED_VALUE"""),"Y")</f>
        <v>Y</v>
      </c>
      <c r="L1112" s="3" t="str">
        <f>IFERROR(__xludf.DUMMYFUNCTION("""COMPUTED_VALUE""")," ")</f>
        <v> </v>
      </c>
      <c r="M1112" s="3"/>
      <c r="N1112" s="5" t="str">
        <f>IFERROR(__xludf.DUMMYFUNCTION("""COMPUTED_VALUE""")," ")</f>
        <v> </v>
      </c>
      <c r="O1112" s="5"/>
    </row>
    <row r="1113">
      <c r="A1113" s="2" t="str">
        <f>IFERROR(__xludf.DUMMYFUNCTION("""COMPUTED_VALUE"""),"1420")</f>
        <v>1420</v>
      </c>
      <c r="B1113" s="2" t="str">
        <f>IFERROR(__xludf.DUMMYFUNCTION("""COMPUTED_VALUE"""),"JEFFERSON COUNTY R-1")</f>
        <v>JEFFERSON COUNTY R-1</v>
      </c>
      <c r="C1113" s="2" t="str">
        <f>IFERROR(__xludf.DUMMYFUNCTION("""COMPUTED_VALUE"""),"03628")</f>
        <v>03628</v>
      </c>
      <c r="D1113" s="2" t="str">
        <f>IFERROR(__xludf.DUMMYFUNCTION("""COMPUTED_VALUE"""),"GREEN MOUNTAIN HIGH SCHOOL")</f>
        <v>GREEN MOUNTAIN HIGH SCHOOL</v>
      </c>
      <c r="E1113" s="3" t="str">
        <f>IFERROR(__xludf.DUMMYFUNCTION("""COMPUTED_VALUE"""),"Y")</f>
        <v>Y</v>
      </c>
      <c r="F1113" s="3" t="str">
        <f>IFERROR(__xludf.DUMMYFUNCTION("""COMPUTED_VALUE"""),"Y")</f>
        <v>Y</v>
      </c>
      <c r="G1113" s="3"/>
      <c r="H1113" s="3"/>
      <c r="I1113" s="3" t="str">
        <f>IFERROR(__xludf.DUMMYFUNCTION("""COMPUTED_VALUE""")," ")</f>
        <v> </v>
      </c>
      <c r="J1113" s="3" t="str">
        <f>IFERROR(__xludf.DUMMYFUNCTION("""COMPUTED_VALUE""")," ")</f>
        <v> </v>
      </c>
      <c r="K1113" s="3" t="str">
        <f>IFERROR(__xludf.DUMMYFUNCTION("""COMPUTED_VALUE"""),"Y")</f>
        <v>Y</v>
      </c>
      <c r="L1113" s="3" t="str">
        <f>IFERROR(__xludf.DUMMYFUNCTION("""COMPUTED_VALUE"""),"Group 12")</f>
        <v>Group 12</v>
      </c>
      <c r="M1113" s="3"/>
      <c r="N1113" s="5" t="str">
        <f>IFERROR(__xludf.DUMMYFUNCTION("""COMPUTED_VALUE""")," ")</f>
        <v> </v>
      </c>
      <c r="O1113" s="5"/>
    </row>
    <row r="1114">
      <c r="A1114" s="2" t="str">
        <f>IFERROR(__xludf.DUMMYFUNCTION("""COMPUTED_VALUE"""),"1420")</f>
        <v>1420</v>
      </c>
      <c r="B1114" s="2" t="str">
        <f>IFERROR(__xludf.DUMMYFUNCTION("""COMPUTED_VALUE"""),"JEFFERSON COUNTY R-1")</f>
        <v>JEFFERSON COUNTY R-1</v>
      </c>
      <c r="C1114" s="2" t="str">
        <f>IFERROR(__xludf.DUMMYFUNCTION("""COMPUTED_VALUE"""),"03726")</f>
        <v>03726</v>
      </c>
      <c r="D1114" s="2" t="str">
        <f>IFERROR(__xludf.DUMMYFUNCTION("""COMPUTED_VALUE"""),"HACKBERRY HILL ELEMENTARY SCHOOL")</f>
        <v>HACKBERRY HILL ELEMENTARY SCHOOL</v>
      </c>
      <c r="E1114" s="3" t="str">
        <f>IFERROR(__xludf.DUMMYFUNCTION("""COMPUTED_VALUE"""),"Y")</f>
        <v>Y</v>
      </c>
      <c r="F1114" s="3" t="str">
        <f>IFERROR(__xludf.DUMMYFUNCTION("""COMPUTED_VALUE"""),"Y")</f>
        <v>Y</v>
      </c>
      <c r="G1114" s="3"/>
      <c r="H1114" s="3"/>
      <c r="I1114" s="3" t="str">
        <f>IFERROR(__xludf.DUMMYFUNCTION("""COMPUTED_VALUE""")," ")</f>
        <v> </v>
      </c>
      <c r="J1114" s="3" t="str">
        <f>IFERROR(__xludf.DUMMYFUNCTION("""COMPUTED_VALUE""")," ")</f>
        <v> </v>
      </c>
      <c r="K1114" s="3" t="str">
        <f>IFERROR(__xludf.DUMMYFUNCTION("""COMPUTED_VALUE"""),"Y")</f>
        <v>Y</v>
      </c>
      <c r="L1114" s="3" t="str">
        <f>IFERROR(__xludf.DUMMYFUNCTION("""COMPUTED_VALUE"""),"Group 9")</f>
        <v>Group 9</v>
      </c>
      <c r="M1114" s="3"/>
      <c r="N1114" s="5" t="str">
        <f>IFERROR(__xludf.DUMMYFUNCTION("""COMPUTED_VALUE""")," ")</f>
        <v> </v>
      </c>
      <c r="O1114" s="5"/>
    </row>
    <row r="1115">
      <c r="A1115" s="2" t="str">
        <f>IFERROR(__xludf.DUMMYFUNCTION("""COMPUTED_VALUE"""),"1420")</f>
        <v>1420</v>
      </c>
      <c r="B1115" s="2" t="str">
        <f>IFERROR(__xludf.DUMMYFUNCTION("""COMPUTED_VALUE"""),"JEFFERSON COUNTY R-1")</f>
        <v>JEFFERSON COUNTY R-1</v>
      </c>
      <c r="C1115" s="2" t="str">
        <f>IFERROR(__xludf.DUMMYFUNCTION("""COMPUTED_VALUE"""),"04190")</f>
        <v>04190</v>
      </c>
      <c r="D1115" s="2" t="str">
        <f>IFERROR(__xludf.DUMMYFUNCTION("""COMPUTED_VALUE"""),"HUTCHINSON ELEMENTARY SCHOOL")</f>
        <v>HUTCHINSON ELEMENTARY SCHOOL</v>
      </c>
      <c r="E1115" s="3" t="str">
        <f>IFERROR(__xludf.DUMMYFUNCTION("""COMPUTED_VALUE"""),"Y")</f>
        <v>Y</v>
      </c>
      <c r="F1115" s="3" t="str">
        <f>IFERROR(__xludf.DUMMYFUNCTION("""COMPUTED_VALUE"""),"Y")</f>
        <v>Y</v>
      </c>
      <c r="G1115" s="3"/>
      <c r="H1115" s="3"/>
      <c r="I1115" s="3" t="str">
        <f>IFERROR(__xludf.DUMMYFUNCTION("""COMPUTED_VALUE""")," ")</f>
        <v> </v>
      </c>
      <c r="J1115" s="3" t="str">
        <f>IFERROR(__xludf.DUMMYFUNCTION("""COMPUTED_VALUE""")," ")</f>
        <v> </v>
      </c>
      <c r="K1115" s="3" t="str">
        <f>IFERROR(__xludf.DUMMYFUNCTION("""COMPUTED_VALUE"""),"Y")</f>
        <v>Y</v>
      </c>
      <c r="L1115" s="3" t="str">
        <f>IFERROR(__xludf.DUMMYFUNCTION("""COMPUTED_VALUE"""),"Group 12")</f>
        <v>Group 12</v>
      </c>
      <c r="M1115" s="3"/>
      <c r="N1115" s="5" t="str">
        <f>IFERROR(__xludf.DUMMYFUNCTION("""COMPUTED_VALUE""")," ")</f>
        <v> </v>
      </c>
      <c r="O1115" s="5"/>
    </row>
    <row r="1116">
      <c r="A1116" s="2" t="str">
        <f>IFERROR(__xludf.DUMMYFUNCTION("""COMPUTED_VALUE"""),"1420")</f>
        <v>1420</v>
      </c>
      <c r="B1116" s="2" t="str">
        <f>IFERROR(__xludf.DUMMYFUNCTION("""COMPUTED_VALUE"""),"JEFFERSON COUNTY R-1")</f>
        <v>JEFFERSON COUNTY R-1</v>
      </c>
      <c r="C1116" s="2" t="str">
        <f>IFERROR(__xludf.DUMMYFUNCTION("""COMPUTED_VALUE"""),"04402")</f>
        <v>04402</v>
      </c>
      <c r="D1116" s="2" t="str">
        <f>IFERROR(__xludf.DUMMYFUNCTION("""COMPUTED_VALUE"""),"Jefferson Academy Elementary")</f>
        <v>Jefferson Academy Elementary</v>
      </c>
      <c r="E1116" s="3" t="str">
        <f>IFERROR(__xludf.DUMMYFUNCTION("""COMPUTED_VALUE"""),"Y")</f>
        <v>Y</v>
      </c>
      <c r="F1116" s="3" t="str">
        <f>IFERROR(__xludf.DUMMYFUNCTION("""COMPUTED_VALUE"""),"Y")</f>
        <v>Y</v>
      </c>
      <c r="G1116" s="3"/>
      <c r="H1116" s="3"/>
      <c r="I1116" s="3" t="str">
        <f>IFERROR(__xludf.DUMMYFUNCTION("""COMPUTED_VALUE""")," ")</f>
        <v> </v>
      </c>
      <c r="J1116" s="3" t="str">
        <f>IFERROR(__xludf.DUMMYFUNCTION("""COMPUTED_VALUE""")," ")</f>
        <v> </v>
      </c>
      <c r="K1116" s="3" t="str">
        <f>IFERROR(__xludf.DUMMYFUNCTION("""COMPUTED_VALUE"""),"Y")</f>
        <v>Y</v>
      </c>
      <c r="L1116" s="3" t="str">
        <f>IFERROR(__xludf.DUMMYFUNCTION("""COMPUTED_VALUE""")," ")</f>
        <v> </v>
      </c>
      <c r="M1116" s="3"/>
      <c r="N1116" s="5" t="str">
        <f>IFERROR(__xludf.DUMMYFUNCTION("""COMPUTED_VALUE""")," ")</f>
        <v> </v>
      </c>
      <c r="O1116" s="5"/>
    </row>
    <row r="1117">
      <c r="A1117" s="2" t="str">
        <f>IFERROR(__xludf.DUMMYFUNCTION("""COMPUTED_VALUE"""),"1420")</f>
        <v>1420</v>
      </c>
      <c r="B1117" s="2" t="str">
        <f>IFERROR(__xludf.DUMMYFUNCTION("""COMPUTED_VALUE"""),"JEFFERSON COUNTY R-1")</f>
        <v>JEFFERSON COUNTY R-1</v>
      </c>
      <c r="C1117" s="2" t="str">
        <f>IFERROR(__xludf.DUMMYFUNCTION("""COMPUTED_VALUE"""),"04404")</f>
        <v>04404</v>
      </c>
      <c r="D1117" s="2" t="str">
        <f>IFERROR(__xludf.DUMMYFUNCTION("""COMPUTED_VALUE"""),"SUMMIT ACADEMY PART TIME")</f>
        <v>SUMMIT ACADEMY PART TIME</v>
      </c>
      <c r="E1117" s="3" t="str">
        <f>IFERROR(__xludf.DUMMYFUNCTION("""COMPUTED_VALUE"""),"Y")</f>
        <v>Y</v>
      </c>
      <c r="F1117" s="3" t="str">
        <f>IFERROR(__xludf.DUMMYFUNCTION("""COMPUTED_VALUE"""),"Y")</f>
        <v>Y</v>
      </c>
      <c r="G1117" s="3"/>
      <c r="H1117" s="3"/>
      <c r="I1117" s="3" t="str">
        <f>IFERROR(__xludf.DUMMYFUNCTION("""COMPUTED_VALUE""")," ")</f>
        <v> </v>
      </c>
      <c r="J1117" s="3" t="str">
        <f>IFERROR(__xludf.DUMMYFUNCTION("""COMPUTED_VALUE""")," ")</f>
        <v> </v>
      </c>
      <c r="K1117" s="3" t="str">
        <f>IFERROR(__xludf.DUMMYFUNCTION("""COMPUTED_VALUE"""),"Y")</f>
        <v>Y</v>
      </c>
      <c r="L1117" s="3" t="str">
        <f>IFERROR(__xludf.DUMMYFUNCTION("""COMPUTED_VALUE""")," ")</f>
        <v> </v>
      </c>
      <c r="M1117" s="3"/>
      <c r="N1117" s="5" t="str">
        <f>IFERROR(__xludf.DUMMYFUNCTION("""COMPUTED_VALUE""")," ")</f>
        <v> </v>
      </c>
      <c r="O1117" s="5"/>
    </row>
    <row r="1118">
      <c r="A1118" s="2" t="str">
        <f>IFERROR(__xludf.DUMMYFUNCTION("""COMPUTED_VALUE"""),"1420")</f>
        <v>1420</v>
      </c>
      <c r="B1118" s="2" t="str">
        <f>IFERROR(__xludf.DUMMYFUNCTION("""COMPUTED_VALUE"""),"JEFFERSON COUNTY R-1")</f>
        <v>JEFFERSON COUNTY R-1</v>
      </c>
      <c r="C1118" s="2" t="str">
        <f>IFERROR(__xludf.DUMMYFUNCTION("""COMPUTED_VALUE"""),"04410")</f>
        <v>04410</v>
      </c>
      <c r="D1118" s="2" t="str">
        <f>IFERROR(__xludf.DUMMYFUNCTION("""COMPUTED_VALUE"""),"JEFFERSON ACADEMY SECONDARY")</f>
        <v>JEFFERSON ACADEMY SECONDARY</v>
      </c>
      <c r="E1118" s="3" t="str">
        <f>IFERROR(__xludf.DUMMYFUNCTION("""COMPUTED_VALUE"""),"Y")</f>
        <v>Y</v>
      </c>
      <c r="F1118" s="3" t="str">
        <f>IFERROR(__xludf.DUMMYFUNCTION("""COMPUTED_VALUE"""),"Y")</f>
        <v>Y</v>
      </c>
      <c r="G1118" s="3"/>
      <c r="H1118" s="3"/>
      <c r="I1118" s="3" t="str">
        <f>IFERROR(__xludf.DUMMYFUNCTION("""COMPUTED_VALUE""")," ")</f>
        <v> </v>
      </c>
      <c r="J1118" s="3" t="str">
        <f>IFERROR(__xludf.DUMMYFUNCTION("""COMPUTED_VALUE""")," ")</f>
        <v> </v>
      </c>
      <c r="K1118" s="3" t="str">
        <f>IFERROR(__xludf.DUMMYFUNCTION("""COMPUTED_VALUE"""),"Y")</f>
        <v>Y</v>
      </c>
      <c r="L1118" s="3" t="str">
        <f>IFERROR(__xludf.DUMMYFUNCTION("""COMPUTED_VALUE""")," ")</f>
        <v> </v>
      </c>
      <c r="M1118" s="3"/>
      <c r="N1118" s="5" t="str">
        <f>IFERROR(__xludf.DUMMYFUNCTION("""COMPUTED_VALUE""")," ")</f>
        <v> </v>
      </c>
      <c r="O1118" s="5"/>
    </row>
    <row r="1119">
      <c r="A1119" s="2" t="str">
        <f>IFERROR(__xludf.DUMMYFUNCTION("""COMPUTED_VALUE"""),"1420")</f>
        <v>1420</v>
      </c>
      <c r="B1119" s="2" t="str">
        <f>IFERROR(__xludf.DUMMYFUNCTION("""COMPUTED_VALUE"""),"JEFFERSON COUNTY R-1")</f>
        <v>JEFFERSON COUNTY R-1</v>
      </c>
      <c r="C1119" s="2" t="str">
        <f>IFERROR(__xludf.DUMMYFUNCTION("""COMPUTED_VALUE"""),"04422")</f>
        <v>04422</v>
      </c>
      <c r="D1119" s="2" t="str">
        <f>IFERROR(__xludf.DUMMYFUNCTION("""COMPUTED_VALUE"""),"JEFFERSON HIGH SCHOOL")</f>
        <v>JEFFERSON HIGH SCHOOL</v>
      </c>
      <c r="E1119" s="3" t="str">
        <f>IFERROR(__xludf.DUMMYFUNCTION("""COMPUTED_VALUE"""),"Y")</f>
        <v>Y</v>
      </c>
      <c r="F1119" s="3" t="str">
        <f>IFERROR(__xludf.DUMMYFUNCTION("""COMPUTED_VALUE"""),"Y")</f>
        <v>Y</v>
      </c>
      <c r="G1119" s="3"/>
      <c r="H1119" s="3"/>
      <c r="I1119" s="3" t="str">
        <f>IFERROR(__xludf.DUMMYFUNCTION("""COMPUTED_VALUE""")," ")</f>
        <v> </v>
      </c>
      <c r="J1119" s="3" t="str">
        <f>IFERROR(__xludf.DUMMYFUNCTION("""COMPUTED_VALUE"""),"Y")</f>
        <v>Y</v>
      </c>
      <c r="K1119" s="3" t="str">
        <f>IFERROR(__xludf.DUMMYFUNCTION("""COMPUTED_VALUE"""),"Y")</f>
        <v>Y</v>
      </c>
      <c r="L1119" s="3" t="str">
        <f>IFERROR(__xludf.DUMMYFUNCTION("""COMPUTED_VALUE"""),"Group 11")</f>
        <v>Group 11</v>
      </c>
      <c r="M1119" s="3"/>
      <c r="N1119" s="5" t="str">
        <f>IFERROR(__xludf.DUMMYFUNCTION("""COMPUTED_VALUE""")," ")</f>
        <v> </v>
      </c>
      <c r="O1119" s="5"/>
    </row>
    <row r="1120">
      <c r="A1120" s="2" t="str">
        <f>IFERROR(__xludf.DUMMYFUNCTION("""COMPUTED_VALUE"""),"1420")</f>
        <v>1420</v>
      </c>
      <c r="B1120" s="2" t="str">
        <f>IFERROR(__xludf.DUMMYFUNCTION("""COMPUTED_VALUE"""),"JEFFERSON COUNTY R-1")</f>
        <v>JEFFERSON COUNTY R-1</v>
      </c>
      <c r="C1120" s="2" t="str">
        <f>IFERROR(__xludf.DUMMYFUNCTION("""COMPUTED_VALUE"""),"04548")</f>
        <v>04548</v>
      </c>
      <c r="D1120" s="2" t="str">
        <f>IFERROR(__xludf.DUMMYFUNCTION("""COMPUTED_VALUE"""),"KEN CARYL MIDDLE SCHOOL")</f>
        <v>KEN CARYL MIDDLE SCHOOL</v>
      </c>
      <c r="E1120" s="3" t="str">
        <f>IFERROR(__xludf.DUMMYFUNCTION("""COMPUTED_VALUE"""),"Y")</f>
        <v>Y</v>
      </c>
      <c r="F1120" s="3" t="str">
        <f>IFERROR(__xludf.DUMMYFUNCTION("""COMPUTED_VALUE"""),"Y")</f>
        <v>Y</v>
      </c>
      <c r="G1120" s="3"/>
      <c r="H1120" s="3"/>
      <c r="I1120" s="3" t="str">
        <f>IFERROR(__xludf.DUMMYFUNCTION("""COMPUTED_VALUE""")," ")</f>
        <v> </v>
      </c>
      <c r="J1120" s="3" t="str">
        <f>IFERROR(__xludf.DUMMYFUNCTION("""COMPUTED_VALUE""")," ")</f>
        <v> </v>
      </c>
      <c r="K1120" s="3" t="str">
        <f>IFERROR(__xludf.DUMMYFUNCTION("""COMPUTED_VALUE"""),"Y")</f>
        <v>Y</v>
      </c>
      <c r="L1120" s="3" t="str">
        <f>IFERROR(__xludf.DUMMYFUNCTION("""COMPUTED_VALUE"""),"Group 7")</f>
        <v>Group 7</v>
      </c>
      <c r="M1120" s="3"/>
      <c r="N1120" s="5" t="str">
        <f>IFERROR(__xludf.DUMMYFUNCTION("""COMPUTED_VALUE""")," ")</f>
        <v> </v>
      </c>
      <c r="O1120" s="5"/>
    </row>
    <row r="1121">
      <c r="A1121" s="2" t="str">
        <f>IFERROR(__xludf.DUMMYFUNCTION("""COMPUTED_VALUE"""),"1420")</f>
        <v>1420</v>
      </c>
      <c r="B1121" s="2" t="str">
        <f>IFERROR(__xludf.DUMMYFUNCTION("""COMPUTED_VALUE"""),"JEFFERSON COUNTY R-1")</f>
        <v>JEFFERSON COUNTY R-1</v>
      </c>
      <c r="C1121" s="2" t="str">
        <f>IFERROR(__xludf.DUMMYFUNCTION("""COMPUTED_VALUE"""),"04549")</f>
        <v>04549</v>
      </c>
      <c r="D1121" s="2" t="str">
        <f>IFERROR(__xludf.DUMMYFUNCTION("""COMPUTED_VALUE"""),"KENDALLVUE ELEMENTARY SCHOOL")</f>
        <v>KENDALLVUE ELEMENTARY SCHOOL</v>
      </c>
      <c r="E1121" s="3" t="str">
        <f>IFERROR(__xludf.DUMMYFUNCTION("""COMPUTED_VALUE"""),"Y")</f>
        <v>Y</v>
      </c>
      <c r="F1121" s="3" t="str">
        <f>IFERROR(__xludf.DUMMYFUNCTION("""COMPUTED_VALUE"""),"Y")</f>
        <v>Y</v>
      </c>
      <c r="G1121" s="3"/>
      <c r="H1121" s="3"/>
      <c r="I1121" s="3" t="str">
        <f>IFERROR(__xludf.DUMMYFUNCTION("""COMPUTED_VALUE""")," ")</f>
        <v> </v>
      </c>
      <c r="J1121" s="3" t="str">
        <f>IFERROR(__xludf.DUMMYFUNCTION("""COMPUTED_VALUE""")," ")</f>
        <v> </v>
      </c>
      <c r="K1121" s="3" t="str">
        <f>IFERROR(__xludf.DUMMYFUNCTION("""COMPUTED_VALUE"""),"Y")</f>
        <v>Y</v>
      </c>
      <c r="L1121" s="3" t="str">
        <f>IFERROR(__xludf.DUMMYFUNCTION("""COMPUTED_VALUE"""),"Group 9")</f>
        <v>Group 9</v>
      </c>
      <c r="M1121" s="3"/>
      <c r="N1121" s="5" t="str">
        <f>IFERROR(__xludf.DUMMYFUNCTION("""COMPUTED_VALUE""")," ")</f>
        <v> </v>
      </c>
      <c r="O1121" s="5"/>
    </row>
    <row r="1122">
      <c r="A1122" s="2" t="str">
        <f>IFERROR(__xludf.DUMMYFUNCTION("""COMPUTED_VALUE"""),"1420")</f>
        <v>1420</v>
      </c>
      <c r="B1122" s="2" t="str">
        <f>IFERROR(__xludf.DUMMYFUNCTION("""COMPUTED_VALUE"""),"JEFFERSON COUNTY R-1")</f>
        <v>JEFFERSON COUNTY R-1</v>
      </c>
      <c r="C1122" s="2" t="str">
        <f>IFERROR(__xludf.DUMMYFUNCTION("""COMPUTED_VALUE"""),"04550")</f>
        <v>04550</v>
      </c>
      <c r="D1122" s="2" t="str">
        <f>IFERROR(__xludf.DUMMYFUNCTION("""COMPUTED_VALUE"""),"KENDRICK LAKES ELEMENTARY SCHOOL")</f>
        <v>KENDRICK LAKES ELEMENTARY SCHOOL</v>
      </c>
      <c r="E1122" s="3" t="str">
        <f>IFERROR(__xludf.DUMMYFUNCTION("""COMPUTED_VALUE"""),"Y")</f>
        <v>Y</v>
      </c>
      <c r="F1122" s="3" t="str">
        <f>IFERROR(__xludf.DUMMYFUNCTION("""COMPUTED_VALUE"""),"Y")</f>
        <v>Y</v>
      </c>
      <c r="G1122" s="3"/>
      <c r="H1122" s="3"/>
      <c r="I1122" s="3" t="str">
        <f>IFERROR(__xludf.DUMMYFUNCTION("""COMPUTED_VALUE""")," ")</f>
        <v> </v>
      </c>
      <c r="J1122" s="3" t="str">
        <f>IFERROR(__xludf.DUMMYFUNCTION("""COMPUTED_VALUE""")," ")</f>
        <v> </v>
      </c>
      <c r="K1122" s="3" t="str">
        <f>IFERROR(__xludf.DUMMYFUNCTION("""COMPUTED_VALUE"""),"Y")</f>
        <v>Y</v>
      </c>
      <c r="L1122" s="3" t="str">
        <f>IFERROR(__xludf.DUMMYFUNCTION("""COMPUTED_VALUE"""),"Group 4")</f>
        <v>Group 4</v>
      </c>
      <c r="M1122" s="3"/>
      <c r="N1122" s="5" t="str">
        <f>IFERROR(__xludf.DUMMYFUNCTION("""COMPUTED_VALUE""")," ")</f>
        <v> </v>
      </c>
      <c r="O1122" s="5"/>
    </row>
    <row r="1123">
      <c r="A1123" s="2" t="str">
        <f>IFERROR(__xludf.DUMMYFUNCTION("""COMPUTED_VALUE"""),"1420")</f>
        <v>1420</v>
      </c>
      <c r="B1123" s="2" t="str">
        <f>IFERROR(__xludf.DUMMYFUNCTION("""COMPUTED_VALUE"""),"JEFFERSON COUNTY R-1")</f>
        <v>JEFFERSON COUNTY R-1</v>
      </c>
      <c r="C1123" s="2" t="str">
        <f>IFERROR(__xludf.DUMMYFUNCTION("""COMPUTED_VALUE"""),"04798")</f>
        <v>04798</v>
      </c>
      <c r="D1123" s="2" t="str">
        <f>IFERROR(__xludf.DUMMYFUNCTION("""COMPUTED_VALUE"""),"CONNECTIONS LEARNING CENTER ON THE EARLE JOHNSON CAMPUS")</f>
        <v>CONNECTIONS LEARNING CENTER ON THE EARLE JOHNSON CAMPUS</v>
      </c>
      <c r="E1123" s="3" t="str">
        <f>IFERROR(__xludf.DUMMYFUNCTION("""COMPUTED_VALUE"""),"Y")</f>
        <v>Y</v>
      </c>
      <c r="F1123" s="3" t="str">
        <f>IFERROR(__xludf.DUMMYFUNCTION("""COMPUTED_VALUE"""),"Y")</f>
        <v>Y</v>
      </c>
      <c r="G1123" s="3"/>
      <c r="H1123" s="3"/>
      <c r="I1123" s="3" t="str">
        <f>IFERROR(__xludf.DUMMYFUNCTION("""COMPUTED_VALUE""")," ")</f>
        <v> </v>
      </c>
      <c r="J1123" s="3" t="str">
        <f>IFERROR(__xludf.DUMMYFUNCTION("""COMPUTED_VALUE"""),"Y")</f>
        <v>Y</v>
      </c>
      <c r="K1123" s="3" t="str">
        <f>IFERROR(__xludf.DUMMYFUNCTION("""COMPUTED_VALUE"""),"Y")</f>
        <v>Y</v>
      </c>
      <c r="L1123" s="3" t="str">
        <f>IFERROR(__xludf.DUMMYFUNCTION("""COMPUTED_VALUE"""),"Group 23")</f>
        <v>Group 23</v>
      </c>
      <c r="M1123" s="3"/>
      <c r="N1123" s="5" t="str">
        <f>IFERROR(__xludf.DUMMYFUNCTION("""COMPUTED_VALUE""")," ")</f>
        <v> </v>
      </c>
      <c r="O1123" s="5"/>
    </row>
    <row r="1124">
      <c r="A1124" s="2" t="str">
        <f>IFERROR(__xludf.DUMMYFUNCTION("""COMPUTED_VALUE"""),"1420")</f>
        <v>1420</v>
      </c>
      <c r="B1124" s="2" t="str">
        <f>IFERROR(__xludf.DUMMYFUNCTION("""COMPUTED_VALUE"""),"JEFFERSON COUNTY R-1")</f>
        <v>JEFFERSON COUNTY R-1</v>
      </c>
      <c r="C1124" s="2" t="str">
        <f>IFERROR(__xludf.DUMMYFUNCTION("""COMPUTED_VALUE"""),"04830")</f>
        <v>04830</v>
      </c>
      <c r="D1124" s="2" t="str">
        <f>IFERROR(__xludf.DUMMYFUNCTION("""COMPUTED_VALUE"""),"KYFFIN ELEMENTARY SCHOOL")</f>
        <v>KYFFIN ELEMENTARY SCHOOL</v>
      </c>
      <c r="E1124" s="3" t="str">
        <f>IFERROR(__xludf.DUMMYFUNCTION("""COMPUTED_VALUE"""),"Y")</f>
        <v>Y</v>
      </c>
      <c r="F1124" s="3" t="str">
        <f>IFERROR(__xludf.DUMMYFUNCTION("""COMPUTED_VALUE"""),"Y")</f>
        <v>Y</v>
      </c>
      <c r="G1124" s="3"/>
      <c r="H1124" s="3"/>
      <c r="I1124" s="3" t="str">
        <f>IFERROR(__xludf.DUMMYFUNCTION("""COMPUTED_VALUE""")," ")</f>
        <v> </v>
      </c>
      <c r="J1124" s="3" t="str">
        <f>IFERROR(__xludf.DUMMYFUNCTION("""COMPUTED_VALUE""")," ")</f>
        <v> </v>
      </c>
      <c r="K1124" s="3" t="str">
        <f>IFERROR(__xludf.DUMMYFUNCTION("""COMPUTED_VALUE"""),"Y")</f>
        <v>Y</v>
      </c>
      <c r="L1124" s="3" t="str">
        <f>IFERROR(__xludf.DUMMYFUNCTION("""COMPUTED_VALUE""")," ")</f>
        <v> </v>
      </c>
      <c r="M1124" s="3"/>
      <c r="N1124" s="5" t="str">
        <f>IFERROR(__xludf.DUMMYFUNCTION("""COMPUTED_VALUE""")," ")</f>
        <v> </v>
      </c>
      <c r="O1124" s="5"/>
    </row>
    <row r="1125">
      <c r="A1125" s="2" t="str">
        <f>IFERROR(__xludf.DUMMYFUNCTION("""COMPUTED_VALUE"""),"1420")</f>
        <v>1420</v>
      </c>
      <c r="B1125" s="2" t="str">
        <f>IFERROR(__xludf.DUMMYFUNCTION("""COMPUTED_VALUE"""),"JEFFERSON COUNTY R-1")</f>
        <v>JEFFERSON COUNTY R-1</v>
      </c>
      <c r="C1125" s="2" t="str">
        <f>IFERROR(__xludf.DUMMYFUNCTION("""COMPUTED_VALUE"""),"04942")</f>
        <v>04942</v>
      </c>
      <c r="D1125" s="2" t="str">
        <f>IFERROR(__xludf.DUMMYFUNCTION("""COMPUTED_VALUE"""),"LAKEWOOD HIGH SCHOOL")</f>
        <v>LAKEWOOD HIGH SCHOOL</v>
      </c>
      <c r="E1125" s="3" t="str">
        <f>IFERROR(__xludf.DUMMYFUNCTION("""COMPUTED_VALUE"""),"Y")</f>
        <v>Y</v>
      </c>
      <c r="F1125" s="3" t="str">
        <f>IFERROR(__xludf.DUMMYFUNCTION("""COMPUTED_VALUE"""),"Y")</f>
        <v>Y</v>
      </c>
      <c r="G1125" s="3"/>
      <c r="H1125" s="3"/>
      <c r="I1125" s="3" t="str">
        <f>IFERROR(__xludf.DUMMYFUNCTION("""COMPUTED_VALUE""")," ")</f>
        <v> </v>
      </c>
      <c r="J1125" s="3" t="str">
        <f>IFERROR(__xludf.DUMMYFUNCTION("""COMPUTED_VALUE""")," ")</f>
        <v> </v>
      </c>
      <c r="K1125" s="3" t="str">
        <f>IFERROR(__xludf.DUMMYFUNCTION("""COMPUTED_VALUE"""),"Y")</f>
        <v>Y</v>
      </c>
      <c r="L1125" s="3" t="str">
        <f>IFERROR(__xludf.DUMMYFUNCTION("""COMPUTED_VALUE"""),"Group 1")</f>
        <v>Group 1</v>
      </c>
      <c r="M1125" s="3"/>
      <c r="N1125" s="5" t="str">
        <f>IFERROR(__xludf.DUMMYFUNCTION("""COMPUTED_VALUE"""),"Y")</f>
        <v>Y</v>
      </c>
      <c r="O1125" s="5"/>
    </row>
    <row r="1126">
      <c r="A1126" s="2" t="str">
        <f>IFERROR(__xludf.DUMMYFUNCTION("""COMPUTED_VALUE"""),"1420")</f>
        <v>1420</v>
      </c>
      <c r="B1126" s="2" t="str">
        <f>IFERROR(__xludf.DUMMYFUNCTION("""COMPUTED_VALUE"""),"JEFFERSON COUNTY R-1")</f>
        <v>JEFFERSON COUNTY R-1</v>
      </c>
      <c r="C1126" s="2" t="str">
        <f>IFERROR(__xludf.DUMMYFUNCTION("""COMPUTED_VALUE"""),"05004")</f>
        <v>05004</v>
      </c>
      <c r="D1126" s="2" t="str">
        <f>IFERROR(__xludf.DUMMYFUNCTION("""COMPUTED_VALUE"""),"LASLEY ELEMENTARY SCHOOL")</f>
        <v>LASLEY ELEMENTARY SCHOOL</v>
      </c>
      <c r="E1126" s="3" t="str">
        <f>IFERROR(__xludf.DUMMYFUNCTION("""COMPUTED_VALUE"""),"Y")</f>
        <v>Y</v>
      </c>
      <c r="F1126" s="3" t="str">
        <f>IFERROR(__xludf.DUMMYFUNCTION("""COMPUTED_VALUE"""),"Y")</f>
        <v>Y</v>
      </c>
      <c r="G1126" s="3"/>
      <c r="H1126" s="3"/>
      <c r="I1126" s="3" t="str">
        <f>IFERROR(__xludf.DUMMYFUNCTION("""COMPUTED_VALUE"""),"Y")</f>
        <v>Y</v>
      </c>
      <c r="J1126" s="3" t="str">
        <f>IFERROR(__xludf.DUMMYFUNCTION("""COMPUTED_VALUE"""),"Y")</f>
        <v>Y</v>
      </c>
      <c r="K1126" s="3" t="str">
        <f>IFERROR(__xludf.DUMMYFUNCTION("""COMPUTED_VALUE"""),"Y")</f>
        <v>Y</v>
      </c>
      <c r="L1126" s="3" t="str">
        <f>IFERROR(__xludf.DUMMYFUNCTION("""COMPUTED_VALUE"""),"Group 3")</f>
        <v>Group 3</v>
      </c>
      <c r="M1126" s="3"/>
      <c r="N1126" s="5" t="str">
        <f>IFERROR(__xludf.DUMMYFUNCTION("""COMPUTED_VALUE""")," ")</f>
        <v> </v>
      </c>
      <c r="O1126" s="5"/>
    </row>
    <row r="1127">
      <c r="A1127" s="2" t="str">
        <f>IFERROR(__xludf.DUMMYFUNCTION("""COMPUTED_VALUE"""),"1420")</f>
        <v>1420</v>
      </c>
      <c r="B1127" s="2" t="str">
        <f>IFERROR(__xludf.DUMMYFUNCTION("""COMPUTED_VALUE"""),"JEFFERSON COUNTY R-1")</f>
        <v>JEFFERSON COUNTY R-1</v>
      </c>
      <c r="C1127" s="2" t="str">
        <f>IFERROR(__xludf.DUMMYFUNCTION("""COMPUTED_VALUE"""),"05024")</f>
        <v>05024</v>
      </c>
      <c r="D1127" s="2" t="str">
        <f>IFERROR(__xludf.DUMMYFUNCTION("""COMPUTED_VALUE"""),"LAWRENCE ELEMENTARY SCHOOL")</f>
        <v>LAWRENCE ELEMENTARY SCHOOL</v>
      </c>
      <c r="E1127" s="3" t="str">
        <f>IFERROR(__xludf.DUMMYFUNCTION("""COMPUTED_VALUE"""),"Y")</f>
        <v>Y</v>
      </c>
      <c r="F1127" s="3" t="str">
        <f>IFERROR(__xludf.DUMMYFUNCTION("""COMPUTED_VALUE"""),"Y")</f>
        <v>Y</v>
      </c>
      <c r="G1127" s="3"/>
      <c r="H1127" s="3"/>
      <c r="I1127" s="3" t="str">
        <f>IFERROR(__xludf.DUMMYFUNCTION("""COMPUTED_VALUE""")," ")</f>
        <v> </v>
      </c>
      <c r="J1127" s="3" t="str">
        <f>IFERROR(__xludf.DUMMYFUNCTION("""COMPUTED_VALUE""")," ")</f>
        <v> </v>
      </c>
      <c r="K1127" s="3" t="str">
        <f>IFERROR(__xludf.DUMMYFUNCTION("""COMPUTED_VALUE"""),"Y")</f>
        <v>Y</v>
      </c>
      <c r="L1127" s="3" t="str">
        <f>IFERROR(__xludf.DUMMYFUNCTION("""COMPUTED_VALUE"""),"Group 20")</f>
        <v>Group 20</v>
      </c>
      <c r="M1127" s="3"/>
      <c r="N1127" s="5" t="str">
        <f>IFERROR(__xludf.DUMMYFUNCTION("""COMPUTED_VALUE""")," ")</f>
        <v> </v>
      </c>
      <c r="O1127" s="5"/>
    </row>
    <row r="1128">
      <c r="A1128" s="2" t="str">
        <f>IFERROR(__xludf.DUMMYFUNCTION("""COMPUTED_VALUE"""),"1420")</f>
        <v>1420</v>
      </c>
      <c r="B1128" s="2" t="str">
        <f>IFERROR(__xludf.DUMMYFUNCTION("""COMPUTED_VALUE"""),"JEFFERSON COUNTY R-1")</f>
        <v>JEFFERSON COUNTY R-1</v>
      </c>
      <c r="C1128" s="2" t="str">
        <f>IFERROR(__xludf.DUMMYFUNCTION("""COMPUTED_VALUE"""),"05036")</f>
        <v>05036</v>
      </c>
      <c r="D1128" s="2" t="str">
        <f>IFERROR(__xludf.DUMMYFUNCTION("""COMPUTED_VALUE"""),"LEAWOOD ELEMENTARY SCHOOL")</f>
        <v>LEAWOOD ELEMENTARY SCHOOL</v>
      </c>
      <c r="E1128" s="3" t="str">
        <f>IFERROR(__xludf.DUMMYFUNCTION("""COMPUTED_VALUE"""),"Y")</f>
        <v>Y</v>
      </c>
      <c r="F1128" s="3" t="str">
        <f>IFERROR(__xludf.DUMMYFUNCTION("""COMPUTED_VALUE"""),"Y")</f>
        <v>Y</v>
      </c>
      <c r="G1128" s="3"/>
      <c r="H1128" s="3"/>
      <c r="I1128" s="3" t="str">
        <f>IFERROR(__xludf.DUMMYFUNCTION("""COMPUTED_VALUE""")," ")</f>
        <v> </v>
      </c>
      <c r="J1128" s="3" t="str">
        <f>IFERROR(__xludf.DUMMYFUNCTION("""COMPUTED_VALUE""")," ")</f>
        <v> </v>
      </c>
      <c r="K1128" s="3" t="str">
        <f>IFERROR(__xludf.DUMMYFUNCTION("""COMPUTED_VALUE"""),"Y")</f>
        <v>Y</v>
      </c>
      <c r="L1128" s="3" t="str">
        <f>IFERROR(__xludf.DUMMYFUNCTION("""COMPUTED_VALUE""")," ")</f>
        <v> </v>
      </c>
      <c r="M1128" s="3"/>
      <c r="N1128" s="5" t="str">
        <f>IFERROR(__xludf.DUMMYFUNCTION("""COMPUTED_VALUE""")," ")</f>
        <v> </v>
      </c>
      <c r="O1128" s="5"/>
    </row>
    <row r="1129">
      <c r="A1129" s="2" t="str">
        <f>IFERROR(__xludf.DUMMYFUNCTION("""COMPUTED_VALUE"""),"1420")</f>
        <v>1420</v>
      </c>
      <c r="B1129" s="2" t="str">
        <f>IFERROR(__xludf.DUMMYFUNCTION("""COMPUTED_VALUE"""),"JEFFERSON COUNTY R-1")</f>
        <v>JEFFERSON COUNTY R-1</v>
      </c>
      <c r="C1129" s="2" t="str">
        <f>IFERROR(__xludf.DUMMYFUNCTION("""COMPUTED_VALUE"""),"05145")</f>
        <v>05145</v>
      </c>
      <c r="D1129" s="2" t="str">
        <f>IFERROR(__xludf.DUMMYFUNCTION("""COMPUTED_VALUE"""),"LINCOLN CHARTER ACADEMY")</f>
        <v>LINCOLN CHARTER ACADEMY</v>
      </c>
      <c r="E1129" s="3" t="str">
        <f>IFERROR(__xludf.DUMMYFUNCTION("""COMPUTED_VALUE"""),"Y")</f>
        <v>Y</v>
      </c>
      <c r="F1129" s="3" t="str">
        <f>IFERROR(__xludf.DUMMYFUNCTION("""COMPUTED_VALUE"""),"Y")</f>
        <v>Y</v>
      </c>
      <c r="G1129" s="3"/>
      <c r="H1129" s="3"/>
      <c r="I1129" s="3" t="str">
        <f>IFERROR(__xludf.DUMMYFUNCTION("""COMPUTED_VALUE""")," ")</f>
        <v> </v>
      </c>
      <c r="J1129" s="3" t="str">
        <f>IFERROR(__xludf.DUMMYFUNCTION("""COMPUTED_VALUE""")," ")</f>
        <v> </v>
      </c>
      <c r="K1129" s="3" t="str">
        <f>IFERROR(__xludf.DUMMYFUNCTION("""COMPUTED_VALUE"""),"Y")</f>
        <v>Y</v>
      </c>
      <c r="L1129" s="3" t="str">
        <f>IFERROR(__xludf.DUMMYFUNCTION("""COMPUTED_VALUE"""),"Group 1")</f>
        <v>Group 1</v>
      </c>
      <c r="M1129" s="3"/>
      <c r="N1129" s="5" t="str">
        <f>IFERROR(__xludf.DUMMYFUNCTION("""COMPUTED_VALUE""")," ")</f>
        <v> </v>
      </c>
      <c r="O1129" s="5"/>
    </row>
    <row r="1130">
      <c r="A1130" s="2" t="str">
        <f>IFERROR(__xludf.DUMMYFUNCTION("""COMPUTED_VALUE"""),"1420")</f>
        <v>1420</v>
      </c>
      <c r="B1130" s="2" t="str">
        <f>IFERROR(__xludf.DUMMYFUNCTION("""COMPUTED_VALUE"""),"JEFFERSON COUNTY R-1")</f>
        <v>JEFFERSON COUNTY R-1</v>
      </c>
      <c r="C1130" s="2" t="str">
        <f>IFERROR(__xludf.DUMMYFUNCTION("""COMPUTED_VALUE"""),"05222")</f>
        <v>05222</v>
      </c>
      <c r="D1130" s="2" t="str">
        <f>IFERROR(__xludf.DUMMYFUNCTION("""COMPUTED_VALUE"""),"LITTLE ELEMENTARY SCHOOL")</f>
        <v>LITTLE ELEMENTARY SCHOOL</v>
      </c>
      <c r="E1130" s="3" t="str">
        <f>IFERROR(__xludf.DUMMYFUNCTION("""COMPUTED_VALUE"""),"Y")</f>
        <v>Y</v>
      </c>
      <c r="F1130" s="3" t="str">
        <f>IFERROR(__xludf.DUMMYFUNCTION("""COMPUTED_VALUE"""),"Y")</f>
        <v>Y</v>
      </c>
      <c r="G1130" s="3" t="str">
        <f>IFERROR(__xludf.DUMMYFUNCTION("""COMPUTED_VALUE"""),"Y")</f>
        <v>Y</v>
      </c>
      <c r="H1130" s="3"/>
      <c r="I1130" s="3" t="str">
        <f>IFERROR(__xludf.DUMMYFUNCTION("""COMPUTED_VALUE"""),"Y")</f>
        <v>Y</v>
      </c>
      <c r="J1130" s="3" t="str">
        <f>IFERROR(__xludf.DUMMYFUNCTION("""COMPUTED_VALUE""")," ")</f>
        <v> </v>
      </c>
      <c r="K1130" s="3" t="str">
        <f>IFERROR(__xludf.DUMMYFUNCTION("""COMPUTED_VALUE"""),"Y")</f>
        <v>Y</v>
      </c>
      <c r="L1130" s="3" t="str">
        <f>IFERROR(__xludf.DUMMYFUNCTION("""COMPUTED_VALUE"""),"Group 22")</f>
        <v>Group 22</v>
      </c>
      <c r="M1130" s="3"/>
      <c r="N1130" s="5" t="str">
        <f>IFERROR(__xludf.DUMMYFUNCTION("""COMPUTED_VALUE""")," ")</f>
        <v> </v>
      </c>
      <c r="O1130" s="5"/>
    </row>
    <row r="1131">
      <c r="A1131" s="2" t="str">
        <f>IFERROR(__xludf.DUMMYFUNCTION("""COMPUTED_VALUE"""),"1420")</f>
        <v>1420</v>
      </c>
      <c r="B1131" s="2" t="str">
        <f>IFERROR(__xludf.DUMMYFUNCTION("""COMPUTED_VALUE"""),"JEFFERSON COUNTY R-1")</f>
        <v>JEFFERSON COUNTY R-1</v>
      </c>
      <c r="C1131" s="2" t="str">
        <f>IFERROR(__xludf.DUMMYFUNCTION("""COMPUTED_VALUE"""),"05350")</f>
        <v>05350</v>
      </c>
      <c r="D1131" s="2" t="str">
        <f>IFERROR(__xludf.DUMMYFUNCTION("""COMPUTED_VALUE"""),"LUKAS ELEMENTARY SCHOOL")</f>
        <v>LUKAS ELEMENTARY SCHOOL</v>
      </c>
      <c r="E1131" s="3" t="str">
        <f>IFERROR(__xludf.DUMMYFUNCTION("""COMPUTED_VALUE"""),"Y")</f>
        <v>Y</v>
      </c>
      <c r="F1131" s="3" t="str">
        <f>IFERROR(__xludf.DUMMYFUNCTION("""COMPUTED_VALUE"""),"Y")</f>
        <v>Y</v>
      </c>
      <c r="G1131" s="3"/>
      <c r="H1131" s="3"/>
      <c r="I1131" s="3" t="str">
        <f>IFERROR(__xludf.DUMMYFUNCTION("""COMPUTED_VALUE""")," ")</f>
        <v> </v>
      </c>
      <c r="J1131" s="3" t="str">
        <f>IFERROR(__xludf.DUMMYFUNCTION("""COMPUTED_VALUE""")," ")</f>
        <v> </v>
      </c>
      <c r="K1131" s="3" t="str">
        <f>IFERROR(__xludf.DUMMYFUNCTION("""COMPUTED_VALUE"""),"Y")</f>
        <v>Y</v>
      </c>
      <c r="L1131" s="3" t="str">
        <f>IFERROR(__xludf.DUMMYFUNCTION("""COMPUTED_VALUE"""),"Group 9")</f>
        <v>Group 9</v>
      </c>
      <c r="M1131" s="3"/>
      <c r="N1131" s="5" t="str">
        <f>IFERROR(__xludf.DUMMYFUNCTION("""COMPUTED_VALUE""")," ")</f>
        <v> </v>
      </c>
      <c r="O1131" s="5"/>
    </row>
    <row r="1132">
      <c r="A1132" s="2" t="str">
        <f>IFERROR(__xludf.DUMMYFUNCTION("""COMPUTED_VALUE"""),"1420")</f>
        <v>1420</v>
      </c>
      <c r="B1132" s="2" t="str">
        <f>IFERROR(__xludf.DUMMYFUNCTION("""COMPUTED_VALUE"""),"JEFFERSON COUNTY R-1")</f>
        <v>JEFFERSON COUNTY R-1</v>
      </c>
      <c r="C1132" s="2" t="str">
        <f>IFERROR(__xludf.DUMMYFUNCTION("""COMPUTED_VALUE"""),"05354")</f>
        <v>05354</v>
      </c>
      <c r="D1132" s="2" t="str">
        <f>IFERROR(__xludf.DUMMYFUNCTION("""COMPUTED_VALUE"""),"LUMBERG ELEMENTARY SCHOOL")</f>
        <v>LUMBERG ELEMENTARY SCHOOL</v>
      </c>
      <c r="E1132" s="3" t="str">
        <f>IFERROR(__xludf.DUMMYFUNCTION("""COMPUTED_VALUE"""),"Y")</f>
        <v>Y</v>
      </c>
      <c r="F1132" s="3" t="str">
        <f>IFERROR(__xludf.DUMMYFUNCTION("""COMPUTED_VALUE"""),"Y")</f>
        <v>Y</v>
      </c>
      <c r="G1132" s="3"/>
      <c r="H1132" s="3"/>
      <c r="I1132" s="3" t="str">
        <f>IFERROR(__xludf.DUMMYFUNCTION("""COMPUTED_VALUE""")," ")</f>
        <v> </v>
      </c>
      <c r="J1132" s="3" t="str">
        <f>IFERROR(__xludf.DUMMYFUNCTION("""COMPUTED_VALUE"""),"Y")</f>
        <v>Y</v>
      </c>
      <c r="K1132" s="3" t="str">
        <f>IFERROR(__xludf.DUMMYFUNCTION("""COMPUTED_VALUE"""),"Y")</f>
        <v>Y</v>
      </c>
      <c r="L1132" s="3" t="str">
        <f>IFERROR(__xludf.DUMMYFUNCTION("""COMPUTED_VALUE"""),"Group 23")</f>
        <v>Group 23</v>
      </c>
      <c r="M1132" s="3"/>
      <c r="N1132" s="5" t="str">
        <f>IFERROR(__xludf.DUMMYFUNCTION("""COMPUTED_VALUE""")," ")</f>
        <v> </v>
      </c>
      <c r="O1132" s="5"/>
    </row>
    <row r="1133">
      <c r="A1133" s="2" t="str">
        <f>IFERROR(__xludf.DUMMYFUNCTION("""COMPUTED_VALUE"""),"1420")</f>
        <v>1420</v>
      </c>
      <c r="B1133" s="2" t="str">
        <f>IFERROR(__xludf.DUMMYFUNCTION("""COMPUTED_VALUE"""),"JEFFERSON COUNTY R-1")</f>
        <v>JEFFERSON COUNTY R-1</v>
      </c>
      <c r="C1133" s="2" t="str">
        <f>IFERROR(__xludf.DUMMYFUNCTION("""COMPUTED_VALUE"""),"05415")</f>
        <v>05415</v>
      </c>
      <c r="D1133" s="2" t="str">
        <f>IFERROR(__xludf.DUMMYFUNCTION("""COMPUTED_VALUE"""),"ROCKY MOUNTAIN DEAF SCHOOL")</f>
        <v>ROCKY MOUNTAIN DEAF SCHOOL</v>
      </c>
      <c r="E1133" s="3" t="str">
        <f>IFERROR(__xludf.DUMMYFUNCTION("""COMPUTED_VALUE"""),"Y")</f>
        <v>Y</v>
      </c>
      <c r="F1133" s="3" t="str">
        <f>IFERROR(__xludf.DUMMYFUNCTION("""COMPUTED_VALUE"""),"Y")</f>
        <v>Y</v>
      </c>
      <c r="G1133" s="3"/>
      <c r="H1133" s="3"/>
      <c r="I1133" s="3" t="str">
        <f>IFERROR(__xludf.DUMMYFUNCTION("""COMPUTED_VALUE""")," ")</f>
        <v> </v>
      </c>
      <c r="J1133" s="3" t="str">
        <f>IFERROR(__xludf.DUMMYFUNCTION("""COMPUTED_VALUE""")," ")</f>
        <v> </v>
      </c>
      <c r="K1133" s="3" t="str">
        <f>IFERROR(__xludf.DUMMYFUNCTION("""COMPUTED_VALUE"""),"Y")</f>
        <v>Y</v>
      </c>
      <c r="L1133" s="3" t="str">
        <f>IFERROR(__xludf.DUMMYFUNCTION("""COMPUTED_VALUE"""),"Group 4")</f>
        <v>Group 4</v>
      </c>
      <c r="M1133" s="3"/>
      <c r="N1133" s="5" t="str">
        <f>IFERROR(__xludf.DUMMYFUNCTION("""COMPUTED_VALUE""")," ")</f>
        <v> </v>
      </c>
      <c r="O1133" s="5"/>
    </row>
    <row r="1134">
      <c r="A1134" s="2" t="str">
        <f>IFERROR(__xludf.DUMMYFUNCTION("""COMPUTED_VALUE"""),"1420")</f>
        <v>1420</v>
      </c>
      <c r="B1134" s="2" t="str">
        <f>IFERROR(__xludf.DUMMYFUNCTION("""COMPUTED_VALUE"""),"JEFFERSON COUNTY R-1")</f>
        <v>JEFFERSON COUNTY R-1</v>
      </c>
      <c r="C1134" s="2" t="str">
        <f>IFERROR(__xludf.DUMMYFUNCTION("""COMPUTED_VALUE"""),"05454")</f>
        <v>05454</v>
      </c>
      <c r="D1134" s="2" t="str">
        <f>IFERROR(__xludf.DUMMYFUNCTION("""COMPUTED_VALUE"""),"MANDALAY MIDDLE SCHOOL")</f>
        <v>MANDALAY MIDDLE SCHOOL</v>
      </c>
      <c r="E1134" s="3" t="str">
        <f>IFERROR(__xludf.DUMMYFUNCTION("""COMPUTED_VALUE"""),"Y")</f>
        <v>Y</v>
      </c>
      <c r="F1134" s="3" t="str">
        <f>IFERROR(__xludf.DUMMYFUNCTION("""COMPUTED_VALUE"""),"Y")</f>
        <v>Y</v>
      </c>
      <c r="G1134" s="3"/>
      <c r="H1134" s="3"/>
      <c r="I1134" s="3" t="str">
        <f>IFERROR(__xludf.DUMMYFUNCTION("""COMPUTED_VALUE""")," ")</f>
        <v> </v>
      </c>
      <c r="J1134" s="3" t="str">
        <f>IFERROR(__xludf.DUMMYFUNCTION("""COMPUTED_VALUE""")," ")</f>
        <v> </v>
      </c>
      <c r="K1134" s="3" t="str">
        <f>IFERROR(__xludf.DUMMYFUNCTION("""COMPUTED_VALUE"""),"Y")</f>
        <v>Y</v>
      </c>
      <c r="L1134" s="3" t="str">
        <f>IFERROR(__xludf.DUMMYFUNCTION("""COMPUTED_VALUE"""),"Group 16")</f>
        <v>Group 16</v>
      </c>
      <c r="M1134" s="3"/>
      <c r="N1134" s="5" t="str">
        <f>IFERROR(__xludf.DUMMYFUNCTION("""COMPUTED_VALUE""")," ")</f>
        <v> </v>
      </c>
      <c r="O1134" s="5"/>
    </row>
    <row r="1135">
      <c r="A1135" s="2" t="str">
        <f>IFERROR(__xludf.DUMMYFUNCTION("""COMPUTED_VALUE"""),"1420")</f>
        <v>1420</v>
      </c>
      <c r="B1135" s="2" t="str">
        <f>IFERROR(__xludf.DUMMYFUNCTION("""COMPUTED_VALUE"""),"JEFFERSON COUNTY R-1")</f>
        <v>JEFFERSON COUNTY R-1</v>
      </c>
      <c r="C1135" s="2" t="str">
        <f>IFERROR(__xludf.DUMMYFUNCTION("""COMPUTED_VALUE"""),"05472")</f>
        <v>05472</v>
      </c>
      <c r="D1135" s="2" t="str">
        <f>IFERROR(__xludf.DUMMYFUNCTION("""COMPUTED_VALUE"""),"MANNING OPTIONS SCHOOL")</f>
        <v>MANNING OPTIONS SCHOOL</v>
      </c>
      <c r="E1135" s="3" t="str">
        <f>IFERROR(__xludf.DUMMYFUNCTION("""COMPUTED_VALUE"""),"Y")</f>
        <v>Y</v>
      </c>
      <c r="F1135" s="3" t="str">
        <f>IFERROR(__xludf.DUMMYFUNCTION("""COMPUTED_VALUE"""),"Y")</f>
        <v>Y</v>
      </c>
      <c r="G1135" s="3"/>
      <c r="H1135" s="3"/>
      <c r="I1135" s="3" t="str">
        <f>IFERROR(__xludf.DUMMYFUNCTION("""COMPUTED_VALUE""")," ")</f>
        <v> </v>
      </c>
      <c r="J1135" s="3" t="str">
        <f>IFERROR(__xludf.DUMMYFUNCTION("""COMPUTED_VALUE""")," ")</f>
        <v> </v>
      </c>
      <c r="K1135" s="3" t="str">
        <f>IFERROR(__xludf.DUMMYFUNCTION("""COMPUTED_VALUE"""),"Y")</f>
        <v>Y</v>
      </c>
      <c r="L1135" s="3" t="str">
        <f>IFERROR(__xludf.DUMMYFUNCTION("""COMPUTED_VALUE""")," ")</f>
        <v> </v>
      </c>
      <c r="M1135" s="3"/>
      <c r="N1135" s="5" t="str">
        <f>IFERROR(__xludf.DUMMYFUNCTION("""COMPUTED_VALUE""")," ")</f>
        <v> </v>
      </c>
      <c r="O1135" s="5"/>
    </row>
    <row r="1136">
      <c r="A1136" s="2" t="str">
        <f>IFERROR(__xludf.DUMMYFUNCTION("""COMPUTED_VALUE"""),"1420")</f>
        <v>1420</v>
      </c>
      <c r="B1136" s="2" t="str">
        <f>IFERROR(__xludf.DUMMYFUNCTION("""COMPUTED_VALUE"""),"JEFFERSON COUNTY R-1")</f>
        <v>JEFFERSON COUNTY R-1</v>
      </c>
      <c r="C1136" s="2" t="str">
        <f>IFERROR(__xludf.DUMMYFUNCTION("""COMPUTED_VALUE"""),"05524")</f>
        <v>05524</v>
      </c>
      <c r="D1136" s="2" t="str">
        <f>IFERROR(__xludf.DUMMYFUNCTION("""COMPUTED_VALUE"""),"MAPLE GROVE ELEMENTARY SCHOOL")</f>
        <v>MAPLE GROVE ELEMENTARY SCHOOL</v>
      </c>
      <c r="E1136" s="3" t="str">
        <f>IFERROR(__xludf.DUMMYFUNCTION("""COMPUTED_VALUE"""),"Y")</f>
        <v>Y</v>
      </c>
      <c r="F1136" s="3" t="str">
        <f>IFERROR(__xludf.DUMMYFUNCTION("""COMPUTED_VALUE"""),"Y")</f>
        <v>Y</v>
      </c>
      <c r="G1136" s="3"/>
      <c r="H1136" s="3"/>
      <c r="I1136" s="3" t="str">
        <f>IFERROR(__xludf.DUMMYFUNCTION("""COMPUTED_VALUE""")," ")</f>
        <v> </v>
      </c>
      <c r="J1136" s="3" t="str">
        <f>IFERROR(__xludf.DUMMYFUNCTION("""COMPUTED_VALUE""")," ")</f>
        <v> </v>
      </c>
      <c r="K1136" s="3" t="str">
        <f>IFERROR(__xludf.DUMMYFUNCTION("""COMPUTED_VALUE"""),"Y")</f>
        <v>Y</v>
      </c>
      <c r="L1136" s="3" t="str">
        <f>IFERROR(__xludf.DUMMYFUNCTION("""COMPUTED_VALUE""")," ")</f>
        <v> </v>
      </c>
      <c r="M1136" s="3"/>
      <c r="N1136" s="5" t="str">
        <f>IFERROR(__xludf.DUMMYFUNCTION("""COMPUTED_VALUE""")," ")</f>
        <v> </v>
      </c>
      <c r="O1136" s="5"/>
    </row>
    <row r="1137">
      <c r="A1137" s="2" t="str">
        <f>IFERROR(__xludf.DUMMYFUNCTION("""COMPUTED_VALUE"""),"1420")</f>
        <v>1420</v>
      </c>
      <c r="B1137" s="2" t="str">
        <f>IFERROR(__xludf.DUMMYFUNCTION("""COMPUTED_VALUE"""),"JEFFERSON COUNTY R-1")</f>
        <v>JEFFERSON COUNTY R-1</v>
      </c>
      <c r="C1137" s="2" t="str">
        <f>IFERROR(__xludf.DUMMYFUNCTION("""COMPUTED_VALUE"""),"05580")</f>
        <v>05580</v>
      </c>
      <c r="D1137" s="2" t="str">
        <f>IFERROR(__xludf.DUMMYFUNCTION("""COMPUTED_VALUE"""),"MARSHDALE ELEMENTARY SCHOOL")</f>
        <v>MARSHDALE ELEMENTARY SCHOOL</v>
      </c>
      <c r="E1137" s="3" t="str">
        <f>IFERROR(__xludf.DUMMYFUNCTION("""COMPUTED_VALUE"""),"Y")</f>
        <v>Y</v>
      </c>
      <c r="F1137" s="3" t="str">
        <f>IFERROR(__xludf.DUMMYFUNCTION("""COMPUTED_VALUE"""),"Y")</f>
        <v>Y</v>
      </c>
      <c r="G1137" s="3"/>
      <c r="H1137" s="3"/>
      <c r="I1137" s="3" t="str">
        <f>IFERROR(__xludf.DUMMYFUNCTION("""COMPUTED_VALUE""")," ")</f>
        <v> </v>
      </c>
      <c r="J1137" s="3" t="str">
        <f>IFERROR(__xludf.DUMMYFUNCTION("""COMPUTED_VALUE""")," ")</f>
        <v> </v>
      </c>
      <c r="K1137" s="3" t="str">
        <f>IFERROR(__xludf.DUMMYFUNCTION("""COMPUTED_VALUE"""),"Y")</f>
        <v>Y</v>
      </c>
      <c r="L1137" s="3" t="str">
        <f>IFERROR(__xludf.DUMMYFUNCTION("""COMPUTED_VALUE"""),"Group 14")</f>
        <v>Group 14</v>
      </c>
      <c r="M1137" s="3"/>
      <c r="N1137" s="5" t="str">
        <f>IFERROR(__xludf.DUMMYFUNCTION("""COMPUTED_VALUE""")," ")</f>
        <v> </v>
      </c>
      <c r="O1137" s="5"/>
    </row>
    <row r="1138">
      <c r="A1138" s="2" t="str">
        <f>IFERROR(__xludf.DUMMYFUNCTION("""COMPUTED_VALUE"""),"1420")</f>
        <v>1420</v>
      </c>
      <c r="B1138" s="2" t="str">
        <f>IFERROR(__xludf.DUMMYFUNCTION("""COMPUTED_VALUE"""),"JEFFERSON COUNTY R-1")</f>
        <v>JEFFERSON COUNTY R-1</v>
      </c>
      <c r="C1138" s="2" t="str">
        <f>IFERROR(__xludf.DUMMYFUNCTION("""COMPUTED_VALUE"""),"05623")</f>
        <v>05623</v>
      </c>
      <c r="D1138" s="2" t="str">
        <f>IFERROR(__xludf.DUMMYFUNCTION("""COMPUTED_VALUE"""),"LONGVIEW HIGH SCHOOL")</f>
        <v>LONGVIEW HIGH SCHOOL</v>
      </c>
      <c r="E1138" s="3" t="str">
        <f>IFERROR(__xludf.DUMMYFUNCTION("""COMPUTED_VALUE"""),"Y")</f>
        <v>Y</v>
      </c>
      <c r="F1138" s="3" t="str">
        <f>IFERROR(__xludf.DUMMYFUNCTION("""COMPUTED_VALUE"""),"Y")</f>
        <v>Y</v>
      </c>
      <c r="G1138" s="3"/>
      <c r="H1138" s="3"/>
      <c r="I1138" s="3" t="str">
        <f>IFERROR(__xludf.DUMMYFUNCTION("""COMPUTED_VALUE""")," ")</f>
        <v> </v>
      </c>
      <c r="J1138" s="3" t="str">
        <f>IFERROR(__xludf.DUMMYFUNCTION("""COMPUTED_VALUE"""),"Y")</f>
        <v>Y</v>
      </c>
      <c r="K1138" s="3" t="str">
        <f>IFERROR(__xludf.DUMMYFUNCTION("""COMPUTED_VALUE"""),"Y")</f>
        <v>Y</v>
      </c>
      <c r="L1138" s="3" t="str">
        <f>IFERROR(__xludf.DUMMYFUNCTION("""COMPUTED_VALUE"""),"Group 8")</f>
        <v>Group 8</v>
      </c>
      <c r="M1138" s="3"/>
      <c r="N1138" s="5" t="str">
        <f>IFERROR(__xludf.DUMMYFUNCTION("""COMPUTED_VALUE""")," ")</f>
        <v> </v>
      </c>
      <c r="O1138" s="5"/>
    </row>
    <row r="1139">
      <c r="A1139" s="2" t="str">
        <f>IFERROR(__xludf.DUMMYFUNCTION("""COMPUTED_VALUE"""),"1420")</f>
        <v>1420</v>
      </c>
      <c r="B1139" s="2" t="str">
        <f>IFERROR(__xludf.DUMMYFUNCTION("""COMPUTED_VALUE"""),"JEFFERSON COUNTY R-1")</f>
        <v>JEFFERSON COUNTY R-1</v>
      </c>
      <c r="C1139" s="2" t="str">
        <f>IFERROR(__xludf.DUMMYFUNCTION("""COMPUTED_VALUE"""),"05758")</f>
        <v>05758</v>
      </c>
      <c r="D1139" s="2" t="str">
        <f>IFERROR(__xludf.DUMMYFUNCTION("""COMPUTED_VALUE"""),"MEIKLEJOHN ELEMENTARY")</f>
        <v>MEIKLEJOHN ELEMENTARY</v>
      </c>
      <c r="E1139" s="3" t="str">
        <f>IFERROR(__xludf.DUMMYFUNCTION("""COMPUTED_VALUE"""),"Y")</f>
        <v>Y</v>
      </c>
      <c r="F1139" s="3" t="str">
        <f>IFERROR(__xludf.DUMMYFUNCTION("""COMPUTED_VALUE"""),"Y")</f>
        <v>Y</v>
      </c>
      <c r="G1139" s="3"/>
      <c r="H1139" s="3"/>
      <c r="I1139" s="3" t="str">
        <f>IFERROR(__xludf.DUMMYFUNCTION("""COMPUTED_VALUE""")," ")</f>
        <v> </v>
      </c>
      <c r="J1139" s="3" t="str">
        <f>IFERROR(__xludf.DUMMYFUNCTION("""COMPUTED_VALUE""")," ")</f>
        <v> </v>
      </c>
      <c r="K1139" s="3" t="str">
        <f>IFERROR(__xludf.DUMMYFUNCTION("""COMPUTED_VALUE"""),"Y")</f>
        <v>Y</v>
      </c>
      <c r="L1139" s="3" t="str">
        <f>IFERROR(__xludf.DUMMYFUNCTION("""COMPUTED_VALUE""")," ")</f>
        <v> </v>
      </c>
      <c r="M1139" s="3"/>
      <c r="N1139" s="5" t="str">
        <f>IFERROR(__xludf.DUMMYFUNCTION("""COMPUTED_VALUE""")," ")</f>
        <v> </v>
      </c>
      <c r="O1139" s="5"/>
    </row>
    <row r="1140">
      <c r="A1140" s="2" t="str">
        <f>IFERROR(__xludf.DUMMYFUNCTION("""COMPUTED_VALUE"""),"1420")</f>
        <v>1420</v>
      </c>
      <c r="B1140" s="2" t="str">
        <f>IFERROR(__xludf.DUMMYFUNCTION("""COMPUTED_VALUE"""),"JEFFERSON COUNTY R-1")</f>
        <v>JEFFERSON COUNTY R-1</v>
      </c>
      <c r="C1140" s="2" t="str">
        <f>IFERROR(__xludf.DUMMYFUNCTION("""COMPUTED_VALUE"""),"05892")</f>
        <v>05892</v>
      </c>
      <c r="D1140" s="2" t="str">
        <f>IFERROR(__xludf.DUMMYFUNCTION("""COMPUTED_VALUE"""),"MILLER SPECIAL EDUCATION")</f>
        <v>MILLER SPECIAL EDUCATION</v>
      </c>
      <c r="E1140" s="3" t="str">
        <f>IFERROR(__xludf.DUMMYFUNCTION("""COMPUTED_VALUE"""),"Y")</f>
        <v>Y</v>
      </c>
      <c r="F1140" s="3" t="str">
        <f>IFERROR(__xludf.DUMMYFUNCTION("""COMPUTED_VALUE"""),"Y")</f>
        <v>Y</v>
      </c>
      <c r="G1140" s="3"/>
      <c r="H1140" s="3"/>
      <c r="I1140" s="3" t="str">
        <f>IFERROR(__xludf.DUMMYFUNCTION("""COMPUTED_VALUE""")," ")</f>
        <v> </v>
      </c>
      <c r="J1140" s="3" t="str">
        <f>IFERROR(__xludf.DUMMYFUNCTION("""COMPUTED_VALUE""")," ")</f>
        <v> </v>
      </c>
      <c r="K1140" s="3" t="str">
        <f>IFERROR(__xludf.DUMMYFUNCTION("""COMPUTED_VALUE"""),"Y")</f>
        <v>Y</v>
      </c>
      <c r="L1140" s="3" t="str">
        <f>IFERROR(__xludf.DUMMYFUNCTION("""COMPUTED_VALUE""")," ")</f>
        <v> </v>
      </c>
      <c r="M1140" s="3"/>
      <c r="N1140" s="5" t="str">
        <f>IFERROR(__xludf.DUMMYFUNCTION("""COMPUTED_VALUE""")," ")</f>
        <v> </v>
      </c>
      <c r="O1140" s="5"/>
    </row>
    <row r="1141">
      <c r="A1141" s="2" t="str">
        <f>IFERROR(__xludf.DUMMYFUNCTION("""COMPUTED_VALUE"""),"1420")</f>
        <v>1420</v>
      </c>
      <c r="B1141" s="2" t="str">
        <f>IFERROR(__xludf.DUMMYFUNCTION("""COMPUTED_VALUE"""),"JEFFERSON COUNTY R-1")</f>
        <v>JEFFERSON COUNTY R-1</v>
      </c>
      <c r="C1141" s="2" t="str">
        <f>IFERROR(__xludf.DUMMYFUNCTION("""COMPUTED_VALUE"""),"05944")</f>
        <v>05944</v>
      </c>
      <c r="D1141" s="2" t="str">
        <f>IFERROR(__xludf.DUMMYFUNCTION("""COMPUTED_VALUE"""),"MITCHELL ELEMENTARY SCHOOL")</f>
        <v>MITCHELL ELEMENTARY SCHOOL</v>
      </c>
      <c r="E1141" s="3" t="str">
        <f>IFERROR(__xludf.DUMMYFUNCTION("""COMPUTED_VALUE"""),"Y")</f>
        <v>Y</v>
      </c>
      <c r="F1141" s="3" t="str">
        <f>IFERROR(__xludf.DUMMYFUNCTION("""COMPUTED_VALUE"""),"Y")</f>
        <v>Y</v>
      </c>
      <c r="G1141" s="3"/>
      <c r="H1141" s="3"/>
      <c r="I1141" s="3" t="str">
        <f>IFERROR(__xludf.DUMMYFUNCTION("""COMPUTED_VALUE""")," ")</f>
        <v> </v>
      </c>
      <c r="J1141" s="3" t="str">
        <f>IFERROR(__xludf.DUMMYFUNCTION("""COMPUTED_VALUE""")," ")</f>
        <v> </v>
      </c>
      <c r="K1141" s="3" t="str">
        <f>IFERROR(__xludf.DUMMYFUNCTION("""COMPUTED_VALUE"""),"Y")</f>
        <v>Y</v>
      </c>
      <c r="L1141" s="3" t="str">
        <f>IFERROR(__xludf.DUMMYFUNCTION("""COMPUTED_VALUE"""),"Group 9")</f>
        <v>Group 9</v>
      </c>
      <c r="M1141" s="3"/>
      <c r="N1141" s="5" t="str">
        <f>IFERROR(__xludf.DUMMYFUNCTION("""COMPUTED_VALUE""")," ")</f>
        <v> </v>
      </c>
      <c r="O1141" s="5"/>
    </row>
    <row r="1142">
      <c r="A1142" s="2" t="str">
        <f>IFERROR(__xludf.DUMMYFUNCTION("""COMPUTED_VALUE"""),"1420")</f>
        <v>1420</v>
      </c>
      <c r="B1142" s="2" t="str">
        <f>IFERROR(__xludf.DUMMYFUNCTION("""COMPUTED_VALUE"""),"JEFFERSON COUNTY R-1")</f>
        <v>JEFFERSON COUNTY R-1</v>
      </c>
      <c r="C1142" s="2" t="str">
        <f>IFERROR(__xludf.DUMMYFUNCTION("""COMPUTED_VALUE"""),"06133")</f>
        <v>06133</v>
      </c>
      <c r="D1142" s="2" t="str">
        <f>IFERROR(__xludf.DUMMYFUNCTION("""COMPUTED_VALUE"""),"MORTENSEN ELEMENTARY SCHOOL")</f>
        <v>MORTENSEN ELEMENTARY SCHOOL</v>
      </c>
      <c r="E1142" s="3" t="str">
        <f>IFERROR(__xludf.DUMMYFUNCTION("""COMPUTED_VALUE"""),"Y")</f>
        <v>Y</v>
      </c>
      <c r="F1142" s="3" t="str">
        <f>IFERROR(__xludf.DUMMYFUNCTION("""COMPUTED_VALUE"""),"Y")</f>
        <v>Y</v>
      </c>
      <c r="G1142" s="3"/>
      <c r="H1142" s="3"/>
      <c r="I1142" s="3" t="str">
        <f>IFERROR(__xludf.DUMMYFUNCTION("""COMPUTED_VALUE""")," ")</f>
        <v> </v>
      </c>
      <c r="J1142" s="3" t="str">
        <f>IFERROR(__xludf.DUMMYFUNCTION("""COMPUTED_VALUE""")," ")</f>
        <v> </v>
      </c>
      <c r="K1142" s="3" t="str">
        <f>IFERROR(__xludf.DUMMYFUNCTION("""COMPUTED_VALUE"""),"Y")</f>
        <v>Y</v>
      </c>
      <c r="L1142" s="3" t="str">
        <f>IFERROR(__xludf.DUMMYFUNCTION("""COMPUTED_VALUE"""),"Group 9")</f>
        <v>Group 9</v>
      </c>
      <c r="M1142" s="3"/>
      <c r="N1142" s="5" t="str">
        <f>IFERROR(__xludf.DUMMYFUNCTION("""COMPUTED_VALUE""")," ")</f>
        <v> </v>
      </c>
      <c r="O1142" s="5"/>
    </row>
    <row r="1143">
      <c r="A1143" s="2" t="str">
        <f>IFERROR(__xludf.DUMMYFUNCTION("""COMPUTED_VALUE"""),"1420")</f>
        <v>1420</v>
      </c>
      <c r="B1143" s="2" t="str">
        <f>IFERROR(__xludf.DUMMYFUNCTION("""COMPUTED_VALUE"""),"JEFFERSON COUNTY R-1")</f>
        <v>JEFFERSON COUNTY R-1</v>
      </c>
      <c r="C1143" s="2" t="str">
        <f>IFERROR(__xludf.DUMMYFUNCTION("""COMPUTED_VALUE"""),"06135")</f>
        <v>06135</v>
      </c>
      <c r="D1143" s="2" t="str">
        <f>IFERROR(__xludf.DUMMYFUNCTION("""COMPUTED_VALUE"""),"MOUNT CARBON ELEMENTARY SCHOOL")</f>
        <v>MOUNT CARBON ELEMENTARY SCHOOL</v>
      </c>
      <c r="E1143" s="3" t="str">
        <f>IFERROR(__xludf.DUMMYFUNCTION("""COMPUTED_VALUE"""),"Y")</f>
        <v>Y</v>
      </c>
      <c r="F1143" s="3" t="str">
        <f>IFERROR(__xludf.DUMMYFUNCTION("""COMPUTED_VALUE"""),"Y")</f>
        <v>Y</v>
      </c>
      <c r="G1143" s="3"/>
      <c r="H1143" s="3"/>
      <c r="I1143" s="3" t="str">
        <f>IFERROR(__xludf.DUMMYFUNCTION("""COMPUTED_VALUE""")," ")</f>
        <v> </v>
      </c>
      <c r="J1143" s="3" t="str">
        <f>IFERROR(__xludf.DUMMYFUNCTION("""COMPUTED_VALUE""")," ")</f>
        <v> </v>
      </c>
      <c r="K1143" s="3" t="str">
        <f>IFERROR(__xludf.DUMMYFUNCTION("""COMPUTED_VALUE"""),"Y")</f>
        <v>Y</v>
      </c>
      <c r="L1143" s="3" t="str">
        <f>IFERROR(__xludf.DUMMYFUNCTION("""COMPUTED_VALUE"""),"Group 1")</f>
        <v>Group 1</v>
      </c>
      <c r="M1143" s="3"/>
      <c r="N1143" s="5" t="str">
        <f>IFERROR(__xludf.DUMMYFUNCTION("""COMPUTED_VALUE""")," ")</f>
        <v> </v>
      </c>
      <c r="O1143" s="5"/>
    </row>
    <row r="1144">
      <c r="A1144" s="2" t="str">
        <f>IFERROR(__xludf.DUMMYFUNCTION("""COMPUTED_VALUE"""),"1420")</f>
        <v>1420</v>
      </c>
      <c r="B1144" s="2" t="str">
        <f>IFERROR(__xludf.DUMMYFUNCTION("""COMPUTED_VALUE"""),"JEFFERSON COUNTY R-1")</f>
        <v>JEFFERSON COUNTY R-1</v>
      </c>
      <c r="C1144" s="2" t="str">
        <f>IFERROR(__xludf.DUMMYFUNCTION("""COMPUTED_VALUE"""),"06237")</f>
        <v>06237</v>
      </c>
      <c r="D1144" s="2" t="str">
        <f>IFERROR(__xludf.DUMMYFUNCTION("""COMPUTED_VALUE"""),"NEW AMERICA SCHOOL")</f>
        <v>NEW AMERICA SCHOOL</v>
      </c>
      <c r="E1144" s="3" t="str">
        <f>IFERROR(__xludf.DUMMYFUNCTION("""COMPUTED_VALUE"""),"Y")</f>
        <v>Y</v>
      </c>
      <c r="F1144" s="3" t="str">
        <f>IFERROR(__xludf.DUMMYFUNCTION("""COMPUTED_VALUE"""),"Y")</f>
        <v>Y</v>
      </c>
      <c r="G1144" s="3"/>
      <c r="H1144" s="3"/>
      <c r="I1144" s="3" t="str">
        <f>IFERROR(__xludf.DUMMYFUNCTION("""COMPUTED_VALUE""")," ")</f>
        <v> </v>
      </c>
      <c r="J1144" s="3" t="str">
        <f>IFERROR(__xludf.DUMMYFUNCTION("""COMPUTED_VALUE"""),"Y")</f>
        <v>Y</v>
      </c>
      <c r="K1144" s="3" t="str">
        <f>IFERROR(__xludf.DUMMYFUNCTION("""COMPUTED_VALUE"""),"Y")</f>
        <v>Y</v>
      </c>
      <c r="L1144" s="3" t="str">
        <f>IFERROR(__xludf.DUMMYFUNCTION("""COMPUTED_VALUE"""),"Group 1")</f>
        <v>Group 1</v>
      </c>
      <c r="M1144" s="3"/>
      <c r="N1144" s="5" t="str">
        <f>IFERROR(__xludf.DUMMYFUNCTION("""COMPUTED_VALUE""")," ")</f>
        <v> </v>
      </c>
      <c r="O1144" s="5"/>
    </row>
    <row r="1145">
      <c r="A1145" s="2" t="str">
        <f>IFERROR(__xludf.DUMMYFUNCTION("""COMPUTED_VALUE"""),"1420")</f>
        <v>1420</v>
      </c>
      <c r="B1145" s="2" t="str">
        <f>IFERROR(__xludf.DUMMYFUNCTION("""COMPUTED_VALUE"""),"JEFFERSON COUNTY R-1")</f>
        <v>JEFFERSON COUNTY R-1</v>
      </c>
      <c r="C1145" s="2" t="str">
        <f>IFERROR(__xludf.DUMMYFUNCTION("""COMPUTED_VALUE"""),"06285")</f>
        <v>06285</v>
      </c>
      <c r="D1145" s="2" t="str">
        <f>IFERROR(__xludf.DUMMYFUNCTION("""COMPUTED_VALUE"""),"Norma Anderson Early Learning Center")</f>
        <v>Norma Anderson Early Learning Center</v>
      </c>
      <c r="E1145" s="3" t="str">
        <f>IFERROR(__xludf.DUMMYFUNCTION("""COMPUTED_VALUE"""),"Y")</f>
        <v>Y</v>
      </c>
      <c r="F1145" s="3" t="str">
        <f>IFERROR(__xludf.DUMMYFUNCTION("""COMPUTED_VALUE"""),"Y")</f>
        <v>Y</v>
      </c>
      <c r="G1145" s="3"/>
      <c r="H1145" s="3"/>
      <c r="I1145" s="3" t="str">
        <f>IFERROR(__xludf.DUMMYFUNCTION("""COMPUTED_VALUE""")," ")</f>
        <v> </v>
      </c>
      <c r="J1145" s="3" t="str">
        <f>IFERROR(__xludf.DUMMYFUNCTION("""COMPUTED_VALUE""")," ")</f>
        <v> </v>
      </c>
      <c r="K1145" s="3" t="str">
        <f>IFERROR(__xludf.DUMMYFUNCTION("""COMPUTED_VALUE"""),"Y")</f>
        <v>Y</v>
      </c>
      <c r="L1145" s="3" t="str">
        <f>IFERROR(__xludf.DUMMYFUNCTION("""COMPUTED_VALUE"""),"Group 12")</f>
        <v>Group 12</v>
      </c>
      <c r="M1145" s="3"/>
      <c r="N1145" s="5" t="str">
        <f>IFERROR(__xludf.DUMMYFUNCTION("""COMPUTED_VALUE""")," ")</f>
        <v> </v>
      </c>
      <c r="O1145" s="5"/>
    </row>
    <row r="1146">
      <c r="A1146" s="2" t="str">
        <f>IFERROR(__xludf.DUMMYFUNCTION("""COMPUTED_VALUE"""),"1420")</f>
        <v>1420</v>
      </c>
      <c r="B1146" s="2" t="str">
        <f>IFERROR(__xludf.DUMMYFUNCTION("""COMPUTED_VALUE"""),"JEFFERSON COUNTY R-1")</f>
        <v>JEFFERSON COUNTY R-1</v>
      </c>
      <c r="C1146" s="2" t="str">
        <f>IFERROR(__xludf.DUMMYFUNCTION("""COMPUTED_VALUE"""),"06286")</f>
        <v>06286</v>
      </c>
      <c r="D1146" s="2" t="str">
        <f>IFERROR(__xludf.DUMMYFUNCTION("""COMPUTED_VALUE"""),"NORMANDY ELEMENTARY SCHOOL")</f>
        <v>NORMANDY ELEMENTARY SCHOOL</v>
      </c>
      <c r="E1146" s="3" t="str">
        <f>IFERROR(__xludf.DUMMYFUNCTION("""COMPUTED_VALUE"""),"Y")</f>
        <v>Y</v>
      </c>
      <c r="F1146" s="3" t="str">
        <f>IFERROR(__xludf.DUMMYFUNCTION("""COMPUTED_VALUE"""),"Y")</f>
        <v>Y</v>
      </c>
      <c r="G1146" s="3"/>
      <c r="H1146" s="3"/>
      <c r="I1146" s="3" t="str">
        <f>IFERROR(__xludf.DUMMYFUNCTION("""COMPUTED_VALUE""")," ")</f>
        <v> </v>
      </c>
      <c r="J1146" s="3" t="str">
        <f>IFERROR(__xludf.DUMMYFUNCTION("""COMPUTED_VALUE""")," ")</f>
        <v> </v>
      </c>
      <c r="K1146" s="3" t="str">
        <f>IFERROR(__xludf.DUMMYFUNCTION("""COMPUTED_VALUE"""),"Y")</f>
        <v>Y</v>
      </c>
      <c r="L1146" s="3" t="str">
        <f>IFERROR(__xludf.DUMMYFUNCTION("""COMPUTED_VALUE"""),"Group 9")</f>
        <v>Group 9</v>
      </c>
      <c r="M1146" s="3"/>
      <c r="N1146" s="5" t="str">
        <f>IFERROR(__xludf.DUMMYFUNCTION("""COMPUTED_VALUE""")," ")</f>
        <v> </v>
      </c>
      <c r="O1146" s="5"/>
    </row>
    <row r="1147">
      <c r="A1147" s="2" t="str">
        <f>IFERROR(__xludf.DUMMYFUNCTION("""COMPUTED_VALUE"""),"1420")</f>
        <v>1420</v>
      </c>
      <c r="B1147" s="2" t="str">
        <f>IFERROR(__xludf.DUMMYFUNCTION("""COMPUTED_VALUE"""),"JEFFERSON COUNTY R-1")</f>
        <v>JEFFERSON COUNTY R-1</v>
      </c>
      <c r="C1147" s="2" t="str">
        <f>IFERROR(__xludf.DUMMYFUNCTION("""COMPUTED_VALUE"""),"06330")</f>
        <v>06330</v>
      </c>
      <c r="D1147" s="2" t="str">
        <f>IFERROR(__xludf.DUMMYFUNCTION("""COMPUTED_VALUE"""),"NORTH ARVADA MIDDLE SCHOOL")</f>
        <v>NORTH ARVADA MIDDLE SCHOOL</v>
      </c>
      <c r="E1147" s="3" t="str">
        <f>IFERROR(__xludf.DUMMYFUNCTION("""COMPUTED_VALUE"""),"Y")</f>
        <v>Y</v>
      </c>
      <c r="F1147" s="3" t="str">
        <f>IFERROR(__xludf.DUMMYFUNCTION("""COMPUTED_VALUE"""),"Y")</f>
        <v>Y</v>
      </c>
      <c r="G1147" s="3" t="str">
        <f>IFERROR(__xludf.DUMMYFUNCTION("""COMPUTED_VALUE"""),"Y")</f>
        <v>Y</v>
      </c>
      <c r="H1147" s="3"/>
      <c r="I1147" s="3" t="str">
        <f>IFERROR(__xludf.DUMMYFUNCTION("""COMPUTED_VALUE""")," ")</f>
        <v> </v>
      </c>
      <c r="J1147" s="3" t="str">
        <f>IFERROR(__xludf.DUMMYFUNCTION("""COMPUTED_VALUE""")," ")</f>
        <v> </v>
      </c>
      <c r="K1147" s="3" t="str">
        <f>IFERROR(__xludf.DUMMYFUNCTION("""COMPUTED_VALUE"""),"Y")</f>
        <v>Y</v>
      </c>
      <c r="L1147" s="3" t="str">
        <f>IFERROR(__xludf.DUMMYFUNCTION("""COMPUTED_VALUE"""),"Group 19")</f>
        <v>Group 19</v>
      </c>
      <c r="M1147" s="3"/>
      <c r="N1147" s="5" t="str">
        <f>IFERROR(__xludf.DUMMYFUNCTION("""COMPUTED_VALUE""")," ")</f>
        <v> </v>
      </c>
      <c r="O1147" s="5"/>
    </row>
    <row r="1148">
      <c r="A1148" s="2" t="str">
        <f>IFERROR(__xludf.DUMMYFUNCTION("""COMPUTED_VALUE"""),"1420")</f>
        <v>1420</v>
      </c>
      <c r="B1148" s="2" t="str">
        <f>IFERROR(__xludf.DUMMYFUNCTION("""COMPUTED_VALUE"""),"JEFFERSON COUNTY R-1")</f>
        <v>JEFFERSON COUNTY R-1</v>
      </c>
      <c r="C1148" s="2" t="str">
        <f>IFERROR(__xludf.DUMMYFUNCTION("""COMPUTED_VALUE"""),"06470")</f>
        <v>06470</v>
      </c>
      <c r="D1148" s="2" t="str">
        <f>IFERROR(__xludf.DUMMYFUNCTION("""COMPUTED_VALUE"""),"OBERON JUNIOR HIGH SCHOOL")</f>
        <v>OBERON JUNIOR HIGH SCHOOL</v>
      </c>
      <c r="E1148" s="3" t="str">
        <f>IFERROR(__xludf.DUMMYFUNCTION("""COMPUTED_VALUE"""),"Y")</f>
        <v>Y</v>
      </c>
      <c r="F1148" s="3" t="str">
        <f>IFERROR(__xludf.DUMMYFUNCTION("""COMPUTED_VALUE"""),"Y")</f>
        <v>Y</v>
      </c>
      <c r="G1148" s="3"/>
      <c r="H1148" s="3"/>
      <c r="I1148" s="3" t="str">
        <f>IFERROR(__xludf.DUMMYFUNCTION("""COMPUTED_VALUE""")," ")</f>
        <v> </v>
      </c>
      <c r="J1148" s="3" t="str">
        <f>IFERROR(__xludf.DUMMYFUNCTION("""COMPUTED_VALUE""")," ")</f>
        <v> </v>
      </c>
      <c r="K1148" s="3" t="str">
        <f>IFERROR(__xludf.DUMMYFUNCTION("""COMPUTED_VALUE"""),"Y")</f>
        <v>Y</v>
      </c>
      <c r="L1148" s="3" t="str">
        <f>IFERROR(__xludf.DUMMYFUNCTION("""COMPUTED_VALUE"""),"Group 11")</f>
        <v>Group 11</v>
      </c>
      <c r="M1148" s="3"/>
      <c r="N1148" s="5" t="str">
        <f>IFERROR(__xludf.DUMMYFUNCTION("""COMPUTED_VALUE""")," ")</f>
        <v> </v>
      </c>
      <c r="O1148" s="5"/>
    </row>
    <row r="1149">
      <c r="A1149" s="2" t="str">
        <f>IFERROR(__xludf.DUMMYFUNCTION("""COMPUTED_VALUE"""),"1420")</f>
        <v>1420</v>
      </c>
      <c r="B1149" s="2" t="str">
        <f>IFERROR(__xludf.DUMMYFUNCTION("""COMPUTED_VALUE"""),"JEFFERSON COUNTY R-1")</f>
        <v>JEFFERSON COUNTY R-1</v>
      </c>
      <c r="C1149" s="2" t="str">
        <f>IFERROR(__xludf.DUMMYFUNCTION("""COMPUTED_VALUE"""),"06539")</f>
        <v>06539</v>
      </c>
      <c r="D1149" s="2" t="str">
        <f>IFERROR(__xludf.DUMMYFUNCTION("""COMPUTED_VALUE"""),"JEFFERSON COUNTY OPEN ELEMENTARY SCHOOL")</f>
        <v>JEFFERSON COUNTY OPEN ELEMENTARY SCHOOL</v>
      </c>
      <c r="E1149" s="3" t="str">
        <f>IFERROR(__xludf.DUMMYFUNCTION("""COMPUTED_VALUE"""),"Y")</f>
        <v>Y</v>
      </c>
      <c r="F1149" s="3" t="str">
        <f>IFERROR(__xludf.DUMMYFUNCTION("""COMPUTED_VALUE"""),"Y")</f>
        <v>Y</v>
      </c>
      <c r="G1149" s="3"/>
      <c r="H1149" s="3"/>
      <c r="I1149" s="3" t="str">
        <f>IFERROR(__xludf.DUMMYFUNCTION("""COMPUTED_VALUE""")," ")</f>
        <v> </v>
      </c>
      <c r="J1149" s="3" t="str">
        <f>IFERROR(__xludf.DUMMYFUNCTION("""COMPUTED_VALUE""")," ")</f>
        <v> </v>
      </c>
      <c r="K1149" s="3" t="str">
        <f>IFERROR(__xludf.DUMMYFUNCTION("""COMPUTED_VALUE"""),"Y")</f>
        <v>Y</v>
      </c>
      <c r="L1149" s="3" t="str">
        <f>IFERROR(__xludf.DUMMYFUNCTION("""COMPUTED_VALUE"""),"Group 12")</f>
        <v>Group 12</v>
      </c>
      <c r="M1149" s="3"/>
      <c r="N1149" s="5" t="str">
        <f>IFERROR(__xludf.DUMMYFUNCTION("""COMPUTED_VALUE""")," ")</f>
        <v> </v>
      </c>
      <c r="O1149" s="5"/>
    </row>
    <row r="1150">
      <c r="A1150" s="2" t="str">
        <f>IFERROR(__xludf.DUMMYFUNCTION("""COMPUTED_VALUE"""),"1420")</f>
        <v>1420</v>
      </c>
      <c r="B1150" s="2" t="str">
        <f>IFERROR(__xludf.DUMMYFUNCTION("""COMPUTED_VALUE"""),"JEFFERSON COUNTY R-1")</f>
        <v>JEFFERSON COUNTY R-1</v>
      </c>
      <c r="C1150" s="2" t="str">
        <f>IFERROR(__xludf.DUMMYFUNCTION("""COMPUTED_VALUE"""),"06804")</f>
        <v>06804</v>
      </c>
      <c r="D1150" s="2" t="str">
        <f>IFERROR(__xludf.DUMMYFUNCTION("""COMPUTED_VALUE"""),"PARMALEE ELEMENTARY SCHOOL")</f>
        <v>PARMALEE ELEMENTARY SCHOOL</v>
      </c>
      <c r="E1150" s="3" t="str">
        <f>IFERROR(__xludf.DUMMYFUNCTION("""COMPUTED_VALUE"""),"Y")</f>
        <v>Y</v>
      </c>
      <c r="F1150" s="3" t="str">
        <f>IFERROR(__xludf.DUMMYFUNCTION("""COMPUTED_VALUE"""),"Y")</f>
        <v>Y</v>
      </c>
      <c r="G1150" s="3"/>
      <c r="H1150" s="3"/>
      <c r="I1150" s="3" t="str">
        <f>IFERROR(__xludf.DUMMYFUNCTION("""COMPUTED_VALUE""")," ")</f>
        <v> </v>
      </c>
      <c r="J1150" s="3" t="str">
        <f>IFERROR(__xludf.DUMMYFUNCTION("""COMPUTED_VALUE""")," ")</f>
        <v> </v>
      </c>
      <c r="K1150" s="3" t="str">
        <f>IFERROR(__xludf.DUMMYFUNCTION("""COMPUTED_VALUE"""),"Y")</f>
        <v>Y</v>
      </c>
      <c r="L1150" s="3" t="str">
        <f>IFERROR(__xludf.DUMMYFUNCTION("""COMPUTED_VALUE"""),"Group 1")</f>
        <v>Group 1</v>
      </c>
      <c r="M1150" s="3"/>
      <c r="N1150" s="5" t="str">
        <f>IFERROR(__xludf.DUMMYFUNCTION("""COMPUTED_VALUE""")," ")</f>
        <v> </v>
      </c>
      <c r="O1150" s="5"/>
    </row>
    <row r="1151">
      <c r="A1151" s="2" t="str">
        <f>IFERROR(__xludf.DUMMYFUNCTION("""COMPUTED_VALUE"""),"1420")</f>
        <v>1420</v>
      </c>
      <c r="B1151" s="2" t="str">
        <f>IFERROR(__xludf.DUMMYFUNCTION("""COMPUTED_VALUE"""),"JEFFERSON COUNTY R-1")</f>
        <v>JEFFERSON COUNTY R-1</v>
      </c>
      <c r="C1151" s="2" t="str">
        <f>IFERROR(__xludf.DUMMYFUNCTION("""COMPUTED_VALUE"""),"06808")</f>
        <v>06808</v>
      </c>
      <c r="D1151" s="2" t="str">
        <f>IFERROR(__xludf.DUMMYFUNCTION("""COMPUTED_VALUE"""),"PATTERSON INTERNATIONAL SCHOOL")</f>
        <v>PATTERSON INTERNATIONAL SCHOOL</v>
      </c>
      <c r="E1151" s="3" t="str">
        <f>IFERROR(__xludf.DUMMYFUNCTION("""COMPUTED_VALUE"""),"Y")</f>
        <v>Y</v>
      </c>
      <c r="F1151" s="3" t="str">
        <f>IFERROR(__xludf.DUMMYFUNCTION("""COMPUTED_VALUE"""),"Y")</f>
        <v>Y</v>
      </c>
      <c r="G1151" s="3"/>
      <c r="H1151" s="3"/>
      <c r="I1151" s="3" t="str">
        <f>IFERROR(__xludf.DUMMYFUNCTION("""COMPUTED_VALUE""")," ")</f>
        <v> </v>
      </c>
      <c r="J1151" s="3" t="str">
        <f>IFERROR(__xludf.DUMMYFUNCTION("""COMPUTED_VALUE""")," ")</f>
        <v> </v>
      </c>
      <c r="K1151" s="3" t="str">
        <f>IFERROR(__xludf.DUMMYFUNCTION("""COMPUTED_VALUE"""),"Y")</f>
        <v>Y</v>
      </c>
      <c r="L1151" s="3" t="str">
        <f>IFERROR(__xludf.DUMMYFUNCTION("""COMPUTED_VALUE"""),"Group 17")</f>
        <v>Group 17</v>
      </c>
      <c r="M1151" s="3"/>
      <c r="N1151" s="5" t="str">
        <f>IFERROR(__xludf.DUMMYFUNCTION("""COMPUTED_VALUE""")," ")</f>
        <v> </v>
      </c>
      <c r="O1151" s="5"/>
    </row>
    <row r="1152">
      <c r="A1152" s="2" t="str">
        <f>IFERROR(__xludf.DUMMYFUNCTION("""COMPUTED_VALUE"""),"1420")</f>
        <v>1420</v>
      </c>
      <c r="B1152" s="2" t="str">
        <f>IFERROR(__xludf.DUMMYFUNCTION("""COMPUTED_VALUE"""),"JEFFERSON COUNTY R-1")</f>
        <v>JEFFERSON COUNTY R-1</v>
      </c>
      <c r="C1152" s="2" t="str">
        <f>IFERROR(__xludf.DUMMYFUNCTION("""COMPUTED_VALUE"""),"06848")</f>
        <v>06848</v>
      </c>
      <c r="D1152" s="2" t="str">
        <f>IFERROR(__xludf.DUMMYFUNCTION("""COMPUTED_VALUE"""),"PENNINGTON ELEMENTARY SCHOOL")</f>
        <v>PENNINGTON ELEMENTARY SCHOOL</v>
      </c>
      <c r="E1152" s="3" t="str">
        <f>IFERROR(__xludf.DUMMYFUNCTION("""COMPUTED_VALUE"""),"Y")</f>
        <v>Y</v>
      </c>
      <c r="F1152" s="3" t="str">
        <f>IFERROR(__xludf.DUMMYFUNCTION("""COMPUTED_VALUE"""),"Y")</f>
        <v>Y</v>
      </c>
      <c r="G1152" s="3"/>
      <c r="H1152" s="3"/>
      <c r="I1152" s="3" t="str">
        <f>IFERROR(__xludf.DUMMYFUNCTION("""COMPUTED_VALUE""")," ")</f>
        <v> </v>
      </c>
      <c r="J1152" s="3" t="str">
        <f>IFERROR(__xludf.DUMMYFUNCTION("""COMPUTED_VALUE""")," ")</f>
        <v> </v>
      </c>
      <c r="K1152" s="3" t="str">
        <f>IFERROR(__xludf.DUMMYFUNCTION("""COMPUTED_VALUE"""),"Y")</f>
        <v>Y</v>
      </c>
      <c r="L1152" s="3" t="str">
        <f>IFERROR(__xludf.DUMMYFUNCTION("""COMPUTED_VALUE"""),"Group 9")</f>
        <v>Group 9</v>
      </c>
      <c r="M1152" s="3"/>
      <c r="N1152" s="5" t="str">
        <f>IFERROR(__xludf.DUMMYFUNCTION("""COMPUTED_VALUE""")," ")</f>
        <v> </v>
      </c>
      <c r="O1152" s="5"/>
    </row>
    <row r="1153">
      <c r="A1153" s="2" t="str">
        <f>IFERROR(__xludf.DUMMYFUNCTION("""COMPUTED_VALUE"""),"1420")</f>
        <v>1420</v>
      </c>
      <c r="B1153" s="2" t="str">
        <f>IFERROR(__xludf.DUMMYFUNCTION("""COMPUTED_VALUE"""),"JEFFERSON COUNTY R-1")</f>
        <v>JEFFERSON COUNTY R-1</v>
      </c>
      <c r="C1153" s="2" t="str">
        <f>IFERROR(__xludf.DUMMYFUNCTION("""COMPUTED_VALUE"""),"07114")</f>
        <v>07114</v>
      </c>
      <c r="D1153" s="2" t="str">
        <f>IFERROR(__xludf.DUMMYFUNCTION("""COMPUTED_VALUE"""),"POMONA JUNIOR/SENIOR HIGH SCHOOL")</f>
        <v>POMONA JUNIOR/SENIOR HIGH SCHOOL</v>
      </c>
      <c r="E1153" s="3" t="str">
        <f>IFERROR(__xludf.DUMMYFUNCTION("""COMPUTED_VALUE"""),"Y")</f>
        <v>Y</v>
      </c>
      <c r="F1153" s="3" t="str">
        <f>IFERROR(__xludf.DUMMYFUNCTION("""COMPUTED_VALUE"""),"Y")</f>
        <v>Y</v>
      </c>
      <c r="G1153" s="3"/>
      <c r="H1153" s="3"/>
      <c r="I1153" s="3" t="str">
        <f>IFERROR(__xludf.DUMMYFUNCTION("""COMPUTED_VALUE""")," ")</f>
        <v> </v>
      </c>
      <c r="J1153" s="3" t="str">
        <f>IFERROR(__xludf.DUMMYFUNCTION("""COMPUTED_VALUE""")," ")</f>
        <v> </v>
      </c>
      <c r="K1153" s="3" t="str">
        <f>IFERROR(__xludf.DUMMYFUNCTION("""COMPUTED_VALUE"""),"Y")</f>
        <v>Y</v>
      </c>
      <c r="L1153" s="3" t="str">
        <f>IFERROR(__xludf.DUMMYFUNCTION("""COMPUTED_VALUE"""),"Group 13")</f>
        <v>Group 13</v>
      </c>
      <c r="M1153" s="3"/>
      <c r="N1153" s="5" t="str">
        <f>IFERROR(__xludf.DUMMYFUNCTION("""COMPUTED_VALUE""")," ")</f>
        <v> </v>
      </c>
      <c r="O1153" s="5"/>
    </row>
    <row r="1154">
      <c r="A1154" s="2" t="str">
        <f>IFERROR(__xludf.DUMMYFUNCTION("""COMPUTED_VALUE"""),"1420")</f>
        <v>1420</v>
      </c>
      <c r="B1154" s="2" t="str">
        <f>IFERROR(__xludf.DUMMYFUNCTION("""COMPUTED_VALUE"""),"JEFFERSON COUNTY R-1")</f>
        <v>JEFFERSON COUNTY R-1</v>
      </c>
      <c r="C1154" s="2" t="str">
        <f>IFERROR(__xludf.DUMMYFUNCTION("""COMPUTED_VALUE"""),"07128")</f>
        <v>07128</v>
      </c>
      <c r="D1154" s="2" t="str">
        <f>IFERROR(__xludf.DUMMYFUNCTION("""COMPUTED_VALUE"""),"POWDERHORN ELEMENTARY SCHOOL")</f>
        <v>POWDERHORN ELEMENTARY SCHOOL</v>
      </c>
      <c r="E1154" s="3" t="str">
        <f>IFERROR(__xludf.DUMMYFUNCTION("""COMPUTED_VALUE"""),"Y")</f>
        <v>Y</v>
      </c>
      <c r="F1154" s="3" t="str">
        <f>IFERROR(__xludf.DUMMYFUNCTION("""COMPUTED_VALUE"""),"Y")</f>
        <v>Y</v>
      </c>
      <c r="G1154" s="3"/>
      <c r="H1154" s="3"/>
      <c r="I1154" s="3" t="str">
        <f>IFERROR(__xludf.DUMMYFUNCTION("""COMPUTED_VALUE""")," ")</f>
        <v> </v>
      </c>
      <c r="J1154" s="3" t="str">
        <f>IFERROR(__xludf.DUMMYFUNCTION("""COMPUTED_VALUE""")," ")</f>
        <v> </v>
      </c>
      <c r="K1154" s="3" t="str">
        <f>IFERROR(__xludf.DUMMYFUNCTION("""COMPUTED_VALUE"""),"Y")</f>
        <v>Y</v>
      </c>
      <c r="L1154" s="3" t="str">
        <f>IFERROR(__xludf.DUMMYFUNCTION("""COMPUTED_VALUE"""),"Group 13")</f>
        <v>Group 13</v>
      </c>
      <c r="M1154" s="3"/>
      <c r="N1154" s="5" t="str">
        <f>IFERROR(__xludf.DUMMYFUNCTION("""COMPUTED_VALUE""")," ")</f>
        <v> </v>
      </c>
      <c r="O1154" s="5"/>
    </row>
    <row r="1155">
      <c r="A1155" s="2" t="str">
        <f>IFERROR(__xludf.DUMMYFUNCTION("""COMPUTED_VALUE"""),"1420")</f>
        <v>1420</v>
      </c>
      <c r="B1155" s="2" t="str">
        <f>IFERROR(__xludf.DUMMYFUNCTION("""COMPUTED_VALUE"""),"JEFFERSON COUNTY R-1")</f>
        <v>JEFFERSON COUNTY R-1</v>
      </c>
      <c r="C1155" s="2" t="str">
        <f>IFERROR(__xludf.DUMMYFUNCTION("""COMPUTED_VALUE"""),"07190")</f>
        <v>07190</v>
      </c>
      <c r="D1155" s="2" t="str">
        <f>IFERROR(__xludf.DUMMYFUNCTION("""COMPUTED_VALUE"""),"PROSPECT VALLEY ELEMENTARY SCHOOL")</f>
        <v>PROSPECT VALLEY ELEMENTARY SCHOOL</v>
      </c>
      <c r="E1155" s="3" t="str">
        <f>IFERROR(__xludf.DUMMYFUNCTION("""COMPUTED_VALUE"""),"Y")</f>
        <v>Y</v>
      </c>
      <c r="F1155" s="3" t="str">
        <f>IFERROR(__xludf.DUMMYFUNCTION("""COMPUTED_VALUE"""),"Y")</f>
        <v>Y</v>
      </c>
      <c r="G1155" s="3"/>
      <c r="H1155" s="3"/>
      <c r="I1155" s="3" t="str">
        <f>IFERROR(__xludf.DUMMYFUNCTION("""COMPUTED_VALUE""")," ")</f>
        <v> </v>
      </c>
      <c r="J1155" s="3" t="str">
        <f>IFERROR(__xludf.DUMMYFUNCTION("""COMPUTED_VALUE""")," ")</f>
        <v> </v>
      </c>
      <c r="K1155" s="3" t="str">
        <f>IFERROR(__xludf.DUMMYFUNCTION("""COMPUTED_VALUE"""),"Y")</f>
        <v>Y</v>
      </c>
      <c r="L1155" s="3" t="str">
        <f>IFERROR(__xludf.DUMMYFUNCTION("""COMPUTED_VALUE""")," ")</f>
        <v> </v>
      </c>
      <c r="M1155" s="3"/>
      <c r="N1155" s="5" t="str">
        <f>IFERROR(__xludf.DUMMYFUNCTION("""COMPUTED_VALUE"""),"Y")</f>
        <v>Y</v>
      </c>
      <c r="O1155" s="5"/>
    </row>
    <row r="1156">
      <c r="A1156" s="2" t="str">
        <f>IFERROR(__xludf.DUMMYFUNCTION("""COMPUTED_VALUE"""),"1420")</f>
        <v>1420</v>
      </c>
      <c r="B1156" s="2" t="str">
        <f>IFERROR(__xludf.DUMMYFUNCTION("""COMPUTED_VALUE"""),"JEFFERSON COUNTY R-1")</f>
        <v>JEFFERSON COUNTY R-1</v>
      </c>
      <c r="C1156" s="2" t="str">
        <f>IFERROR(__xludf.DUMMYFUNCTION("""COMPUTED_VALUE"""),"07238")</f>
        <v>07238</v>
      </c>
      <c r="D1156" s="2" t="str">
        <f>IFERROR(__xludf.DUMMYFUNCTION("""COMPUTED_VALUE"""),"RALSTON ELEMENTARY SCHOOL")</f>
        <v>RALSTON ELEMENTARY SCHOOL</v>
      </c>
      <c r="E1156" s="3" t="str">
        <f>IFERROR(__xludf.DUMMYFUNCTION("""COMPUTED_VALUE"""),"Y")</f>
        <v>Y</v>
      </c>
      <c r="F1156" s="3" t="str">
        <f>IFERROR(__xludf.DUMMYFUNCTION("""COMPUTED_VALUE"""),"Y")</f>
        <v>Y</v>
      </c>
      <c r="G1156" s="3"/>
      <c r="H1156" s="3"/>
      <c r="I1156" s="3" t="str">
        <f>IFERROR(__xludf.DUMMYFUNCTION("""COMPUTED_VALUE""")," ")</f>
        <v> </v>
      </c>
      <c r="J1156" s="3" t="str">
        <f>IFERROR(__xludf.DUMMYFUNCTION("""COMPUTED_VALUE""")," ")</f>
        <v> </v>
      </c>
      <c r="K1156" s="3" t="str">
        <f>IFERROR(__xludf.DUMMYFUNCTION("""COMPUTED_VALUE"""),"Y")</f>
        <v>Y</v>
      </c>
      <c r="L1156" s="3" t="str">
        <f>IFERROR(__xludf.DUMMYFUNCTION("""COMPUTED_VALUE""")," ")</f>
        <v> </v>
      </c>
      <c r="M1156" s="3"/>
      <c r="N1156" s="5" t="str">
        <f>IFERROR(__xludf.DUMMYFUNCTION("""COMPUTED_VALUE""")," ")</f>
        <v> </v>
      </c>
      <c r="O1156" s="5"/>
    </row>
    <row r="1157">
      <c r="A1157" s="2" t="str">
        <f>IFERROR(__xludf.DUMMYFUNCTION("""COMPUTED_VALUE"""),"1420")</f>
        <v>1420</v>
      </c>
      <c r="B1157" s="2" t="str">
        <f>IFERROR(__xludf.DUMMYFUNCTION("""COMPUTED_VALUE"""),"JEFFERSON COUNTY R-1")</f>
        <v>JEFFERSON COUNTY R-1</v>
      </c>
      <c r="C1157" s="2" t="str">
        <f>IFERROR(__xludf.DUMMYFUNCTION("""COMPUTED_VALUE"""),"07239")</f>
        <v>07239</v>
      </c>
      <c r="D1157" s="2" t="str">
        <f>IFERROR(__xludf.DUMMYFUNCTION("""COMPUTED_VALUE"""),"RALSTON VALLEY SENIOR HIGH SCHOOL")</f>
        <v>RALSTON VALLEY SENIOR HIGH SCHOOL</v>
      </c>
      <c r="E1157" s="3" t="str">
        <f>IFERROR(__xludf.DUMMYFUNCTION("""COMPUTED_VALUE"""),"Y")</f>
        <v>Y</v>
      </c>
      <c r="F1157" s="3" t="str">
        <f>IFERROR(__xludf.DUMMYFUNCTION("""COMPUTED_VALUE"""),"Y")</f>
        <v>Y</v>
      </c>
      <c r="G1157" s="3"/>
      <c r="H1157" s="3"/>
      <c r="I1157" s="3" t="str">
        <f>IFERROR(__xludf.DUMMYFUNCTION("""COMPUTED_VALUE""")," ")</f>
        <v> </v>
      </c>
      <c r="J1157" s="3" t="str">
        <f>IFERROR(__xludf.DUMMYFUNCTION("""COMPUTED_VALUE""")," ")</f>
        <v> </v>
      </c>
      <c r="K1157" s="3" t="str">
        <f>IFERROR(__xludf.DUMMYFUNCTION("""COMPUTED_VALUE"""),"Y")</f>
        <v>Y</v>
      </c>
      <c r="L1157" s="3" t="str">
        <f>IFERROR(__xludf.DUMMYFUNCTION("""COMPUTED_VALUE""")," ")</f>
        <v> </v>
      </c>
      <c r="M1157" s="3"/>
      <c r="N1157" s="5" t="str">
        <f>IFERROR(__xludf.DUMMYFUNCTION("""COMPUTED_VALUE""")," ")</f>
        <v> </v>
      </c>
      <c r="O1157" s="5"/>
    </row>
    <row r="1158">
      <c r="A1158" s="2" t="str">
        <f>IFERROR(__xludf.DUMMYFUNCTION("""COMPUTED_VALUE"""),"1420")</f>
        <v>1420</v>
      </c>
      <c r="B1158" s="2" t="str">
        <f>IFERROR(__xludf.DUMMYFUNCTION("""COMPUTED_VALUE"""),"JEFFERSON COUNTY R-1")</f>
        <v>JEFFERSON COUNTY R-1</v>
      </c>
      <c r="C1158" s="2" t="str">
        <f>IFERROR(__xludf.DUMMYFUNCTION("""COMPUTED_VALUE"""),"07282")</f>
        <v>07282</v>
      </c>
      <c r="D1158" s="2" t="str">
        <f>IFERROR(__xludf.DUMMYFUNCTION("""COMPUTED_VALUE"""),"RED ROCKS ELEMENTARY SCHOOL")</f>
        <v>RED ROCKS ELEMENTARY SCHOOL</v>
      </c>
      <c r="E1158" s="3" t="str">
        <f>IFERROR(__xludf.DUMMYFUNCTION("""COMPUTED_VALUE"""),"Y")</f>
        <v>Y</v>
      </c>
      <c r="F1158" s="3" t="str">
        <f>IFERROR(__xludf.DUMMYFUNCTION("""COMPUTED_VALUE"""),"Y")</f>
        <v>Y</v>
      </c>
      <c r="G1158" s="3"/>
      <c r="H1158" s="3"/>
      <c r="I1158" s="3" t="str">
        <f>IFERROR(__xludf.DUMMYFUNCTION("""COMPUTED_VALUE""")," ")</f>
        <v> </v>
      </c>
      <c r="J1158" s="3" t="str">
        <f>IFERROR(__xludf.DUMMYFUNCTION("""COMPUTED_VALUE""")," ")</f>
        <v> </v>
      </c>
      <c r="K1158" s="3" t="str">
        <f>IFERROR(__xludf.DUMMYFUNCTION("""COMPUTED_VALUE"""),"Y")</f>
        <v>Y</v>
      </c>
      <c r="L1158" s="3" t="str">
        <f>IFERROR(__xludf.DUMMYFUNCTION("""COMPUTED_VALUE"""),"Group 9")</f>
        <v>Group 9</v>
      </c>
      <c r="M1158" s="3"/>
      <c r="N1158" s="5" t="str">
        <f>IFERROR(__xludf.DUMMYFUNCTION("""COMPUTED_VALUE""")," ")</f>
        <v> </v>
      </c>
      <c r="O1158" s="5"/>
    </row>
    <row r="1159">
      <c r="A1159" s="2" t="str">
        <f>IFERROR(__xludf.DUMMYFUNCTION("""COMPUTED_VALUE"""),"1420")</f>
        <v>1420</v>
      </c>
      <c r="B1159" s="2" t="str">
        <f>IFERROR(__xludf.DUMMYFUNCTION("""COMPUTED_VALUE"""),"JEFFERSON COUNTY R-1")</f>
        <v>JEFFERSON COUNTY R-1</v>
      </c>
      <c r="C1159" s="2" t="str">
        <f>IFERROR(__xludf.DUMMYFUNCTION("""COMPUTED_VALUE"""),"07468")</f>
        <v>07468</v>
      </c>
      <c r="D1159" s="2" t="str">
        <f>IFERROR(__xludf.DUMMYFUNCTION("""COMPUTED_VALUE"""),"Rose Stein International Elementary")</f>
        <v>Rose Stein International Elementary</v>
      </c>
      <c r="E1159" s="3" t="str">
        <f>IFERROR(__xludf.DUMMYFUNCTION("""COMPUTED_VALUE"""),"Y")</f>
        <v>Y</v>
      </c>
      <c r="F1159" s="3" t="str">
        <f>IFERROR(__xludf.DUMMYFUNCTION("""COMPUTED_VALUE"""),"Y")</f>
        <v>Y</v>
      </c>
      <c r="G1159" s="3"/>
      <c r="H1159" s="3"/>
      <c r="I1159" s="3" t="str">
        <f>IFERROR(__xludf.DUMMYFUNCTION("""COMPUTED_VALUE"""),"Y")</f>
        <v>Y</v>
      </c>
      <c r="J1159" s="3" t="str">
        <f>IFERROR(__xludf.DUMMYFUNCTION("""COMPUTED_VALUE"""),"Y")</f>
        <v>Y</v>
      </c>
      <c r="K1159" s="3" t="str">
        <f>IFERROR(__xludf.DUMMYFUNCTION("""COMPUTED_VALUE"""),"Y")</f>
        <v>Y</v>
      </c>
      <c r="L1159" s="3" t="str">
        <f>IFERROR(__xludf.DUMMYFUNCTION("""COMPUTED_VALUE"""),"Group 8")</f>
        <v>Group 8</v>
      </c>
      <c r="M1159" s="3"/>
      <c r="N1159" s="5" t="str">
        <f>IFERROR(__xludf.DUMMYFUNCTION("""COMPUTED_VALUE""")," ")</f>
        <v> </v>
      </c>
      <c r="O1159" s="5"/>
    </row>
    <row r="1160">
      <c r="A1160" s="2" t="str">
        <f>IFERROR(__xludf.DUMMYFUNCTION("""COMPUTED_VALUE"""),"1420")</f>
        <v>1420</v>
      </c>
      <c r="B1160" s="2" t="str">
        <f>IFERROR(__xludf.DUMMYFUNCTION("""COMPUTED_VALUE"""),"JEFFERSON COUNTY R-1")</f>
        <v>JEFFERSON COUNTY R-1</v>
      </c>
      <c r="C1160" s="2" t="str">
        <f>IFERROR(__xludf.DUMMYFUNCTION("""COMPUTED_VALUE"""),"07483")</f>
        <v>07483</v>
      </c>
      <c r="D1160" s="2" t="str">
        <f>IFERROR(__xludf.DUMMYFUNCTION("""COMPUTED_VALUE"""),"ROONEY RANCH ELEMENTARY SCHOOL")</f>
        <v>ROONEY RANCH ELEMENTARY SCHOOL</v>
      </c>
      <c r="E1160" s="3" t="str">
        <f>IFERROR(__xludf.DUMMYFUNCTION("""COMPUTED_VALUE"""),"Y")</f>
        <v>Y</v>
      </c>
      <c r="F1160" s="3" t="str">
        <f>IFERROR(__xludf.DUMMYFUNCTION("""COMPUTED_VALUE"""),"Y")</f>
        <v>Y</v>
      </c>
      <c r="G1160" s="3"/>
      <c r="H1160" s="3"/>
      <c r="I1160" s="3" t="str">
        <f>IFERROR(__xludf.DUMMYFUNCTION("""COMPUTED_VALUE""")," ")</f>
        <v> </v>
      </c>
      <c r="J1160" s="3" t="str">
        <f>IFERROR(__xludf.DUMMYFUNCTION("""COMPUTED_VALUE""")," ")</f>
        <v> </v>
      </c>
      <c r="K1160" s="3" t="str">
        <f>IFERROR(__xludf.DUMMYFUNCTION("""COMPUTED_VALUE"""),"Y")</f>
        <v>Y</v>
      </c>
      <c r="L1160" s="3" t="str">
        <f>IFERROR(__xludf.DUMMYFUNCTION("""COMPUTED_VALUE""")," ")</f>
        <v> </v>
      </c>
      <c r="M1160" s="3"/>
      <c r="N1160" s="5" t="str">
        <f>IFERROR(__xludf.DUMMYFUNCTION("""COMPUTED_VALUE""")," ")</f>
        <v> </v>
      </c>
      <c r="O1160" s="5"/>
    </row>
    <row r="1161">
      <c r="A1161" s="2" t="str">
        <f>IFERROR(__xludf.DUMMYFUNCTION("""COMPUTED_VALUE"""),"1420")</f>
        <v>1420</v>
      </c>
      <c r="B1161" s="2" t="str">
        <f>IFERROR(__xludf.DUMMYFUNCTION("""COMPUTED_VALUE"""),"JEFFERSON COUNTY R-1")</f>
        <v>JEFFERSON COUNTY R-1</v>
      </c>
      <c r="C1161" s="2" t="str">
        <f>IFERROR(__xludf.DUMMYFUNCTION("""COMPUTED_VALUE"""),"07529")</f>
        <v>07529</v>
      </c>
      <c r="D1161" s="2" t="str">
        <f>IFERROR(__xludf.DUMMYFUNCTION("""COMPUTED_VALUE"""),"RYAN ELEMENTARY SCHOOL")</f>
        <v>RYAN ELEMENTARY SCHOOL</v>
      </c>
      <c r="E1161" s="3" t="str">
        <f>IFERROR(__xludf.DUMMYFUNCTION("""COMPUTED_VALUE"""),"Y")</f>
        <v>Y</v>
      </c>
      <c r="F1161" s="3" t="str">
        <f>IFERROR(__xludf.DUMMYFUNCTION("""COMPUTED_VALUE"""),"Y")</f>
        <v>Y</v>
      </c>
      <c r="G1161" s="3"/>
      <c r="H1161" s="3"/>
      <c r="I1161" s="3" t="str">
        <f>IFERROR(__xludf.DUMMYFUNCTION("""COMPUTED_VALUE""")," ")</f>
        <v> </v>
      </c>
      <c r="J1161" s="3" t="str">
        <f>IFERROR(__xludf.DUMMYFUNCTION("""COMPUTED_VALUE""")," ")</f>
        <v> </v>
      </c>
      <c r="K1161" s="3" t="str">
        <f>IFERROR(__xludf.DUMMYFUNCTION("""COMPUTED_VALUE"""),"Y")</f>
        <v>Y</v>
      </c>
      <c r="L1161" s="3" t="str">
        <f>IFERROR(__xludf.DUMMYFUNCTION("""COMPUTED_VALUE"""),"Group 9")</f>
        <v>Group 9</v>
      </c>
      <c r="M1161" s="3"/>
      <c r="N1161" s="5" t="str">
        <f>IFERROR(__xludf.DUMMYFUNCTION("""COMPUTED_VALUE""")," ")</f>
        <v> </v>
      </c>
      <c r="O1161" s="5"/>
    </row>
    <row r="1162">
      <c r="A1162" s="2" t="str">
        <f>IFERROR(__xludf.DUMMYFUNCTION("""COMPUTED_VALUE"""),"1420")</f>
        <v>1420</v>
      </c>
      <c r="B1162" s="2" t="str">
        <f>IFERROR(__xludf.DUMMYFUNCTION("""COMPUTED_VALUE"""),"JEFFERSON COUNTY R-1")</f>
        <v>JEFFERSON COUNTY R-1</v>
      </c>
      <c r="C1162" s="2" t="str">
        <f>IFERROR(__xludf.DUMMYFUNCTION("""COMPUTED_VALUE"""),"07701")</f>
        <v>07701</v>
      </c>
      <c r="D1162" s="2" t="str">
        <f>IFERROR(__xludf.DUMMYFUNCTION("""COMPUTED_VALUE"""),"COLLEGIATE ACADEMY OF COLORADO")</f>
        <v>COLLEGIATE ACADEMY OF COLORADO</v>
      </c>
      <c r="E1162" s="3" t="str">
        <f>IFERROR(__xludf.DUMMYFUNCTION("""COMPUTED_VALUE"""),"Y")</f>
        <v>Y</v>
      </c>
      <c r="F1162" s="3" t="str">
        <f>IFERROR(__xludf.DUMMYFUNCTION("""COMPUTED_VALUE"""),"Y")</f>
        <v>Y</v>
      </c>
      <c r="G1162" s="3"/>
      <c r="H1162" s="3"/>
      <c r="I1162" s="3" t="str">
        <f>IFERROR(__xludf.DUMMYFUNCTION("""COMPUTED_VALUE""")," ")</f>
        <v> </v>
      </c>
      <c r="J1162" s="3" t="str">
        <f>IFERROR(__xludf.DUMMYFUNCTION("""COMPUTED_VALUE""")," ")</f>
        <v> </v>
      </c>
      <c r="K1162" s="3" t="str">
        <f>IFERROR(__xludf.DUMMYFUNCTION("""COMPUTED_VALUE"""),"Y")</f>
        <v>Y</v>
      </c>
      <c r="L1162" s="3" t="str">
        <f>IFERROR(__xludf.DUMMYFUNCTION("""COMPUTED_VALUE"""),"Group 12")</f>
        <v>Group 12</v>
      </c>
      <c r="M1162" s="3"/>
      <c r="N1162" s="5" t="str">
        <f>IFERROR(__xludf.DUMMYFUNCTION("""COMPUTED_VALUE""")," ")</f>
        <v> </v>
      </c>
      <c r="O1162" s="5"/>
    </row>
    <row r="1163">
      <c r="A1163" s="2" t="str">
        <f>IFERROR(__xludf.DUMMYFUNCTION("""COMPUTED_VALUE"""),"1420")</f>
        <v>1420</v>
      </c>
      <c r="B1163" s="2" t="str">
        <f>IFERROR(__xludf.DUMMYFUNCTION("""COMPUTED_VALUE"""),"JEFFERSON COUNTY R-1")</f>
        <v>JEFFERSON COUNTY R-1</v>
      </c>
      <c r="C1163" s="2" t="str">
        <f>IFERROR(__xludf.DUMMYFUNCTION("""COMPUTED_VALUE"""),"07708")</f>
        <v>07708</v>
      </c>
      <c r="D1163" s="2" t="str">
        <f>IFERROR(__xludf.DUMMYFUNCTION("""COMPUTED_VALUE"""),"SECREST ELEMENTARY SCHOOL")</f>
        <v>SECREST ELEMENTARY SCHOOL</v>
      </c>
      <c r="E1163" s="3" t="str">
        <f>IFERROR(__xludf.DUMMYFUNCTION("""COMPUTED_VALUE"""),"Y")</f>
        <v>Y</v>
      </c>
      <c r="F1163" s="3" t="str">
        <f>IFERROR(__xludf.DUMMYFUNCTION("""COMPUTED_VALUE"""),"Y")</f>
        <v>Y</v>
      </c>
      <c r="G1163" s="3" t="str">
        <f>IFERROR(__xludf.DUMMYFUNCTION("""COMPUTED_VALUE"""),"Y")</f>
        <v>Y</v>
      </c>
      <c r="H1163" s="3"/>
      <c r="I1163" s="3" t="str">
        <f>IFERROR(__xludf.DUMMYFUNCTION("""COMPUTED_VALUE"""),"Y")</f>
        <v>Y</v>
      </c>
      <c r="J1163" s="3" t="str">
        <f>IFERROR(__xludf.DUMMYFUNCTION("""COMPUTED_VALUE""")," ")</f>
        <v> </v>
      </c>
      <c r="K1163" s="3" t="str">
        <f>IFERROR(__xludf.DUMMYFUNCTION("""COMPUTED_VALUE"""),"Y")</f>
        <v>Y</v>
      </c>
      <c r="L1163" s="3" t="str">
        <f>IFERROR(__xludf.DUMMYFUNCTION("""COMPUTED_VALUE"""),"Group 14")</f>
        <v>Group 14</v>
      </c>
      <c r="M1163" s="3"/>
      <c r="N1163" s="5" t="str">
        <f>IFERROR(__xludf.DUMMYFUNCTION("""COMPUTED_VALUE""")," ")</f>
        <v> </v>
      </c>
      <c r="O1163" s="5"/>
    </row>
    <row r="1164">
      <c r="A1164" s="2" t="str">
        <f>IFERROR(__xludf.DUMMYFUNCTION("""COMPUTED_VALUE"""),"1420")</f>
        <v>1420</v>
      </c>
      <c r="B1164" s="2" t="str">
        <f>IFERROR(__xludf.DUMMYFUNCTION("""COMPUTED_VALUE"""),"JEFFERSON COUNTY R-1")</f>
        <v>JEFFERSON COUNTY R-1</v>
      </c>
      <c r="C1164" s="2" t="str">
        <f>IFERROR(__xludf.DUMMYFUNCTION("""COMPUTED_VALUE"""),"07753")</f>
        <v>07753</v>
      </c>
      <c r="D1164" s="2" t="str">
        <f>IFERROR(__xludf.DUMMYFUNCTION("""COMPUTED_VALUE"""),"SEMPER ELEMENTARY SCHOOL")</f>
        <v>SEMPER ELEMENTARY SCHOOL</v>
      </c>
      <c r="E1164" s="3" t="str">
        <f>IFERROR(__xludf.DUMMYFUNCTION("""COMPUTED_VALUE"""),"Y")</f>
        <v>Y</v>
      </c>
      <c r="F1164" s="3" t="str">
        <f>IFERROR(__xludf.DUMMYFUNCTION("""COMPUTED_VALUE"""),"Y")</f>
        <v>Y</v>
      </c>
      <c r="G1164" s="3"/>
      <c r="H1164" s="3"/>
      <c r="I1164" s="3" t="str">
        <f>IFERROR(__xludf.DUMMYFUNCTION("""COMPUTED_VALUE""")," ")</f>
        <v> </v>
      </c>
      <c r="J1164" s="3" t="str">
        <f>IFERROR(__xludf.DUMMYFUNCTION("""COMPUTED_VALUE""")," ")</f>
        <v> </v>
      </c>
      <c r="K1164" s="3" t="str">
        <f>IFERROR(__xludf.DUMMYFUNCTION("""COMPUTED_VALUE"""),"Y")</f>
        <v>Y</v>
      </c>
      <c r="L1164" s="3" t="str">
        <f>IFERROR(__xludf.DUMMYFUNCTION("""COMPUTED_VALUE"""),"Group 14")</f>
        <v>Group 14</v>
      </c>
      <c r="M1164" s="3"/>
      <c r="N1164" s="5" t="str">
        <f>IFERROR(__xludf.DUMMYFUNCTION("""COMPUTED_VALUE"""),"Y")</f>
        <v>Y</v>
      </c>
      <c r="O1164" s="5"/>
    </row>
    <row r="1165">
      <c r="A1165" s="2" t="str">
        <f>IFERROR(__xludf.DUMMYFUNCTION("""COMPUTED_VALUE"""),"1420")</f>
        <v>1420</v>
      </c>
      <c r="B1165" s="2" t="str">
        <f>IFERROR(__xludf.DUMMYFUNCTION("""COMPUTED_VALUE"""),"JEFFERSON COUNTY R-1")</f>
        <v>JEFFERSON COUNTY R-1</v>
      </c>
      <c r="C1165" s="2" t="str">
        <f>IFERROR(__xludf.DUMMYFUNCTION("""COMPUTED_VALUE"""),"07780")</f>
        <v>07780</v>
      </c>
      <c r="D1165" s="2" t="str">
        <f>IFERROR(__xludf.DUMMYFUNCTION("""COMPUTED_VALUE"""),"SHAFFER ELEMENTARY SCHOOL")</f>
        <v>SHAFFER ELEMENTARY SCHOOL</v>
      </c>
      <c r="E1165" s="3" t="str">
        <f>IFERROR(__xludf.DUMMYFUNCTION("""COMPUTED_VALUE"""),"Y")</f>
        <v>Y</v>
      </c>
      <c r="F1165" s="3" t="str">
        <f>IFERROR(__xludf.DUMMYFUNCTION("""COMPUTED_VALUE"""),"Y")</f>
        <v>Y</v>
      </c>
      <c r="G1165" s="3"/>
      <c r="H1165" s="3"/>
      <c r="I1165" s="3" t="str">
        <f>IFERROR(__xludf.DUMMYFUNCTION("""COMPUTED_VALUE""")," ")</f>
        <v> </v>
      </c>
      <c r="J1165" s="3" t="str">
        <f>IFERROR(__xludf.DUMMYFUNCTION("""COMPUTED_VALUE""")," ")</f>
        <v> </v>
      </c>
      <c r="K1165" s="3" t="str">
        <f>IFERROR(__xludf.DUMMYFUNCTION("""COMPUTED_VALUE"""),"Y")</f>
        <v>Y</v>
      </c>
      <c r="L1165" s="3" t="str">
        <f>IFERROR(__xludf.DUMMYFUNCTION("""COMPUTED_VALUE"""),"Group 4")</f>
        <v>Group 4</v>
      </c>
      <c r="M1165" s="3"/>
      <c r="N1165" s="5" t="str">
        <f>IFERROR(__xludf.DUMMYFUNCTION("""COMPUTED_VALUE""")," ")</f>
        <v> </v>
      </c>
      <c r="O1165" s="5"/>
    </row>
    <row r="1166">
      <c r="A1166" s="2" t="str">
        <f>IFERROR(__xludf.DUMMYFUNCTION("""COMPUTED_VALUE"""),"1420")</f>
        <v>1420</v>
      </c>
      <c r="B1166" s="2" t="str">
        <f>IFERROR(__xludf.DUMMYFUNCTION("""COMPUTED_VALUE"""),"JEFFERSON COUNTY R-1")</f>
        <v>JEFFERSON COUNTY R-1</v>
      </c>
      <c r="C1166" s="2" t="str">
        <f>IFERROR(__xludf.DUMMYFUNCTION("""COMPUTED_VALUE"""),"07833")</f>
        <v>07833</v>
      </c>
      <c r="D1166" s="2" t="str">
        <f>IFERROR(__xludf.DUMMYFUNCTION("""COMPUTED_VALUE"""),"SHELTON ELEMENTARY SCHOOL")</f>
        <v>SHELTON ELEMENTARY SCHOOL</v>
      </c>
      <c r="E1166" s="3" t="str">
        <f>IFERROR(__xludf.DUMMYFUNCTION("""COMPUTED_VALUE"""),"Y")</f>
        <v>Y</v>
      </c>
      <c r="F1166" s="3" t="str">
        <f>IFERROR(__xludf.DUMMYFUNCTION("""COMPUTED_VALUE"""),"Y")</f>
        <v>Y</v>
      </c>
      <c r="G1166" s="3"/>
      <c r="H1166" s="3"/>
      <c r="I1166" s="3" t="str">
        <f>IFERROR(__xludf.DUMMYFUNCTION("""COMPUTED_VALUE""")," ")</f>
        <v> </v>
      </c>
      <c r="J1166" s="3" t="str">
        <f>IFERROR(__xludf.DUMMYFUNCTION("""COMPUTED_VALUE""")," ")</f>
        <v> </v>
      </c>
      <c r="K1166" s="3" t="str">
        <f>IFERROR(__xludf.DUMMYFUNCTION("""COMPUTED_VALUE"""),"Y")</f>
        <v>Y</v>
      </c>
      <c r="L1166" s="3" t="str">
        <f>IFERROR(__xludf.DUMMYFUNCTION("""COMPUTED_VALUE"""),"Group 14")</f>
        <v>Group 14</v>
      </c>
      <c r="M1166" s="3"/>
      <c r="N1166" s="5" t="str">
        <f>IFERROR(__xludf.DUMMYFUNCTION("""COMPUTED_VALUE""")," ")</f>
        <v> </v>
      </c>
      <c r="O1166" s="5"/>
    </row>
    <row r="1167">
      <c r="A1167" s="2" t="str">
        <f>IFERROR(__xludf.DUMMYFUNCTION("""COMPUTED_VALUE"""),"1420")</f>
        <v>1420</v>
      </c>
      <c r="B1167" s="2" t="str">
        <f>IFERROR(__xludf.DUMMYFUNCTION("""COMPUTED_VALUE"""),"JEFFERSON COUNTY R-1")</f>
        <v>JEFFERSON COUNTY R-1</v>
      </c>
      <c r="C1167" s="2" t="str">
        <f>IFERROR(__xludf.DUMMYFUNCTION("""COMPUTED_VALUE"""),"07870")</f>
        <v>07870</v>
      </c>
      <c r="D1167" s="2" t="str">
        <f>IFERROR(__xludf.DUMMYFUNCTION("""COMPUTED_VALUE"""),"SIERRA ELEMENTARY SCHOOL")</f>
        <v>SIERRA ELEMENTARY SCHOOL</v>
      </c>
      <c r="E1167" s="3" t="str">
        <f>IFERROR(__xludf.DUMMYFUNCTION("""COMPUTED_VALUE"""),"Y")</f>
        <v>Y</v>
      </c>
      <c r="F1167" s="3" t="str">
        <f>IFERROR(__xludf.DUMMYFUNCTION("""COMPUTED_VALUE"""),"Y")</f>
        <v>Y</v>
      </c>
      <c r="G1167" s="3"/>
      <c r="H1167" s="3"/>
      <c r="I1167" s="3" t="str">
        <f>IFERROR(__xludf.DUMMYFUNCTION("""COMPUTED_VALUE""")," ")</f>
        <v> </v>
      </c>
      <c r="J1167" s="3" t="str">
        <f>IFERROR(__xludf.DUMMYFUNCTION("""COMPUTED_VALUE""")," ")</f>
        <v> </v>
      </c>
      <c r="K1167" s="3" t="str">
        <f>IFERROR(__xludf.DUMMYFUNCTION("""COMPUTED_VALUE"""),"Y")</f>
        <v>Y</v>
      </c>
      <c r="L1167" s="3" t="str">
        <f>IFERROR(__xludf.DUMMYFUNCTION("""COMPUTED_VALUE"""),"Group 4")</f>
        <v>Group 4</v>
      </c>
      <c r="M1167" s="3"/>
      <c r="N1167" s="5" t="str">
        <f>IFERROR(__xludf.DUMMYFUNCTION("""COMPUTED_VALUE""")," ")</f>
        <v> </v>
      </c>
      <c r="O1167" s="5"/>
    </row>
    <row r="1168">
      <c r="A1168" s="2" t="str">
        <f>IFERROR(__xludf.DUMMYFUNCTION("""COMPUTED_VALUE"""),"1420")</f>
        <v>1420</v>
      </c>
      <c r="B1168" s="2" t="str">
        <f>IFERROR(__xludf.DUMMYFUNCTION("""COMPUTED_VALUE"""),"JEFFERSON COUNTY R-1")</f>
        <v>JEFFERSON COUNTY R-1</v>
      </c>
      <c r="C1168" s="2" t="str">
        <f>IFERROR(__xludf.DUMMYFUNCTION("""COMPUTED_VALUE"""),"07962")</f>
        <v>07962</v>
      </c>
      <c r="D1168" s="2" t="str">
        <f>IFERROR(__xludf.DUMMYFUNCTION("""COMPUTED_VALUE"""),"SLATER ELEMENTARY SCHOOL")</f>
        <v>SLATER ELEMENTARY SCHOOL</v>
      </c>
      <c r="E1168" s="3" t="str">
        <f>IFERROR(__xludf.DUMMYFUNCTION("""COMPUTED_VALUE"""),"Y")</f>
        <v>Y</v>
      </c>
      <c r="F1168" s="3" t="str">
        <f>IFERROR(__xludf.DUMMYFUNCTION("""COMPUTED_VALUE"""),"Y")</f>
        <v>Y</v>
      </c>
      <c r="G1168" s="3"/>
      <c r="H1168" s="3"/>
      <c r="I1168" s="3" t="str">
        <f>IFERROR(__xludf.DUMMYFUNCTION("""COMPUTED_VALUE"""),"Y")</f>
        <v>Y</v>
      </c>
      <c r="J1168" s="3" t="str">
        <f>IFERROR(__xludf.DUMMYFUNCTION("""COMPUTED_VALUE"""),"Y")</f>
        <v>Y</v>
      </c>
      <c r="K1168" s="3" t="str">
        <f>IFERROR(__xludf.DUMMYFUNCTION("""COMPUTED_VALUE"""),"Y")</f>
        <v>Y</v>
      </c>
      <c r="L1168" s="3" t="str">
        <f>IFERROR(__xludf.DUMMYFUNCTION("""COMPUTED_VALUE"""),"Group 23")</f>
        <v>Group 23</v>
      </c>
      <c r="M1168" s="3"/>
      <c r="N1168" s="5" t="str">
        <f>IFERROR(__xludf.DUMMYFUNCTION("""COMPUTED_VALUE""")," ")</f>
        <v> </v>
      </c>
      <c r="O1168" s="5"/>
    </row>
    <row r="1169">
      <c r="A1169" s="2" t="str">
        <f>IFERROR(__xludf.DUMMYFUNCTION("""COMPUTED_VALUE"""),"1420")</f>
        <v>1420</v>
      </c>
      <c r="B1169" s="2" t="str">
        <f>IFERROR(__xludf.DUMMYFUNCTION("""COMPUTED_VALUE"""),"JEFFERSON COUNTY R-1")</f>
        <v>JEFFERSON COUNTY R-1</v>
      </c>
      <c r="C1169" s="2" t="str">
        <f>IFERROR(__xludf.DUMMYFUNCTION("""COMPUTED_VALUE"""),"08036")</f>
        <v>08036</v>
      </c>
      <c r="D1169" s="2" t="str">
        <f>IFERROR(__xludf.DUMMYFUNCTION("""COMPUTED_VALUE"""),"SOBESKY ACADEMY")</f>
        <v>SOBESKY ACADEMY</v>
      </c>
      <c r="E1169" s="3" t="str">
        <f>IFERROR(__xludf.DUMMYFUNCTION("""COMPUTED_VALUE"""),"Y")</f>
        <v>Y</v>
      </c>
      <c r="F1169" s="3" t="str">
        <f>IFERROR(__xludf.DUMMYFUNCTION("""COMPUTED_VALUE"""),"Y")</f>
        <v>Y</v>
      </c>
      <c r="G1169" s="3"/>
      <c r="H1169" s="3"/>
      <c r="I1169" s="3" t="str">
        <f>IFERROR(__xludf.DUMMYFUNCTION("""COMPUTED_VALUE""")," ")</f>
        <v> </v>
      </c>
      <c r="J1169" s="3" t="str">
        <f>IFERROR(__xludf.DUMMYFUNCTION("""COMPUTED_VALUE"""),"Y")</f>
        <v>Y</v>
      </c>
      <c r="K1169" s="3" t="str">
        <f>IFERROR(__xludf.DUMMYFUNCTION("""COMPUTED_VALUE"""),"Y")</f>
        <v>Y</v>
      </c>
      <c r="L1169" s="3" t="str">
        <f>IFERROR(__xludf.DUMMYFUNCTION("""COMPUTED_VALUE"""),"Group 23")</f>
        <v>Group 23</v>
      </c>
      <c r="M1169" s="3"/>
      <c r="N1169" s="5" t="str">
        <f>IFERROR(__xludf.DUMMYFUNCTION("""COMPUTED_VALUE""")," ")</f>
        <v> </v>
      </c>
      <c r="O1169" s="5"/>
    </row>
    <row r="1170">
      <c r="A1170" s="2" t="str">
        <f>IFERROR(__xludf.DUMMYFUNCTION("""COMPUTED_VALUE"""),"1420")</f>
        <v>1420</v>
      </c>
      <c r="B1170" s="2" t="str">
        <f>IFERROR(__xludf.DUMMYFUNCTION("""COMPUTED_VALUE"""),"JEFFERSON COUNTY R-1")</f>
        <v>JEFFERSON COUNTY R-1</v>
      </c>
      <c r="C1170" s="2" t="str">
        <f>IFERROR(__xludf.DUMMYFUNCTION("""COMPUTED_VALUE"""),"08090")</f>
        <v>08090</v>
      </c>
      <c r="D1170" s="2" t="str">
        <f>IFERROR(__xludf.DUMMYFUNCTION("""COMPUTED_VALUE"""),"DEANE ELEMENTARY SCHOOL")</f>
        <v>DEANE ELEMENTARY SCHOOL</v>
      </c>
      <c r="E1170" s="3" t="str">
        <f>IFERROR(__xludf.DUMMYFUNCTION("""COMPUTED_VALUE"""),"Y")</f>
        <v>Y</v>
      </c>
      <c r="F1170" s="3" t="str">
        <f>IFERROR(__xludf.DUMMYFUNCTION("""COMPUTED_VALUE"""),"Y")</f>
        <v>Y</v>
      </c>
      <c r="G1170" s="3"/>
      <c r="H1170" s="3"/>
      <c r="I1170" s="3" t="str">
        <f>IFERROR(__xludf.DUMMYFUNCTION("""COMPUTED_VALUE""")," ")</f>
        <v> </v>
      </c>
      <c r="J1170" s="3" t="str">
        <f>IFERROR(__xludf.DUMMYFUNCTION("""COMPUTED_VALUE"""),"Y")</f>
        <v>Y</v>
      </c>
      <c r="K1170" s="3" t="str">
        <f>IFERROR(__xludf.DUMMYFUNCTION("""COMPUTED_VALUE"""),"Y")</f>
        <v>Y</v>
      </c>
      <c r="L1170" s="3" t="str">
        <f>IFERROR(__xludf.DUMMYFUNCTION("""COMPUTED_VALUE"""),"Group 23")</f>
        <v>Group 23</v>
      </c>
      <c r="M1170" s="3"/>
      <c r="N1170" s="5" t="str">
        <f>IFERROR(__xludf.DUMMYFUNCTION("""COMPUTED_VALUE""")," ")</f>
        <v> </v>
      </c>
      <c r="O1170" s="5"/>
    </row>
    <row r="1171">
      <c r="A1171" s="2" t="str">
        <f>IFERROR(__xludf.DUMMYFUNCTION("""COMPUTED_VALUE"""),"1420")</f>
        <v>1420</v>
      </c>
      <c r="B1171" s="2" t="str">
        <f>IFERROR(__xludf.DUMMYFUNCTION("""COMPUTED_VALUE"""),"JEFFERSON COUNTY R-1")</f>
        <v>JEFFERSON COUNTY R-1</v>
      </c>
      <c r="C1171" s="2" t="str">
        <f>IFERROR(__xludf.DUMMYFUNCTION("""COMPUTED_VALUE"""),"08102")</f>
        <v>08102</v>
      </c>
      <c r="D1171" s="2" t="str">
        <f>IFERROR(__xludf.DUMMYFUNCTION("""COMPUTED_VALUE"""),"SOUTH LAKEWOOD ELEMENTARY SCHOOL")</f>
        <v>SOUTH LAKEWOOD ELEMENTARY SCHOOL</v>
      </c>
      <c r="E1171" s="3" t="str">
        <f>IFERROR(__xludf.DUMMYFUNCTION("""COMPUTED_VALUE"""),"Y")</f>
        <v>Y</v>
      </c>
      <c r="F1171" s="3" t="str">
        <f>IFERROR(__xludf.DUMMYFUNCTION("""COMPUTED_VALUE"""),"Y")</f>
        <v>Y</v>
      </c>
      <c r="G1171" s="3" t="str">
        <f>IFERROR(__xludf.DUMMYFUNCTION("""COMPUTED_VALUE"""),"Y")</f>
        <v>Y</v>
      </c>
      <c r="H1171" s="3"/>
      <c r="I1171" s="3" t="str">
        <f>IFERROR(__xludf.DUMMYFUNCTION("""COMPUTED_VALUE""")," ")</f>
        <v> </v>
      </c>
      <c r="J1171" s="3" t="str">
        <f>IFERROR(__xludf.DUMMYFUNCTION("""COMPUTED_VALUE""")," ")</f>
        <v> </v>
      </c>
      <c r="K1171" s="3" t="str">
        <f>IFERROR(__xludf.DUMMYFUNCTION("""COMPUTED_VALUE"""),"Y")</f>
        <v>Y</v>
      </c>
      <c r="L1171" s="3" t="str">
        <f>IFERROR(__xludf.DUMMYFUNCTION("""COMPUTED_VALUE"""),"Group 23")</f>
        <v>Group 23</v>
      </c>
      <c r="M1171" s="3"/>
      <c r="N1171" s="5" t="str">
        <f>IFERROR(__xludf.DUMMYFUNCTION("""COMPUTED_VALUE""")," ")</f>
        <v> </v>
      </c>
      <c r="O1171" s="5"/>
    </row>
    <row r="1172">
      <c r="A1172" s="2" t="str">
        <f>IFERROR(__xludf.DUMMYFUNCTION("""COMPUTED_VALUE"""),"1420")</f>
        <v>1420</v>
      </c>
      <c r="B1172" s="2" t="str">
        <f>IFERROR(__xludf.DUMMYFUNCTION("""COMPUTED_VALUE"""),"JEFFERSON COUNTY R-1")</f>
        <v>JEFFERSON COUNTY R-1</v>
      </c>
      <c r="C1172" s="2" t="str">
        <f>IFERROR(__xludf.DUMMYFUNCTION("""COMPUTED_VALUE"""),"08209")</f>
        <v>08209</v>
      </c>
      <c r="D1172" s="2" t="str">
        <f>IFERROR(__xludf.DUMMYFUNCTION("""COMPUTED_VALUE"""),"STANDLEY LAKE HIGH SCHOOL")</f>
        <v>STANDLEY LAKE HIGH SCHOOL</v>
      </c>
      <c r="E1172" s="3" t="str">
        <f>IFERROR(__xludf.DUMMYFUNCTION("""COMPUTED_VALUE"""),"Y")</f>
        <v>Y</v>
      </c>
      <c r="F1172" s="3" t="str">
        <f>IFERROR(__xludf.DUMMYFUNCTION("""COMPUTED_VALUE"""),"Y")</f>
        <v>Y</v>
      </c>
      <c r="G1172" s="3"/>
      <c r="H1172" s="3"/>
      <c r="I1172" s="3" t="str">
        <f>IFERROR(__xludf.DUMMYFUNCTION("""COMPUTED_VALUE""")," ")</f>
        <v> </v>
      </c>
      <c r="J1172" s="3" t="str">
        <f>IFERROR(__xludf.DUMMYFUNCTION("""COMPUTED_VALUE""")," ")</f>
        <v> </v>
      </c>
      <c r="K1172" s="3" t="str">
        <f>IFERROR(__xludf.DUMMYFUNCTION("""COMPUTED_VALUE"""),"Y")</f>
        <v>Y</v>
      </c>
      <c r="L1172" s="3" t="str">
        <f>IFERROR(__xludf.DUMMYFUNCTION("""COMPUTED_VALUE"""),"Group 1")</f>
        <v>Group 1</v>
      </c>
      <c r="M1172" s="3"/>
      <c r="N1172" s="5" t="str">
        <f>IFERROR(__xludf.DUMMYFUNCTION("""COMPUTED_VALUE""")," ")</f>
        <v> </v>
      </c>
      <c r="O1172" s="5"/>
    </row>
    <row r="1173">
      <c r="A1173" s="2" t="str">
        <f>IFERROR(__xludf.DUMMYFUNCTION("""COMPUTED_VALUE"""),"1420")</f>
        <v>1420</v>
      </c>
      <c r="B1173" s="2" t="str">
        <f>IFERROR(__xludf.DUMMYFUNCTION("""COMPUTED_VALUE"""),"JEFFERSON COUNTY R-1")</f>
        <v>JEFFERSON COUNTY R-1</v>
      </c>
      <c r="C1173" s="2" t="str">
        <f>IFERROR(__xludf.DUMMYFUNCTION("""COMPUTED_VALUE"""),"08223")</f>
        <v>08223</v>
      </c>
      <c r="D1173" s="2" t="str">
        <f>IFERROR(__xludf.DUMMYFUNCTION("""COMPUTED_VALUE"""),"STEVENS ELEMENTARY SCHOOL")</f>
        <v>STEVENS ELEMENTARY SCHOOL</v>
      </c>
      <c r="E1173" s="3" t="str">
        <f>IFERROR(__xludf.DUMMYFUNCTION("""COMPUTED_VALUE"""),"Y")</f>
        <v>Y</v>
      </c>
      <c r="F1173" s="3" t="str">
        <f>IFERROR(__xludf.DUMMYFUNCTION("""COMPUTED_VALUE"""),"Y")</f>
        <v>Y</v>
      </c>
      <c r="G1173" s="3"/>
      <c r="H1173" s="3"/>
      <c r="I1173" s="3" t="str">
        <f>IFERROR(__xludf.DUMMYFUNCTION("""COMPUTED_VALUE""")," ")</f>
        <v> </v>
      </c>
      <c r="J1173" s="3" t="str">
        <f>IFERROR(__xludf.DUMMYFUNCTION("""COMPUTED_VALUE""")," ")</f>
        <v> </v>
      </c>
      <c r="K1173" s="3" t="str">
        <f>IFERROR(__xludf.DUMMYFUNCTION("""COMPUTED_VALUE"""),"Y")</f>
        <v>Y</v>
      </c>
      <c r="L1173" s="3" t="str">
        <f>IFERROR(__xludf.DUMMYFUNCTION("""COMPUTED_VALUE"""),"Group 18")</f>
        <v>Group 18</v>
      </c>
      <c r="M1173" s="3"/>
      <c r="N1173" s="5" t="str">
        <f>IFERROR(__xludf.DUMMYFUNCTION("""COMPUTED_VALUE""")," ")</f>
        <v> </v>
      </c>
      <c r="O1173" s="5"/>
    </row>
    <row r="1174">
      <c r="A1174" s="2" t="str">
        <f>IFERROR(__xludf.DUMMYFUNCTION("""COMPUTED_VALUE"""),"1420")</f>
        <v>1420</v>
      </c>
      <c r="B1174" s="2" t="str">
        <f>IFERROR(__xludf.DUMMYFUNCTION("""COMPUTED_VALUE"""),"JEFFERSON COUNTY R-1")</f>
        <v>JEFFERSON COUNTY R-1</v>
      </c>
      <c r="C1174" s="2" t="str">
        <f>IFERROR(__xludf.DUMMYFUNCTION("""COMPUTED_VALUE"""),"08276")</f>
        <v>08276</v>
      </c>
      <c r="D1174" s="2" t="str">
        <f>IFERROR(__xludf.DUMMYFUNCTION("""COMPUTED_VALUE"""),"STOBER ELEMENTARY SCHOOL")</f>
        <v>STOBER ELEMENTARY SCHOOL</v>
      </c>
      <c r="E1174" s="3" t="str">
        <f>IFERROR(__xludf.DUMMYFUNCTION("""COMPUTED_VALUE"""),"Y")</f>
        <v>Y</v>
      </c>
      <c r="F1174" s="3" t="str">
        <f>IFERROR(__xludf.DUMMYFUNCTION("""COMPUTED_VALUE"""),"Y")</f>
        <v>Y</v>
      </c>
      <c r="G1174" s="3"/>
      <c r="H1174" s="3"/>
      <c r="I1174" s="3" t="str">
        <f>IFERROR(__xludf.DUMMYFUNCTION("""COMPUTED_VALUE""")," ")</f>
        <v> </v>
      </c>
      <c r="J1174" s="3" t="str">
        <f>IFERROR(__xludf.DUMMYFUNCTION("""COMPUTED_VALUE""")," ")</f>
        <v> </v>
      </c>
      <c r="K1174" s="3" t="str">
        <f>IFERROR(__xludf.DUMMYFUNCTION("""COMPUTED_VALUE"""),"Y")</f>
        <v>Y</v>
      </c>
      <c r="L1174" s="3" t="str">
        <f>IFERROR(__xludf.DUMMYFUNCTION("""COMPUTED_VALUE"""),"Group 12")</f>
        <v>Group 12</v>
      </c>
      <c r="M1174" s="3"/>
      <c r="N1174" s="5" t="str">
        <f>IFERROR(__xludf.DUMMYFUNCTION("""COMPUTED_VALUE""")," ")</f>
        <v> </v>
      </c>
      <c r="O1174" s="5"/>
    </row>
    <row r="1175">
      <c r="A1175" s="2" t="str">
        <f>IFERROR(__xludf.DUMMYFUNCTION("""COMPUTED_VALUE"""),"1420")</f>
        <v>1420</v>
      </c>
      <c r="B1175" s="2" t="str">
        <f>IFERROR(__xludf.DUMMYFUNCTION("""COMPUTED_VALUE"""),"JEFFERSON COUNTY R-1")</f>
        <v>JEFFERSON COUNTY R-1</v>
      </c>
      <c r="C1175" s="2" t="str">
        <f>IFERROR(__xludf.DUMMYFUNCTION("""COMPUTED_VALUE"""),"08280")</f>
        <v>08280</v>
      </c>
      <c r="D1175" s="2" t="str">
        <f>IFERROR(__xludf.DUMMYFUNCTION("""COMPUTED_VALUE"""),"STONY CREEK ELEMENTARY SCHOOL")</f>
        <v>STONY CREEK ELEMENTARY SCHOOL</v>
      </c>
      <c r="E1175" s="3" t="str">
        <f>IFERROR(__xludf.DUMMYFUNCTION("""COMPUTED_VALUE"""),"Y")</f>
        <v>Y</v>
      </c>
      <c r="F1175" s="3" t="str">
        <f>IFERROR(__xludf.DUMMYFUNCTION("""COMPUTED_VALUE"""),"Y")</f>
        <v>Y</v>
      </c>
      <c r="G1175" s="3"/>
      <c r="H1175" s="3"/>
      <c r="I1175" s="3" t="str">
        <f>IFERROR(__xludf.DUMMYFUNCTION("""COMPUTED_VALUE""")," ")</f>
        <v> </v>
      </c>
      <c r="J1175" s="3" t="str">
        <f>IFERROR(__xludf.DUMMYFUNCTION("""COMPUTED_VALUE""")," ")</f>
        <v> </v>
      </c>
      <c r="K1175" s="3" t="str">
        <f>IFERROR(__xludf.DUMMYFUNCTION("""COMPUTED_VALUE"""),"Y")</f>
        <v>Y</v>
      </c>
      <c r="L1175" s="3" t="str">
        <f>IFERROR(__xludf.DUMMYFUNCTION("""COMPUTED_VALUE"""),"Group 7")</f>
        <v>Group 7</v>
      </c>
      <c r="M1175" s="3"/>
      <c r="N1175" s="5" t="str">
        <f>IFERROR(__xludf.DUMMYFUNCTION("""COMPUTED_VALUE""")," ")</f>
        <v> </v>
      </c>
      <c r="O1175" s="5"/>
    </row>
    <row r="1176">
      <c r="A1176" s="2" t="str">
        <f>IFERROR(__xludf.DUMMYFUNCTION("""COMPUTED_VALUE"""),"1420")</f>
        <v>1420</v>
      </c>
      <c r="B1176" s="2" t="str">
        <f>IFERROR(__xludf.DUMMYFUNCTION("""COMPUTED_VALUE"""),"JEFFERSON COUNTY R-1")</f>
        <v>JEFFERSON COUNTY R-1</v>
      </c>
      <c r="C1176" s="2" t="str">
        <f>IFERROR(__xludf.DUMMYFUNCTION("""COMPUTED_VALUE"""),"08300")</f>
        <v>08300</v>
      </c>
      <c r="D1176" s="2" t="str">
        <f>IFERROR(__xludf.DUMMYFUNCTION("""COMPUTED_VALUE"""),"STOTT ELEMENTARY SCHOOL")</f>
        <v>STOTT ELEMENTARY SCHOOL</v>
      </c>
      <c r="E1176" s="3" t="str">
        <f>IFERROR(__xludf.DUMMYFUNCTION("""COMPUTED_VALUE"""),"Y")</f>
        <v>Y</v>
      </c>
      <c r="F1176" s="3" t="str">
        <f>IFERROR(__xludf.DUMMYFUNCTION("""COMPUTED_VALUE"""),"Y")</f>
        <v>Y</v>
      </c>
      <c r="G1176" s="3"/>
      <c r="H1176" s="3"/>
      <c r="I1176" s="3" t="str">
        <f>IFERROR(__xludf.DUMMYFUNCTION("""COMPUTED_VALUE""")," ")</f>
        <v> </v>
      </c>
      <c r="J1176" s="3" t="str">
        <f>IFERROR(__xludf.DUMMYFUNCTION("""COMPUTED_VALUE""")," ")</f>
        <v> </v>
      </c>
      <c r="K1176" s="3" t="str">
        <f>IFERROR(__xludf.DUMMYFUNCTION("""COMPUTED_VALUE"""),"Y")</f>
        <v>Y</v>
      </c>
      <c r="L1176" s="3" t="str">
        <f>IFERROR(__xludf.DUMMYFUNCTION("""COMPUTED_VALUE"""),"Group 5")</f>
        <v>Group 5</v>
      </c>
      <c r="M1176" s="3"/>
      <c r="N1176" s="5" t="str">
        <f>IFERROR(__xludf.DUMMYFUNCTION("""COMPUTED_VALUE""")," ")</f>
        <v> </v>
      </c>
      <c r="O1176" s="5"/>
    </row>
    <row r="1177">
      <c r="A1177" s="2" t="str">
        <f>IFERROR(__xludf.DUMMYFUNCTION("""COMPUTED_VALUE"""),"1420")</f>
        <v>1420</v>
      </c>
      <c r="B1177" s="2" t="str">
        <f>IFERROR(__xludf.DUMMYFUNCTION("""COMPUTED_VALUE"""),"JEFFERSON COUNTY R-1")</f>
        <v>JEFFERSON COUNTY R-1</v>
      </c>
      <c r="C1177" s="2" t="str">
        <f>IFERROR(__xludf.DUMMYFUNCTION("""COMPUTED_VALUE"""),"08381")</f>
        <v>08381</v>
      </c>
      <c r="D1177" s="2" t="str">
        <f>IFERROR(__xludf.DUMMYFUNCTION("""COMPUTED_VALUE"""),"SUMMIT RIDGE MIDDLE SCHOOL")</f>
        <v>SUMMIT RIDGE MIDDLE SCHOOL</v>
      </c>
      <c r="E1177" s="3" t="str">
        <f>IFERROR(__xludf.DUMMYFUNCTION("""COMPUTED_VALUE"""),"Y")</f>
        <v>Y</v>
      </c>
      <c r="F1177" s="3" t="str">
        <f>IFERROR(__xludf.DUMMYFUNCTION("""COMPUTED_VALUE"""),"Y")</f>
        <v>Y</v>
      </c>
      <c r="G1177" s="3"/>
      <c r="H1177" s="3"/>
      <c r="I1177" s="3" t="str">
        <f>IFERROR(__xludf.DUMMYFUNCTION("""COMPUTED_VALUE""")," ")</f>
        <v> </v>
      </c>
      <c r="J1177" s="3" t="str">
        <f>IFERROR(__xludf.DUMMYFUNCTION("""COMPUTED_VALUE""")," ")</f>
        <v> </v>
      </c>
      <c r="K1177" s="3" t="str">
        <f>IFERROR(__xludf.DUMMYFUNCTION("""COMPUTED_VALUE"""),"Y")</f>
        <v>Y</v>
      </c>
      <c r="L1177" s="3" t="str">
        <f>IFERROR(__xludf.DUMMYFUNCTION("""COMPUTED_VALUE"""),"Group 13")</f>
        <v>Group 13</v>
      </c>
      <c r="M1177" s="3"/>
      <c r="N1177" s="5" t="str">
        <f>IFERROR(__xludf.DUMMYFUNCTION("""COMPUTED_VALUE""")," ")</f>
        <v> </v>
      </c>
      <c r="O1177" s="5"/>
    </row>
    <row r="1178">
      <c r="A1178" s="2" t="str">
        <f>IFERROR(__xludf.DUMMYFUNCTION("""COMPUTED_VALUE"""),"1420")</f>
        <v>1420</v>
      </c>
      <c r="B1178" s="2" t="str">
        <f>IFERROR(__xludf.DUMMYFUNCTION("""COMPUTED_VALUE"""),"JEFFERSON COUNTY R-1")</f>
        <v>JEFFERSON COUNTY R-1</v>
      </c>
      <c r="C1178" s="2" t="str">
        <f>IFERROR(__xludf.DUMMYFUNCTION("""COMPUTED_VALUE"""),"08432")</f>
        <v>08432</v>
      </c>
      <c r="D1178" s="2" t="str">
        <f>IFERROR(__xludf.DUMMYFUNCTION("""COMPUTED_VALUE"""),"SWANSON ELEMENTARY SCHOOL")</f>
        <v>SWANSON ELEMENTARY SCHOOL</v>
      </c>
      <c r="E1178" s="3" t="str">
        <f>IFERROR(__xludf.DUMMYFUNCTION("""COMPUTED_VALUE"""),"Y")</f>
        <v>Y</v>
      </c>
      <c r="F1178" s="3" t="str">
        <f>IFERROR(__xludf.DUMMYFUNCTION("""COMPUTED_VALUE"""),"Y")</f>
        <v>Y</v>
      </c>
      <c r="G1178" s="3"/>
      <c r="H1178" s="3"/>
      <c r="I1178" s="3" t="str">
        <f>IFERROR(__xludf.DUMMYFUNCTION("""COMPUTED_VALUE"""),"Y")</f>
        <v>Y</v>
      </c>
      <c r="J1178" s="3" t="str">
        <f>IFERROR(__xludf.DUMMYFUNCTION("""COMPUTED_VALUE"""),"Y")</f>
        <v>Y</v>
      </c>
      <c r="K1178" s="3" t="str">
        <f>IFERROR(__xludf.DUMMYFUNCTION("""COMPUTED_VALUE"""),"Y")</f>
        <v>Y</v>
      </c>
      <c r="L1178" s="3" t="str">
        <f>IFERROR(__xludf.DUMMYFUNCTION("""COMPUTED_VALUE"""),"Group 15")</f>
        <v>Group 15</v>
      </c>
      <c r="M1178" s="3"/>
      <c r="N1178" s="5" t="str">
        <f>IFERROR(__xludf.DUMMYFUNCTION("""COMPUTED_VALUE""")," ")</f>
        <v> </v>
      </c>
      <c r="O1178" s="5"/>
    </row>
    <row r="1179">
      <c r="A1179" s="2" t="str">
        <f>IFERROR(__xludf.DUMMYFUNCTION("""COMPUTED_VALUE"""),"1420")</f>
        <v>1420</v>
      </c>
      <c r="B1179" s="2" t="str">
        <f>IFERROR(__xludf.DUMMYFUNCTION("""COMPUTED_VALUE"""),"JEFFERSON COUNTY R-1")</f>
        <v>JEFFERSON COUNTY R-1</v>
      </c>
      <c r="C1179" s="2" t="str">
        <f>IFERROR(__xludf.DUMMYFUNCTION("""COMPUTED_VALUE"""),"08856")</f>
        <v>08856</v>
      </c>
      <c r="D1179" s="2" t="str">
        <f>IFERROR(__xludf.DUMMYFUNCTION("""COMPUTED_VALUE"""),"Three Creeks K-8")</f>
        <v>Three Creeks K-8</v>
      </c>
      <c r="E1179" s="3" t="str">
        <f>IFERROR(__xludf.DUMMYFUNCTION("""COMPUTED_VALUE"""),"Y")</f>
        <v>Y</v>
      </c>
      <c r="F1179" s="3" t="str">
        <f>IFERROR(__xludf.DUMMYFUNCTION("""COMPUTED_VALUE"""),"Y")</f>
        <v>Y</v>
      </c>
      <c r="G1179" s="3"/>
      <c r="H1179" s="3"/>
      <c r="I1179" s="3" t="str">
        <f>IFERROR(__xludf.DUMMYFUNCTION("""COMPUTED_VALUE""")," ")</f>
        <v> </v>
      </c>
      <c r="J1179" s="3" t="str">
        <f>IFERROR(__xludf.DUMMYFUNCTION("""COMPUTED_VALUE""")," ")</f>
        <v> </v>
      </c>
      <c r="K1179" s="3" t="str">
        <f>IFERROR(__xludf.DUMMYFUNCTION("""COMPUTED_VALUE"""),"Y")</f>
        <v>Y</v>
      </c>
      <c r="L1179" s="3" t="str">
        <f>IFERROR(__xludf.DUMMYFUNCTION("""COMPUTED_VALUE""")," ")</f>
        <v> </v>
      </c>
      <c r="M1179" s="3"/>
      <c r="N1179" s="5" t="str">
        <f>IFERROR(__xludf.DUMMYFUNCTION("""COMPUTED_VALUE""")," ")</f>
        <v> </v>
      </c>
      <c r="O1179" s="5"/>
    </row>
    <row r="1180">
      <c r="A1180" s="2" t="str">
        <f>IFERROR(__xludf.DUMMYFUNCTION("""COMPUTED_VALUE"""),"1420")</f>
        <v>1420</v>
      </c>
      <c r="B1180" s="2" t="str">
        <f>IFERROR(__xludf.DUMMYFUNCTION("""COMPUTED_VALUE"""),"JEFFERSON COUNTY R-1")</f>
        <v>JEFFERSON COUNTY R-1</v>
      </c>
      <c r="C1180" s="2" t="str">
        <f>IFERROR(__xludf.DUMMYFUNCTION("""COMPUTED_VALUE"""),"09008")</f>
        <v>09008</v>
      </c>
      <c r="D1180" s="2" t="str">
        <f>IFERROR(__xludf.DUMMYFUNCTION("""COMPUTED_VALUE"""),"UTE MEADOWS ELEMENTARY SCHOOL")</f>
        <v>UTE MEADOWS ELEMENTARY SCHOOL</v>
      </c>
      <c r="E1180" s="3" t="str">
        <f>IFERROR(__xludf.DUMMYFUNCTION("""COMPUTED_VALUE"""),"Y")</f>
        <v>Y</v>
      </c>
      <c r="F1180" s="3" t="str">
        <f>IFERROR(__xludf.DUMMYFUNCTION("""COMPUTED_VALUE"""),"Y")</f>
        <v>Y</v>
      </c>
      <c r="G1180" s="3"/>
      <c r="H1180" s="3"/>
      <c r="I1180" s="3" t="str">
        <f>IFERROR(__xludf.DUMMYFUNCTION("""COMPUTED_VALUE""")," ")</f>
        <v> </v>
      </c>
      <c r="J1180" s="3" t="str">
        <f>IFERROR(__xludf.DUMMYFUNCTION("""COMPUTED_VALUE""")," ")</f>
        <v> </v>
      </c>
      <c r="K1180" s="3" t="str">
        <f>IFERROR(__xludf.DUMMYFUNCTION("""COMPUTED_VALUE"""),"Y")</f>
        <v>Y</v>
      </c>
      <c r="L1180" s="3" t="str">
        <f>IFERROR(__xludf.DUMMYFUNCTION("""COMPUTED_VALUE""")," ")</f>
        <v> </v>
      </c>
      <c r="M1180" s="3"/>
      <c r="N1180" s="5" t="str">
        <f>IFERROR(__xludf.DUMMYFUNCTION("""COMPUTED_VALUE""")," ")</f>
        <v> </v>
      </c>
      <c r="O1180" s="5"/>
    </row>
    <row r="1181">
      <c r="A1181" s="2" t="str">
        <f>IFERROR(__xludf.DUMMYFUNCTION("""COMPUTED_VALUE"""),"1420")</f>
        <v>1420</v>
      </c>
      <c r="B1181" s="2" t="str">
        <f>IFERROR(__xludf.DUMMYFUNCTION("""COMPUTED_VALUE"""),"JEFFERSON COUNTY R-1")</f>
        <v>JEFFERSON COUNTY R-1</v>
      </c>
      <c r="C1181" s="2" t="str">
        <f>IFERROR(__xludf.DUMMYFUNCTION("""COMPUTED_VALUE"""),"09052")</f>
        <v>09052</v>
      </c>
      <c r="D1181" s="2" t="str">
        <f>IFERROR(__xludf.DUMMYFUNCTION("""COMPUTED_VALUE"""),"VAN ARSDALE ELEMENTARY SCHOOL")</f>
        <v>VAN ARSDALE ELEMENTARY SCHOOL</v>
      </c>
      <c r="E1181" s="3" t="str">
        <f>IFERROR(__xludf.DUMMYFUNCTION("""COMPUTED_VALUE"""),"Y")</f>
        <v>Y</v>
      </c>
      <c r="F1181" s="3" t="str">
        <f>IFERROR(__xludf.DUMMYFUNCTION("""COMPUTED_VALUE"""),"Y")</f>
        <v>Y</v>
      </c>
      <c r="G1181" s="3"/>
      <c r="H1181" s="3"/>
      <c r="I1181" s="3" t="str">
        <f>IFERROR(__xludf.DUMMYFUNCTION("""COMPUTED_VALUE""")," ")</f>
        <v> </v>
      </c>
      <c r="J1181" s="3" t="str">
        <f>IFERROR(__xludf.DUMMYFUNCTION("""COMPUTED_VALUE""")," ")</f>
        <v> </v>
      </c>
      <c r="K1181" s="3" t="str">
        <f>IFERROR(__xludf.DUMMYFUNCTION("""COMPUTED_VALUE"""),"Y")</f>
        <v>Y</v>
      </c>
      <c r="L1181" s="3" t="str">
        <f>IFERROR(__xludf.DUMMYFUNCTION("""COMPUTED_VALUE"""),"Group 9")</f>
        <v>Group 9</v>
      </c>
      <c r="M1181" s="3"/>
      <c r="N1181" s="5" t="str">
        <f>IFERROR(__xludf.DUMMYFUNCTION("""COMPUTED_VALUE""")," ")</f>
        <v> </v>
      </c>
      <c r="O1181" s="5"/>
    </row>
    <row r="1182">
      <c r="A1182" s="2" t="str">
        <f>IFERROR(__xludf.DUMMYFUNCTION("""COMPUTED_VALUE"""),"1420")</f>
        <v>1420</v>
      </c>
      <c r="B1182" s="2" t="str">
        <f>IFERROR(__xludf.DUMMYFUNCTION("""COMPUTED_VALUE"""),"JEFFERSON COUNTY R-1")</f>
        <v>JEFFERSON COUNTY R-1</v>
      </c>
      <c r="C1182" s="2" t="str">
        <f>IFERROR(__xludf.DUMMYFUNCTION("""COMPUTED_VALUE"""),"09058")</f>
        <v>09058</v>
      </c>
      <c r="D1182" s="2" t="str">
        <f>IFERROR(__xludf.DUMMYFUNCTION("""COMPUTED_VALUE"""),"VANDERHOOF ELEMENTARY SCHOOL")</f>
        <v>VANDERHOOF ELEMENTARY SCHOOL</v>
      </c>
      <c r="E1182" s="3" t="str">
        <f>IFERROR(__xludf.DUMMYFUNCTION("""COMPUTED_VALUE"""),"Y")</f>
        <v>Y</v>
      </c>
      <c r="F1182" s="3" t="str">
        <f>IFERROR(__xludf.DUMMYFUNCTION("""COMPUTED_VALUE"""),"Y")</f>
        <v>Y</v>
      </c>
      <c r="G1182" s="3"/>
      <c r="H1182" s="3"/>
      <c r="I1182" s="3" t="str">
        <f>IFERROR(__xludf.DUMMYFUNCTION("""COMPUTED_VALUE""")," ")</f>
        <v> </v>
      </c>
      <c r="J1182" s="3" t="str">
        <f>IFERROR(__xludf.DUMMYFUNCTION("""COMPUTED_VALUE""")," ")</f>
        <v> </v>
      </c>
      <c r="K1182" s="3" t="str">
        <f>IFERROR(__xludf.DUMMYFUNCTION("""COMPUTED_VALUE"""),"Y")</f>
        <v>Y</v>
      </c>
      <c r="L1182" s="3" t="str">
        <f>IFERROR(__xludf.DUMMYFUNCTION("""COMPUTED_VALUE"""),"Group 21")</f>
        <v>Group 21</v>
      </c>
      <c r="M1182" s="3"/>
      <c r="N1182" s="5" t="str">
        <f>IFERROR(__xludf.DUMMYFUNCTION("""COMPUTED_VALUE""")," ")</f>
        <v> </v>
      </c>
      <c r="O1182" s="5"/>
    </row>
    <row r="1183">
      <c r="A1183" s="2" t="str">
        <f>IFERROR(__xludf.DUMMYFUNCTION("""COMPUTED_VALUE"""),"1420")</f>
        <v>1420</v>
      </c>
      <c r="B1183" s="2" t="str">
        <f>IFERROR(__xludf.DUMMYFUNCTION("""COMPUTED_VALUE"""),"JEFFERSON COUNTY R-1")</f>
        <v>JEFFERSON COUNTY R-1</v>
      </c>
      <c r="C1183" s="2" t="str">
        <f>IFERROR(__xludf.DUMMYFUNCTION("""COMPUTED_VALUE"""),"09232")</f>
        <v>09232</v>
      </c>
      <c r="D1183" s="2" t="str">
        <f>IFERROR(__xludf.DUMMYFUNCTION("""COMPUTED_VALUE"""),"WARDER ELEMENTARY SCHOOL")</f>
        <v>WARDER ELEMENTARY SCHOOL</v>
      </c>
      <c r="E1183" s="3" t="str">
        <f>IFERROR(__xludf.DUMMYFUNCTION("""COMPUTED_VALUE"""),"Y")</f>
        <v>Y</v>
      </c>
      <c r="F1183" s="3" t="str">
        <f>IFERROR(__xludf.DUMMYFUNCTION("""COMPUTED_VALUE"""),"Y")</f>
        <v>Y</v>
      </c>
      <c r="G1183" s="3"/>
      <c r="H1183" s="3"/>
      <c r="I1183" s="3" t="str">
        <f>IFERROR(__xludf.DUMMYFUNCTION("""COMPUTED_VALUE""")," ")</f>
        <v> </v>
      </c>
      <c r="J1183" s="3" t="str">
        <f>IFERROR(__xludf.DUMMYFUNCTION("""COMPUTED_VALUE""")," ")</f>
        <v> </v>
      </c>
      <c r="K1183" s="3" t="str">
        <f>IFERROR(__xludf.DUMMYFUNCTION("""COMPUTED_VALUE"""),"Y")</f>
        <v>Y</v>
      </c>
      <c r="L1183" s="3" t="str">
        <f>IFERROR(__xludf.DUMMYFUNCTION("""COMPUTED_VALUE"""),"Group 1")</f>
        <v>Group 1</v>
      </c>
      <c r="M1183" s="3"/>
      <c r="N1183" s="5" t="str">
        <f>IFERROR(__xludf.DUMMYFUNCTION("""COMPUTED_VALUE""")," ")</f>
        <v> </v>
      </c>
      <c r="O1183" s="5"/>
    </row>
    <row r="1184">
      <c r="A1184" s="2" t="str">
        <f>IFERROR(__xludf.DUMMYFUNCTION("""COMPUTED_VALUE"""),"1420")</f>
        <v>1420</v>
      </c>
      <c r="B1184" s="2" t="str">
        <f>IFERROR(__xludf.DUMMYFUNCTION("""COMPUTED_VALUE"""),"JEFFERSON COUNTY R-1")</f>
        <v>JEFFERSON COUNTY R-1</v>
      </c>
      <c r="C1184" s="2" t="str">
        <f>IFERROR(__xludf.DUMMYFUNCTION("""COMPUTED_VALUE"""),"09299")</f>
        <v>09299</v>
      </c>
      <c r="D1184" s="2" t="str">
        <f>IFERROR(__xludf.DUMMYFUNCTION("""COMPUTED_VALUE"""),"WAYNE CARLE MIDDLE SCHOOL")</f>
        <v>WAYNE CARLE MIDDLE SCHOOL</v>
      </c>
      <c r="E1184" s="3" t="str">
        <f>IFERROR(__xludf.DUMMYFUNCTION("""COMPUTED_VALUE"""),"Y")</f>
        <v>Y</v>
      </c>
      <c r="F1184" s="3" t="str">
        <f>IFERROR(__xludf.DUMMYFUNCTION("""COMPUTED_VALUE"""),"Y")</f>
        <v>Y</v>
      </c>
      <c r="G1184" s="3"/>
      <c r="H1184" s="3"/>
      <c r="I1184" s="3" t="str">
        <f>IFERROR(__xludf.DUMMYFUNCTION("""COMPUTED_VALUE""")," ")</f>
        <v> </v>
      </c>
      <c r="J1184" s="3" t="str">
        <f>IFERROR(__xludf.DUMMYFUNCTION("""COMPUTED_VALUE""")," ")</f>
        <v> </v>
      </c>
      <c r="K1184" s="3" t="str">
        <f>IFERROR(__xludf.DUMMYFUNCTION("""COMPUTED_VALUE"""),"Y")</f>
        <v>Y</v>
      </c>
      <c r="L1184" s="3" t="str">
        <f>IFERROR(__xludf.DUMMYFUNCTION("""COMPUTED_VALUE"""),"Group 4")</f>
        <v>Group 4</v>
      </c>
      <c r="M1184" s="3"/>
      <c r="N1184" s="5" t="str">
        <f>IFERROR(__xludf.DUMMYFUNCTION("""COMPUTED_VALUE""")," ")</f>
        <v> </v>
      </c>
      <c r="O1184" s="5"/>
    </row>
    <row r="1185">
      <c r="A1185" s="2" t="str">
        <f>IFERROR(__xludf.DUMMYFUNCTION("""COMPUTED_VALUE"""),"1420")</f>
        <v>1420</v>
      </c>
      <c r="B1185" s="2" t="str">
        <f>IFERROR(__xludf.DUMMYFUNCTION("""COMPUTED_VALUE"""),"JEFFERSON COUNTY R-1")</f>
        <v>JEFFERSON COUNTY R-1</v>
      </c>
      <c r="C1185" s="2" t="str">
        <f>IFERROR(__xludf.DUMMYFUNCTION("""COMPUTED_VALUE"""),"09328")</f>
        <v>09328</v>
      </c>
      <c r="D1185" s="2" t="str">
        <f>IFERROR(__xludf.DUMMYFUNCTION("""COMPUTED_VALUE"""),"WEBER ELEMENTARY SCHOOL")</f>
        <v>WEBER ELEMENTARY SCHOOL</v>
      </c>
      <c r="E1185" s="3" t="str">
        <f>IFERROR(__xludf.DUMMYFUNCTION("""COMPUTED_VALUE"""),"Y")</f>
        <v>Y</v>
      </c>
      <c r="F1185" s="3" t="str">
        <f>IFERROR(__xludf.DUMMYFUNCTION("""COMPUTED_VALUE"""),"Y")</f>
        <v>Y</v>
      </c>
      <c r="G1185" s="3"/>
      <c r="H1185" s="3"/>
      <c r="I1185" s="3" t="str">
        <f>IFERROR(__xludf.DUMMYFUNCTION("""COMPUTED_VALUE""")," ")</f>
        <v> </v>
      </c>
      <c r="J1185" s="3" t="str">
        <f>IFERROR(__xludf.DUMMYFUNCTION("""COMPUTED_VALUE""")," ")</f>
        <v> </v>
      </c>
      <c r="K1185" s="3" t="str">
        <f>IFERROR(__xludf.DUMMYFUNCTION("""COMPUTED_VALUE"""),"Y")</f>
        <v>Y</v>
      </c>
      <c r="L1185" s="3" t="str">
        <f>IFERROR(__xludf.DUMMYFUNCTION("""COMPUTED_VALUE"""),"Group 4")</f>
        <v>Group 4</v>
      </c>
      <c r="M1185" s="3"/>
      <c r="N1185" s="5" t="str">
        <f>IFERROR(__xludf.DUMMYFUNCTION("""COMPUTED_VALUE""")," ")</f>
        <v> </v>
      </c>
      <c r="O1185" s="5"/>
    </row>
    <row r="1186">
      <c r="A1186" s="2" t="str">
        <f>IFERROR(__xludf.DUMMYFUNCTION("""COMPUTED_VALUE"""),"1420")</f>
        <v>1420</v>
      </c>
      <c r="B1186" s="2" t="str">
        <f>IFERROR(__xludf.DUMMYFUNCTION("""COMPUTED_VALUE"""),"JEFFERSON COUNTY R-1")</f>
        <v>JEFFERSON COUNTY R-1</v>
      </c>
      <c r="C1186" s="2" t="str">
        <f>IFERROR(__xludf.DUMMYFUNCTION("""COMPUTED_VALUE"""),"09342")</f>
        <v>09342</v>
      </c>
      <c r="D1186" s="2" t="str">
        <f>IFERROR(__xludf.DUMMYFUNCTION("""COMPUTED_VALUE"""),"WELCHESTER ELEMENTARY SCHOOL")</f>
        <v>WELCHESTER ELEMENTARY SCHOOL</v>
      </c>
      <c r="E1186" s="3" t="str">
        <f>IFERROR(__xludf.DUMMYFUNCTION("""COMPUTED_VALUE"""),"Y")</f>
        <v>Y</v>
      </c>
      <c r="F1186" s="3" t="str">
        <f>IFERROR(__xludf.DUMMYFUNCTION("""COMPUTED_VALUE"""),"Y")</f>
        <v>Y</v>
      </c>
      <c r="G1186" s="3"/>
      <c r="H1186" s="3"/>
      <c r="I1186" s="3" t="str">
        <f>IFERROR(__xludf.DUMMYFUNCTION("""COMPUTED_VALUE""")," ")</f>
        <v> </v>
      </c>
      <c r="J1186" s="3" t="str">
        <f>IFERROR(__xludf.DUMMYFUNCTION("""COMPUTED_VALUE"""),"Y")</f>
        <v>Y</v>
      </c>
      <c r="K1186" s="3" t="str">
        <f>IFERROR(__xludf.DUMMYFUNCTION("""COMPUTED_VALUE"""),"Y")</f>
        <v>Y</v>
      </c>
      <c r="L1186" s="3" t="str">
        <f>IFERROR(__xludf.DUMMYFUNCTION("""COMPUTED_VALUE"""),"Group 23")</f>
        <v>Group 23</v>
      </c>
      <c r="M1186" s="3"/>
      <c r="N1186" s="5" t="str">
        <f>IFERROR(__xludf.DUMMYFUNCTION("""COMPUTED_VALUE""")," ")</f>
        <v> </v>
      </c>
      <c r="O1186" s="5"/>
    </row>
    <row r="1187">
      <c r="A1187" s="2" t="str">
        <f>IFERROR(__xludf.DUMMYFUNCTION("""COMPUTED_VALUE"""),"1420")</f>
        <v>1420</v>
      </c>
      <c r="B1187" s="2" t="str">
        <f>IFERROR(__xludf.DUMMYFUNCTION("""COMPUTED_VALUE"""),"JEFFERSON COUNTY R-1")</f>
        <v>JEFFERSON COUNTY R-1</v>
      </c>
      <c r="C1187" s="2" t="str">
        <f>IFERROR(__xludf.DUMMYFUNCTION("""COMPUTED_VALUE"""),"09412")</f>
        <v>09412</v>
      </c>
      <c r="D1187" s="2" t="str">
        <f>IFERROR(__xludf.DUMMYFUNCTION("""COMPUTED_VALUE"""),"WESTGATE ELEMENTARY SCHOOL")</f>
        <v>WESTGATE ELEMENTARY SCHOOL</v>
      </c>
      <c r="E1187" s="3" t="str">
        <f>IFERROR(__xludf.DUMMYFUNCTION("""COMPUTED_VALUE"""),"Y")</f>
        <v>Y</v>
      </c>
      <c r="F1187" s="3" t="str">
        <f>IFERROR(__xludf.DUMMYFUNCTION("""COMPUTED_VALUE"""),"Y")</f>
        <v>Y</v>
      </c>
      <c r="G1187" s="3"/>
      <c r="H1187" s="3"/>
      <c r="I1187" s="3" t="str">
        <f>IFERROR(__xludf.DUMMYFUNCTION("""COMPUTED_VALUE"""),"Y")</f>
        <v>Y</v>
      </c>
      <c r="J1187" s="3" t="str">
        <f>IFERROR(__xludf.DUMMYFUNCTION("""COMPUTED_VALUE""")," ")</f>
        <v> </v>
      </c>
      <c r="K1187" s="3" t="str">
        <f>IFERROR(__xludf.DUMMYFUNCTION("""COMPUTED_VALUE"""),"Y")</f>
        <v>Y</v>
      </c>
      <c r="L1187" s="3" t="str">
        <f>IFERROR(__xludf.DUMMYFUNCTION("""COMPUTED_VALUE"""),"Group 4")</f>
        <v>Group 4</v>
      </c>
      <c r="M1187" s="3"/>
      <c r="N1187" s="5" t="str">
        <f>IFERROR(__xludf.DUMMYFUNCTION("""COMPUTED_VALUE""")," ")</f>
        <v> </v>
      </c>
      <c r="O1187" s="5"/>
    </row>
    <row r="1188">
      <c r="A1188" s="2" t="str">
        <f>IFERROR(__xludf.DUMMYFUNCTION("""COMPUTED_VALUE"""),"1420")</f>
        <v>1420</v>
      </c>
      <c r="B1188" s="2" t="str">
        <f>IFERROR(__xludf.DUMMYFUNCTION("""COMPUTED_VALUE"""),"JEFFERSON COUNTY R-1")</f>
        <v>JEFFERSON COUNTY R-1</v>
      </c>
      <c r="C1188" s="2" t="str">
        <f>IFERROR(__xludf.DUMMYFUNCTION("""COMPUTED_VALUE"""),"09424")</f>
        <v>09424</v>
      </c>
      <c r="D1188" s="2" t="str">
        <f>IFERROR(__xludf.DUMMYFUNCTION("""COMPUTED_VALUE"""),"WEST JEFFERSON ELEMENTARY SCHOOL")</f>
        <v>WEST JEFFERSON ELEMENTARY SCHOOL</v>
      </c>
      <c r="E1188" s="3" t="str">
        <f>IFERROR(__xludf.DUMMYFUNCTION("""COMPUTED_VALUE"""),"Y")</f>
        <v>Y</v>
      </c>
      <c r="F1188" s="3" t="str">
        <f>IFERROR(__xludf.DUMMYFUNCTION("""COMPUTED_VALUE"""),"Y")</f>
        <v>Y</v>
      </c>
      <c r="G1188" s="3"/>
      <c r="H1188" s="3"/>
      <c r="I1188" s="3" t="str">
        <f>IFERROR(__xludf.DUMMYFUNCTION("""COMPUTED_VALUE""")," ")</f>
        <v> </v>
      </c>
      <c r="J1188" s="3" t="str">
        <f>IFERROR(__xludf.DUMMYFUNCTION("""COMPUTED_VALUE""")," ")</f>
        <v> </v>
      </c>
      <c r="K1188" s="3" t="str">
        <f>IFERROR(__xludf.DUMMYFUNCTION("""COMPUTED_VALUE"""),"Y")</f>
        <v>Y</v>
      </c>
      <c r="L1188" s="3" t="str">
        <f>IFERROR(__xludf.DUMMYFUNCTION("""COMPUTED_VALUE""")," ")</f>
        <v> </v>
      </c>
      <c r="M1188" s="3"/>
      <c r="N1188" s="5" t="str">
        <f>IFERROR(__xludf.DUMMYFUNCTION("""COMPUTED_VALUE""")," ")</f>
        <v> </v>
      </c>
      <c r="O1188" s="5"/>
    </row>
    <row r="1189">
      <c r="A1189" s="2" t="str">
        <f>IFERROR(__xludf.DUMMYFUNCTION("""COMPUTED_VALUE"""),"1420")</f>
        <v>1420</v>
      </c>
      <c r="B1189" s="2" t="str">
        <f>IFERROR(__xludf.DUMMYFUNCTION("""COMPUTED_VALUE"""),"JEFFERSON COUNTY R-1")</f>
        <v>JEFFERSON COUNTY R-1</v>
      </c>
      <c r="C1189" s="2" t="str">
        <f>IFERROR(__xludf.DUMMYFUNCTION("""COMPUTED_VALUE"""),"09428")</f>
        <v>09428</v>
      </c>
      <c r="D1189" s="2" t="str">
        <f>IFERROR(__xludf.DUMMYFUNCTION("""COMPUTED_VALUE"""),"WEST JEFFERSON MIDDLE SCHOOL")</f>
        <v>WEST JEFFERSON MIDDLE SCHOOL</v>
      </c>
      <c r="E1189" s="3" t="str">
        <f>IFERROR(__xludf.DUMMYFUNCTION("""COMPUTED_VALUE"""),"Y")</f>
        <v>Y</v>
      </c>
      <c r="F1189" s="3" t="str">
        <f>IFERROR(__xludf.DUMMYFUNCTION("""COMPUTED_VALUE"""),"Y")</f>
        <v>Y</v>
      </c>
      <c r="G1189" s="3"/>
      <c r="H1189" s="3"/>
      <c r="I1189" s="3" t="str">
        <f>IFERROR(__xludf.DUMMYFUNCTION("""COMPUTED_VALUE""")," ")</f>
        <v> </v>
      </c>
      <c r="J1189" s="3" t="str">
        <f>IFERROR(__xludf.DUMMYFUNCTION("""COMPUTED_VALUE""")," ")</f>
        <v> </v>
      </c>
      <c r="K1189" s="3" t="str">
        <f>IFERROR(__xludf.DUMMYFUNCTION("""COMPUTED_VALUE"""),"Y")</f>
        <v>Y</v>
      </c>
      <c r="L1189" s="3" t="str">
        <f>IFERROR(__xludf.DUMMYFUNCTION("""COMPUTED_VALUE""")," ")</f>
        <v> </v>
      </c>
      <c r="M1189" s="3"/>
      <c r="N1189" s="5" t="str">
        <f>IFERROR(__xludf.DUMMYFUNCTION("""COMPUTED_VALUE""")," ")</f>
        <v> </v>
      </c>
      <c r="O1189" s="5"/>
    </row>
    <row r="1190">
      <c r="A1190" s="2" t="str">
        <f>IFERROR(__xludf.DUMMYFUNCTION("""COMPUTED_VALUE"""),"1420")</f>
        <v>1420</v>
      </c>
      <c r="B1190" s="2" t="str">
        <f>IFERROR(__xludf.DUMMYFUNCTION("""COMPUTED_VALUE"""),"JEFFERSON COUNTY R-1")</f>
        <v>JEFFERSON COUNTY R-1</v>
      </c>
      <c r="C1190" s="2" t="str">
        <f>IFERROR(__xludf.DUMMYFUNCTION("""COMPUTED_VALUE"""),"09429")</f>
        <v>09429</v>
      </c>
      <c r="D1190" s="2" t="str">
        <f>IFERROR(__xludf.DUMMYFUNCTION("""COMPUTED_VALUE"""),"WEST WOODS ELEMENTARY SCHOOL")</f>
        <v>WEST WOODS ELEMENTARY SCHOOL</v>
      </c>
      <c r="E1190" s="3" t="str">
        <f>IFERROR(__xludf.DUMMYFUNCTION("""COMPUTED_VALUE"""),"Y")</f>
        <v>Y</v>
      </c>
      <c r="F1190" s="3" t="str">
        <f>IFERROR(__xludf.DUMMYFUNCTION("""COMPUTED_VALUE"""),"Y")</f>
        <v>Y</v>
      </c>
      <c r="G1190" s="3"/>
      <c r="H1190" s="3"/>
      <c r="I1190" s="3" t="str">
        <f>IFERROR(__xludf.DUMMYFUNCTION("""COMPUTED_VALUE""")," ")</f>
        <v> </v>
      </c>
      <c r="J1190" s="3" t="str">
        <f>IFERROR(__xludf.DUMMYFUNCTION("""COMPUTED_VALUE""")," ")</f>
        <v> </v>
      </c>
      <c r="K1190" s="3" t="str">
        <f>IFERROR(__xludf.DUMMYFUNCTION("""COMPUTED_VALUE"""),"Y")</f>
        <v>Y</v>
      </c>
      <c r="L1190" s="3" t="str">
        <f>IFERROR(__xludf.DUMMYFUNCTION("""COMPUTED_VALUE"""),"Group 9")</f>
        <v>Group 9</v>
      </c>
      <c r="M1190" s="3"/>
      <c r="N1190" s="5" t="str">
        <f>IFERROR(__xludf.DUMMYFUNCTION("""COMPUTED_VALUE""")," ")</f>
        <v> </v>
      </c>
      <c r="O1190" s="5"/>
    </row>
    <row r="1191">
      <c r="A1191" s="2" t="str">
        <f>IFERROR(__xludf.DUMMYFUNCTION("""COMPUTED_VALUE"""),"1420")</f>
        <v>1420</v>
      </c>
      <c r="B1191" s="2" t="str">
        <f>IFERROR(__xludf.DUMMYFUNCTION("""COMPUTED_VALUE"""),"JEFFERSON COUNTY R-1")</f>
        <v>JEFFERSON COUNTY R-1</v>
      </c>
      <c r="C1191" s="2" t="str">
        <f>IFERROR(__xludf.DUMMYFUNCTION("""COMPUTED_VALUE"""),"09432")</f>
        <v>09432</v>
      </c>
      <c r="D1191" s="2" t="str">
        <f>IFERROR(__xludf.DUMMYFUNCTION("""COMPUTED_VALUE"""),"DENNISON ELEMENTARY SCHOOL")</f>
        <v>DENNISON ELEMENTARY SCHOOL</v>
      </c>
      <c r="E1191" s="3" t="str">
        <f>IFERROR(__xludf.DUMMYFUNCTION("""COMPUTED_VALUE"""),"Y")</f>
        <v>Y</v>
      </c>
      <c r="F1191" s="3" t="str">
        <f>IFERROR(__xludf.DUMMYFUNCTION("""COMPUTED_VALUE"""),"Y")</f>
        <v>Y</v>
      </c>
      <c r="G1191" s="3"/>
      <c r="H1191" s="3"/>
      <c r="I1191" s="3" t="str">
        <f>IFERROR(__xludf.DUMMYFUNCTION("""COMPUTED_VALUE""")," ")</f>
        <v> </v>
      </c>
      <c r="J1191" s="3" t="str">
        <f>IFERROR(__xludf.DUMMYFUNCTION("""COMPUTED_VALUE""")," ")</f>
        <v> </v>
      </c>
      <c r="K1191" s="3" t="str">
        <f>IFERROR(__xludf.DUMMYFUNCTION("""COMPUTED_VALUE"""),"Y")</f>
        <v>Y</v>
      </c>
      <c r="L1191" s="3" t="str">
        <f>IFERROR(__xludf.DUMMYFUNCTION("""COMPUTED_VALUE"""),"Group 7")</f>
        <v>Group 7</v>
      </c>
      <c r="M1191" s="3"/>
      <c r="N1191" s="5" t="str">
        <f>IFERROR(__xludf.DUMMYFUNCTION("""COMPUTED_VALUE""")," ")</f>
        <v> </v>
      </c>
      <c r="O1191" s="5"/>
    </row>
    <row r="1192">
      <c r="A1192" s="2" t="str">
        <f>IFERROR(__xludf.DUMMYFUNCTION("""COMPUTED_VALUE"""),"1420")</f>
        <v>1420</v>
      </c>
      <c r="B1192" s="2" t="str">
        <f>IFERROR(__xludf.DUMMYFUNCTION("""COMPUTED_VALUE"""),"JEFFERSON COUNTY R-1")</f>
        <v>JEFFERSON COUNTY R-1</v>
      </c>
      <c r="C1192" s="2" t="str">
        <f>IFERROR(__xludf.DUMMYFUNCTION("""COMPUTED_VALUE"""),"09490")</f>
        <v>09490</v>
      </c>
      <c r="D1192" s="2" t="str">
        <f>IFERROR(__xludf.DUMMYFUNCTION("""COMPUTED_VALUE"""),"WESTRIDGE ELEMENTARY SCHOOL")</f>
        <v>WESTRIDGE ELEMENTARY SCHOOL</v>
      </c>
      <c r="E1192" s="3" t="str">
        <f>IFERROR(__xludf.DUMMYFUNCTION("""COMPUTED_VALUE"""),"Y")</f>
        <v>Y</v>
      </c>
      <c r="F1192" s="3" t="str">
        <f>IFERROR(__xludf.DUMMYFUNCTION("""COMPUTED_VALUE"""),"Y")</f>
        <v>Y</v>
      </c>
      <c r="G1192" s="3"/>
      <c r="H1192" s="3"/>
      <c r="I1192" s="3" t="str">
        <f>IFERROR(__xludf.DUMMYFUNCTION("""COMPUTED_VALUE""")," ")</f>
        <v> </v>
      </c>
      <c r="J1192" s="3" t="str">
        <f>IFERROR(__xludf.DUMMYFUNCTION("""COMPUTED_VALUE""")," ")</f>
        <v> </v>
      </c>
      <c r="K1192" s="3" t="str">
        <f>IFERROR(__xludf.DUMMYFUNCTION("""COMPUTED_VALUE"""),"Y")</f>
        <v>Y</v>
      </c>
      <c r="L1192" s="3" t="str">
        <f>IFERROR(__xludf.DUMMYFUNCTION("""COMPUTED_VALUE"""),"Group 17")</f>
        <v>Group 17</v>
      </c>
      <c r="M1192" s="3"/>
      <c r="N1192" s="5" t="str">
        <f>IFERROR(__xludf.DUMMYFUNCTION("""COMPUTED_VALUE""")," ")</f>
        <v> </v>
      </c>
      <c r="O1192" s="5"/>
    </row>
    <row r="1193">
      <c r="A1193" s="2" t="str">
        <f>IFERROR(__xludf.DUMMYFUNCTION("""COMPUTED_VALUE"""),"1420")</f>
        <v>1420</v>
      </c>
      <c r="B1193" s="2" t="str">
        <f>IFERROR(__xludf.DUMMYFUNCTION("""COMPUTED_VALUE"""),"JEFFERSON COUNTY R-1")</f>
        <v>JEFFERSON COUNTY R-1</v>
      </c>
      <c r="C1193" s="2" t="str">
        <f>IFERROR(__xludf.DUMMYFUNCTION("""COMPUTED_VALUE"""),"09510")</f>
        <v>09510</v>
      </c>
      <c r="D1193" s="2" t="str">
        <f>IFERROR(__xludf.DUMMYFUNCTION("""COMPUTED_VALUE"""),"WHEAT RIDGE HIGH SCHOOL")</f>
        <v>WHEAT RIDGE HIGH SCHOOL</v>
      </c>
      <c r="E1193" s="3" t="str">
        <f>IFERROR(__xludf.DUMMYFUNCTION("""COMPUTED_VALUE"""),"Y")</f>
        <v>Y</v>
      </c>
      <c r="F1193" s="3" t="str">
        <f>IFERROR(__xludf.DUMMYFUNCTION("""COMPUTED_VALUE"""),"Y")</f>
        <v>Y</v>
      </c>
      <c r="G1193" s="3"/>
      <c r="H1193" s="3"/>
      <c r="I1193" s="3" t="str">
        <f>IFERROR(__xludf.DUMMYFUNCTION("""COMPUTED_VALUE""")," ")</f>
        <v> </v>
      </c>
      <c r="J1193" s="3" t="str">
        <f>IFERROR(__xludf.DUMMYFUNCTION("""COMPUTED_VALUE""")," ")</f>
        <v> </v>
      </c>
      <c r="K1193" s="3" t="str">
        <f>IFERROR(__xludf.DUMMYFUNCTION("""COMPUTED_VALUE"""),"Y")</f>
        <v>Y</v>
      </c>
      <c r="L1193" s="3" t="str">
        <f>IFERROR(__xludf.DUMMYFUNCTION("""COMPUTED_VALUE"""),"Group 4")</f>
        <v>Group 4</v>
      </c>
      <c r="M1193" s="3"/>
      <c r="N1193" s="5" t="str">
        <f>IFERROR(__xludf.DUMMYFUNCTION("""COMPUTED_VALUE""")," ")</f>
        <v> </v>
      </c>
      <c r="O1193" s="5"/>
    </row>
    <row r="1194">
      <c r="A1194" s="2" t="str">
        <f>IFERROR(__xludf.DUMMYFUNCTION("""COMPUTED_VALUE"""),"1420")</f>
        <v>1420</v>
      </c>
      <c r="B1194" s="2" t="str">
        <f>IFERROR(__xludf.DUMMYFUNCTION("""COMPUTED_VALUE"""),"JEFFERSON COUNTY R-1")</f>
        <v>JEFFERSON COUNTY R-1</v>
      </c>
      <c r="C1194" s="2" t="str">
        <f>IFERROR(__xludf.DUMMYFUNCTION("""COMPUTED_VALUE"""),"09648")</f>
        <v>09648</v>
      </c>
      <c r="D1194" s="2" t="str">
        <f>IFERROR(__xludf.DUMMYFUNCTION("""COMPUTED_VALUE"""),"WILMOT ELEMENTARY SCHOOL")</f>
        <v>WILMOT ELEMENTARY SCHOOL</v>
      </c>
      <c r="E1194" s="3" t="str">
        <f>IFERROR(__xludf.DUMMYFUNCTION("""COMPUTED_VALUE"""),"Y")</f>
        <v>Y</v>
      </c>
      <c r="F1194" s="3" t="str">
        <f>IFERROR(__xludf.DUMMYFUNCTION("""COMPUTED_VALUE"""),"Y")</f>
        <v>Y</v>
      </c>
      <c r="G1194" s="3"/>
      <c r="H1194" s="3"/>
      <c r="I1194" s="3" t="str">
        <f>IFERROR(__xludf.DUMMYFUNCTION("""COMPUTED_VALUE""")," ")</f>
        <v> </v>
      </c>
      <c r="J1194" s="3" t="str">
        <f>IFERROR(__xludf.DUMMYFUNCTION("""COMPUTED_VALUE""")," ")</f>
        <v> </v>
      </c>
      <c r="K1194" s="3" t="str">
        <f>IFERROR(__xludf.DUMMYFUNCTION("""COMPUTED_VALUE"""),"Y")</f>
        <v>Y</v>
      </c>
      <c r="L1194" s="3" t="str">
        <f>IFERROR(__xludf.DUMMYFUNCTION("""COMPUTED_VALUE"""),"Group 4")</f>
        <v>Group 4</v>
      </c>
      <c r="M1194" s="3"/>
      <c r="N1194" s="5" t="str">
        <f>IFERROR(__xludf.DUMMYFUNCTION("""COMPUTED_VALUE""")," ")</f>
        <v> </v>
      </c>
      <c r="O1194" s="5"/>
    </row>
    <row r="1195">
      <c r="A1195" s="2" t="str">
        <f>IFERROR(__xludf.DUMMYFUNCTION("""COMPUTED_VALUE"""),"1430")</f>
        <v>1430</v>
      </c>
      <c r="B1195" s="2" t="str">
        <f>IFERROR(__xludf.DUMMYFUNCTION("""COMPUTED_VALUE"""),"EADS                RE-1")</f>
        <v>EADS                RE-1</v>
      </c>
      <c r="C1195" s="2" t="str">
        <f>IFERROR(__xludf.DUMMYFUNCTION("""COMPUTED_VALUE"""),"02328")</f>
        <v>02328</v>
      </c>
      <c r="D1195" s="2" t="str">
        <f>IFERROR(__xludf.DUMMYFUNCTION("""COMPUTED_VALUE"""),"EADS ELEMENTARY SCHOOL")</f>
        <v>EADS ELEMENTARY SCHOOL</v>
      </c>
      <c r="E1195" s="3" t="str">
        <f>IFERROR(__xludf.DUMMYFUNCTION("""COMPUTED_VALUE"""),"Y")</f>
        <v>Y</v>
      </c>
      <c r="F1195" s="3" t="str">
        <f>IFERROR(__xludf.DUMMYFUNCTION("""COMPUTED_VALUE"""),"Y")</f>
        <v>Y</v>
      </c>
      <c r="G1195" s="3"/>
      <c r="H1195" s="3" t="str">
        <f>IFERROR(__xludf.DUMMYFUNCTION("""COMPUTED_VALUE"""),"Y")</f>
        <v>Y</v>
      </c>
      <c r="I1195" s="3" t="str">
        <f>IFERROR(__xludf.DUMMYFUNCTION("""COMPUTED_VALUE""")," ")</f>
        <v> </v>
      </c>
      <c r="J1195" s="3" t="str">
        <f>IFERROR(__xludf.DUMMYFUNCTION("""COMPUTED_VALUE""")," ")</f>
        <v> </v>
      </c>
      <c r="K1195" s="3" t="str">
        <f>IFERROR(__xludf.DUMMYFUNCTION("""COMPUTED_VALUE"""),"Y")</f>
        <v>Y</v>
      </c>
      <c r="L1195" s="3" t="str">
        <f>IFERROR(__xludf.DUMMYFUNCTION("""COMPUTED_VALUE"""),"Group 2")</f>
        <v>Group 2</v>
      </c>
      <c r="M1195" s="3"/>
      <c r="N1195" s="5" t="str">
        <f>IFERROR(__xludf.DUMMYFUNCTION("""COMPUTED_VALUE""")," ")</f>
        <v> </v>
      </c>
      <c r="O1195" s="5"/>
    </row>
    <row r="1196">
      <c r="A1196" s="2" t="str">
        <f>IFERROR(__xludf.DUMMYFUNCTION("""COMPUTED_VALUE"""),"1430")</f>
        <v>1430</v>
      </c>
      <c r="B1196" s="2" t="str">
        <f>IFERROR(__xludf.DUMMYFUNCTION("""COMPUTED_VALUE"""),"EADS                RE-1")</f>
        <v>EADS                RE-1</v>
      </c>
      <c r="C1196" s="2" t="str">
        <f>IFERROR(__xludf.DUMMYFUNCTION("""COMPUTED_VALUE"""),"02332")</f>
        <v>02332</v>
      </c>
      <c r="D1196" s="2" t="str">
        <f>IFERROR(__xludf.DUMMYFUNCTION("""COMPUTED_VALUE"""),"EADS MIDDLE SCHOOL")</f>
        <v>EADS MIDDLE SCHOOL</v>
      </c>
      <c r="E1196" s="3" t="str">
        <f>IFERROR(__xludf.DUMMYFUNCTION("""COMPUTED_VALUE"""),"Y")</f>
        <v>Y</v>
      </c>
      <c r="F1196" s="3" t="str">
        <f>IFERROR(__xludf.DUMMYFUNCTION("""COMPUTED_VALUE"""),"Y")</f>
        <v>Y</v>
      </c>
      <c r="G1196" s="3"/>
      <c r="H1196" s="3"/>
      <c r="I1196" s="3" t="str">
        <f>IFERROR(__xludf.DUMMYFUNCTION("""COMPUTED_VALUE""")," ")</f>
        <v> </v>
      </c>
      <c r="J1196" s="3" t="str">
        <f>IFERROR(__xludf.DUMMYFUNCTION("""COMPUTED_VALUE""")," ")</f>
        <v> </v>
      </c>
      <c r="K1196" s="3" t="str">
        <f>IFERROR(__xludf.DUMMYFUNCTION("""COMPUTED_VALUE"""),"Y")</f>
        <v>Y</v>
      </c>
      <c r="L1196" s="3" t="str">
        <f>IFERROR(__xludf.DUMMYFUNCTION("""COMPUTED_VALUE"""),"Group 1")</f>
        <v>Group 1</v>
      </c>
      <c r="M1196" s="3"/>
      <c r="N1196" s="5" t="str">
        <f>IFERROR(__xludf.DUMMYFUNCTION("""COMPUTED_VALUE""")," ")</f>
        <v> </v>
      </c>
      <c r="O1196" s="5"/>
    </row>
    <row r="1197">
      <c r="A1197" s="2" t="str">
        <f>IFERROR(__xludf.DUMMYFUNCTION("""COMPUTED_VALUE"""),"1430")</f>
        <v>1430</v>
      </c>
      <c r="B1197" s="2" t="str">
        <f>IFERROR(__xludf.DUMMYFUNCTION("""COMPUTED_VALUE"""),"EADS                RE-1")</f>
        <v>EADS                RE-1</v>
      </c>
      <c r="C1197" s="2" t="str">
        <f>IFERROR(__xludf.DUMMYFUNCTION("""COMPUTED_VALUE"""),"02336")</f>
        <v>02336</v>
      </c>
      <c r="D1197" s="2" t="str">
        <f>IFERROR(__xludf.DUMMYFUNCTION("""COMPUTED_VALUE"""),"EADS HIGH SCHOOL")</f>
        <v>EADS HIGH SCHOOL</v>
      </c>
      <c r="E1197" s="3" t="str">
        <f>IFERROR(__xludf.DUMMYFUNCTION("""COMPUTED_VALUE"""),"Y")</f>
        <v>Y</v>
      </c>
      <c r="F1197" s="3" t="str">
        <f>IFERROR(__xludf.DUMMYFUNCTION("""COMPUTED_VALUE"""),"Y")</f>
        <v>Y</v>
      </c>
      <c r="G1197" s="3"/>
      <c r="H1197" s="3"/>
      <c r="I1197" s="3" t="str">
        <f>IFERROR(__xludf.DUMMYFUNCTION("""COMPUTED_VALUE""")," ")</f>
        <v> </v>
      </c>
      <c r="J1197" s="3" t="str">
        <f>IFERROR(__xludf.DUMMYFUNCTION("""COMPUTED_VALUE""")," ")</f>
        <v> </v>
      </c>
      <c r="K1197" s="3" t="str">
        <f>IFERROR(__xludf.DUMMYFUNCTION("""COMPUTED_VALUE"""),"Y")</f>
        <v>Y</v>
      </c>
      <c r="L1197" s="3" t="str">
        <f>IFERROR(__xludf.DUMMYFUNCTION("""COMPUTED_VALUE"""),"Group 1")</f>
        <v>Group 1</v>
      </c>
      <c r="M1197" s="3"/>
      <c r="N1197" s="5" t="str">
        <f>IFERROR(__xludf.DUMMYFUNCTION("""COMPUTED_VALUE""")," ")</f>
        <v> </v>
      </c>
      <c r="O1197" s="5"/>
    </row>
    <row r="1198">
      <c r="A1198" s="2" t="str">
        <f>IFERROR(__xludf.DUMMYFUNCTION("""COMPUTED_VALUE"""),"1440")</f>
        <v>1440</v>
      </c>
      <c r="B1198" s="2" t="str">
        <f>IFERROR(__xludf.DUMMYFUNCTION("""COMPUTED_VALUE"""),"PLAINVIEW        RE-2")</f>
        <v>PLAINVIEW        RE-2</v>
      </c>
      <c r="C1198" s="2" t="str">
        <f>IFERROR(__xludf.DUMMYFUNCTION("""COMPUTED_VALUE"""),"06992")</f>
        <v>06992</v>
      </c>
      <c r="D1198" s="2" t="str">
        <f>IFERROR(__xludf.DUMMYFUNCTION("""COMPUTED_VALUE"""),"PLAINVIEW ELEMENTARY SCHOOL")</f>
        <v>PLAINVIEW ELEMENTARY SCHOOL</v>
      </c>
      <c r="E1198" s="3" t="str">
        <f>IFERROR(__xludf.DUMMYFUNCTION("""COMPUTED_VALUE"""),"Y")</f>
        <v>Y</v>
      </c>
      <c r="F1198" s="3" t="str">
        <f>IFERROR(__xludf.DUMMYFUNCTION("""COMPUTED_VALUE"""),"Y")</f>
        <v>Y</v>
      </c>
      <c r="G1198" s="3"/>
      <c r="H1198" s="3"/>
      <c r="I1198" s="3" t="str">
        <f>IFERROR(__xludf.DUMMYFUNCTION("""COMPUTED_VALUE""")," ")</f>
        <v> </v>
      </c>
      <c r="J1198" s="3" t="str">
        <f>IFERROR(__xludf.DUMMYFUNCTION("""COMPUTED_VALUE""")," ")</f>
        <v> </v>
      </c>
      <c r="K1198" s="3" t="str">
        <f>IFERROR(__xludf.DUMMYFUNCTION("""COMPUTED_VALUE"""),"Y")</f>
        <v>Y</v>
      </c>
      <c r="L1198" s="3" t="str">
        <f>IFERROR(__xludf.DUMMYFUNCTION("""COMPUTED_VALUE""")," ")</f>
        <v> </v>
      </c>
      <c r="M1198" s="3" t="str">
        <f>IFERROR(__xludf.DUMMYFUNCTION("""COMPUTED_VALUE"""),"Base Year")</f>
        <v>Base Year</v>
      </c>
      <c r="N1198" s="5" t="str">
        <f>IFERROR(__xludf.DUMMYFUNCTION("""COMPUTED_VALUE""")," ")</f>
        <v> </v>
      </c>
      <c r="O1198" s="5"/>
    </row>
    <row r="1199">
      <c r="A1199" s="2" t="str">
        <f>IFERROR(__xludf.DUMMYFUNCTION("""COMPUTED_VALUE"""),"1440")</f>
        <v>1440</v>
      </c>
      <c r="B1199" s="2" t="str">
        <f>IFERROR(__xludf.DUMMYFUNCTION("""COMPUTED_VALUE"""),"PLAINVIEW        RE-2")</f>
        <v>PLAINVIEW        RE-2</v>
      </c>
      <c r="C1199" s="2" t="str">
        <f>IFERROR(__xludf.DUMMYFUNCTION("""COMPUTED_VALUE"""),"07009")</f>
        <v>07009</v>
      </c>
      <c r="D1199" s="2" t="str">
        <f>IFERROR(__xludf.DUMMYFUNCTION("""COMPUTED_VALUE"""),"PLAINVIEW JUNIOR-SENIOR HIGH SCHOOL")</f>
        <v>PLAINVIEW JUNIOR-SENIOR HIGH SCHOOL</v>
      </c>
      <c r="E1199" s="3" t="str">
        <f>IFERROR(__xludf.DUMMYFUNCTION("""COMPUTED_VALUE"""),"Y")</f>
        <v>Y</v>
      </c>
      <c r="F1199" s="3" t="str">
        <f>IFERROR(__xludf.DUMMYFUNCTION("""COMPUTED_VALUE"""),"Y")</f>
        <v>Y</v>
      </c>
      <c r="G1199" s="3"/>
      <c r="H1199" s="3"/>
      <c r="I1199" s="3" t="str">
        <f>IFERROR(__xludf.DUMMYFUNCTION("""COMPUTED_VALUE""")," ")</f>
        <v> </v>
      </c>
      <c r="J1199" s="3" t="str">
        <f>IFERROR(__xludf.DUMMYFUNCTION("""COMPUTED_VALUE""")," ")</f>
        <v> </v>
      </c>
      <c r="K1199" s="3" t="str">
        <f>IFERROR(__xludf.DUMMYFUNCTION("""COMPUTED_VALUE"""),"Y")</f>
        <v>Y</v>
      </c>
      <c r="L1199" s="3" t="str">
        <f>IFERROR(__xludf.DUMMYFUNCTION("""COMPUTED_VALUE""")," ")</f>
        <v> </v>
      </c>
      <c r="M1199" s="3" t="str">
        <f>IFERROR(__xludf.DUMMYFUNCTION("""COMPUTED_VALUE"""),"Base year")</f>
        <v>Base year</v>
      </c>
      <c r="N1199" s="5" t="str">
        <f>IFERROR(__xludf.DUMMYFUNCTION("""COMPUTED_VALUE""")," ")</f>
        <v> </v>
      </c>
      <c r="O1199" s="5"/>
    </row>
    <row r="1200">
      <c r="A1200" s="2" t="str">
        <f>IFERROR(__xludf.DUMMYFUNCTION("""COMPUTED_VALUE"""),"1450")</f>
        <v>1450</v>
      </c>
      <c r="B1200" s="2" t="str">
        <f>IFERROR(__xludf.DUMMYFUNCTION("""COMPUTED_VALUE"""),"ARRIBA-FLAGLER      C-20")</f>
        <v>ARRIBA-FLAGLER      C-20</v>
      </c>
      <c r="C1200" s="2" t="str">
        <f>IFERROR(__xludf.DUMMYFUNCTION("""COMPUTED_VALUE"""),"02960")</f>
        <v>02960</v>
      </c>
      <c r="D1200" s="2" t="str">
        <f>IFERROR(__xludf.DUMMYFUNCTION("""COMPUTED_VALUE"""),"FLAGLER PUBLIC SCHOOL")</f>
        <v>FLAGLER PUBLIC SCHOOL</v>
      </c>
      <c r="E1200" s="3" t="str">
        <f>IFERROR(__xludf.DUMMYFUNCTION("""COMPUTED_VALUE"""),"Y")</f>
        <v>Y</v>
      </c>
      <c r="F1200" s="3" t="str">
        <f>IFERROR(__xludf.DUMMYFUNCTION("""COMPUTED_VALUE"""),"Y")</f>
        <v>Y</v>
      </c>
      <c r="G1200" s="3"/>
      <c r="H1200" s="3"/>
      <c r="I1200" s="3" t="str">
        <f>IFERROR(__xludf.DUMMYFUNCTION("""COMPUTED_VALUE""")," ")</f>
        <v> </v>
      </c>
      <c r="J1200" s="3" t="str">
        <f>IFERROR(__xludf.DUMMYFUNCTION("""COMPUTED_VALUE""")," ")</f>
        <v> </v>
      </c>
      <c r="K1200" s="3" t="str">
        <f>IFERROR(__xludf.DUMMYFUNCTION("""COMPUTED_VALUE"""),"Y")</f>
        <v>Y</v>
      </c>
      <c r="L1200" s="3" t="str">
        <f>IFERROR(__xludf.DUMMYFUNCTION("""COMPUTED_VALUE"""),"Group 1")</f>
        <v>Group 1</v>
      </c>
      <c r="M1200" s="3"/>
      <c r="N1200" s="5" t="str">
        <f>IFERROR(__xludf.DUMMYFUNCTION("""COMPUTED_VALUE""")," ")</f>
        <v> </v>
      </c>
      <c r="O1200" s="5"/>
    </row>
    <row r="1201">
      <c r="A1201" s="2" t="str">
        <f>IFERROR(__xludf.DUMMYFUNCTION("""COMPUTED_VALUE"""),"1460")</f>
        <v>1460</v>
      </c>
      <c r="B1201" s="2" t="str">
        <f>IFERROR(__xludf.DUMMYFUNCTION("""COMPUTED_VALUE"""),"HI-PLAINS           R-23")</f>
        <v>HI-PLAINS           R-23</v>
      </c>
      <c r="C1201" s="2" t="str">
        <f>IFERROR(__xludf.DUMMYFUNCTION("""COMPUTED_VALUE"""),"07746")</f>
        <v>07746</v>
      </c>
      <c r="D1201" s="2" t="str">
        <f>IFERROR(__xludf.DUMMYFUNCTION("""COMPUTED_VALUE"""),"HI-PLAINS SCHOOL DISTRICT R-23")</f>
        <v>HI-PLAINS SCHOOL DISTRICT R-23</v>
      </c>
      <c r="E1201" s="3" t="str">
        <f>IFERROR(__xludf.DUMMYFUNCTION("""COMPUTED_VALUE"""),"Y")</f>
        <v>Y</v>
      </c>
      <c r="F1201" s="3" t="str">
        <f>IFERROR(__xludf.DUMMYFUNCTION("""COMPUTED_VALUE"""),"Y")</f>
        <v>Y</v>
      </c>
      <c r="G1201" s="3"/>
      <c r="H1201" s="3"/>
      <c r="I1201" s="3" t="str">
        <f>IFERROR(__xludf.DUMMYFUNCTION("""COMPUTED_VALUE""")," ")</f>
        <v> </v>
      </c>
      <c r="J1201" s="3" t="str">
        <f>IFERROR(__xludf.DUMMYFUNCTION("""COMPUTED_VALUE""")," ")</f>
        <v> </v>
      </c>
      <c r="K1201" s="3" t="str">
        <f>IFERROR(__xludf.DUMMYFUNCTION("""COMPUTED_VALUE"""),"Y")</f>
        <v>Y</v>
      </c>
      <c r="L1201" s="3" t="str">
        <f>IFERROR(__xludf.DUMMYFUNCTION("""COMPUTED_VALUE"""),"Group 1")</f>
        <v>Group 1</v>
      </c>
      <c r="M1201" s="3"/>
      <c r="N1201" s="5" t="str">
        <f>IFERROR(__xludf.DUMMYFUNCTION("""COMPUTED_VALUE""")," ")</f>
        <v> </v>
      </c>
      <c r="O1201" s="5"/>
    </row>
    <row r="1202">
      <c r="A1202" s="2" t="str">
        <f>IFERROR(__xludf.DUMMYFUNCTION("""COMPUTED_VALUE"""),"1480")</f>
        <v>1480</v>
      </c>
      <c r="B1202" s="2" t="str">
        <f>IFERROR(__xludf.DUMMYFUNCTION("""COMPUTED_VALUE"""),"STRATTON            R-4")</f>
        <v>STRATTON            R-4</v>
      </c>
      <c r="C1202" s="2" t="str">
        <f>IFERROR(__xludf.DUMMYFUNCTION("""COMPUTED_VALUE"""),"08342")</f>
        <v>08342</v>
      </c>
      <c r="D1202" s="2" t="str">
        <f>IFERROR(__xludf.DUMMYFUNCTION("""COMPUTED_VALUE"""),"STRATTON ELEMENTARY SCHOOL")</f>
        <v>STRATTON ELEMENTARY SCHOOL</v>
      </c>
      <c r="E1202" s="3" t="str">
        <f>IFERROR(__xludf.DUMMYFUNCTION("""COMPUTED_VALUE"""),"Y")</f>
        <v>Y</v>
      </c>
      <c r="F1202" s="3" t="str">
        <f>IFERROR(__xludf.DUMMYFUNCTION("""COMPUTED_VALUE"""),"Y")</f>
        <v>Y</v>
      </c>
      <c r="G1202" s="3"/>
      <c r="H1202" s="3"/>
      <c r="I1202" s="3" t="str">
        <f>IFERROR(__xludf.DUMMYFUNCTION("""COMPUTED_VALUE""")," ")</f>
        <v> </v>
      </c>
      <c r="J1202" s="3" t="str">
        <f>IFERROR(__xludf.DUMMYFUNCTION("""COMPUTED_VALUE""")," ")</f>
        <v> </v>
      </c>
      <c r="K1202" s="3" t="str">
        <f>IFERROR(__xludf.DUMMYFUNCTION("""COMPUTED_VALUE"""),"Y")</f>
        <v>Y</v>
      </c>
      <c r="L1202" s="3" t="str">
        <f>IFERROR(__xludf.DUMMYFUNCTION("""COMPUTED_VALUE"""),"Group 2")</f>
        <v>Group 2</v>
      </c>
      <c r="M1202" s="3"/>
      <c r="N1202" s="5" t="str">
        <f>IFERROR(__xludf.DUMMYFUNCTION("""COMPUTED_VALUE""")," ")</f>
        <v> </v>
      </c>
      <c r="O1202" s="5"/>
    </row>
    <row r="1203">
      <c r="A1203" s="2" t="str">
        <f>IFERROR(__xludf.DUMMYFUNCTION("""COMPUTED_VALUE"""),"1480")</f>
        <v>1480</v>
      </c>
      <c r="B1203" s="2" t="str">
        <f>IFERROR(__xludf.DUMMYFUNCTION("""COMPUTED_VALUE"""),"STRATTON            R-4")</f>
        <v>STRATTON            R-4</v>
      </c>
      <c r="C1203" s="2" t="str">
        <f>IFERROR(__xludf.DUMMYFUNCTION("""COMPUTED_VALUE"""),"08351")</f>
        <v>08351</v>
      </c>
      <c r="D1203" s="2" t="str">
        <f>IFERROR(__xludf.DUMMYFUNCTION("""COMPUTED_VALUE"""),"STRATTON MIDDLE SCHOOL")</f>
        <v>STRATTON MIDDLE SCHOOL</v>
      </c>
      <c r="E1203" s="3" t="str">
        <f>IFERROR(__xludf.DUMMYFUNCTION("""COMPUTED_VALUE"""),"Y")</f>
        <v>Y</v>
      </c>
      <c r="F1203" s="3" t="str">
        <f>IFERROR(__xludf.DUMMYFUNCTION("""COMPUTED_VALUE"""),"Y")</f>
        <v>Y</v>
      </c>
      <c r="G1203" s="3"/>
      <c r="H1203" s="3"/>
      <c r="I1203" s="3" t="str">
        <f>IFERROR(__xludf.DUMMYFUNCTION("""COMPUTED_VALUE""")," ")</f>
        <v> </v>
      </c>
      <c r="J1203" s="3" t="str">
        <f>IFERROR(__xludf.DUMMYFUNCTION("""COMPUTED_VALUE""")," ")</f>
        <v> </v>
      </c>
      <c r="K1203" s="3" t="str">
        <f>IFERROR(__xludf.DUMMYFUNCTION("""COMPUTED_VALUE"""),"Y")</f>
        <v>Y</v>
      </c>
      <c r="L1203" s="3" t="str">
        <f>IFERROR(__xludf.DUMMYFUNCTION("""COMPUTED_VALUE"""),"Group 1")</f>
        <v>Group 1</v>
      </c>
      <c r="M1203" s="3"/>
      <c r="N1203" s="5" t="str">
        <f>IFERROR(__xludf.DUMMYFUNCTION("""COMPUTED_VALUE""")," ")</f>
        <v> </v>
      </c>
      <c r="O1203" s="5"/>
    </row>
    <row r="1204">
      <c r="A1204" s="2" t="str">
        <f>IFERROR(__xludf.DUMMYFUNCTION("""COMPUTED_VALUE"""),"1480")</f>
        <v>1480</v>
      </c>
      <c r="B1204" s="2" t="str">
        <f>IFERROR(__xludf.DUMMYFUNCTION("""COMPUTED_VALUE"""),"STRATTON            R-4")</f>
        <v>STRATTON            R-4</v>
      </c>
      <c r="C1204" s="2" t="str">
        <f>IFERROR(__xludf.DUMMYFUNCTION("""COMPUTED_VALUE"""),"08354")</f>
        <v>08354</v>
      </c>
      <c r="D1204" s="2" t="str">
        <f>IFERROR(__xludf.DUMMYFUNCTION("""COMPUTED_VALUE"""),"STRATTON SENIOR HIGH SCHOOL")</f>
        <v>STRATTON SENIOR HIGH SCHOOL</v>
      </c>
      <c r="E1204" s="3" t="str">
        <f>IFERROR(__xludf.DUMMYFUNCTION("""COMPUTED_VALUE"""),"Y")</f>
        <v>Y</v>
      </c>
      <c r="F1204" s="3" t="str">
        <f>IFERROR(__xludf.DUMMYFUNCTION("""COMPUTED_VALUE"""),"Y")</f>
        <v>Y</v>
      </c>
      <c r="G1204" s="3"/>
      <c r="H1204" s="3"/>
      <c r="I1204" s="3" t="str">
        <f>IFERROR(__xludf.DUMMYFUNCTION("""COMPUTED_VALUE""")," ")</f>
        <v> </v>
      </c>
      <c r="J1204" s="3" t="str">
        <f>IFERROR(__xludf.DUMMYFUNCTION("""COMPUTED_VALUE""")," ")</f>
        <v> </v>
      </c>
      <c r="K1204" s="3" t="str">
        <f>IFERROR(__xludf.DUMMYFUNCTION("""COMPUTED_VALUE"""),"Y")</f>
        <v>Y</v>
      </c>
      <c r="L1204" s="3" t="str">
        <f>IFERROR(__xludf.DUMMYFUNCTION("""COMPUTED_VALUE"""),"Group 1")</f>
        <v>Group 1</v>
      </c>
      <c r="M1204" s="3"/>
      <c r="N1204" s="5" t="str">
        <f>IFERROR(__xludf.DUMMYFUNCTION("""COMPUTED_VALUE""")," ")</f>
        <v> </v>
      </c>
      <c r="O1204" s="5"/>
    </row>
    <row r="1205">
      <c r="A1205" s="2" t="str">
        <f>IFERROR(__xludf.DUMMYFUNCTION("""COMPUTED_VALUE"""),"1490")</f>
        <v>1490</v>
      </c>
      <c r="B1205" s="2" t="str">
        <f>IFERROR(__xludf.DUMMYFUNCTION("""COMPUTED_VALUE"""),"BETHUNE R-5")</f>
        <v>BETHUNE R-5</v>
      </c>
      <c r="C1205" s="2" t="str">
        <f>IFERROR(__xludf.DUMMYFUNCTION("""COMPUTED_VALUE"""),"00842")</f>
        <v>00842</v>
      </c>
      <c r="D1205" s="2" t="str">
        <f>IFERROR(__xludf.DUMMYFUNCTION("""COMPUTED_VALUE"""),"BETHUNE PUBLIC SCHOOL")</f>
        <v>BETHUNE PUBLIC SCHOOL</v>
      </c>
      <c r="E1205" s="3" t="str">
        <f>IFERROR(__xludf.DUMMYFUNCTION("""COMPUTED_VALUE"""),"Y")</f>
        <v>Y</v>
      </c>
      <c r="F1205" s="3" t="str">
        <f>IFERROR(__xludf.DUMMYFUNCTION("""COMPUTED_VALUE"""),"Y")</f>
        <v>Y</v>
      </c>
      <c r="G1205" s="3" t="str">
        <f>IFERROR(__xludf.DUMMYFUNCTION("""COMPUTED_VALUE"""),"Y")</f>
        <v>Y</v>
      </c>
      <c r="H1205" s="3"/>
      <c r="I1205" s="3" t="str">
        <f>IFERROR(__xludf.DUMMYFUNCTION("""COMPUTED_VALUE""")," ")</f>
        <v> </v>
      </c>
      <c r="J1205" s="3" t="str">
        <f>IFERROR(__xludf.DUMMYFUNCTION("""COMPUTED_VALUE""")," ")</f>
        <v> </v>
      </c>
      <c r="K1205" s="3" t="str">
        <f>IFERROR(__xludf.DUMMYFUNCTION("""COMPUTED_VALUE"""),"Y")</f>
        <v>Y</v>
      </c>
      <c r="L1205" s="3" t="str">
        <f>IFERROR(__xludf.DUMMYFUNCTION("""COMPUTED_VALUE"""),"Group 1")</f>
        <v>Group 1</v>
      </c>
      <c r="M1205" s="3"/>
      <c r="N1205" s="5" t="str">
        <f>IFERROR(__xludf.DUMMYFUNCTION("""COMPUTED_VALUE""")," ")</f>
        <v> </v>
      </c>
      <c r="O1205" s="5"/>
    </row>
    <row r="1206">
      <c r="A1206" s="2" t="str">
        <f>IFERROR(__xludf.DUMMYFUNCTION("""COMPUTED_VALUE"""),"1500")</f>
        <v>1500</v>
      </c>
      <c r="B1206" s="2" t="str">
        <f>IFERROR(__xludf.DUMMYFUNCTION("""COMPUTED_VALUE"""),"BURLINGTON          RE-6J")</f>
        <v>BURLINGTON          RE-6J</v>
      </c>
      <c r="C1206" s="2" t="str">
        <f>IFERROR(__xludf.DUMMYFUNCTION("""COMPUTED_VALUE"""),"01144")</f>
        <v>01144</v>
      </c>
      <c r="D1206" s="2" t="str">
        <f>IFERROR(__xludf.DUMMYFUNCTION("""COMPUTED_VALUE"""),"BURLINGTON ELEMENTARY SCHOOL")</f>
        <v>BURLINGTON ELEMENTARY SCHOOL</v>
      </c>
      <c r="E1206" s="3" t="str">
        <f>IFERROR(__xludf.DUMMYFUNCTION("""COMPUTED_VALUE"""),"Y")</f>
        <v>Y</v>
      </c>
      <c r="F1206" s="3" t="str">
        <f>IFERROR(__xludf.DUMMYFUNCTION("""COMPUTED_VALUE"""),"Y")</f>
        <v>Y</v>
      </c>
      <c r="G1206" s="3" t="str">
        <f>IFERROR(__xludf.DUMMYFUNCTION("""COMPUTED_VALUE"""),"Y")</f>
        <v>Y</v>
      </c>
      <c r="H1206" s="3"/>
      <c r="I1206" s="3" t="str">
        <f>IFERROR(__xludf.DUMMYFUNCTION("""COMPUTED_VALUE""")," ")</f>
        <v> </v>
      </c>
      <c r="J1206" s="3" t="str">
        <f>IFERROR(__xludf.DUMMYFUNCTION("""COMPUTED_VALUE""")," ")</f>
        <v> </v>
      </c>
      <c r="K1206" s="3" t="str">
        <f>IFERROR(__xludf.DUMMYFUNCTION("""COMPUTED_VALUE"""),"Y")</f>
        <v>Y</v>
      </c>
      <c r="L1206" s="3" t="str">
        <f>IFERROR(__xludf.DUMMYFUNCTION("""COMPUTED_VALUE"""),"Group 1")</f>
        <v>Group 1</v>
      </c>
      <c r="M1206" s="3"/>
      <c r="N1206" s="5" t="str">
        <f>IFERROR(__xludf.DUMMYFUNCTION("""COMPUTED_VALUE""")," ")</f>
        <v> </v>
      </c>
      <c r="O1206" s="5"/>
    </row>
    <row r="1207">
      <c r="A1207" s="2" t="str">
        <f>IFERROR(__xludf.DUMMYFUNCTION("""COMPUTED_VALUE"""),"1500")</f>
        <v>1500</v>
      </c>
      <c r="B1207" s="2" t="str">
        <f>IFERROR(__xludf.DUMMYFUNCTION("""COMPUTED_VALUE"""),"BURLINGTON          RE-6J")</f>
        <v>BURLINGTON          RE-6J</v>
      </c>
      <c r="C1207" s="2" t="str">
        <f>IFERROR(__xludf.DUMMYFUNCTION("""COMPUTED_VALUE"""),"01150")</f>
        <v>01150</v>
      </c>
      <c r="D1207" s="2" t="str">
        <f>IFERROR(__xludf.DUMMYFUNCTION("""COMPUTED_VALUE"""),"BURLINGTON MIDDLE SCHOOL")</f>
        <v>BURLINGTON MIDDLE SCHOOL</v>
      </c>
      <c r="E1207" s="3" t="str">
        <f>IFERROR(__xludf.DUMMYFUNCTION("""COMPUTED_VALUE"""),"Y")</f>
        <v>Y</v>
      </c>
      <c r="F1207" s="3" t="str">
        <f>IFERROR(__xludf.DUMMYFUNCTION("""COMPUTED_VALUE"""),"Y")</f>
        <v>Y</v>
      </c>
      <c r="G1207" s="3" t="str">
        <f>IFERROR(__xludf.DUMMYFUNCTION("""COMPUTED_VALUE"""),"Y")</f>
        <v>Y</v>
      </c>
      <c r="H1207" s="3"/>
      <c r="I1207" s="3" t="str">
        <f>IFERROR(__xludf.DUMMYFUNCTION("""COMPUTED_VALUE""")," ")</f>
        <v> </v>
      </c>
      <c r="J1207" s="3" t="str">
        <f>IFERROR(__xludf.DUMMYFUNCTION("""COMPUTED_VALUE""")," ")</f>
        <v> </v>
      </c>
      <c r="K1207" s="3" t="str">
        <f>IFERROR(__xludf.DUMMYFUNCTION("""COMPUTED_VALUE"""),"Y")</f>
        <v>Y</v>
      </c>
      <c r="L1207" s="3" t="str">
        <f>IFERROR(__xludf.DUMMYFUNCTION("""COMPUTED_VALUE"""),"Group 1")</f>
        <v>Group 1</v>
      </c>
      <c r="M1207" s="3"/>
      <c r="N1207" s="5" t="str">
        <f>IFERROR(__xludf.DUMMYFUNCTION("""COMPUTED_VALUE""")," ")</f>
        <v> </v>
      </c>
      <c r="O1207" s="5"/>
    </row>
    <row r="1208">
      <c r="A1208" s="2" t="str">
        <f>IFERROR(__xludf.DUMMYFUNCTION("""COMPUTED_VALUE"""),"1500")</f>
        <v>1500</v>
      </c>
      <c r="B1208" s="2" t="str">
        <f>IFERROR(__xludf.DUMMYFUNCTION("""COMPUTED_VALUE"""),"BURLINGTON          RE-6J")</f>
        <v>BURLINGTON          RE-6J</v>
      </c>
      <c r="C1208" s="2" t="str">
        <f>IFERROR(__xludf.DUMMYFUNCTION("""COMPUTED_VALUE"""),"01152")</f>
        <v>01152</v>
      </c>
      <c r="D1208" s="2" t="str">
        <f>IFERROR(__xludf.DUMMYFUNCTION("""COMPUTED_VALUE"""),"BURLINGTON HIGH SCHOOL")</f>
        <v>BURLINGTON HIGH SCHOOL</v>
      </c>
      <c r="E1208" s="3" t="str">
        <f>IFERROR(__xludf.DUMMYFUNCTION("""COMPUTED_VALUE"""),"Y")</f>
        <v>Y</v>
      </c>
      <c r="F1208" s="3" t="str">
        <f>IFERROR(__xludf.DUMMYFUNCTION("""COMPUTED_VALUE"""),"Y")</f>
        <v>Y</v>
      </c>
      <c r="G1208" s="3" t="str">
        <f>IFERROR(__xludf.DUMMYFUNCTION("""COMPUTED_VALUE"""),"Y")</f>
        <v>Y</v>
      </c>
      <c r="H1208" s="3"/>
      <c r="I1208" s="3" t="str">
        <f>IFERROR(__xludf.DUMMYFUNCTION("""COMPUTED_VALUE""")," ")</f>
        <v> </v>
      </c>
      <c r="J1208" s="3" t="str">
        <f>IFERROR(__xludf.DUMMYFUNCTION("""COMPUTED_VALUE""")," ")</f>
        <v> </v>
      </c>
      <c r="K1208" s="3" t="str">
        <f>IFERROR(__xludf.DUMMYFUNCTION("""COMPUTED_VALUE"""),"Y")</f>
        <v>Y</v>
      </c>
      <c r="L1208" s="3" t="str">
        <f>IFERROR(__xludf.DUMMYFUNCTION("""COMPUTED_VALUE"""),"Group 1")</f>
        <v>Group 1</v>
      </c>
      <c r="M1208" s="3"/>
      <c r="N1208" s="5" t="str">
        <f>IFERROR(__xludf.DUMMYFUNCTION("""COMPUTED_VALUE""")," ")</f>
        <v> </v>
      </c>
      <c r="O1208" s="5"/>
    </row>
    <row r="1209">
      <c r="A1209" s="2" t="str">
        <f>IFERROR(__xludf.DUMMYFUNCTION("""COMPUTED_VALUE"""),"1510")</f>
        <v>1510</v>
      </c>
      <c r="B1209" s="2" t="str">
        <f>IFERROR(__xludf.DUMMYFUNCTION("""COMPUTED_VALUE"""),"LAKE COUNTY R-1")</f>
        <v>LAKE COUNTY R-1</v>
      </c>
      <c r="C1209" s="2" t="str">
        <f>IFERROR(__xludf.DUMMYFUNCTION("""COMPUTED_VALUE"""),"01700")</f>
        <v>01700</v>
      </c>
      <c r="D1209" s="2" t="str">
        <f>IFERROR(__xludf.DUMMYFUNCTION("""COMPUTED_VALUE"""),"Cloud City High School")</f>
        <v>Cloud City High School</v>
      </c>
      <c r="E1209" s="3" t="str">
        <f>IFERROR(__xludf.DUMMYFUNCTION("""COMPUTED_VALUE"""),"Y")</f>
        <v>Y</v>
      </c>
      <c r="F1209" s="3" t="str">
        <f>IFERROR(__xludf.DUMMYFUNCTION("""COMPUTED_VALUE"""),"Y")</f>
        <v>Y</v>
      </c>
      <c r="G1209" s="3"/>
      <c r="H1209" s="3"/>
      <c r="I1209" s="3" t="str">
        <f>IFERROR(__xludf.DUMMYFUNCTION("""COMPUTED_VALUE""")," ")</f>
        <v> </v>
      </c>
      <c r="J1209" s="3" t="str">
        <f>IFERROR(__xludf.DUMMYFUNCTION("""COMPUTED_VALUE""")," ")</f>
        <v> </v>
      </c>
      <c r="K1209" s="3" t="str">
        <f>IFERROR(__xludf.DUMMYFUNCTION("""COMPUTED_VALUE"""),"Y")</f>
        <v>Y</v>
      </c>
      <c r="L1209" s="3" t="str">
        <f>IFERROR(__xludf.DUMMYFUNCTION("""COMPUTED_VALUE"""),"Group 1")</f>
        <v>Group 1</v>
      </c>
      <c r="M1209" s="3"/>
      <c r="N1209" s="5" t="str">
        <f>IFERROR(__xludf.DUMMYFUNCTION("""COMPUTED_VALUE""")," ")</f>
        <v> </v>
      </c>
      <c r="O1209" s="5"/>
    </row>
    <row r="1210">
      <c r="A1210" s="2" t="str">
        <f>IFERROR(__xludf.DUMMYFUNCTION("""COMPUTED_VALUE"""),"1510")</f>
        <v>1510</v>
      </c>
      <c r="B1210" s="2" t="str">
        <f>IFERROR(__xludf.DUMMYFUNCTION("""COMPUTED_VALUE"""),"LAKE COUNTY R-1")</f>
        <v>LAKE COUNTY R-1</v>
      </c>
      <c r="C1210" s="2" t="str">
        <f>IFERROR(__xludf.DUMMYFUNCTION("""COMPUTED_VALUE"""),"04901")</f>
        <v>04901</v>
      </c>
      <c r="D1210" s="2" t="str">
        <f>IFERROR(__xludf.DUMMYFUNCTION("""COMPUTED_VALUE"""),"LAKE COUNTY INTERMEDIATE SCHOOL")</f>
        <v>LAKE COUNTY INTERMEDIATE SCHOOL</v>
      </c>
      <c r="E1210" s="3" t="str">
        <f>IFERROR(__xludf.DUMMYFUNCTION("""COMPUTED_VALUE"""),"Y")</f>
        <v>Y</v>
      </c>
      <c r="F1210" s="3" t="str">
        <f>IFERROR(__xludf.DUMMYFUNCTION("""COMPUTED_VALUE"""),"Y")</f>
        <v>Y</v>
      </c>
      <c r="G1210" s="3"/>
      <c r="H1210" s="3"/>
      <c r="I1210" s="3" t="str">
        <f>IFERROR(__xludf.DUMMYFUNCTION("""COMPUTED_VALUE"""),"Y")</f>
        <v>Y</v>
      </c>
      <c r="J1210" s="3" t="str">
        <f>IFERROR(__xludf.DUMMYFUNCTION("""COMPUTED_VALUE""")," ")</f>
        <v> </v>
      </c>
      <c r="K1210" s="3" t="str">
        <f>IFERROR(__xludf.DUMMYFUNCTION("""COMPUTED_VALUE"""),"Y")</f>
        <v>Y</v>
      </c>
      <c r="L1210" s="3" t="str">
        <f>IFERROR(__xludf.DUMMYFUNCTION("""COMPUTED_VALUE"""),"Group 2")</f>
        <v>Group 2</v>
      </c>
      <c r="M1210" s="3"/>
      <c r="N1210" s="5" t="str">
        <f>IFERROR(__xludf.DUMMYFUNCTION("""COMPUTED_VALUE""")," ")</f>
        <v> </v>
      </c>
      <c r="O1210" s="5"/>
    </row>
    <row r="1211">
      <c r="A1211" s="2" t="str">
        <f>IFERROR(__xludf.DUMMYFUNCTION("""COMPUTED_VALUE"""),"1510")</f>
        <v>1510</v>
      </c>
      <c r="B1211" s="2" t="str">
        <f>IFERROR(__xludf.DUMMYFUNCTION("""COMPUTED_VALUE"""),"LAKE COUNTY R-1")</f>
        <v>LAKE COUNTY R-1</v>
      </c>
      <c r="C1211" s="2" t="str">
        <f>IFERROR(__xludf.DUMMYFUNCTION("""COMPUTED_VALUE"""),"04904")</f>
        <v>04904</v>
      </c>
      <c r="D1211" s="2" t="str">
        <f>IFERROR(__xludf.DUMMYFUNCTION("""COMPUTED_VALUE"""),"LAKE COUNTY HIGH SCHOOL")</f>
        <v>LAKE COUNTY HIGH SCHOOL</v>
      </c>
      <c r="E1211" s="3" t="str">
        <f>IFERROR(__xludf.DUMMYFUNCTION("""COMPUTED_VALUE"""),"Y")</f>
        <v>Y</v>
      </c>
      <c r="F1211" s="3" t="str">
        <f>IFERROR(__xludf.DUMMYFUNCTION("""COMPUTED_VALUE"""),"Y")</f>
        <v>Y</v>
      </c>
      <c r="G1211" s="3"/>
      <c r="H1211" s="3"/>
      <c r="I1211" s="3" t="str">
        <f>IFERROR(__xludf.DUMMYFUNCTION("""COMPUTED_VALUE""")," ")</f>
        <v> </v>
      </c>
      <c r="J1211" s="3" t="str">
        <f>IFERROR(__xludf.DUMMYFUNCTION("""COMPUTED_VALUE""")," ")</f>
        <v> </v>
      </c>
      <c r="K1211" s="3" t="str">
        <f>IFERROR(__xludf.DUMMYFUNCTION("""COMPUTED_VALUE"""),"Y")</f>
        <v>Y</v>
      </c>
      <c r="L1211" s="3" t="str">
        <f>IFERROR(__xludf.DUMMYFUNCTION("""COMPUTED_VALUE"""),"Group 3")</f>
        <v>Group 3</v>
      </c>
      <c r="M1211" s="3"/>
      <c r="N1211" s="5" t="str">
        <f>IFERROR(__xludf.DUMMYFUNCTION("""COMPUTED_VALUE""")," ")</f>
        <v> </v>
      </c>
      <c r="O1211" s="5"/>
    </row>
    <row r="1212">
      <c r="A1212" s="2" t="str">
        <f>IFERROR(__xludf.DUMMYFUNCTION("""COMPUTED_VALUE"""),"1510")</f>
        <v>1510</v>
      </c>
      <c r="B1212" s="2" t="str">
        <f>IFERROR(__xludf.DUMMYFUNCTION("""COMPUTED_VALUE"""),"LAKE COUNTY R-1")</f>
        <v>LAKE COUNTY R-1</v>
      </c>
      <c r="C1212" s="2" t="str">
        <f>IFERROR(__xludf.DUMMYFUNCTION("""COMPUTED_VALUE"""),"09486")</f>
        <v>09486</v>
      </c>
      <c r="D1212" s="2" t="str">
        <f>IFERROR(__xludf.DUMMYFUNCTION("""COMPUTED_VALUE"""),"Lake County Elementary School")</f>
        <v>Lake County Elementary School</v>
      </c>
      <c r="E1212" s="3" t="str">
        <f>IFERROR(__xludf.DUMMYFUNCTION("""COMPUTED_VALUE"""),"Y")</f>
        <v>Y</v>
      </c>
      <c r="F1212" s="3" t="str">
        <f>IFERROR(__xludf.DUMMYFUNCTION("""COMPUTED_VALUE"""),"Y")</f>
        <v>Y</v>
      </c>
      <c r="G1212" s="3"/>
      <c r="H1212" s="3"/>
      <c r="I1212" s="3" t="str">
        <f>IFERROR(__xludf.DUMMYFUNCTION("""COMPUTED_VALUE"""),"Y")</f>
        <v>Y</v>
      </c>
      <c r="J1212" s="3" t="str">
        <f>IFERROR(__xludf.DUMMYFUNCTION("""COMPUTED_VALUE""")," ")</f>
        <v> </v>
      </c>
      <c r="K1212" s="3" t="str">
        <f>IFERROR(__xludf.DUMMYFUNCTION("""COMPUTED_VALUE"""),"Y")</f>
        <v>Y</v>
      </c>
      <c r="L1212" s="3" t="str">
        <f>IFERROR(__xludf.DUMMYFUNCTION("""COMPUTED_VALUE"""),"Group 1")</f>
        <v>Group 1</v>
      </c>
      <c r="M1212" s="3"/>
      <c r="N1212" s="5" t="str">
        <f>IFERROR(__xludf.DUMMYFUNCTION("""COMPUTED_VALUE"""),"Y")</f>
        <v>Y</v>
      </c>
      <c r="O1212" s="5"/>
    </row>
    <row r="1213">
      <c r="A1213" s="2" t="str">
        <f>IFERROR(__xludf.DUMMYFUNCTION("""COMPUTED_VALUE"""),"1520")</f>
        <v>1520</v>
      </c>
      <c r="B1213" s="2" t="str">
        <f>IFERROR(__xludf.DUMMYFUNCTION("""COMPUTED_VALUE"""),"DURANGO             9-R")</f>
        <v>DURANGO             9-R</v>
      </c>
      <c r="C1213" s="2" t="str">
        <f>IFERROR(__xludf.DUMMYFUNCTION("""COMPUTED_VALUE"""),"00225")</f>
        <v>00225</v>
      </c>
      <c r="D1213" s="2" t="str">
        <f>IFERROR(__xludf.DUMMYFUNCTION("""COMPUTED_VALUE"""),"ANIMAS VALLEY ELEMENTARY SCHOOL")</f>
        <v>ANIMAS VALLEY ELEMENTARY SCHOOL</v>
      </c>
      <c r="E1213" s="3" t="str">
        <f>IFERROR(__xludf.DUMMYFUNCTION("""COMPUTED_VALUE"""),"Y")</f>
        <v>Y</v>
      </c>
      <c r="F1213" s="3" t="str">
        <f>IFERROR(__xludf.DUMMYFUNCTION("""COMPUTED_VALUE"""),"Y")</f>
        <v>Y</v>
      </c>
      <c r="G1213" s="3"/>
      <c r="H1213" s="3"/>
      <c r="I1213" s="3" t="str">
        <f>IFERROR(__xludf.DUMMYFUNCTION("""COMPUTED_VALUE""")," ")</f>
        <v> </v>
      </c>
      <c r="J1213" s="3" t="str">
        <f>IFERROR(__xludf.DUMMYFUNCTION("""COMPUTED_VALUE""")," ")</f>
        <v> </v>
      </c>
      <c r="K1213" s="3" t="str">
        <f>IFERROR(__xludf.DUMMYFUNCTION("""COMPUTED_VALUE"""),"Y")</f>
        <v>Y</v>
      </c>
      <c r="L1213" s="3" t="str">
        <f>IFERROR(__xludf.DUMMYFUNCTION("""COMPUTED_VALUE"""),"Group 4")</f>
        <v>Group 4</v>
      </c>
      <c r="M1213" s="3"/>
      <c r="N1213" s="5" t="str">
        <f>IFERROR(__xludf.DUMMYFUNCTION("""COMPUTED_VALUE""")," ")</f>
        <v> </v>
      </c>
      <c r="O1213" s="5"/>
    </row>
    <row r="1214">
      <c r="A1214" s="2" t="str">
        <f>IFERROR(__xludf.DUMMYFUNCTION("""COMPUTED_VALUE"""),"1520")</f>
        <v>1520</v>
      </c>
      <c r="B1214" s="2" t="str">
        <f>IFERROR(__xludf.DUMMYFUNCTION("""COMPUTED_VALUE"""),"DURANGO             9-R")</f>
        <v>DURANGO             9-R</v>
      </c>
      <c r="C1214" s="2" t="str">
        <f>IFERROR(__xludf.DUMMYFUNCTION("""COMPUTED_VALUE"""),"02097")</f>
        <v>02097</v>
      </c>
      <c r="D1214" s="2" t="str">
        <f>IFERROR(__xludf.DUMMYFUNCTION("""COMPUTED_VALUE"""),"DISTRICT 9-R SHARED SCHOOL")</f>
        <v>DISTRICT 9-R SHARED SCHOOL</v>
      </c>
      <c r="E1214" s="3" t="str">
        <f>IFERROR(__xludf.DUMMYFUNCTION("""COMPUTED_VALUE"""),"Y")</f>
        <v>Y</v>
      </c>
      <c r="F1214" s="3" t="str">
        <f>IFERROR(__xludf.DUMMYFUNCTION("""COMPUTED_VALUE"""),"Y")</f>
        <v>Y</v>
      </c>
      <c r="G1214" s="3"/>
      <c r="H1214" s="3"/>
      <c r="I1214" s="3" t="str">
        <f>IFERROR(__xludf.DUMMYFUNCTION("""COMPUTED_VALUE""")," ")</f>
        <v> </v>
      </c>
      <c r="J1214" s="3" t="str">
        <f>IFERROR(__xludf.DUMMYFUNCTION("""COMPUTED_VALUE""")," ")</f>
        <v> </v>
      </c>
      <c r="K1214" s="3" t="str">
        <f>IFERROR(__xludf.DUMMYFUNCTION("""COMPUTED_VALUE"""),"Y")</f>
        <v>Y</v>
      </c>
      <c r="L1214" s="3" t="str">
        <f>IFERROR(__xludf.DUMMYFUNCTION("""COMPUTED_VALUE""")," ")</f>
        <v> </v>
      </c>
      <c r="M1214" s="3"/>
      <c r="N1214" s="5" t="str">
        <f>IFERROR(__xludf.DUMMYFUNCTION("""COMPUTED_VALUE""")," ")</f>
        <v> </v>
      </c>
      <c r="O1214" s="5"/>
    </row>
    <row r="1215">
      <c r="A1215" s="2" t="str">
        <f>IFERROR(__xludf.DUMMYFUNCTION("""COMPUTED_VALUE"""),"1520")</f>
        <v>1520</v>
      </c>
      <c r="B1215" s="2" t="str">
        <f>IFERROR(__xludf.DUMMYFUNCTION("""COMPUTED_VALUE"""),"DURANGO             9-R")</f>
        <v>DURANGO             9-R</v>
      </c>
      <c r="C1215" s="2" t="str">
        <f>IFERROR(__xludf.DUMMYFUNCTION("""COMPUTED_VALUE"""),"02318")</f>
        <v>02318</v>
      </c>
      <c r="D1215" s="2" t="str">
        <f>IFERROR(__xludf.DUMMYFUNCTION("""COMPUTED_VALUE"""),"DURANGO HIGH SCHOOL")</f>
        <v>DURANGO HIGH SCHOOL</v>
      </c>
      <c r="E1215" s="3" t="str">
        <f>IFERROR(__xludf.DUMMYFUNCTION("""COMPUTED_VALUE"""),"Y")</f>
        <v>Y</v>
      </c>
      <c r="F1215" s="3" t="str">
        <f>IFERROR(__xludf.DUMMYFUNCTION("""COMPUTED_VALUE"""),"Y")</f>
        <v>Y</v>
      </c>
      <c r="G1215" s="3"/>
      <c r="H1215" s="3"/>
      <c r="I1215" s="3" t="str">
        <f>IFERROR(__xludf.DUMMYFUNCTION("""COMPUTED_VALUE""")," ")</f>
        <v> </v>
      </c>
      <c r="J1215" s="3" t="str">
        <f>IFERROR(__xludf.DUMMYFUNCTION("""COMPUTED_VALUE""")," ")</f>
        <v> </v>
      </c>
      <c r="K1215" s="3" t="str">
        <f>IFERROR(__xludf.DUMMYFUNCTION("""COMPUTED_VALUE"""),"Y")</f>
        <v>Y</v>
      </c>
      <c r="L1215" s="3" t="str">
        <f>IFERROR(__xludf.DUMMYFUNCTION("""COMPUTED_VALUE""")," ")</f>
        <v> </v>
      </c>
      <c r="M1215" s="3"/>
      <c r="N1215" s="5" t="str">
        <f>IFERROR(__xludf.DUMMYFUNCTION("""COMPUTED_VALUE""")," ")</f>
        <v> </v>
      </c>
      <c r="O1215" s="5"/>
    </row>
    <row r="1216">
      <c r="A1216" s="2" t="str">
        <f>IFERROR(__xludf.DUMMYFUNCTION("""COMPUTED_VALUE"""),"1520")</f>
        <v>1520</v>
      </c>
      <c r="B1216" s="2" t="str">
        <f>IFERROR(__xludf.DUMMYFUNCTION("""COMPUTED_VALUE"""),"DURANGO             9-R")</f>
        <v>DURANGO             9-R</v>
      </c>
      <c r="C1216" s="2" t="str">
        <f>IFERROR(__xludf.DUMMYFUNCTION("""COMPUTED_VALUE"""),"03012")</f>
        <v>03012</v>
      </c>
      <c r="D1216" s="2" t="str">
        <f>IFERROR(__xludf.DUMMYFUNCTION("""COMPUTED_VALUE"""),"FLORIDA MESA ELEMENTARY SCHOOL")</f>
        <v>FLORIDA MESA ELEMENTARY SCHOOL</v>
      </c>
      <c r="E1216" s="3" t="str">
        <f>IFERROR(__xludf.DUMMYFUNCTION("""COMPUTED_VALUE"""),"Y")</f>
        <v>Y</v>
      </c>
      <c r="F1216" s="3" t="str">
        <f>IFERROR(__xludf.DUMMYFUNCTION("""COMPUTED_VALUE"""),"Y")</f>
        <v>Y</v>
      </c>
      <c r="G1216" s="3"/>
      <c r="H1216" s="3"/>
      <c r="I1216" s="3" t="str">
        <f>IFERROR(__xludf.DUMMYFUNCTION("""COMPUTED_VALUE"""),"Y")</f>
        <v>Y</v>
      </c>
      <c r="J1216" s="3" t="str">
        <f>IFERROR(__xludf.DUMMYFUNCTION("""COMPUTED_VALUE""")," ")</f>
        <v> </v>
      </c>
      <c r="K1216" s="3" t="str">
        <f>IFERROR(__xludf.DUMMYFUNCTION("""COMPUTED_VALUE"""),"Y")</f>
        <v>Y</v>
      </c>
      <c r="L1216" s="3" t="str">
        <f>IFERROR(__xludf.DUMMYFUNCTION("""COMPUTED_VALUE"""),"Group 1")</f>
        <v>Group 1</v>
      </c>
      <c r="M1216" s="3"/>
      <c r="N1216" s="5" t="str">
        <f>IFERROR(__xludf.DUMMYFUNCTION("""COMPUTED_VALUE""")," ")</f>
        <v> </v>
      </c>
      <c r="O1216" s="5"/>
    </row>
    <row r="1217">
      <c r="A1217" s="2" t="str">
        <f>IFERROR(__xludf.DUMMYFUNCTION("""COMPUTED_VALUE"""),"1520")</f>
        <v>1520</v>
      </c>
      <c r="B1217" s="2" t="str">
        <f>IFERROR(__xludf.DUMMYFUNCTION("""COMPUTED_VALUE"""),"DURANGO             9-R")</f>
        <v>DURANGO             9-R</v>
      </c>
      <c r="C1217" s="2" t="str">
        <f>IFERROR(__xludf.DUMMYFUNCTION("""COMPUTED_VALUE"""),"03050")</f>
        <v>03050</v>
      </c>
      <c r="D1217" s="2" t="str">
        <f>IFERROR(__xludf.DUMMYFUNCTION("""COMPUTED_VALUE"""),"FORT LEWIS MESA ELEMENTARY SCHOOL")</f>
        <v>FORT LEWIS MESA ELEMENTARY SCHOOL</v>
      </c>
      <c r="E1217" s="3" t="str">
        <f>IFERROR(__xludf.DUMMYFUNCTION("""COMPUTED_VALUE"""),"Y")</f>
        <v>Y</v>
      </c>
      <c r="F1217" s="3" t="str">
        <f>IFERROR(__xludf.DUMMYFUNCTION("""COMPUTED_VALUE"""),"Y")</f>
        <v>Y</v>
      </c>
      <c r="G1217" s="3" t="str">
        <f>IFERROR(__xludf.DUMMYFUNCTION("""COMPUTED_VALUE"""),"Y")</f>
        <v>Y</v>
      </c>
      <c r="H1217" s="3"/>
      <c r="I1217" s="3" t="str">
        <f>IFERROR(__xludf.DUMMYFUNCTION("""COMPUTED_VALUE"""),"Y")</f>
        <v>Y</v>
      </c>
      <c r="J1217" s="3" t="str">
        <f>IFERROR(__xludf.DUMMYFUNCTION("""COMPUTED_VALUE"""),"Y")</f>
        <v>Y</v>
      </c>
      <c r="K1217" s="3" t="str">
        <f>IFERROR(__xludf.DUMMYFUNCTION("""COMPUTED_VALUE"""),"Y")</f>
        <v>Y</v>
      </c>
      <c r="L1217" s="3" t="str">
        <f>IFERROR(__xludf.DUMMYFUNCTION("""COMPUTED_VALUE"""),"Group 5")</f>
        <v>Group 5</v>
      </c>
      <c r="M1217" s="3"/>
      <c r="N1217" s="5" t="str">
        <f>IFERROR(__xludf.DUMMYFUNCTION("""COMPUTED_VALUE""")," ")</f>
        <v> </v>
      </c>
      <c r="O1217" s="5"/>
    </row>
    <row r="1218">
      <c r="A1218" s="2" t="str">
        <f>IFERROR(__xludf.DUMMYFUNCTION("""COMPUTED_VALUE"""),"1520")</f>
        <v>1520</v>
      </c>
      <c r="B1218" s="2" t="str">
        <f>IFERROR(__xludf.DUMMYFUNCTION("""COMPUTED_VALUE"""),"DURANGO             9-R")</f>
        <v>DURANGO             9-R</v>
      </c>
      <c r="C1218" s="2" t="str">
        <f>IFERROR(__xludf.DUMMYFUNCTION("""COMPUTED_VALUE"""),"03571")</f>
        <v>03571</v>
      </c>
      <c r="D1218" s="2" t="str">
        <f>IFERROR(__xludf.DUMMYFUNCTION("""COMPUTED_VALUE"""),"DURANGO BIG PICTURE HIGH SCHOOL")</f>
        <v>DURANGO BIG PICTURE HIGH SCHOOL</v>
      </c>
      <c r="E1218" s="3" t="str">
        <f>IFERROR(__xludf.DUMMYFUNCTION("""COMPUTED_VALUE"""),"Y")</f>
        <v>Y</v>
      </c>
      <c r="F1218" s="3" t="str">
        <f>IFERROR(__xludf.DUMMYFUNCTION("""COMPUTED_VALUE"""),"Y")</f>
        <v>Y</v>
      </c>
      <c r="G1218" s="3"/>
      <c r="H1218" s="3"/>
      <c r="I1218" s="3" t="str">
        <f>IFERROR(__xludf.DUMMYFUNCTION("""COMPUTED_VALUE""")," ")</f>
        <v> </v>
      </c>
      <c r="J1218" s="3" t="str">
        <f>IFERROR(__xludf.DUMMYFUNCTION("""COMPUTED_VALUE""")," ")</f>
        <v> </v>
      </c>
      <c r="K1218" s="3" t="str">
        <f>IFERROR(__xludf.DUMMYFUNCTION("""COMPUTED_VALUE"""),"Y")</f>
        <v>Y</v>
      </c>
      <c r="L1218" s="3" t="str">
        <f>IFERROR(__xludf.DUMMYFUNCTION("""COMPUTED_VALUE"""),"Group 2")</f>
        <v>Group 2</v>
      </c>
      <c r="M1218" s="3"/>
      <c r="N1218" s="5" t="str">
        <f>IFERROR(__xludf.DUMMYFUNCTION("""COMPUTED_VALUE""")," ")</f>
        <v> </v>
      </c>
      <c r="O1218" s="5"/>
    </row>
    <row r="1219">
      <c r="A1219" s="2" t="str">
        <f>IFERROR(__xludf.DUMMYFUNCTION("""COMPUTED_VALUE"""),"1520")</f>
        <v>1520</v>
      </c>
      <c r="B1219" s="2" t="str">
        <f>IFERROR(__xludf.DUMMYFUNCTION("""COMPUTED_VALUE"""),"DURANGO             9-R")</f>
        <v>DURANGO             9-R</v>
      </c>
      <c r="C1219" s="2" t="str">
        <f>IFERROR(__xludf.DUMMYFUNCTION("""COMPUTED_VALUE"""),"04384")</f>
        <v>04384</v>
      </c>
      <c r="D1219" s="2" t="str">
        <f>IFERROR(__xludf.DUMMYFUNCTION("""COMPUTED_VALUE"""),"The Juniper School")</f>
        <v>The Juniper School</v>
      </c>
      <c r="E1219" s="3" t="str">
        <f>IFERROR(__xludf.DUMMYFUNCTION("""COMPUTED_VALUE"""),"Y")</f>
        <v>Y</v>
      </c>
      <c r="F1219" s="3" t="str">
        <f>IFERROR(__xludf.DUMMYFUNCTION("""COMPUTED_VALUE"""),"Y")</f>
        <v>Y</v>
      </c>
      <c r="G1219" s="3"/>
      <c r="H1219" s="3"/>
      <c r="I1219" s="3" t="str">
        <f>IFERROR(__xludf.DUMMYFUNCTION("""COMPUTED_VALUE"""),"Y")</f>
        <v>Y</v>
      </c>
      <c r="J1219" s="3" t="str">
        <f>IFERROR(__xludf.DUMMYFUNCTION("""COMPUTED_VALUE""")," ")</f>
        <v> </v>
      </c>
      <c r="K1219" s="3" t="str">
        <f>IFERROR(__xludf.DUMMYFUNCTION("""COMPUTED_VALUE"""),"Y")</f>
        <v>Y</v>
      </c>
      <c r="L1219" s="3" t="str">
        <f>IFERROR(__xludf.DUMMYFUNCTION("""COMPUTED_VALUE"""),"Group 6")</f>
        <v>Group 6</v>
      </c>
      <c r="M1219" s="3"/>
      <c r="N1219" s="5" t="str">
        <f>IFERROR(__xludf.DUMMYFUNCTION("""COMPUTED_VALUE""")," ")</f>
        <v> </v>
      </c>
      <c r="O1219" s="5"/>
    </row>
    <row r="1220">
      <c r="A1220" s="2" t="str">
        <f>IFERROR(__xludf.DUMMYFUNCTION("""COMPUTED_VALUE"""),"1520")</f>
        <v>1520</v>
      </c>
      <c r="B1220" s="2" t="str">
        <f>IFERROR(__xludf.DUMMYFUNCTION("""COMPUTED_VALUE"""),"DURANGO             9-R")</f>
        <v>DURANGO             9-R</v>
      </c>
      <c r="C1220" s="2" t="str">
        <f>IFERROR(__xludf.DUMMYFUNCTION("""COMPUTED_VALUE"""),"05486")</f>
        <v>05486</v>
      </c>
      <c r="D1220" s="2" t="str">
        <f>IFERROR(__xludf.DUMMYFUNCTION("""COMPUTED_VALUE"""),"NEEDHAM PRESCHOOL")</f>
        <v>NEEDHAM PRESCHOOL</v>
      </c>
      <c r="E1220" s="3" t="str">
        <f>IFERROR(__xludf.DUMMYFUNCTION("""COMPUTED_VALUE"""),"Y")</f>
        <v>Y</v>
      </c>
      <c r="F1220" s="3" t="str">
        <f>IFERROR(__xludf.DUMMYFUNCTION("""COMPUTED_VALUE"""),"Y")</f>
        <v>Y</v>
      </c>
      <c r="G1220" s="3"/>
      <c r="H1220" s="3"/>
      <c r="I1220" s="3" t="str">
        <f>IFERROR(__xludf.DUMMYFUNCTION("""COMPUTED_VALUE""")," ")</f>
        <v> </v>
      </c>
      <c r="J1220" s="3" t="str">
        <f>IFERROR(__xludf.DUMMYFUNCTION("""COMPUTED_VALUE"""),"Y")</f>
        <v>Y</v>
      </c>
      <c r="K1220" s="3" t="str">
        <f>IFERROR(__xludf.DUMMYFUNCTION("""COMPUTED_VALUE"""),"Y")</f>
        <v>Y</v>
      </c>
      <c r="L1220" s="3" t="str">
        <f>IFERROR(__xludf.DUMMYFUNCTION("""COMPUTED_VALUE"""),"Group 5")</f>
        <v>Group 5</v>
      </c>
      <c r="M1220" s="3"/>
      <c r="N1220" s="5" t="str">
        <f>IFERROR(__xludf.DUMMYFUNCTION("""COMPUTED_VALUE""")," ")</f>
        <v> </v>
      </c>
      <c r="O1220" s="5"/>
    </row>
    <row r="1221">
      <c r="A1221" s="2" t="str">
        <f>IFERROR(__xludf.DUMMYFUNCTION("""COMPUTED_VALUE"""),"1520")</f>
        <v>1520</v>
      </c>
      <c r="B1221" s="2" t="str">
        <f>IFERROR(__xludf.DUMMYFUNCTION("""COMPUTED_VALUE"""),"DURANGO             9-R")</f>
        <v>DURANGO             9-R</v>
      </c>
      <c r="C1221" s="2" t="str">
        <f>IFERROR(__xludf.DUMMYFUNCTION("""COMPUTED_VALUE"""),"05888")</f>
        <v>05888</v>
      </c>
      <c r="D1221" s="2" t="str">
        <f>IFERROR(__xludf.DUMMYFUNCTION("""COMPUTED_VALUE"""),"MILLER MIDDLE SCHOOL")</f>
        <v>MILLER MIDDLE SCHOOL</v>
      </c>
      <c r="E1221" s="3" t="str">
        <f>IFERROR(__xludf.DUMMYFUNCTION("""COMPUTED_VALUE"""),"Y")</f>
        <v>Y</v>
      </c>
      <c r="F1221" s="3" t="str">
        <f>IFERROR(__xludf.DUMMYFUNCTION("""COMPUTED_VALUE"""),"Y")</f>
        <v>Y</v>
      </c>
      <c r="G1221" s="3"/>
      <c r="H1221" s="3"/>
      <c r="I1221" s="3" t="str">
        <f>IFERROR(__xludf.DUMMYFUNCTION("""COMPUTED_VALUE""")," ")</f>
        <v> </v>
      </c>
      <c r="J1221" s="3" t="str">
        <f>IFERROR(__xludf.DUMMYFUNCTION("""COMPUTED_VALUE""")," ")</f>
        <v> </v>
      </c>
      <c r="K1221" s="3" t="str">
        <f>IFERROR(__xludf.DUMMYFUNCTION("""COMPUTED_VALUE"""),"Y")</f>
        <v>Y</v>
      </c>
      <c r="L1221" s="3" t="str">
        <f>IFERROR(__xludf.DUMMYFUNCTION("""COMPUTED_VALUE"""),"Group 6")</f>
        <v>Group 6</v>
      </c>
      <c r="M1221" s="3"/>
      <c r="N1221" s="5" t="str">
        <f>IFERROR(__xludf.DUMMYFUNCTION("""COMPUTED_VALUE""")," ")</f>
        <v> </v>
      </c>
      <c r="O1221" s="5"/>
    </row>
    <row r="1222">
      <c r="A1222" s="2" t="str">
        <f>IFERROR(__xludf.DUMMYFUNCTION("""COMPUTED_VALUE"""),"1520")</f>
        <v>1520</v>
      </c>
      <c r="B1222" s="2" t="str">
        <f>IFERROR(__xludf.DUMMYFUNCTION("""COMPUTED_VALUE"""),"DURANGO             9-R")</f>
        <v>DURANGO             9-R</v>
      </c>
      <c r="C1222" s="2" t="str">
        <f>IFERROR(__xludf.DUMMYFUNCTION("""COMPUTED_VALUE"""),"06222")</f>
        <v>06222</v>
      </c>
      <c r="D1222" s="2" t="str">
        <f>IFERROR(__xludf.DUMMYFUNCTION("""COMPUTED_VALUE"""),"NEEDHAM ELEMENTARY SCHOOL")</f>
        <v>NEEDHAM ELEMENTARY SCHOOL</v>
      </c>
      <c r="E1222" s="3" t="str">
        <f>IFERROR(__xludf.DUMMYFUNCTION("""COMPUTED_VALUE"""),"Y")</f>
        <v>Y</v>
      </c>
      <c r="F1222" s="3" t="str">
        <f>IFERROR(__xludf.DUMMYFUNCTION("""COMPUTED_VALUE"""),"Y")</f>
        <v>Y</v>
      </c>
      <c r="G1222" s="3"/>
      <c r="H1222" s="3"/>
      <c r="I1222" s="3" t="str">
        <f>IFERROR(__xludf.DUMMYFUNCTION("""COMPUTED_VALUE"""),"Y")</f>
        <v>Y</v>
      </c>
      <c r="J1222" s="3" t="str">
        <f>IFERROR(__xludf.DUMMYFUNCTION("""COMPUTED_VALUE""")," ")</f>
        <v> </v>
      </c>
      <c r="K1222" s="3" t="str">
        <f>IFERROR(__xludf.DUMMYFUNCTION("""COMPUTED_VALUE"""),"Y")</f>
        <v>Y</v>
      </c>
      <c r="L1222" s="3" t="str">
        <f>IFERROR(__xludf.DUMMYFUNCTION("""COMPUTED_VALUE"""),"Group 3")</f>
        <v>Group 3</v>
      </c>
      <c r="M1222" s="3"/>
      <c r="N1222" s="5" t="str">
        <f>IFERROR(__xludf.DUMMYFUNCTION("""COMPUTED_VALUE"""),"Y")</f>
        <v>Y</v>
      </c>
      <c r="O1222" s="5"/>
    </row>
    <row r="1223">
      <c r="A1223" s="2" t="str">
        <f>IFERROR(__xludf.DUMMYFUNCTION("""COMPUTED_VALUE"""),"1520")</f>
        <v>1520</v>
      </c>
      <c r="B1223" s="2" t="str">
        <f>IFERROR(__xludf.DUMMYFUNCTION("""COMPUTED_VALUE"""),"DURANGO             9-R")</f>
        <v>DURANGO             9-R</v>
      </c>
      <c r="C1223" s="2" t="str">
        <f>IFERROR(__xludf.DUMMYFUNCTION("""COMPUTED_VALUE"""),"06738")</f>
        <v>06738</v>
      </c>
      <c r="D1223" s="2" t="str">
        <f>IFERROR(__xludf.DUMMYFUNCTION("""COMPUTED_VALUE"""),"PARK ELEMENTARY SCHOOL")</f>
        <v>PARK ELEMENTARY SCHOOL</v>
      </c>
      <c r="E1223" s="3" t="str">
        <f>IFERROR(__xludf.DUMMYFUNCTION("""COMPUTED_VALUE"""),"Y")</f>
        <v>Y</v>
      </c>
      <c r="F1223" s="3" t="str">
        <f>IFERROR(__xludf.DUMMYFUNCTION("""COMPUTED_VALUE"""),"Y")</f>
        <v>Y</v>
      </c>
      <c r="G1223" s="3"/>
      <c r="H1223" s="3"/>
      <c r="I1223" s="3" t="str">
        <f>IFERROR(__xludf.DUMMYFUNCTION("""COMPUTED_VALUE""")," ")</f>
        <v> </v>
      </c>
      <c r="J1223" s="3" t="str">
        <f>IFERROR(__xludf.DUMMYFUNCTION("""COMPUTED_VALUE""")," ")</f>
        <v> </v>
      </c>
      <c r="K1223" s="3" t="str">
        <f>IFERROR(__xludf.DUMMYFUNCTION("""COMPUTED_VALUE"""),"Y")</f>
        <v>Y</v>
      </c>
      <c r="L1223" s="3" t="str">
        <f>IFERROR(__xludf.DUMMYFUNCTION("""COMPUTED_VALUE"""),"Group 2")</f>
        <v>Group 2</v>
      </c>
      <c r="M1223" s="3"/>
      <c r="N1223" s="5" t="str">
        <f>IFERROR(__xludf.DUMMYFUNCTION("""COMPUTED_VALUE""")," ")</f>
        <v> </v>
      </c>
      <c r="O1223" s="5"/>
    </row>
    <row r="1224">
      <c r="A1224" s="2" t="str">
        <f>IFERROR(__xludf.DUMMYFUNCTION("""COMPUTED_VALUE"""),"1520")</f>
        <v>1520</v>
      </c>
      <c r="B1224" s="2" t="str">
        <f>IFERROR(__xludf.DUMMYFUNCTION("""COMPUTED_VALUE"""),"DURANGO             9-R")</f>
        <v>DURANGO             9-R</v>
      </c>
      <c r="C1224" s="2" t="str">
        <f>IFERROR(__xludf.DUMMYFUNCTION("""COMPUTED_VALUE"""),"07402")</f>
        <v>07402</v>
      </c>
      <c r="D1224" s="2" t="str">
        <f>IFERROR(__xludf.DUMMYFUNCTION("""COMPUTED_VALUE"""),"RIVERVIEW ELEMENTARY SCHOOL")</f>
        <v>RIVERVIEW ELEMENTARY SCHOOL</v>
      </c>
      <c r="E1224" s="3" t="str">
        <f>IFERROR(__xludf.DUMMYFUNCTION("""COMPUTED_VALUE"""),"Y")</f>
        <v>Y</v>
      </c>
      <c r="F1224" s="3" t="str">
        <f>IFERROR(__xludf.DUMMYFUNCTION("""COMPUTED_VALUE"""),"Y")</f>
        <v>Y</v>
      </c>
      <c r="G1224" s="3"/>
      <c r="H1224" s="3"/>
      <c r="I1224" s="3" t="str">
        <f>IFERROR(__xludf.DUMMYFUNCTION("""COMPUTED_VALUE""")," ")</f>
        <v> </v>
      </c>
      <c r="J1224" s="3" t="str">
        <f>IFERROR(__xludf.DUMMYFUNCTION("""COMPUTED_VALUE""")," ")</f>
        <v> </v>
      </c>
      <c r="K1224" s="3" t="str">
        <f>IFERROR(__xludf.DUMMYFUNCTION("""COMPUTED_VALUE"""),"Y")</f>
        <v>Y</v>
      </c>
      <c r="L1224" s="3" t="str">
        <f>IFERROR(__xludf.DUMMYFUNCTION("""COMPUTED_VALUE"""),"Group 6")</f>
        <v>Group 6</v>
      </c>
      <c r="M1224" s="3"/>
      <c r="N1224" s="5" t="str">
        <f>IFERROR(__xludf.DUMMYFUNCTION("""COMPUTED_VALUE""")," ")</f>
        <v> </v>
      </c>
      <c r="O1224" s="5"/>
    </row>
    <row r="1225">
      <c r="A1225" s="2" t="str">
        <f>IFERROR(__xludf.DUMMYFUNCTION("""COMPUTED_VALUE"""),"1520")</f>
        <v>1520</v>
      </c>
      <c r="B1225" s="2" t="str">
        <f>IFERROR(__xludf.DUMMYFUNCTION("""COMPUTED_VALUE"""),"DURANGO             9-R")</f>
        <v>DURANGO             9-R</v>
      </c>
      <c r="C1225" s="2" t="str">
        <f>IFERROR(__xludf.DUMMYFUNCTION("""COMPUTED_VALUE"""),"07994")</f>
        <v>07994</v>
      </c>
      <c r="D1225" s="2" t="str">
        <f>IFERROR(__xludf.DUMMYFUNCTION("""COMPUTED_VALUE"""),"ESCALANTE MIDDLE SCHOOL")</f>
        <v>ESCALANTE MIDDLE SCHOOL</v>
      </c>
      <c r="E1225" s="3" t="str">
        <f>IFERROR(__xludf.DUMMYFUNCTION("""COMPUTED_VALUE"""),"Y")</f>
        <v>Y</v>
      </c>
      <c r="F1225" s="3" t="str">
        <f>IFERROR(__xludf.DUMMYFUNCTION("""COMPUTED_VALUE"""),"Y")</f>
        <v>Y</v>
      </c>
      <c r="G1225" s="3"/>
      <c r="H1225" s="3"/>
      <c r="I1225" s="3" t="str">
        <f>IFERROR(__xludf.DUMMYFUNCTION("""COMPUTED_VALUE""")," ")</f>
        <v> </v>
      </c>
      <c r="J1225" s="3" t="str">
        <f>IFERROR(__xludf.DUMMYFUNCTION("""COMPUTED_VALUE""")," ")</f>
        <v> </v>
      </c>
      <c r="K1225" s="3" t="str">
        <f>IFERROR(__xludf.DUMMYFUNCTION("""COMPUTED_VALUE"""),"Y")</f>
        <v>Y</v>
      </c>
      <c r="L1225" s="3" t="str">
        <f>IFERROR(__xludf.DUMMYFUNCTION("""COMPUTED_VALUE"""),"Group 4")</f>
        <v>Group 4</v>
      </c>
      <c r="M1225" s="3"/>
      <c r="N1225" s="5" t="str">
        <f>IFERROR(__xludf.DUMMYFUNCTION("""COMPUTED_VALUE""")," ")</f>
        <v> </v>
      </c>
      <c r="O1225" s="5"/>
    </row>
    <row r="1226">
      <c r="A1226" s="2" t="str">
        <f>IFERROR(__xludf.DUMMYFUNCTION("""COMPUTED_VALUE"""),"1520")</f>
        <v>1520</v>
      </c>
      <c r="B1226" s="2" t="str">
        <f>IFERROR(__xludf.DUMMYFUNCTION("""COMPUTED_VALUE"""),"DURANGO             9-R")</f>
        <v>DURANGO             9-R</v>
      </c>
      <c r="C1226" s="2" t="str">
        <f>IFERROR(__xludf.DUMMYFUNCTION("""COMPUTED_VALUE"""),"08388")</f>
        <v>08388</v>
      </c>
      <c r="D1226" s="2" t="str">
        <f>IFERROR(__xludf.DUMMYFUNCTION("""COMPUTED_VALUE"""),"SUNNYSIDE ELEMENTARY SCHOOL")</f>
        <v>SUNNYSIDE ELEMENTARY SCHOOL</v>
      </c>
      <c r="E1226" s="3" t="str">
        <f>IFERROR(__xludf.DUMMYFUNCTION("""COMPUTED_VALUE"""),"Y")</f>
        <v>Y</v>
      </c>
      <c r="F1226" s="3" t="str">
        <f>IFERROR(__xludf.DUMMYFUNCTION("""COMPUTED_VALUE"""),"Y")</f>
        <v>Y</v>
      </c>
      <c r="G1226" s="3"/>
      <c r="H1226" s="3"/>
      <c r="I1226" s="3" t="str">
        <f>IFERROR(__xludf.DUMMYFUNCTION("""COMPUTED_VALUE""")," ")</f>
        <v> </v>
      </c>
      <c r="J1226" s="3" t="str">
        <f>IFERROR(__xludf.DUMMYFUNCTION("""COMPUTED_VALUE""")," ")</f>
        <v> </v>
      </c>
      <c r="K1226" s="3" t="str">
        <f>IFERROR(__xludf.DUMMYFUNCTION("""COMPUTED_VALUE"""),"Y")</f>
        <v>Y</v>
      </c>
      <c r="L1226" s="3" t="str">
        <f>IFERROR(__xludf.DUMMYFUNCTION("""COMPUTED_VALUE"""),"Group 3")</f>
        <v>Group 3</v>
      </c>
      <c r="M1226" s="3"/>
      <c r="N1226" s="5" t="str">
        <f>IFERROR(__xludf.DUMMYFUNCTION("""COMPUTED_VALUE""")," ")</f>
        <v> </v>
      </c>
      <c r="O1226" s="5"/>
    </row>
    <row r="1227">
      <c r="A1227" s="2" t="str">
        <f>IFERROR(__xludf.DUMMYFUNCTION("""COMPUTED_VALUE"""),"1530")</f>
        <v>1530</v>
      </c>
      <c r="B1227" s="2" t="str">
        <f>IFERROR(__xludf.DUMMYFUNCTION("""COMPUTED_VALUE"""),"BAYFIELD            10 JT-R")</f>
        <v>BAYFIELD            10 JT-R</v>
      </c>
      <c r="C1227" s="2" t="str">
        <f>IFERROR(__xludf.DUMMYFUNCTION("""COMPUTED_VALUE"""),"00632")</f>
        <v>00632</v>
      </c>
      <c r="D1227" s="2" t="str">
        <f>IFERROR(__xludf.DUMMYFUNCTION("""COMPUTED_VALUE"""),"BAYFIELD INTERMEDIATE SCHOOL")</f>
        <v>BAYFIELD INTERMEDIATE SCHOOL</v>
      </c>
      <c r="E1227" s="3" t="str">
        <f>IFERROR(__xludf.DUMMYFUNCTION("""COMPUTED_VALUE"""),"Y")</f>
        <v>Y</v>
      </c>
      <c r="F1227" s="3" t="str">
        <f>IFERROR(__xludf.DUMMYFUNCTION("""COMPUTED_VALUE"""),"Y")</f>
        <v>Y</v>
      </c>
      <c r="G1227" s="3"/>
      <c r="H1227" s="3"/>
      <c r="I1227" s="3" t="str">
        <f>IFERROR(__xludf.DUMMYFUNCTION("""COMPUTED_VALUE""")," ")</f>
        <v> </v>
      </c>
      <c r="J1227" s="3" t="str">
        <f>IFERROR(__xludf.DUMMYFUNCTION("""COMPUTED_VALUE""")," ")</f>
        <v> </v>
      </c>
      <c r="K1227" s="3" t="str">
        <f>IFERROR(__xludf.DUMMYFUNCTION("""COMPUTED_VALUE"""),"Y")</f>
        <v>Y</v>
      </c>
      <c r="L1227" s="3" t="str">
        <f>IFERROR(__xludf.DUMMYFUNCTION("""COMPUTED_VALUE"""),"Group 3")</f>
        <v>Group 3</v>
      </c>
      <c r="M1227" s="3"/>
      <c r="N1227" s="5" t="str">
        <f>IFERROR(__xludf.DUMMYFUNCTION("""COMPUTED_VALUE""")," ")</f>
        <v> </v>
      </c>
      <c r="O1227" s="5"/>
    </row>
    <row r="1228">
      <c r="A1228" s="2" t="str">
        <f>IFERROR(__xludf.DUMMYFUNCTION("""COMPUTED_VALUE"""),"1530")</f>
        <v>1530</v>
      </c>
      <c r="B1228" s="2" t="str">
        <f>IFERROR(__xludf.DUMMYFUNCTION("""COMPUTED_VALUE"""),"BAYFIELD            10 JT-R")</f>
        <v>BAYFIELD            10 JT-R</v>
      </c>
      <c r="C1228" s="2" t="str">
        <f>IFERROR(__xludf.DUMMYFUNCTION("""COMPUTED_VALUE"""),"00636")</f>
        <v>00636</v>
      </c>
      <c r="D1228" s="2" t="str">
        <f>IFERROR(__xludf.DUMMYFUNCTION("""COMPUTED_VALUE"""),"BAYFIELD MIDDLE SCHOOL")</f>
        <v>BAYFIELD MIDDLE SCHOOL</v>
      </c>
      <c r="E1228" s="3" t="str">
        <f>IFERROR(__xludf.DUMMYFUNCTION("""COMPUTED_VALUE"""),"Y")</f>
        <v>Y</v>
      </c>
      <c r="F1228" s="3" t="str">
        <f>IFERROR(__xludf.DUMMYFUNCTION("""COMPUTED_VALUE"""),"Y")</f>
        <v>Y</v>
      </c>
      <c r="G1228" s="3"/>
      <c r="H1228" s="3"/>
      <c r="I1228" s="3" t="str">
        <f>IFERROR(__xludf.DUMMYFUNCTION("""COMPUTED_VALUE""")," ")</f>
        <v> </v>
      </c>
      <c r="J1228" s="3" t="str">
        <f>IFERROR(__xludf.DUMMYFUNCTION("""COMPUTED_VALUE""")," ")</f>
        <v> </v>
      </c>
      <c r="K1228" s="3" t="str">
        <f>IFERROR(__xludf.DUMMYFUNCTION("""COMPUTED_VALUE"""),"Y")</f>
        <v>Y</v>
      </c>
      <c r="L1228" s="3" t="str">
        <f>IFERROR(__xludf.DUMMYFUNCTION("""COMPUTED_VALUE"""),"Group 1")</f>
        <v>Group 1</v>
      </c>
      <c r="M1228" s="3"/>
      <c r="N1228" s="5" t="str">
        <f>IFERROR(__xludf.DUMMYFUNCTION("""COMPUTED_VALUE""")," ")</f>
        <v> </v>
      </c>
      <c r="O1228" s="5"/>
    </row>
    <row r="1229">
      <c r="A1229" s="2" t="str">
        <f>IFERROR(__xludf.DUMMYFUNCTION("""COMPUTED_VALUE"""),"1530")</f>
        <v>1530</v>
      </c>
      <c r="B1229" s="2" t="str">
        <f>IFERROR(__xludf.DUMMYFUNCTION("""COMPUTED_VALUE"""),"BAYFIELD            10 JT-R")</f>
        <v>BAYFIELD            10 JT-R</v>
      </c>
      <c r="C1229" s="2" t="str">
        <f>IFERROR(__xludf.DUMMYFUNCTION("""COMPUTED_VALUE"""),"00640")</f>
        <v>00640</v>
      </c>
      <c r="D1229" s="2" t="str">
        <f>IFERROR(__xludf.DUMMYFUNCTION("""COMPUTED_VALUE"""),"BAYFIELD HIGH SCHOOL")</f>
        <v>BAYFIELD HIGH SCHOOL</v>
      </c>
      <c r="E1229" s="3" t="str">
        <f>IFERROR(__xludf.DUMMYFUNCTION("""COMPUTED_VALUE"""),"Y")</f>
        <v>Y</v>
      </c>
      <c r="F1229" s="3" t="str">
        <f>IFERROR(__xludf.DUMMYFUNCTION("""COMPUTED_VALUE"""),"Y")</f>
        <v>Y</v>
      </c>
      <c r="G1229" s="3"/>
      <c r="H1229" s="3"/>
      <c r="I1229" s="3" t="str">
        <f>IFERROR(__xludf.DUMMYFUNCTION("""COMPUTED_VALUE""")," ")</f>
        <v> </v>
      </c>
      <c r="J1229" s="3" t="str">
        <f>IFERROR(__xludf.DUMMYFUNCTION("""COMPUTED_VALUE""")," ")</f>
        <v> </v>
      </c>
      <c r="K1229" s="3" t="str">
        <f>IFERROR(__xludf.DUMMYFUNCTION("""COMPUTED_VALUE"""),"Y")</f>
        <v>Y</v>
      </c>
      <c r="L1229" s="3" t="str">
        <f>IFERROR(__xludf.DUMMYFUNCTION("""COMPUTED_VALUE"""),"Group 2")</f>
        <v>Group 2</v>
      </c>
      <c r="M1229" s="3"/>
      <c r="N1229" s="5" t="str">
        <f>IFERROR(__xludf.DUMMYFUNCTION("""COMPUTED_VALUE""")," ")</f>
        <v> </v>
      </c>
      <c r="O1229" s="5"/>
    </row>
    <row r="1230">
      <c r="A1230" s="2" t="str">
        <f>IFERROR(__xludf.DUMMYFUNCTION("""COMPUTED_VALUE"""),"1530")</f>
        <v>1530</v>
      </c>
      <c r="B1230" s="2" t="str">
        <f>IFERROR(__xludf.DUMMYFUNCTION("""COMPUTED_VALUE"""),"BAYFIELD            10 JT-R")</f>
        <v>BAYFIELD            10 JT-R</v>
      </c>
      <c r="C1230" s="2" t="str">
        <f>IFERROR(__xludf.DUMMYFUNCTION("""COMPUTED_VALUE"""),"00642")</f>
        <v>00642</v>
      </c>
      <c r="D1230" s="2" t="str">
        <f>IFERROR(__xludf.DUMMYFUNCTION("""COMPUTED_VALUE"""),"BAYFIELD PRIMARY SCHOOL")</f>
        <v>BAYFIELD PRIMARY SCHOOL</v>
      </c>
      <c r="E1230" s="3" t="str">
        <f>IFERROR(__xludf.DUMMYFUNCTION("""COMPUTED_VALUE"""),"Y")</f>
        <v>Y</v>
      </c>
      <c r="F1230" s="3" t="str">
        <f>IFERROR(__xludf.DUMMYFUNCTION("""COMPUTED_VALUE"""),"Y")</f>
        <v>Y</v>
      </c>
      <c r="G1230" s="3"/>
      <c r="H1230" s="3"/>
      <c r="I1230" s="3" t="str">
        <f>IFERROR(__xludf.DUMMYFUNCTION("""COMPUTED_VALUE""")," ")</f>
        <v> </v>
      </c>
      <c r="J1230" s="3" t="str">
        <f>IFERROR(__xludf.DUMMYFUNCTION("""COMPUTED_VALUE""")," ")</f>
        <v> </v>
      </c>
      <c r="K1230" s="3" t="str">
        <f>IFERROR(__xludf.DUMMYFUNCTION("""COMPUTED_VALUE"""),"Y")</f>
        <v>Y</v>
      </c>
      <c r="L1230" s="3" t="str">
        <f>IFERROR(__xludf.DUMMYFUNCTION("""COMPUTED_VALUE"""),"Group 3")</f>
        <v>Group 3</v>
      </c>
      <c r="M1230" s="3"/>
      <c r="N1230" s="5" t="str">
        <f>IFERROR(__xludf.DUMMYFUNCTION("""COMPUTED_VALUE""")," ")</f>
        <v> </v>
      </c>
      <c r="O1230" s="5"/>
    </row>
    <row r="1231">
      <c r="A1231" s="2" t="str">
        <f>IFERROR(__xludf.DUMMYFUNCTION("""COMPUTED_VALUE"""),"1540")</f>
        <v>1540</v>
      </c>
      <c r="B1231" s="2" t="str">
        <f>IFERROR(__xludf.DUMMYFUNCTION("""COMPUTED_VALUE"""),"IGNACIO             11 JT")</f>
        <v>IGNACIO             11 JT</v>
      </c>
      <c r="C1231" s="2" t="str">
        <f>IFERROR(__xludf.DUMMYFUNCTION("""COMPUTED_VALUE"""),"04252")</f>
        <v>04252</v>
      </c>
      <c r="D1231" s="2" t="str">
        <f>IFERROR(__xludf.DUMMYFUNCTION("""COMPUTED_VALUE"""),"IGNACIO ELEMENTARY SCHOOL")</f>
        <v>IGNACIO ELEMENTARY SCHOOL</v>
      </c>
      <c r="E1231" s="3" t="str">
        <f>IFERROR(__xludf.DUMMYFUNCTION("""COMPUTED_VALUE"""),"Y")</f>
        <v>Y</v>
      </c>
      <c r="F1231" s="3" t="str">
        <f>IFERROR(__xludf.DUMMYFUNCTION("""COMPUTED_VALUE"""),"Y")</f>
        <v>Y</v>
      </c>
      <c r="G1231" s="3"/>
      <c r="H1231" s="3"/>
      <c r="I1231" s="3" t="str">
        <f>IFERROR(__xludf.DUMMYFUNCTION("""COMPUTED_VALUE""")," ")</f>
        <v> </v>
      </c>
      <c r="J1231" s="3" t="str">
        <f>IFERROR(__xludf.DUMMYFUNCTION("""COMPUTED_VALUE""")," ")</f>
        <v> </v>
      </c>
      <c r="K1231" s="3" t="str">
        <f>IFERROR(__xludf.DUMMYFUNCTION("""COMPUTED_VALUE"""),"Y")</f>
        <v>Y</v>
      </c>
      <c r="L1231" s="3" t="str">
        <f>IFERROR(__xludf.DUMMYFUNCTION("""COMPUTED_VALUE"""),"Group 1")</f>
        <v>Group 1</v>
      </c>
      <c r="M1231" s="3"/>
      <c r="N1231" s="5" t="str">
        <f>IFERROR(__xludf.DUMMYFUNCTION("""COMPUTED_VALUE""")," ")</f>
        <v> </v>
      </c>
      <c r="O1231" s="5"/>
    </row>
    <row r="1232">
      <c r="A1232" s="2" t="str">
        <f>IFERROR(__xludf.DUMMYFUNCTION("""COMPUTED_VALUE"""),"1540")</f>
        <v>1540</v>
      </c>
      <c r="B1232" s="2" t="str">
        <f>IFERROR(__xludf.DUMMYFUNCTION("""COMPUTED_VALUE"""),"IGNACIO             11 JT")</f>
        <v>IGNACIO             11 JT</v>
      </c>
      <c r="C1232" s="2" t="str">
        <f>IFERROR(__xludf.DUMMYFUNCTION("""COMPUTED_VALUE"""),"04254")</f>
        <v>04254</v>
      </c>
      <c r="D1232" s="2" t="str">
        <f>IFERROR(__xludf.DUMMYFUNCTION("""COMPUTED_VALUE"""),"IGNACIO MIDDLE SCHOOL")</f>
        <v>IGNACIO MIDDLE SCHOOL</v>
      </c>
      <c r="E1232" s="3" t="str">
        <f>IFERROR(__xludf.DUMMYFUNCTION("""COMPUTED_VALUE"""),"Y")</f>
        <v>Y</v>
      </c>
      <c r="F1232" s="3" t="str">
        <f>IFERROR(__xludf.DUMMYFUNCTION("""COMPUTED_VALUE"""),"Y")</f>
        <v>Y</v>
      </c>
      <c r="G1232" s="3"/>
      <c r="H1232" s="3"/>
      <c r="I1232" s="3" t="str">
        <f>IFERROR(__xludf.DUMMYFUNCTION("""COMPUTED_VALUE""")," ")</f>
        <v> </v>
      </c>
      <c r="J1232" s="3" t="str">
        <f>IFERROR(__xludf.DUMMYFUNCTION("""COMPUTED_VALUE""")," ")</f>
        <v> </v>
      </c>
      <c r="K1232" s="3" t="str">
        <f>IFERROR(__xludf.DUMMYFUNCTION("""COMPUTED_VALUE"""),"Y")</f>
        <v>Y</v>
      </c>
      <c r="L1232" s="3" t="str">
        <f>IFERROR(__xludf.DUMMYFUNCTION("""COMPUTED_VALUE"""),"Group 1")</f>
        <v>Group 1</v>
      </c>
      <c r="M1232" s="3"/>
      <c r="N1232" s="5" t="str">
        <f>IFERROR(__xludf.DUMMYFUNCTION("""COMPUTED_VALUE""")," ")</f>
        <v> </v>
      </c>
      <c r="O1232" s="5"/>
    </row>
    <row r="1233">
      <c r="A1233" s="2" t="str">
        <f>IFERROR(__xludf.DUMMYFUNCTION("""COMPUTED_VALUE"""),"1540")</f>
        <v>1540</v>
      </c>
      <c r="B1233" s="2" t="str">
        <f>IFERROR(__xludf.DUMMYFUNCTION("""COMPUTED_VALUE"""),"IGNACIO             11 JT")</f>
        <v>IGNACIO             11 JT</v>
      </c>
      <c r="C1233" s="2" t="str">
        <f>IFERROR(__xludf.DUMMYFUNCTION("""COMPUTED_VALUE"""),"04255")</f>
        <v>04255</v>
      </c>
      <c r="D1233" s="2" t="str">
        <f>IFERROR(__xludf.DUMMYFUNCTION("""COMPUTED_VALUE"""),"Ignacio Early Learning Program")</f>
        <v>Ignacio Early Learning Program</v>
      </c>
      <c r="E1233" s="3" t="str">
        <f>IFERROR(__xludf.DUMMYFUNCTION("""COMPUTED_VALUE"""),"Y")</f>
        <v>Y</v>
      </c>
      <c r="F1233" s="3" t="str">
        <f>IFERROR(__xludf.DUMMYFUNCTION("""COMPUTED_VALUE"""),"Y")</f>
        <v>Y</v>
      </c>
      <c r="G1233" s="3"/>
      <c r="H1233" s="3"/>
      <c r="I1233" s="3" t="str">
        <f>IFERROR(__xludf.DUMMYFUNCTION("""COMPUTED_VALUE""")," ")</f>
        <v> </v>
      </c>
      <c r="J1233" s="3" t="str">
        <f>IFERROR(__xludf.DUMMYFUNCTION("""COMPUTED_VALUE""")," ")</f>
        <v> </v>
      </c>
      <c r="K1233" s="3" t="str">
        <f>IFERROR(__xludf.DUMMYFUNCTION("""COMPUTED_VALUE"""),"Y")</f>
        <v>Y</v>
      </c>
      <c r="L1233" s="3" t="str">
        <f>IFERROR(__xludf.DUMMYFUNCTION("""COMPUTED_VALUE"""),"Group 1")</f>
        <v>Group 1</v>
      </c>
      <c r="M1233" s="3"/>
      <c r="N1233" s="5" t="str">
        <f>IFERROR(__xludf.DUMMYFUNCTION("""COMPUTED_VALUE""")," ")</f>
        <v> </v>
      </c>
      <c r="O1233" s="5"/>
    </row>
    <row r="1234">
      <c r="A1234" s="2" t="str">
        <f>IFERROR(__xludf.DUMMYFUNCTION("""COMPUTED_VALUE"""),"1540")</f>
        <v>1540</v>
      </c>
      <c r="B1234" s="2" t="str">
        <f>IFERROR(__xludf.DUMMYFUNCTION("""COMPUTED_VALUE"""),"IGNACIO             11 JT")</f>
        <v>IGNACIO             11 JT</v>
      </c>
      <c r="C1234" s="2" t="str">
        <f>IFERROR(__xludf.DUMMYFUNCTION("""COMPUTED_VALUE"""),"04258")</f>
        <v>04258</v>
      </c>
      <c r="D1234" s="2" t="str">
        <f>IFERROR(__xludf.DUMMYFUNCTION("""COMPUTED_VALUE"""),"IGNACIO HIGH SCHOOL")</f>
        <v>IGNACIO HIGH SCHOOL</v>
      </c>
      <c r="E1234" s="3" t="str">
        <f>IFERROR(__xludf.DUMMYFUNCTION("""COMPUTED_VALUE"""),"Y")</f>
        <v>Y</v>
      </c>
      <c r="F1234" s="3" t="str">
        <f>IFERROR(__xludf.DUMMYFUNCTION("""COMPUTED_VALUE"""),"Y")</f>
        <v>Y</v>
      </c>
      <c r="G1234" s="3"/>
      <c r="H1234" s="3"/>
      <c r="I1234" s="3" t="str">
        <f>IFERROR(__xludf.DUMMYFUNCTION("""COMPUTED_VALUE""")," ")</f>
        <v> </v>
      </c>
      <c r="J1234" s="3" t="str">
        <f>IFERROR(__xludf.DUMMYFUNCTION("""COMPUTED_VALUE""")," ")</f>
        <v> </v>
      </c>
      <c r="K1234" s="3" t="str">
        <f>IFERROR(__xludf.DUMMYFUNCTION("""COMPUTED_VALUE"""),"Y")</f>
        <v>Y</v>
      </c>
      <c r="L1234" s="3" t="str">
        <f>IFERROR(__xludf.DUMMYFUNCTION("""COMPUTED_VALUE"""),"Group 2")</f>
        <v>Group 2</v>
      </c>
      <c r="M1234" s="3"/>
      <c r="N1234" s="5" t="str">
        <f>IFERROR(__xludf.DUMMYFUNCTION("""COMPUTED_VALUE""")," ")</f>
        <v> </v>
      </c>
      <c r="O1234" s="5"/>
    </row>
    <row r="1235">
      <c r="A1235" s="2" t="str">
        <f>IFERROR(__xludf.DUMMYFUNCTION("""COMPUTED_VALUE"""),"1540")</f>
        <v>1540</v>
      </c>
      <c r="B1235" s="2" t="str">
        <f>IFERROR(__xludf.DUMMYFUNCTION("""COMPUTED_VALUE"""),"IGNACIO             11 JT")</f>
        <v>IGNACIO             11 JT</v>
      </c>
      <c r="C1235" s="2" t="str">
        <f>IFERROR(__xludf.DUMMYFUNCTION("""COMPUTED_VALUE"""),"94255")</f>
        <v>94255</v>
      </c>
      <c r="D1235" s="2" t="str">
        <f>IFERROR(__xludf.DUMMYFUNCTION("""COMPUTED_VALUE"""),"Early Learning Program - Private Students")</f>
        <v>Early Learning Program - Private Students</v>
      </c>
      <c r="E1235" s="3" t="str">
        <f>IFERROR(__xludf.DUMMYFUNCTION("""COMPUTED_VALUE"""),"Y")</f>
        <v>Y</v>
      </c>
      <c r="F1235" s="3" t="str">
        <f>IFERROR(__xludf.DUMMYFUNCTION("""COMPUTED_VALUE"""),"Y")</f>
        <v>Y</v>
      </c>
      <c r="G1235" s="3"/>
      <c r="H1235" s="3"/>
      <c r="I1235" s="3" t="str">
        <f>IFERROR(__xludf.DUMMYFUNCTION("""COMPUTED_VALUE""")," ")</f>
        <v> </v>
      </c>
      <c r="J1235" s="3" t="str">
        <f>IFERROR(__xludf.DUMMYFUNCTION("""COMPUTED_VALUE""")," ")</f>
        <v> </v>
      </c>
      <c r="K1235" s="3"/>
      <c r="L1235" s="3" t="str">
        <f>IFERROR(__xludf.DUMMYFUNCTION("""COMPUTED_VALUE""")," ")</f>
        <v> </v>
      </c>
      <c r="M1235" s="3"/>
      <c r="N1235" s="5" t="str">
        <f>IFERROR(__xludf.DUMMYFUNCTION("""COMPUTED_VALUE""")," ")</f>
        <v> </v>
      </c>
      <c r="O1235" s="5" t="str">
        <f>IFERROR(__xludf.DUMMYFUNCTION("""COMPUTED_VALUE"""),"not HSMA-private students only")</f>
        <v>not HSMA-private students only</v>
      </c>
    </row>
    <row r="1236">
      <c r="A1236" s="2" t="str">
        <f>IFERROR(__xludf.DUMMYFUNCTION("""COMPUTED_VALUE"""),"1550")</f>
        <v>1550</v>
      </c>
      <c r="B1236" s="2" t="str">
        <f>IFERROR(__xludf.DUMMYFUNCTION("""COMPUTED_VALUE"""),"POUDRE R-1")</f>
        <v>POUDRE R-1</v>
      </c>
      <c r="C1236" s="2" t="str">
        <f>IFERROR(__xludf.DUMMYFUNCTION("""COMPUTED_VALUE"""),"00473")</f>
        <v>00473</v>
      </c>
      <c r="D1236" s="2" t="str">
        <f>IFERROR(__xludf.DUMMYFUNCTION("""COMPUTED_VALUE"""),"PSD Mountain Schools")</f>
        <v>PSD Mountain Schools</v>
      </c>
      <c r="E1236" s="3" t="str">
        <f>IFERROR(__xludf.DUMMYFUNCTION("""COMPUTED_VALUE"""),"Y")</f>
        <v>Y</v>
      </c>
      <c r="F1236" s="3" t="str">
        <f>IFERROR(__xludf.DUMMYFUNCTION("""COMPUTED_VALUE"""),"Y")</f>
        <v>Y</v>
      </c>
      <c r="G1236" s="3"/>
      <c r="H1236" s="3"/>
      <c r="I1236" s="3" t="str">
        <f>IFERROR(__xludf.DUMMYFUNCTION("""COMPUTED_VALUE""")," ")</f>
        <v> </v>
      </c>
      <c r="J1236" s="3" t="str">
        <f>IFERROR(__xludf.DUMMYFUNCTION("""COMPUTED_VALUE""")," ")</f>
        <v> </v>
      </c>
      <c r="K1236" s="3" t="str">
        <f>IFERROR(__xludf.DUMMYFUNCTION("""COMPUTED_VALUE"""),"Y")</f>
        <v>Y</v>
      </c>
      <c r="L1236" s="3" t="str">
        <f>IFERROR(__xludf.DUMMYFUNCTION("""COMPUTED_VALUE"""),"Group 9")</f>
        <v>Group 9</v>
      </c>
      <c r="M1236" s="3"/>
      <c r="N1236" s="5" t="str">
        <f>IFERROR(__xludf.DUMMYFUNCTION("""COMPUTED_VALUE""")," ")</f>
        <v> </v>
      </c>
      <c r="O1236" s="5"/>
    </row>
    <row r="1237">
      <c r="A1237" s="2" t="str">
        <f>IFERROR(__xludf.DUMMYFUNCTION("""COMPUTED_VALUE"""),"1550")</f>
        <v>1550</v>
      </c>
      <c r="B1237" s="2" t="str">
        <f>IFERROR(__xludf.DUMMYFUNCTION("""COMPUTED_VALUE"""),"POUDRE R-1")</f>
        <v>POUDRE R-1</v>
      </c>
      <c r="C1237" s="2" t="str">
        <f>IFERROR(__xludf.DUMMYFUNCTION("""COMPUTED_VALUE"""),"00477")</f>
        <v>00477</v>
      </c>
      <c r="D1237" s="2" t="str">
        <f>IFERROR(__xludf.DUMMYFUNCTION("""COMPUTED_VALUE"""),"ZACH ELEMENTARY SCHOOL")</f>
        <v>ZACH ELEMENTARY SCHOOL</v>
      </c>
      <c r="E1237" s="3" t="str">
        <f>IFERROR(__xludf.DUMMYFUNCTION("""COMPUTED_VALUE"""),"Y")</f>
        <v>Y</v>
      </c>
      <c r="F1237" s="3" t="str">
        <f>IFERROR(__xludf.DUMMYFUNCTION("""COMPUTED_VALUE"""),"Y")</f>
        <v>Y</v>
      </c>
      <c r="G1237" s="3"/>
      <c r="H1237" s="3"/>
      <c r="I1237" s="3" t="str">
        <f>IFERROR(__xludf.DUMMYFUNCTION("""COMPUTED_VALUE""")," ")</f>
        <v> </v>
      </c>
      <c r="J1237" s="3" t="str">
        <f>IFERROR(__xludf.DUMMYFUNCTION("""COMPUTED_VALUE""")," ")</f>
        <v> </v>
      </c>
      <c r="K1237" s="3" t="str">
        <f>IFERROR(__xludf.DUMMYFUNCTION("""COMPUTED_VALUE"""),"Y")</f>
        <v>Y</v>
      </c>
      <c r="L1237" s="3" t="str">
        <f>IFERROR(__xludf.DUMMYFUNCTION("""COMPUTED_VALUE"""),"Group 14")</f>
        <v>Group 14</v>
      </c>
      <c r="M1237" s="3"/>
      <c r="N1237" s="5" t="str">
        <f>IFERROR(__xludf.DUMMYFUNCTION("""COMPUTED_VALUE""")," ")</f>
        <v> </v>
      </c>
      <c r="O1237" s="5"/>
    </row>
    <row r="1238">
      <c r="A1238" s="2" t="str">
        <f>IFERROR(__xludf.DUMMYFUNCTION("""COMPUTED_VALUE"""),"1550")</f>
        <v>1550</v>
      </c>
      <c r="B1238" s="2" t="str">
        <f>IFERROR(__xludf.DUMMYFUNCTION("""COMPUTED_VALUE"""),"POUDRE R-1")</f>
        <v>POUDRE R-1</v>
      </c>
      <c r="C1238" s="2" t="str">
        <f>IFERROR(__xludf.DUMMYFUNCTION("""COMPUTED_VALUE"""),"00490")</f>
        <v>00490</v>
      </c>
      <c r="D1238" s="2" t="str">
        <f>IFERROR(__xludf.DUMMYFUNCTION("""COMPUTED_VALUE"""),"BACON ELEMENTARY")</f>
        <v>BACON ELEMENTARY</v>
      </c>
      <c r="E1238" s="3" t="str">
        <f>IFERROR(__xludf.DUMMYFUNCTION("""COMPUTED_VALUE"""),"Y")</f>
        <v>Y</v>
      </c>
      <c r="F1238" s="3" t="str">
        <f>IFERROR(__xludf.DUMMYFUNCTION("""COMPUTED_VALUE"""),"Y")</f>
        <v>Y</v>
      </c>
      <c r="G1238" s="3"/>
      <c r="H1238" s="3"/>
      <c r="I1238" s="3" t="str">
        <f>IFERROR(__xludf.DUMMYFUNCTION("""COMPUTED_VALUE""")," ")</f>
        <v> </v>
      </c>
      <c r="J1238" s="3" t="str">
        <f>IFERROR(__xludf.DUMMYFUNCTION("""COMPUTED_VALUE""")," ")</f>
        <v> </v>
      </c>
      <c r="K1238" s="3" t="str">
        <f>IFERROR(__xludf.DUMMYFUNCTION("""COMPUTED_VALUE"""),"Y")</f>
        <v>Y</v>
      </c>
      <c r="L1238" s="3" t="str">
        <f>IFERROR(__xludf.DUMMYFUNCTION("""COMPUTED_VALUE"""),"Group 14")</f>
        <v>Group 14</v>
      </c>
      <c r="M1238" s="3"/>
      <c r="N1238" s="5" t="str">
        <f>IFERROR(__xludf.DUMMYFUNCTION("""COMPUTED_VALUE""")," ")</f>
        <v> </v>
      </c>
      <c r="O1238" s="5"/>
    </row>
    <row r="1239">
      <c r="A1239" s="2" t="str">
        <f>IFERROR(__xludf.DUMMYFUNCTION("""COMPUTED_VALUE"""),"1550")</f>
        <v>1550</v>
      </c>
      <c r="B1239" s="2" t="str">
        <f>IFERROR(__xludf.DUMMYFUNCTION("""COMPUTED_VALUE"""),"POUDRE R-1")</f>
        <v>POUDRE R-1</v>
      </c>
      <c r="C1239" s="2" t="str">
        <f>IFERROR(__xludf.DUMMYFUNCTION("""COMPUTED_VALUE"""),"00498")</f>
        <v>00498</v>
      </c>
      <c r="D1239" s="2" t="str">
        <f>IFERROR(__xludf.DUMMYFUNCTION("""COMPUTED_VALUE"""),"BETHKE ELEMENTARY SCHOOL")</f>
        <v>BETHKE ELEMENTARY SCHOOL</v>
      </c>
      <c r="E1239" s="3" t="str">
        <f>IFERROR(__xludf.DUMMYFUNCTION("""COMPUTED_VALUE"""),"Y")</f>
        <v>Y</v>
      </c>
      <c r="F1239" s="3" t="str">
        <f>IFERROR(__xludf.DUMMYFUNCTION("""COMPUTED_VALUE"""),"Y")</f>
        <v>Y</v>
      </c>
      <c r="G1239" s="3"/>
      <c r="H1239" s="3"/>
      <c r="I1239" s="3" t="str">
        <f>IFERROR(__xludf.DUMMYFUNCTION("""COMPUTED_VALUE""")," ")</f>
        <v> </v>
      </c>
      <c r="J1239" s="3" t="str">
        <f>IFERROR(__xludf.DUMMYFUNCTION("""COMPUTED_VALUE""")," ")</f>
        <v> </v>
      </c>
      <c r="K1239" s="3" t="str">
        <f>IFERROR(__xludf.DUMMYFUNCTION("""COMPUTED_VALUE"""),"Y")</f>
        <v>Y</v>
      </c>
      <c r="L1239" s="3" t="str">
        <f>IFERROR(__xludf.DUMMYFUNCTION("""COMPUTED_VALUE"""),"Group 1")</f>
        <v>Group 1</v>
      </c>
      <c r="M1239" s="3"/>
      <c r="N1239" s="5" t="str">
        <f>IFERROR(__xludf.DUMMYFUNCTION("""COMPUTED_VALUE""")," ")</f>
        <v> </v>
      </c>
      <c r="O1239" s="5"/>
    </row>
    <row r="1240">
      <c r="A1240" s="2" t="str">
        <f>IFERROR(__xludf.DUMMYFUNCTION("""COMPUTED_VALUE"""),"1550")</f>
        <v>1550</v>
      </c>
      <c r="B1240" s="2" t="str">
        <f>IFERROR(__xludf.DUMMYFUNCTION("""COMPUTED_VALUE"""),"POUDRE R-1")</f>
        <v>POUDRE R-1</v>
      </c>
      <c r="C1240" s="2" t="str">
        <f>IFERROR(__xludf.DUMMYFUNCTION("""COMPUTED_VALUE"""),"00612")</f>
        <v>00612</v>
      </c>
      <c r="D1240" s="2" t="str">
        <f>IFERROR(__xludf.DUMMYFUNCTION("""COMPUTED_VALUE"""),"BAUDER ELEMENTARY SCHOOL")</f>
        <v>BAUDER ELEMENTARY SCHOOL</v>
      </c>
      <c r="E1240" s="3" t="str">
        <f>IFERROR(__xludf.DUMMYFUNCTION("""COMPUTED_VALUE"""),"Y")</f>
        <v>Y</v>
      </c>
      <c r="F1240" s="3" t="str">
        <f>IFERROR(__xludf.DUMMYFUNCTION("""COMPUTED_VALUE"""),"Y")</f>
        <v>Y</v>
      </c>
      <c r="G1240" s="3"/>
      <c r="H1240" s="3"/>
      <c r="I1240" s="3" t="str">
        <f>IFERROR(__xludf.DUMMYFUNCTION("""COMPUTED_VALUE""")," ")</f>
        <v> </v>
      </c>
      <c r="J1240" s="3" t="str">
        <f>IFERROR(__xludf.DUMMYFUNCTION("""COMPUTED_VALUE""")," ")</f>
        <v> </v>
      </c>
      <c r="K1240" s="3" t="str">
        <f>IFERROR(__xludf.DUMMYFUNCTION("""COMPUTED_VALUE"""),"Y")</f>
        <v>Y</v>
      </c>
      <c r="L1240" s="3" t="str">
        <f>IFERROR(__xludf.DUMMYFUNCTION("""COMPUTED_VALUE"""),"Group 13")</f>
        <v>Group 13</v>
      </c>
      <c r="M1240" s="3"/>
      <c r="N1240" s="5" t="str">
        <f>IFERROR(__xludf.DUMMYFUNCTION("""COMPUTED_VALUE"""),"Y")</f>
        <v>Y</v>
      </c>
      <c r="O1240" s="5"/>
    </row>
    <row r="1241">
      <c r="A1241" s="2" t="str">
        <f>IFERROR(__xludf.DUMMYFUNCTION("""COMPUTED_VALUE"""),"1550")</f>
        <v>1550</v>
      </c>
      <c r="B1241" s="2" t="str">
        <f>IFERROR(__xludf.DUMMYFUNCTION("""COMPUTED_VALUE"""),"POUDRE R-1")</f>
        <v>POUDRE R-1</v>
      </c>
      <c r="C1241" s="2" t="str">
        <f>IFERROR(__xludf.DUMMYFUNCTION("""COMPUTED_VALUE"""),"00678")</f>
        <v>00678</v>
      </c>
      <c r="D1241" s="2" t="str">
        <f>IFERROR(__xludf.DUMMYFUNCTION("""COMPUTED_VALUE"""),"BEATTIE ELEMENTARY SCHOOL")</f>
        <v>BEATTIE ELEMENTARY SCHOOL</v>
      </c>
      <c r="E1241" s="3" t="str">
        <f>IFERROR(__xludf.DUMMYFUNCTION("""COMPUTED_VALUE"""),"Y")</f>
        <v>Y</v>
      </c>
      <c r="F1241" s="3" t="str">
        <f>IFERROR(__xludf.DUMMYFUNCTION("""COMPUTED_VALUE"""),"Y")</f>
        <v>Y</v>
      </c>
      <c r="G1241" s="3"/>
      <c r="H1241" s="3"/>
      <c r="I1241" s="3" t="str">
        <f>IFERROR(__xludf.DUMMYFUNCTION("""COMPUTED_VALUE""")," ")</f>
        <v> </v>
      </c>
      <c r="J1241" s="3" t="str">
        <f>IFERROR(__xludf.DUMMYFUNCTION("""COMPUTED_VALUE""")," ")</f>
        <v> </v>
      </c>
      <c r="K1241" s="3" t="str">
        <f>IFERROR(__xludf.DUMMYFUNCTION("""COMPUTED_VALUE"""),"Y")</f>
        <v>Y</v>
      </c>
      <c r="L1241" s="3" t="str">
        <f>IFERROR(__xludf.DUMMYFUNCTION("""COMPUTED_VALUE"""),"Group 13")</f>
        <v>Group 13</v>
      </c>
      <c r="M1241" s="3"/>
      <c r="N1241" s="5" t="str">
        <f>IFERROR(__xludf.DUMMYFUNCTION("""COMPUTED_VALUE""")," ")</f>
        <v> </v>
      </c>
      <c r="O1241" s="5"/>
    </row>
    <row r="1242">
      <c r="A1242" s="2" t="str">
        <f>IFERROR(__xludf.DUMMYFUNCTION("""COMPUTED_VALUE"""),"1550")</f>
        <v>1550</v>
      </c>
      <c r="B1242" s="2" t="str">
        <f>IFERROR(__xludf.DUMMYFUNCTION("""COMPUTED_VALUE"""),"POUDRE R-1")</f>
        <v>POUDRE R-1</v>
      </c>
      <c r="C1242" s="2" t="str">
        <f>IFERROR(__xludf.DUMMYFUNCTION("""COMPUTED_VALUE"""),"00766")</f>
        <v>00766</v>
      </c>
      <c r="D1242" s="2" t="str">
        <f>IFERROR(__xludf.DUMMYFUNCTION("""COMPUTED_VALUE"""),"BENNETT ELEMENTARY SCHOOL")</f>
        <v>BENNETT ELEMENTARY SCHOOL</v>
      </c>
      <c r="E1242" s="3" t="str">
        <f>IFERROR(__xludf.DUMMYFUNCTION("""COMPUTED_VALUE"""),"Y")</f>
        <v>Y</v>
      </c>
      <c r="F1242" s="3" t="str">
        <f>IFERROR(__xludf.DUMMYFUNCTION("""COMPUTED_VALUE"""),"Y")</f>
        <v>Y</v>
      </c>
      <c r="G1242" s="3"/>
      <c r="H1242" s="3"/>
      <c r="I1242" s="3" t="str">
        <f>IFERROR(__xludf.DUMMYFUNCTION("""COMPUTED_VALUE""")," ")</f>
        <v> </v>
      </c>
      <c r="J1242" s="3" t="str">
        <f>IFERROR(__xludf.DUMMYFUNCTION("""COMPUTED_VALUE""")," ")</f>
        <v> </v>
      </c>
      <c r="K1242" s="3" t="str">
        <f>IFERROR(__xludf.DUMMYFUNCTION("""COMPUTED_VALUE"""),"Y")</f>
        <v>Y</v>
      </c>
      <c r="L1242" s="3" t="str">
        <f>IFERROR(__xludf.DUMMYFUNCTION("""COMPUTED_VALUE"""),"Group 4")</f>
        <v>Group 4</v>
      </c>
      <c r="M1242" s="3"/>
      <c r="N1242" s="5" t="str">
        <f>IFERROR(__xludf.DUMMYFUNCTION("""COMPUTED_VALUE""")," ")</f>
        <v> </v>
      </c>
      <c r="O1242" s="5"/>
    </row>
    <row r="1243">
      <c r="A1243" s="2" t="str">
        <f>IFERROR(__xludf.DUMMYFUNCTION("""COMPUTED_VALUE"""),"1550")</f>
        <v>1550</v>
      </c>
      <c r="B1243" s="2" t="str">
        <f>IFERROR(__xludf.DUMMYFUNCTION("""COMPUTED_VALUE"""),"POUDRE R-1")</f>
        <v>POUDRE R-1</v>
      </c>
      <c r="C1243" s="2" t="str">
        <f>IFERROR(__xludf.DUMMYFUNCTION("""COMPUTED_VALUE"""),"00892")</f>
        <v>00892</v>
      </c>
      <c r="D1243" s="2" t="str">
        <f>IFERROR(__xludf.DUMMYFUNCTION("""COMPUTED_VALUE"""),"BLEVINS JUNIOR HIGH SCHOOL")</f>
        <v>BLEVINS JUNIOR HIGH SCHOOL</v>
      </c>
      <c r="E1243" s="3" t="str">
        <f>IFERROR(__xludf.DUMMYFUNCTION("""COMPUTED_VALUE"""),"Y")</f>
        <v>Y</v>
      </c>
      <c r="F1243" s="3" t="str">
        <f>IFERROR(__xludf.DUMMYFUNCTION("""COMPUTED_VALUE"""),"Y")</f>
        <v>Y</v>
      </c>
      <c r="G1243" s="3"/>
      <c r="H1243" s="3"/>
      <c r="I1243" s="3" t="str">
        <f>IFERROR(__xludf.DUMMYFUNCTION("""COMPUTED_VALUE""")," ")</f>
        <v> </v>
      </c>
      <c r="J1243" s="3" t="str">
        <f>IFERROR(__xludf.DUMMYFUNCTION("""COMPUTED_VALUE""")," ")</f>
        <v> </v>
      </c>
      <c r="K1243" s="3" t="str">
        <f>IFERROR(__xludf.DUMMYFUNCTION("""COMPUTED_VALUE"""),"Y")</f>
        <v>Y</v>
      </c>
      <c r="L1243" s="3" t="str">
        <f>IFERROR(__xludf.DUMMYFUNCTION("""COMPUTED_VALUE"""),"Group 3")</f>
        <v>Group 3</v>
      </c>
      <c r="M1243" s="3"/>
      <c r="N1243" s="5" t="str">
        <f>IFERROR(__xludf.DUMMYFUNCTION("""COMPUTED_VALUE"""),"Y")</f>
        <v>Y</v>
      </c>
      <c r="O1243" s="5"/>
    </row>
    <row r="1244">
      <c r="A1244" s="2" t="str">
        <f>IFERROR(__xludf.DUMMYFUNCTION("""COMPUTED_VALUE"""),"1550")</f>
        <v>1550</v>
      </c>
      <c r="B1244" s="2" t="str">
        <f>IFERROR(__xludf.DUMMYFUNCTION("""COMPUTED_VALUE"""),"POUDRE R-1")</f>
        <v>POUDRE R-1</v>
      </c>
      <c r="C1244" s="2" t="str">
        <f>IFERROR(__xludf.DUMMYFUNCTION("""COMPUTED_VALUE"""),"00898")</f>
        <v>00898</v>
      </c>
      <c r="D1244" s="2" t="str">
        <f>IFERROR(__xludf.DUMMYFUNCTION("""COMPUTED_VALUE"""),"BOLTZ JUNIOR HIGH SCHOOL")</f>
        <v>BOLTZ JUNIOR HIGH SCHOOL</v>
      </c>
      <c r="E1244" s="3" t="str">
        <f>IFERROR(__xludf.DUMMYFUNCTION("""COMPUTED_VALUE"""),"Y")</f>
        <v>Y</v>
      </c>
      <c r="F1244" s="3" t="str">
        <f>IFERROR(__xludf.DUMMYFUNCTION("""COMPUTED_VALUE"""),"Y")</f>
        <v>Y</v>
      </c>
      <c r="G1244" s="3"/>
      <c r="H1244" s="3"/>
      <c r="I1244" s="3" t="str">
        <f>IFERROR(__xludf.DUMMYFUNCTION("""COMPUTED_VALUE""")," ")</f>
        <v> </v>
      </c>
      <c r="J1244" s="3" t="str">
        <f>IFERROR(__xludf.DUMMYFUNCTION("""COMPUTED_VALUE""")," ")</f>
        <v> </v>
      </c>
      <c r="K1244" s="3" t="str">
        <f>IFERROR(__xludf.DUMMYFUNCTION("""COMPUTED_VALUE"""),"Y")</f>
        <v>Y</v>
      </c>
      <c r="L1244" s="3" t="str">
        <f>IFERROR(__xludf.DUMMYFUNCTION("""COMPUTED_VALUE"""),"Group 5")</f>
        <v>Group 5</v>
      </c>
      <c r="M1244" s="3"/>
      <c r="N1244" s="5" t="str">
        <f>IFERROR(__xludf.DUMMYFUNCTION("""COMPUTED_VALUE""")," ")</f>
        <v> </v>
      </c>
      <c r="O1244" s="5"/>
    </row>
    <row r="1245">
      <c r="A1245" s="2" t="str">
        <f>IFERROR(__xludf.DUMMYFUNCTION("""COMPUTED_VALUE"""),"1550")</f>
        <v>1550</v>
      </c>
      <c r="B1245" s="2" t="str">
        <f>IFERROR(__xludf.DUMMYFUNCTION("""COMPUTED_VALUE"""),"POUDRE R-1")</f>
        <v>POUDRE R-1</v>
      </c>
      <c r="C1245" s="2" t="str">
        <f>IFERROR(__xludf.DUMMYFUNCTION("""COMPUTED_VALUE"""),"01186")</f>
        <v>01186</v>
      </c>
      <c r="D1245" s="2" t="str">
        <f>IFERROR(__xludf.DUMMYFUNCTION("""COMPUTED_VALUE"""),"CACHE LA POUDRE ELEMENTARY SCHOOL")</f>
        <v>CACHE LA POUDRE ELEMENTARY SCHOOL</v>
      </c>
      <c r="E1245" s="3" t="str">
        <f>IFERROR(__xludf.DUMMYFUNCTION("""COMPUTED_VALUE"""),"Y")</f>
        <v>Y</v>
      </c>
      <c r="F1245" s="3" t="str">
        <f>IFERROR(__xludf.DUMMYFUNCTION("""COMPUTED_VALUE"""),"Y")</f>
        <v>Y</v>
      </c>
      <c r="G1245" s="3"/>
      <c r="H1245" s="3"/>
      <c r="I1245" s="3" t="str">
        <f>IFERROR(__xludf.DUMMYFUNCTION("""COMPUTED_VALUE""")," ")</f>
        <v> </v>
      </c>
      <c r="J1245" s="3" t="str">
        <f>IFERROR(__xludf.DUMMYFUNCTION("""COMPUTED_VALUE""")," ")</f>
        <v> </v>
      </c>
      <c r="K1245" s="3" t="str">
        <f>IFERROR(__xludf.DUMMYFUNCTION("""COMPUTED_VALUE"""),"Y")</f>
        <v>Y</v>
      </c>
      <c r="L1245" s="3" t="str">
        <f>IFERROR(__xludf.DUMMYFUNCTION("""COMPUTED_VALUE"""),"Group 13")</f>
        <v>Group 13</v>
      </c>
      <c r="M1245" s="3"/>
      <c r="N1245" s="5" t="str">
        <f>IFERROR(__xludf.DUMMYFUNCTION("""COMPUTED_VALUE""")," ")</f>
        <v> </v>
      </c>
      <c r="O1245" s="5"/>
    </row>
    <row r="1246">
      <c r="A1246" s="2" t="str">
        <f>IFERROR(__xludf.DUMMYFUNCTION("""COMPUTED_VALUE"""),"1550")</f>
        <v>1550</v>
      </c>
      <c r="B1246" s="2" t="str">
        <f>IFERROR(__xludf.DUMMYFUNCTION("""COMPUTED_VALUE"""),"POUDRE R-1")</f>
        <v>POUDRE R-1</v>
      </c>
      <c r="C1246" s="2" t="str">
        <f>IFERROR(__xludf.DUMMYFUNCTION("""COMPUTED_VALUE"""),"01190")</f>
        <v>01190</v>
      </c>
      <c r="D1246" s="2" t="str">
        <f>IFERROR(__xludf.DUMMYFUNCTION("""COMPUTED_VALUE"""),"CACHE LA POUDRE MIDDLE SCHOOL")</f>
        <v>CACHE LA POUDRE MIDDLE SCHOOL</v>
      </c>
      <c r="E1246" s="3" t="str">
        <f>IFERROR(__xludf.DUMMYFUNCTION("""COMPUTED_VALUE"""),"Y")</f>
        <v>Y</v>
      </c>
      <c r="F1246" s="3" t="str">
        <f>IFERROR(__xludf.DUMMYFUNCTION("""COMPUTED_VALUE"""),"Y")</f>
        <v>Y</v>
      </c>
      <c r="G1246" s="3"/>
      <c r="H1246" s="3"/>
      <c r="I1246" s="3" t="str">
        <f>IFERROR(__xludf.DUMMYFUNCTION("""COMPUTED_VALUE""")," ")</f>
        <v> </v>
      </c>
      <c r="J1246" s="3" t="str">
        <f>IFERROR(__xludf.DUMMYFUNCTION("""COMPUTED_VALUE""")," ")</f>
        <v> </v>
      </c>
      <c r="K1246" s="3" t="str">
        <f>IFERROR(__xludf.DUMMYFUNCTION("""COMPUTED_VALUE"""),"Y")</f>
        <v>Y</v>
      </c>
      <c r="L1246" s="3" t="str">
        <f>IFERROR(__xludf.DUMMYFUNCTION("""COMPUTED_VALUE"""),"Group 11")</f>
        <v>Group 11</v>
      </c>
      <c r="M1246" s="3"/>
      <c r="N1246" s="5" t="str">
        <f>IFERROR(__xludf.DUMMYFUNCTION("""COMPUTED_VALUE""")," ")</f>
        <v> </v>
      </c>
      <c r="O1246" s="5"/>
    </row>
    <row r="1247">
      <c r="A1247" s="2" t="str">
        <f>IFERROR(__xludf.DUMMYFUNCTION("""COMPUTED_VALUE"""),"1550")</f>
        <v>1550</v>
      </c>
      <c r="B1247" s="2" t="str">
        <f>IFERROR(__xludf.DUMMYFUNCTION("""COMPUTED_VALUE"""),"POUDRE R-1")</f>
        <v>POUDRE R-1</v>
      </c>
      <c r="C1247" s="2" t="str">
        <f>IFERROR(__xludf.DUMMYFUNCTION("""COMPUTED_VALUE"""),"02298")</f>
        <v>02298</v>
      </c>
      <c r="D1247" s="2" t="str">
        <f>IFERROR(__xludf.DUMMYFUNCTION("""COMPUTED_VALUE"""),"DUNN ELEMENTARY SCHOOL")</f>
        <v>DUNN ELEMENTARY SCHOOL</v>
      </c>
      <c r="E1247" s="3" t="str">
        <f>IFERROR(__xludf.DUMMYFUNCTION("""COMPUTED_VALUE"""),"Y")</f>
        <v>Y</v>
      </c>
      <c r="F1247" s="3" t="str">
        <f>IFERROR(__xludf.DUMMYFUNCTION("""COMPUTED_VALUE"""),"Y")</f>
        <v>Y</v>
      </c>
      <c r="G1247" s="3"/>
      <c r="H1247" s="3"/>
      <c r="I1247" s="3" t="str">
        <f>IFERROR(__xludf.DUMMYFUNCTION("""COMPUTED_VALUE""")," ")</f>
        <v> </v>
      </c>
      <c r="J1247" s="3" t="str">
        <f>IFERROR(__xludf.DUMMYFUNCTION("""COMPUTED_VALUE""")," ")</f>
        <v> </v>
      </c>
      <c r="K1247" s="3" t="str">
        <f>IFERROR(__xludf.DUMMYFUNCTION("""COMPUTED_VALUE"""),"Y")</f>
        <v>Y</v>
      </c>
      <c r="L1247" s="3" t="str">
        <f>IFERROR(__xludf.DUMMYFUNCTION("""COMPUTED_VALUE"""),"Group 14")</f>
        <v>Group 14</v>
      </c>
      <c r="M1247" s="3"/>
      <c r="N1247" s="5" t="str">
        <f>IFERROR(__xludf.DUMMYFUNCTION("""COMPUTED_VALUE""")," ")</f>
        <v> </v>
      </c>
      <c r="O1247" s="5"/>
    </row>
    <row r="1248">
      <c r="A1248" s="2" t="str">
        <f>IFERROR(__xludf.DUMMYFUNCTION("""COMPUTED_VALUE"""),"1550")</f>
        <v>1550</v>
      </c>
      <c r="B1248" s="2" t="str">
        <f>IFERROR(__xludf.DUMMYFUNCTION("""COMPUTED_VALUE"""),"POUDRE R-1")</f>
        <v>POUDRE R-1</v>
      </c>
      <c r="C1248" s="2" t="str">
        <f>IFERROR(__xludf.DUMMYFUNCTION("""COMPUTED_VALUE"""),"03046")</f>
        <v>03046</v>
      </c>
      <c r="D1248" s="2" t="str">
        <f>IFERROR(__xludf.DUMMYFUNCTION("""COMPUTED_VALUE"""),"FORT COLLINS HIGH SCHOOL")</f>
        <v>FORT COLLINS HIGH SCHOOL</v>
      </c>
      <c r="E1248" s="3" t="str">
        <f>IFERROR(__xludf.DUMMYFUNCTION("""COMPUTED_VALUE"""),"Y")</f>
        <v>Y</v>
      </c>
      <c r="F1248" s="3" t="str">
        <f>IFERROR(__xludf.DUMMYFUNCTION("""COMPUTED_VALUE"""),"Y")</f>
        <v>Y</v>
      </c>
      <c r="G1248" s="3"/>
      <c r="H1248" s="3"/>
      <c r="I1248" s="3" t="str">
        <f>IFERROR(__xludf.DUMMYFUNCTION("""COMPUTED_VALUE""")," ")</f>
        <v> </v>
      </c>
      <c r="J1248" s="3" t="str">
        <f>IFERROR(__xludf.DUMMYFUNCTION("""COMPUTED_VALUE""")," ")</f>
        <v> </v>
      </c>
      <c r="K1248" s="3" t="str">
        <f>IFERROR(__xludf.DUMMYFUNCTION("""COMPUTED_VALUE"""),"Y")</f>
        <v>Y</v>
      </c>
      <c r="L1248" s="3" t="str">
        <f>IFERROR(__xludf.DUMMYFUNCTION("""COMPUTED_VALUE"""),"Group 14")</f>
        <v>Group 14</v>
      </c>
      <c r="M1248" s="3"/>
      <c r="N1248" s="5" t="str">
        <f>IFERROR(__xludf.DUMMYFUNCTION("""COMPUTED_VALUE""")," ")</f>
        <v> </v>
      </c>
      <c r="O1248" s="5"/>
    </row>
    <row r="1249">
      <c r="A1249" s="2" t="str">
        <f>IFERROR(__xludf.DUMMYFUNCTION("""COMPUTED_VALUE"""),"1550")</f>
        <v>1550</v>
      </c>
      <c r="B1249" s="2" t="str">
        <f>IFERROR(__xludf.DUMMYFUNCTION("""COMPUTED_VALUE"""),"POUDRE R-1")</f>
        <v>POUDRE R-1</v>
      </c>
      <c r="C1249" s="2" t="str">
        <f>IFERROR(__xludf.DUMMYFUNCTION("""COMPUTED_VALUE"""),"03105")</f>
        <v>03105</v>
      </c>
      <c r="D1249" s="2" t="str">
        <f>IFERROR(__xludf.DUMMYFUNCTION("""COMPUTED_VALUE"""),"FOSSIL RIDGE HIGH SCHOOL")</f>
        <v>FOSSIL RIDGE HIGH SCHOOL</v>
      </c>
      <c r="E1249" s="3" t="str">
        <f>IFERROR(__xludf.DUMMYFUNCTION("""COMPUTED_VALUE"""),"Y")</f>
        <v>Y</v>
      </c>
      <c r="F1249" s="3" t="str">
        <f>IFERROR(__xludf.DUMMYFUNCTION("""COMPUTED_VALUE"""),"Y")</f>
        <v>Y</v>
      </c>
      <c r="G1249" s="3"/>
      <c r="H1249" s="3"/>
      <c r="I1249" s="3" t="str">
        <f>IFERROR(__xludf.DUMMYFUNCTION("""COMPUTED_VALUE""")," ")</f>
        <v> </v>
      </c>
      <c r="J1249" s="3" t="str">
        <f>IFERROR(__xludf.DUMMYFUNCTION("""COMPUTED_VALUE""")," ")</f>
        <v> </v>
      </c>
      <c r="K1249" s="3" t="str">
        <f>IFERROR(__xludf.DUMMYFUNCTION("""COMPUTED_VALUE"""),"Y")</f>
        <v>Y</v>
      </c>
      <c r="L1249" s="3" t="str">
        <f>IFERROR(__xludf.DUMMYFUNCTION("""COMPUTED_VALUE""")," ")</f>
        <v> </v>
      </c>
      <c r="M1249" s="3"/>
      <c r="N1249" s="5" t="str">
        <f>IFERROR(__xludf.DUMMYFUNCTION("""COMPUTED_VALUE""")," ")</f>
        <v> </v>
      </c>
      <c r="O1249" s="5"/>
    </row>
    <row r="1250">
      <c r="A1250" s="2" t="str">
        <f>IFERROR(__xludf.DUMMYFUNCTION("""COMPUTED_VALUE"""),"1550")</f>
        <v>1550</v>
      </c>
      <c r="B1250" s="2" t="str">
        <f>IFERROR(__xludf.DUMMYFUNCTION("""COMPUTED_VALUE"""),"POUDRE R-1")</f>
        <v>POUDRE R-1</v>
      </c>
      <c r="C1250" s="2" t="str">
        <f>IFERROR(__xludf.DUMMYFUNCTION("""COMPUTED_VALUE"""),"03760")</f>
        <v>03760</v>
      </c>
      <c r="D1250" s="2" t="str">
        <f>IFERROR(__xludf.DUMMYFUNCTION("""COMPUTED_VALUE"""),"CENTENNIAL HIGH SCHOOL")</f>
        <v>CENTENNIAL HIGH SCHOOL</v>
      </c>
      <c r="E1250" s="3" t="str">
        <f>IFERROR(__xludf.DUMMYFUNCTION("""COMPUTED_VALUE"""),"Y")</f>
        <v>Y</v>
      </c>
      <c r="F1250" s="3" t="str">
        <f>IFERROR(__xludf.DUMMYFUNCTION("""COMPUTED_VALUE"""),"Y")</f>
        <v>Y</v>
      </c>
      <c r="G1250" s="3"/>
      <c r="H1250" s="3"/>
      <c r="I1250" s="3" t="str">
        <f>IFERROR(__xludf.DUMMYFUNCTION("""COMPUTED_VALUE""")," ")</f>
        <v> </v>
      </c>
      <c r="J1250" s="3" t="str">
        <f>IFERROR(__xludf.DUMMYFUNCTION("""COMPUTED_VALUE"""),"Y")</f>
        <v>Y</v>
      </c>
      <c r="K1250" s="3" t="str">
        <f>IFERROR(__xludf.DUMMYFUNCTION("""COMPUTED_VALUE"""),"Y")</f>
        <v>Y</v>
      </c>
      <c r="L1250" s="3" t="str">
        <f>IFERROR(__xludf.DUMMYFUNCTION("""COMPUTED_VALUE"""),"Group 1")</f>
        <v>Group 1</v>
      </c>
      <c r="M1250" s="3"/>
      <c r="N1250" s="5" t="str">
        <f>IFERROR(__xludf.DUMMYFUNCTION("""COMPUTED_VALUE""")," ")</f>
        <v> </v>
      </c>
      <c r="O1250" s="5"/>
    </row>
    <row r="1251">
      <c r="A1251" s="2" t="str">
        <f>IFERROR(__xludf.DUMMYFUNCTION("""COMPUTED_VALUE"""),"1550")</f>
        <v>1550</v>
      </c>
      <c r="B1251" s="2" t="str">
        <f>IFERROR(__xludf.DUMMYFUNCTION("""COMPUTED_VALUE"""),"POUDRE R-1")</f>
        <v>POUDRE R-1</v>
      </c>
      <c r="C1251" s="2" t="str">
        <f>IFERROR(__xludf.DUMMYFUNCTION("""COMPUTED_VALUE"""),"03787")</f>
        <v>03787</v>
      </c>
      <c r="D1251" s="2" t="str">
        <f>IFERROR(__xludf.DUMMYFUNCTION("""COMPUTED_VALUE"""),"HARRIS BILINGUAL ELEMENTARY SCHOOL")</f>
        <v>HARRIS BILINGUAL ELEMENTARY SCHOOL</v>
      </c>
      <c r="E1251" s="3" t="str">
        <f>IFERROR(__xludf.DUMMYFUNCTION("""COMPUTED_VALUE"""),"Y")</f>
        <v>Y</v>
      </c>
      <c r="F1251" s="3" t="str">
        <f>IFERROR(__xludf.DUMMYFUNCTION("""COMPUTED_VALUE"""),"Y")</f>
        <v>Y</v>
      </c>
      <c r="G1251" s="3"/>
      <c r="H1251" s="3"/>
      <c r="I1251" s="3" t="str">
        <f>IFERROR(__xludf.DUMMYFUNCTION("""COMPUTED_VALUE""")," ")</f>
        <v> </v>
      </c>
      <c r="J1251" s="3" t="str">
        <f>IFERROR(__xludf.DUMMYFUNCTION("""COMPUTED_VALUE""")," ")</f>
        <v> </v>
      </c>
      <c r="K1251" s="3" t="str">
        <f>IFERROR(__xludf.DUMMYFUNCTION("""COMPUTED_VALUE"""),"Y")</f>
        <v>Y</v>
      </c>
      <c r="L1251" s="3" t="str">
        <f>IFERROR(__xludf.DUMMYFUNCTION("""COMPUTED_VALUE"""),"Group 12")</f>
        <v>Group 12</v>
      </c>
      <c r="M1251" s="3"/>
      <c r="N1251" s="5" t="str">
        <f>IFERROR(__xludf.DUMMYFUNCTION("""COMPUTED_VALUE"""),"Y")</f>
        <v>Y</v>
      </c>
      <c r="O1251" s="5"/>
    </row>
    <row r="1252">
      <c r="A1252" s="2" t="str">
        <f>IFERROR(__xludf.DUMMYFUNCTION("""COMPUTED_VALUE"""),"1550")</f>
        <v>1550</v>
      </c>
      <c r="B1252" s="2" t="str">
        <f>IFERROR(__xludf.DUMMYFUNCTION("""COMPUTED_VALUE"""),"POUDRE R-1")</f>
        <v>POUDRE R-1</v>
      </c>
      <c r="C1252" s="2" t="str">
        <f>IFERROR(__xludf.DUMMYFUNCTION("""COMPUTED_VALUE"""),"04282")</f>
        <v>04282</v>
      </c>
      <c r="D1252" s="2" t="str">
        <f>IFERROR(__xludf.DUMMYFUNCTION("""COMPUTED_VALUE"""),"IRISH ELEMENTARY SCHOOL")</f>
        <v>IRISH ELEMENTARY SCHOOL</v>
      </c>
      <c r="E1252" s="3" t="str">
        <f>IFERROR(__xludf.DUMMYFUNCTION("""COMPUTED_VALUE"""),"Y")</f>
        <v>Y</v>
      </c>
      <c r="F1252" s="3" t="str">
        <f>IFERROR(__xludf.DUMMYFUNCTION("""COMPUTED_VALUE"""),"Y")</f>
        <v>Y</v>
      </c>
      <c r="G1252" s="3"/>
      <c r="H1252" s="3"/>
      <c r="I1252" s="3" t="str">
        <f>IFERROR(__xludf.DUMMYFUNCTION("""COMPUTED_VALUE""")," ")</f>
        <v> </v>
      </c>
      <c r="J1252" s="3" t="str">
        <f>IFERROR(__xludf.DUMMYFUNCTION("""COMPUTED_VALUE"""),"Y")</f>
        <v>Y</v>
      </c>
      <c r="K1252" s="3" t="str">
        <f>IFERROR(__xludf.DUMMYFUNCTION("""COMPUTED_VALUE"""),"Y")</f>
        <v>Y</v>
      </c>
      <c r="L1252" s="3" t="str">
        <f>IFERROR(__xludf.DUMMYFUNCTION("""COMPUTED_VALUE"""),"Group 12")</f>
        <v>Group 12</v>
      </c>
      <c r="M1252" s="3"/>
      <c r="N1252" s="5" t="str">
        <f>IFERROR(__xludf.DUMMYFUNCTION("""COMPUTED_VALUE"""),"Y")</f>
        <v>Y</v>
      </c>
      <c r="O1252" s="5"/>
    </row>
    <row r="1253">
      <c r="A1253" s="2" t="str">
        <f>IFERROR(__xludf.DUMMYFUNCTION("""COMPUTED_VALUE"""),"1550")</f>
        <v>1550</v>
      </c>
      <c r="B1253" s="2" t="str">
        <f>IFERROR(__xludf.DUMMYFUNCTION("""COMPUTED_VALUE"""),"POUDRE R-1")</f>
        <v>POUDRE R-1</v>
      </c>
      <c r="C1253" s="2" t="str">
        <f>IFERROR(__xludf.DUMMYFUNCTION("""COMPUTED_VALUE"""),"04359")</f>
        <v>04359</v>
      </c>
      <c r="D1253" s="2" t="str">
        <f>IFERROR(__xludf.DUMMYFUNCTION("""COMPUTED_VALUE"""),"Bamford Elementary")</f>
        <v>Bamford Elementary</v>
      </c>
      <c r="E1253" s="3" t="str">
        <f>IFERROR(__xludf.DUMMYFUNCTION("""COMPUTED_VALUE"""),"Y")</f>
        <v>Y</v>
      </c>
      <c r="F1253" s="3" t="str">
        <f>IFERROR(__xludf.DUMMYFUNCTION("""COMPUTED_VALUE"""),"Y")</f>
        <v>Y</v>
      </c>
      <c r="G1253" s="3"/>
      <c r="H1253" s="3"/>
      <c r="I1253" s="3" t="str">
        <f>IFERROR(__xludf.DUMMYFUNCTION("""COMPUTED_VALUE""")," ")</f>
        <v> </v>
      </c>
      <c r="J1253" s="3" t="str">
        <f>IFERROR(__xludf.DUMMYFUNCTION("""COMPUTED_VALUE""")," ")</f>
        <v> </v>
      </c>
      <c r="K1253" s="3" t="str">
        <f>IFERROR(__xludf.DUMMYFUNCTION("""COMPUTED_VALUE"""),"Y")</f>
        <v>Y</v>
      </c>
      <c r="L1253" s="3" t="str">
        <f>IFERROR(__xludf.DUMMYFUNCTION("""COMPUTED_VALUE"""),"Group 14")</f>
        <v>Group 14</v>
      </c>
      <c r="M1253" s="3"/>
      <c r="N1253" s="5" t="str">
        <f>IFERROR(__xludf.DUMMYFUNCTION("""COMPUTED_VALUE""")," ")</f>
        <v> </v>
      </c>
      <c r="O1253" s="5"/>
    </row>
    <row r="1254">
      <c r="A1254" s="2" t="str">
        <f>IFERROR(__xludf.DUMMYFUNCTION("""COMPUTED_VALUE"""),"1550")</f>
        <v>1550</v>
      </c>
      <c r="B1254" s="2" t="str">
        <f>IFERROR(__xludf.DUMMYFUNCTION("""COMPUTED_VALUE"""),"POUDRE R-1")</f>
        <v>POUDRE R-1</v>
      </c>
      <c r="C1254" s="2" t="str">
        <f>IFERROR(__xludf.DUMMYFUNCTION("""COMPUTED_VALUE"""),"04456")</f>
        <v>04456</v>
      </c>
      <c r="D1254" s="2" t="str">
        <f>IFERROR(__xludf.DUMMYFUNCTION("""COMPUTED_VALUE"""),"JOHNSON ELEMENTARY SCHOOL")</f>
        <v>JOHNSON ELEMENTARY SCHOOL</v>
      </c>
      <c r="E1254" s="3" t="str">
        <f>IFERROR(__xludf.DUMMYFUNCTION("""COMPUTED_VALUE"""),"Y")</f>
        <v>Y</v>
      </c>
      <c r="F1254" s="3" t="str">
        <f>IFERROR(__xludf.DUMMYFUNCTION("""COMPUTED_VALUE"""),"Y")</f>
        <v>Y</v>
      </c>
      <c r="G1254" s="3"/>
      <c r="H1254" s="3"/>
      <c r="I1254" s="3" t="str">
        <f>IFERROR(__xludf.DUMMYFUNCTION("""COMPUTED_VALUE""")," ")</f>
        <v> </v>
      </c>
      <c r="J1254" s="3" t="str">
        <f>IFERROR(__xludf.DUMMYFUNCTION("""COMPUTED_VALUE""")," ")</f>
        <v> </v>
      </c>
      <c r="K1254" s="3" t="str">
        <f>IFERROR(__xludf.DUMMYFUNCTION("""COMPUTED_VALUE"""),"Y")</f>
        <v>Y</v>
      </c>
      <c r="L1254" s="3" t="str">
        <f>IFERROR(__xludf.DUMMYFUNCTION("""COMPUTED_VALUE"""),"Group 5")</f>
        <v>Group 5</v>
      </c>
      <c r="M1254" s="3"/>
      <c r="N1254" s="5" t="str">
        <f>IFERROR(__xludf.DUMMYFUNCTION("""COMPUTED_VALUE""")," ")</f>
        <v> </v>
      </c>
      <c r="O1254" s="5"/>
    </row>
    <row r="1255">
      <c r="A1255" s="2" t="str">
        <f>IFERROR(__xludf.DUMMYFUNCTION("""COMPUTED_VALUE"""),"1550")</f>
        <v>1550</v>
      </c>
      <c r="B1255" s="2" t="str">
        <f>IFERROR(__xludf.DUMMYFUNCTION("""COMPUTED_VALUE"""),"POUDRE R-1")</f>
        <v>POUDRE R-1</v>
      </c>
      <c r="C1255" s="2" t="str">
        <f>IFERROR(__xludf.DUMMYFUNCTION("""COMPUTED_VALUE"""),"04698")</f>
        <v>04698</v>
      </c>
      <c r="D1255" s="2" t="str">
        <f>IFERROR(__xludf.DUMMYFUNCTION("""COMPUTED_VALUE"""),"KINARD CORE KNOWLEDGE MIDDLE SCHOOL")</f>
        <v>KINARD CORE KNOWLEDGE MIDDLE SCHOOL</v>
      </c>
      <c r="E1255" s="3" t="str">
        <f>IFERROR(__xludf.DUMMYFUNCTION("""COMPUTED_VALUE"""),"Y")</f>
        <v>Y</v>
      </c>
      <c r="F1255" s="3" t="str">
        <f>IFERROR(__xludf.DUMMYFUNCTION("""COMPUTED_VALUE"""),"Y")</f>
        <v>Y</v>
      </c>
      <c r="G1255" s="3"/>
      <c r="H1255" s="3"/>
      <c r="I1255" s="3" t="str">
        <f>IFERROR(__xludf.DUMMYFUNCTION("""COMPUTED_VALUE""")," ")</f>
        <v> </v>
      </c>
      <c r="J1255" s="3" t="str">
        <f>IFERROR(__xludf.DUMMYFUNCTION("""COMPUTED_VALUE""")," ")</f>
        <v> </v>
      </c>
      <c r="K1255" s="3" t="str">
        <f>IFERROR(__xludf.DUMMYFUNCTION("""COMPUTED_VALUE"""),"Y")</f>
        <v>Y</v>
      </c>
      <c r="L1255" s="3" t="str">
        <f>IFERROR(__xludf.DUMMYFUNCTION("""COMPUTED_VALUE"""),"Group 1")</f>
        <v>Group 1</v>
      </c>
      <c r="M1255" s="3"/>
      <c r="N1255" s="5" t="str">
        <f>IFERROR(__xludf.DUMMYFUNCTION("""COMPUTED_VALUE""")," ")</f>
        <v> </v>
      </c>
      <c r="O1255" s="5"/>
    </row>
    <row r="1256">
      <c r="A1256" s="2" t="str">
        <f>IFERROR(__xludf.DUMMYFUNCTION("""COMPUTED_VALUE"""),"1550")</f>
        <v>1550</v>
      </c>
      <c r="B1256" s="2" t="str">
        <f>IFERROR(__xludf.DUMMYFUNCTION("""COMPUTED_VALUE"""),"POUDRE R-1")</f>
        <v>POUDRE R-1</v>
      </c>
      <c r="C1256" s="2" t="str">
        <f>IFERROR(__xludf.DUMMYFUNCTION("""COMPUTED_VALUE"""),"04793")</f>
        <v>04793</v>
      </c>
      <c r="D1256" s="2" t="str">
        <f>IFERROR(__xludf.DUMMYFUNCTION("""COMPUTED_VALUE"""),"KRUSE ELEMENTARY SCHOOL")</f>
        <v>KRUSE ELEMENTARY SCHOOL</v>
      </c>
      <c r="E1256" s="3" t="str">
        <f>IFERROR(__xludf.DUMMYFUNCTION("""COMPUTED_VALUE"""),"Y")</f>
        <v>Y</v>
      </c>
      <c r="F1256" s="3" t="str">
        <f>IFERROR(__xludf.DUMMYFUNCTION("""COMPUTED_VALUE"""),"Y")</f>
        <v>Y</v>
      </c>
      <c r="G1256" s="3"/>
      <c r="H1256" s="3"/>
      <c r="I1256" s="3" t="str">
        <f>IFERROR(__xludf.DUMMYFUNCTION("""COMPUTED_VALUE""")," ")</f>
        <v> </v>
      </c>
      <c r="J1256" s="3" t="str">
        <f>IFERROR(__xludf.DUMMYFUNCTION("""COMPUTED_VALUE""")," ")</f>
        <v> </v>
      </c>
      <c r="K1256" s="3" t="str">
        <f>IFERROR(__xludf.DUMMYFUNCTION("""COMPUTED_VALUE"""),"Y")</f>
        <v>Y</v>
      </c>
      <c r="L1256" s="3" t="str">
        <f>IFERROR(__xludf.DUMMYFUNCTION("""COMPUTED_VALUE"""),"Group 3")</f>
        <v>Group 3</v>
      </c>
      <c r="M1256" s="3"/>
      <c r="N1256" s="5" t="str">
        <f>IFERROR(__xludf.DUMMYFUNCTION("""COMPUTED_VALUE""")," ")</f>
        <v> </v>
      </c>
      <c r="O1256" s="5"/>
    </row>
    <row r="1257">
      <c r="A1257" s="2" t="str">
        <f>IFERROR(__xludf.DUMMYFUNCTION("""COMPUTED_VALUE"""),"1550")</f>
        <v>1550</v>
      </c>
      <c r="B1257" s="2" t="str">
        <f>IFERROR(__xludf.DUMMYFUNCTION("""COMPUTED_VALUE"""),"POUDRE R-1")</f>
        <v>POUDRE R-1</v>
      </c>
      <c r="C1257" s="2" t="str">
        <f>IFERROR(__xludf.DUMMYFUNCTION("""COMPUTED_VALUE"""),"05014")</f>
        <v>05014</v>
      </c>
      <c r="D1257" s="2" t="str">
        <f>IFERROR(__xludf.DUMMYFUNCTION("""COMPUTED_VALUE"""),"LAUREL ELEMENTARY SCHOOL")</f>
        <v>LAUREL ELEMENTARY SCHOOL</v>
      </c>
      <c r="E1257" s="3" t="str">
        <f>IFERROR(__xludf.DUMMYFUNCTION("""COMPUTED_VALUE"""),"Y")</f>
        <v>Y</v>
      </c>
      <c r="F1257" s="3" t="str">
        <f>IFERROR(__xludf.DUMMYFUNCTION("""COMPUTED_VALUE"""),"Y")</f>
        <v>Y</v>
      </c>
      <c r="G1257" s="3"/>
      <c r="H1257" s="3"/>
      <c r="I1257" s="3" t="str">
        <f>IFERROR(__xludf.DUMMYFUNCTION("""COMPUTED_VALUE""")," ")</f>
        <v> </v>
      </c>
      <c r="J1257" s="3" t="str">
        <f>IFERROR(__xludf.DUMMYFUNCTION("""COMPUTED_VALUE""")," ")</f>
        <v> </v>
      </c>
      <c r="K1257" s="3" t="str">
        <f>IFERROR(__xludf.DUMMYFUNCTION("""COMPUTED_VALUE"""),"Y")</f>
        <v>Y</v>
      </c>
      <c r="L1257" s="3" t="str">
        <f>IFERROR(__xludf.DUMMYFUNCTION("""COMPUTED_VALUE"""),"Group 3")</f>
        <v>Group 3</v>
      </c>
      <c r="M1257" s="3"/>
      <c r="N1257" s="5" t="str">
        <f>IFERROR(__xludf.DUMMYFUNCTION("""COMPUTED_VALUE""")," ")</f>
        <v> </v>
      </c>
      <c r="O1257" s="5"/>
    </row>
    <row r="1258">
      <c r="A1258" s="2" t="str">
        <f>IFERROR(__xludf.DUMMYFUNCTION("""COMPUTED_VALUE"""),"1550")</f>
        <v>1550</v>
      </c>
      <c r="B1258" s="2" t="str">
        <f>IFERROR(__xludf.DUMMYFUNCTION("""COMPUTED_VALUE"""),"POUDRE R-1")</f>
        <v>POUDRE R-1</v>
      </c>
      <c r="C1258" s="2" t="str">
        <f>IFERROR(__xludf.DUMMYFUNCTION("""COMPUTED_VALUE"""),"05068")</f>
        <v>05068</v>
      </c>
      <c r="D1258" s="2" t="str">
        <f>IFERROR(__xludf.DUMMYFUNCTION("""COMPUTED_VALUE"""),"LESHER JUNIOR HIGH SCHOOL")</f>
        <v>LESHER JUNIOR HIGH SCHOOL</v>
      </c>
      <c r="E1258" s="3" t="str">
        <f>IFERROR(__xludf.DUMMYFUNCTION("""COMPUTED_VALUE"""),"Y")</f>
        <v>Y</v>
      </c>
      <c r="F1258" s="3" t="str">
        <f>IFERROR(__xludf.DUMMYFUNCTION("""COMPUTED_VALUE"""),"Y")</f>
        <v>Y</v>
      </c>
      <c r="G1258" s="3"/>
      <c r="H1258" s="3"/>
      <c r="I1258" s="3" t="str">
        <f>IFERROR(__xludf.DUMMYFUNCTION("""COMPUTED_VALUE""")," ")</f>
        <v> </v>
      </c>
      <c r="J1258" s="3" t="str">
        <f>IFERROR(__xludf.DUMMYFUNCTION("""COMPUTED_VALUE""")," ")</f>
        <v> </v>
      </c>
      <c r="K1258" s="3" t="str">
        <f>IFERROR(__xludf.DUMMYFUNCTION("""COMPUTED_VALUE"""),"Y")</f>
        <v>Y</v>
      </c>
      <c r="L1258" s="3" t="str">
        <f>IFERROR(__xludf.DUMMYFUNCTION("""COMPUTED_VALUE"""),"Group 10")</f>
        <v>Group 10</v>
      </c>
      <c r="M1258" s="3"/>
      <c r="N1258" s="5" t="str">
        <f>IFERROR(__xludf.DUMMYFUNCTION("""COMPUTED_VALUE"""),"Y")</f>
        <v>Y</v>
      </c>
      <c r="O1258" s="5"/>
    </row>
    <row r="1259">
      <c r="A1259" s="2" t="str">
        <f>IFERROR(__xludf.DUMMYFUNCTION("""COMPUTED_VALUE"""),"1550")</f>
        <v>1550</v>
      </c>
      <c r="B1259" s="2" t="str">
        <f>IFERROR(__xludf.DUMMYFUNCTION("""COMPUTED_VALUE"""),"POUDRE R-1")</f>
        <v>POUDRE R-1</v>
      </c>
      <c r="C1259" s="2" t="str">
        <f>IFERROR(__xludf.DUMMYFUNCTION("""COMPUTED_VALUE"""),"05168")</f>
        <v>05168</v>
      </c>
      <c r="D1259" s="2" t="str">
        <f>IFERROR(__xludf.DUMMYFUNCTION("""COMPUTED_VALUE"""),"LINCOLN JUNIOR HIGH SCHOOL")</f>
        <v>LINCOLN JUNIOR HIGH SCHOOL</v>
      </c>
      <c r="E1259" s="3" t="str">
        <f>IFERROR(__xludf.DUMMYFUNCTION("""COMPUTED_VALUE"""),"Y")</f>
        <v>Y</v>
      </c>
      <c r="F1259" s="3" t="str">
        <f>IFERROR(__xludf.DUMMYFUNCTION("""COMPUTED_VALUE"""),"Y")</f>
        <v>Y</v>
      </c>
      <c r="G1259" s="3"/>
      <c r="H1259" s="3"/>
      <c r="I1259" s="3" t="str">
        <f>IFERROR(__xludf.DUMMYFUNCTION("""COMPUTED_VALUE""")," ")</f>
        <v> </v>
      </c>
      <c r="J1259" s="3" t="str">
        <f>IFERROR(__xludf.DUMMYFUNCTION("""COMPUTED_VALUE""")," ")</f>
        <v> </v>
      </c>
      <c r="K1259" s="3" t="str">
        <f>IFERROR(__xludf.DUMMYFUNCTION("""COMPUTED_VALUE"""),"Y")</f>
        <v>Y</v>
      </c>
      <c r="L1259" s="3" t="str">
        <f>IFERROR(__xludf.DUMMYFUNCTION("""COMPUTED_VALUE"""),"Group 13")</f>
        <v>Group 13</v>
      </c>
      <c r="M1259" s="3"/>
      <c r="N1259" s="5" t="str">
        <f>IFERROR(__xludf.DUMMYFUNCTION("""COMPUTED_VALUE""")," ")</f>
        <v> </v>
      </c>
      <c r="O1259" s="5"/>
    </row>
    <row r="1260">
      <c r="A1260" s="2" t="str">
        <f>IFERROR(__xludf.DUMMYFUNCTION("""COMPUTED_VALUE"""),"1550")</f>
        <v>1550</v>
      </c>
      <c r="B1260" s="2" t="str">
        <f>IFERROR(__xludf.DUMMYFUNCTION("""COMPUTED_VALUE"""),"POUDRE R-1")</f>
        <v>POUDRE R-1</v>
      </c>
      <c r="C1260" s="2" t="str">
        <f>IFERROR(__xludf.DUMMYFUNCTION("""COMPUTED_VALUE"""),"05196")</f>
        <v>05196</v>
      </c>
      <c r="D1260" s="2" t="str">
        <f>IFERROR(__xludf.DUMMYFUNCTION("""COMPUTED_VALUE"""),"LINTON ELEMENTARY SCHOOL")</f>
        <v>LINTON ELEMENTARY SCHOOL</v>
      </c>
      <c r="E1260" s="3" t="str">
        <f>IFERROR(__xludf.DUMMYFUNCTION("""COMPUTED_VALUE"""),"Y")</f>
        <v>Y</v>
      </c>
      <c r="F1260" s="3" t="str">
        <f>IFERROR(__xludf.DUMMYFUNCTION("""COMPUTED_VALUE"""),"Y")</f>
        <v>Y</v>
      </c>
      <c r="G1260" s="3"/>
      <c r="H1260" s="3"/>
      <c r="I1260" s="3" t="str">
        <f>IFERROR(__xludf.DUMMYFUNCTION("""COMPUTED_VALUE""")," ")</f>
        <v> </v>
      </c>
      <c r="J1260" s="3" t="str">
        <f>IFERROR(__xludf.DUMMYFUNCTION("""COMPUTED_VALUE""")," ")</f>
        <v> </v>
      </c>
      <c r="K1260" s="3" t="str">
        <f>IFERROR(__xludf.DUMMYFUNCTION("""COMPUTED_VALUE"""),"Y")</f>
        <v>Y</v>
      </c>
      <c r="L1260" s="3" t="str">
        <f>IFERROR(__xludf.DUMMYFUNCTION("""COMPUTED_VALUE"""),"Group 4")</f>
        <v>Group 4</v>
      </c>
      <c r="M1260" s="3"/>
      <c r="N1260" s="5" t="str">
        <f>IFERROR(__xludf.DUMMYFUNCTION("""COMPUTED_VALUE"""),"Y")</f>
        <v>Y</v>
      </c>
      <c r="O1260" s="5"/>
    </row>
    <row r="1261">
      <c r="A1261" s="2" t="str">
        <f>IFERROR(__xludf.DUMMYFUNCTION("""COMPUTED_VALUE"""),"1550")</f>
        <v>1550</v>
      </c>
      <c r="B1261" s="2" t="str">
        <f>IFERROR(__xludf.DUMMYFUNCTION("""COMPUTED_VALUE"""),"POUDRE R-1")</f>
        <v>POUDRE R-1</v>
      </c>
      <c r="C1261" s="2" t="str">
        <f>IFERROR(__xludf.DUMMYFUNCTION("""COMPUTED_VALUE"""),"05292")</f>
        <v>05292</v>
      </c>
      <c r="D1261" s="2" t="str">
        <f>IFERROR(__xludf.DUMMYFUNCTION("""COMPUTED_VALUE"""),"LOPEZ ELEMENTARY SCHOOL")</f>
        <v>LOPEZ ELEMENTARY SCHOOL</v>
      </c>
      <c r="E1261" s="3" t="str">
        <f>IFERROR(__xludf.DUMMYFUNCTION("""COMPUTED_VALUE"""),"Y")</f>
        <v>Y</v>
      </c>
      <c r="F1261" s="3" t="str">
        <f>IFERROR(__xludf.DUMMYFUNCTION("""COMPUTED_VALUE"""),"Y")</f>
        <v>Y</v>
      </c>
      <c r="G1261" s="3"/>
      <c r="H1261" s="3"/>
      <c r="I1261" s="3" t="str">
        <f>IFERROR(__xludf.DUMMYFUNCTION("""COMPUTED_VALUE""")," ")</f>
        <v> </v>
      </c>
      <c r="J1261" s="3" t="str">
        <f>IFERROR(__xludf.DUMMYFUNCTION("""COMPUTED_VALUE""")," ")</f>
        <v> </v>
      </c>
      <c r="K1261" s="3" t="str">
        <f>IFERROR(__xludf.DUMMYFUNCTION("""COMPUTED_VALUE"""),"Y")</f>
        <v>Y</v>
      </c>
      <c r="L1261" s="3" t="str">
        <f>IFERROR(__xludf.DUMMYFUNCTION("""COMPUTED_VALUE"""),"Group 8")</f>
        <v>Group 8</v>
      </c>
      <c r="M1261" s="3"/>
      <c r="N1261" s="5" t="str">
        <f>IFERROR(__xludf.DUMMYFUNCTION("""COMPUTED_VALUE""")," ")</f>
        <v> </v>
      </c>
      <c r="O1261" s="5"/>
    </row>
    <row r="1262">
      <c r="A1262" s="2" t="str">
        <f>IFERROR(__xludf.DUMMYFUNCTION("""COMPUTED_VALUE"""),"1550")</f>
        <v>1550</v>
      </c>
      <c r="B1262" s="2" t="str">
        <f>IFERROR(__xludf.DUMMYFUNCTION("""COMPUTED_VALUE"""),"POUDRE R-1")</f>
        <v>POUDRE R-1</v>
      </c>
      <c r="C1262" s="2" t="str">
        <f>IFERROR(__xludf.DUMMYFUNCTION("""COMPUTED_VALUE"""),"05688")</f>
        <v>05688</v>
      </c>
      <c r="D1262" s="2" t="str">
        <f>IFERROR(__xludf.DUMMYFUNCTION("""COMPUTED_VALUE"""),"MCGRAW ELEMENTARY SCHOOL")</f>
        <v>MCGRAW ELEMENTARY SCHOOL</v>
      </c>
      <c r="E1262" s="3" t="str">
        <f>IFERROR(__xludf.DUMMYFUNCTION("""COMPUTED_VALUE"""),"Y")</f>
        <v>Y</v>
      </c>
      <c r="F1262" s="3" t="str">
        <f>IFERROR(__xludf.DUMMYFUNCTION("""COMPUTED_VALUE"""),"Y")</f>
        <v>Y</v>
      </c>
      <c r="G1262" s="3"/>
      <c r="H1262" s="3"/>
      <c r="I1262" s="3" t="str">
        <f>IFERROR(__xludf.DUMMYFUNCTION("""COMPUTED_VALUE""")," ")</f>
        <v> </v>
      </c>
      <c r="J1262" s="3" t="str">
        <f>IFERROR(__xludf.DUMMYFUNCTION("""COMPUTED_VALUE""")," ")</f>
        <v> </v>
      </c>
      <c r="K1262" s="3" t="str">
        <f>IFERROR(__xludf.DUMMYFUNCTION("""COMPUTED_VALUE"""),"Y")</f>
        <v>Y</v>
      </c>
      <c r="L1262" s="3" t="str">
        <f>IFERROR(__xludf.DUMMYFUNCTION("""COMPUTED_VALUE"""),"Group 11")</f>
        <v>Group 11</v>
      </c>
      <c r="M1262" s="3"/>
      <c r="N1262" s="5" t="str">
        <f>IFERROR(__xludf.DUMMYFUNCTION("""COMPUTED_VALUE""")," ")</f>
        <v> </v>
      </c>
      <c r="O1262" s="5"/>
    </row>
    <row r="1263">
      <c r="A1263" s="2" t="str">
        <f>IFERROR(__xludf.DUMMYFUNCTION("""COMPUTED_VALUE"""),"1550")</f>
        <v>1550</v>
      </c>
      <c r="B1263" s="2" t="str">
        <f>IFERROR(__xludf.DUMMYFUNCTION("""COMPUTED_VALUE"""),"POUDRE R-1")</f>
        <v>POUDRE R-1</v>
      </c>
      <c r="C1263" s="2" t="str">
        <f>IFERROR(__xludf.DUMMYFUNCTION("""COMPUTED_VALUE"""),"06476")</f>
        <v>06476</v>
      </c>
      <c r="D1263" s="2" t="str">
        <f>IFERROR(__xludf.DUMMYFUNCTION("""COMPUTED_VALUE"""),"O'DEA ELEMENTARY SCHOOL")</f>
        <v>O'DEA ELEMENTARY SCHOOL</v>
      </c>
      <c r="E1263" s="3" t="str">
        <f>IFERROR(__xludf.DUMMYFUNCTION("""COMPUTED_VALUE"""),"Y")</f>
        <v>Y</v>
      </c>
      <c r="F1263" s="3" t="str">
        <f>IFERROR(__xludf.DUMMYFUNCTION("""COMPUTED_VALUE"""),"Y")</f>
        <v>Y</v>
      </c>
      <c r="G1263" s="3"/>
      <c r="H1263" s="3"/>
      <c r="I1263" s="3" t="str">
        <f>IFERROR(__xludf.DUMMYFUNCTION("""COMPUTED_VALUE""")," ")</f>
        <v> </v>
      </c>
      <c r="J1263" s="3" t="str">
        <f>IFERROR(__xludf.DUMMYFUNCTION("""COMPUTED_VALUE""")," ")</f>
        <v> </v>
      </c>
      <c r="K1263" s="3" t="str">
        <f>IFERROR(__xludf.DUMMYFUNCTION("""COMPUTED_VALUE"""),"Y")</f>
        <v>Y</v>
      </c>
      <c r="L1263" s="3" t="str">
        <f>IFERROR(__xludf.DUMMYFUNCTION("""COMPUTED_VALUE"""),"Group 6")</f>
        <v>Group 6</v>
      </c>
      <c r="M1263" s="3"/>
      <c r="N1263" s="5" t="str">
        <f>IFERROR(__xludf.DUMMYFUNCTION("""COMPUTED_VALUE""")," ")</f>
        <v> </v>
      </c>
      <c r="O1263" s="5"/>
    </row>
    <row r="1264">
      <c r="A1264" s="2" t="str">
        <f>IFERROR(__xludf.DUMMYFUNCTION("""COMPUTED_VALUE"""),"1550")</f>
        <v>1550</v>
      </c>
      <c r="B1264" s="2" t="str">
        <f>IFERROR(__xludf.DUMMYFUNCTION("""COMPUTED_VALUE"""),"POUDRE R-1")</f>
        <v>POUDRE R-1</v>
      </c>
      <c r="C1264" s="2" t="str">
        <f>IFERROR(__xludf.DUMMYFUNCTION("""COMPUTED_VALUE"""),"06482")</f>
        <v>06482</v>
      </c>
      <c r="D1264" s="2" t="str">
        <f>IFERROR(__xludf.DUMMYFUNCTION("""COMPUTED_VALUE"""),"OLANDER ELEMENTARY SCHOOL")</f>
        <v>OLANDER ELEMENTARY SCHOOL</v>
      </c>
      <c r="E1264" s="3" t="str">
        <f>IFERROR(__xludf.DUMMYFUNCTION("""COMPUTED_VALUE"""),"Y")</f>
        <v>Y</v>
      </c>
      <c r="F1264" s="3" t="str">
        <f>IFERROR(__xludf.DUMMYFUNCTION("""COMPUTED_VALUE"""),"Y")</f>
        <v>Y</v>
      </c>
      <c r="G1264" s="3"/>
      <c r="H1264" s="3"/>
      <c r="I1264" s="3" t="str">
        <f>IFERROR(__xludf.DUMMYFUNCTION("""COMPUTED_VALUE""")," ")</f>
        <v> </v>
      </c>
      <c r="J1264" s="3" t="str">
        <f>IFERROR(__xludf.DUMMYFUNCTION("""COMPUTED_VALUE""")," ")</f>
        <v> </v>
      </c>
      <c r="K1264" s="3" t="str">
        <f>IFERROR(__xludf.DUMMYFUNCTION("""COMPUTED_VALUE"""),"Y")</f>
        <v>Y</v>
      </c>
      <c r="L1264" s="3" t="str">
        <f>IFERROR(__xludf.DUMMYFUNCTION("""COMPUTED_VALUE"""),"Group 2")</f>
        <v>Group 2</v>
      </c>
      <c r="M1264" s="3"/>
      <c r="N1264" s="5" t="str">
        <f>IFERROR(__xludf.DUMMYFUNCTION("""COMPUTED_VALUE""")," ")</f>
        <v> </v>
      </c>
      <c r="O1264" s="5"/>
    </row>
    <row r="1265">
      <c r="A1265" s="2" t="str">
        <f>IFERROR(__xludf.DUMMYFUNCTION("""COMPUTED_VALUE"""),"1550")</f>
        <v>1550</v>
      </c>
      <c r="B1265" s="2" t="str">
        <f>IFERROR(__xludf.DUMMYFUNCTION("""COMPUTED_VALUE"""),"POUDRE R-1")</f>
        <v>POUDRE R-1</v>
      </c>
      <c r="C1265" s="2" t="str">
        <f>IFERROR(__xludf.DUMMYFUNCTION("""COMPUTED_VALUE"""),"07104")</f>
        <v>07104</v>
      </c>
      <c r="D1265" s="2" t="str">
        <f>IFERROR(__xludf.DUMMYFUNCTION("""COMPUTED_VALUE"""),"POLARIS EXPEDITIONARY LEARNING SCHOOL")</f>
        <v>POLARIS EXPEDITIONARY LEARNING SCHOOL</v>
      </c>
      <c r="E1265" s="3" t="str">
        <f>IFERROR(__xludf.DUMMYFUNCTION("""COMPUTED_VALUE"""),"Y")</f>
        <v>Y</v>
      </c>
      <c r="F1265" s="3" t="str">
        <f>IFERROR(__xludf.DUMMYFUNCTION("""COMPUTED_VALUE"""),"Y")</f>
        <v>Y</v>
      </c>
      <c r="G1265" s="3"/>
      <c r="H1265" s="3"/>
      <c r="I1265" s="3" t="str">
        <f>IFERROR(__xludf.DUMMYFUNCTION("""COMPUTED_VALUE""")," ")</f>
        <v> </v>
      </c>
      <c r="J1265" s="3" t="str">
        <f>IFERROR(__xludf.DUMMYFUNCTION("""COMPUTED_VALUE""")," ")</f>
        <v> </v>
      </c>
      <c r="K1265" s="3" t="str">
        <f>IFERROR(__xludf.DUMMYFUNCTION("""COMPUTED_VALUE"""),"Y")</f>
        <v>Y</v>
      </c>
      <c r="L1265" s="3" t="str">
        <f>IFERROR(__xludf.DUMMYFUNCTION("""COMPUTED_VALUE"""),"Group 14")</f>
        <v>Group 14</v>
      </c>
      <c r="M1265" s="3"/>
      <c r="N1265" s="5" t="str">
        <f>IFERROR(__xludf.DUMMYFUNCTION("""COMPUTED_VALUE""")," ")</f>
        <v> </v>
      </c>
      <c r="O1265" s="5"/>
    </row>
    <row r="1266">
      <c r="A1266" s="2" t="str">
        <f>IFERROR(__xludf.DUMMYFUNCTION("""COMPUTED_VALUE"""),"1550")</f>
        <v>1550</v>
      </c>
      <c r="B1266" s="2" t="str">
        <f>IFERROR(__xludf.DUMMYFUNCTION("""COMPUTED_VALUE"""),"POUDRE R-1")</f>
        <v>POUDRE R-1</v>
      </c>
      <c r="C1266" s="2" t="str">
        <f>IFERROR(__xludf.DUMMYFUNCTION("""COMPUTED_VALUE"""),"07124")</f>
        <v>07124</v>
      </c>
      <c r="D1266" s="2" t="str">
        <f>IFERROR(__xludf.DUMMYFUNCTION("""COMPUTED_VALUE"""),"POUDRE HIGH SCHOOL")</f>
        <v>POUDRE HIGH SCHOOL</v>
      </c>
      <c r="E1266" s="3" t="str">
        <f>IFERROR(__xludf.DUMMYFUNCTION("""COMPUTED_VALUE"""),"Y")</f>
        <v>Y</v>
      </c>
      <c r="F1266" s="3" t="str">
        <f>IFERROR(__xludf.DUMMYFUNCTION("""COMPUTED_VALUE"""),"Y")</f>
        <v>Y</v>
      </c>
      <c r="G1266" s="3"/>
      <c r="H1266" s="3"/>
      <c r="I1266" s="3" t="str">
        <f>IFERROR(__xludf.DUMMYFUNCTION("""COMPUTED_VALUE""")," ")</f>
        <v> </v>
      </c>
      <c r="J1266" s="3" t="str">
        <f>IFERROR(__xludf.DUMMYFUNCTION("""COMPUTED_VALUE""")," ")</f>
        <v> </v>
      </c>
      <c r="K1266" s="3" t="str">
        <f>IFERROR(__xludf.DUMMYFUNCTION("""COMPUTED_VALUE"""),"Y")</f>
        <v>Y</v>
      </c>
      <c r="L1266" s="3" t="str">
        <f>IFERROR(__xludf.DUMMYFUNCTION("""COMPUTED_VALUE"""),"Group 14")</f>
        <v>Group 14</v>
      </c>
      <c r="M1266" s="3"/>
      <c r="N1266" s="5" t="str">
        <f>IFERROR(__xludf.DUMMYFUNCTION("""COMPUTED_VALUE"""),"Y")</f>
        <v>Y</v>
      </c>
      <c r="O1266" s="5"/>
    </row>
    <row r="1267">
      <c r="A1267" s="2" t="str">
        <f>IFERROR(__xludf.DUMMYFUNCTION("""COMPUTED_VALUE"""),"1550")</f>
        <v>1550</v>
      </c>
      <c r="B1267" s="2" t="str">
        <f>IFERROR(__xludf.DUMMYFUNCTION("""COMPUTED_VALUE"""),"POUDRE R-1")</f>
        <v>POUDRE R-1</v>
      </c>
      <c r="C1267" s="2" t="str">
        <f>IFERROR(__xludf.DUMMYFUNCTION("""COMPUTED_VALUE"""),"07127")</f>
        <v>07127</v>
      </c>
      <c r="D1267" s="2" t="str">
        <f>IFERROR(__xludf.DUMMYFUNCTION("""COMPUTED_VALUE"""),"POUDRE COMMUNITY ACADEMY")</f>
        <v>POUDRE COMMUNITY ACADEMY</v>
      </c>
      <c r="E1267" s="3" t="str">
        <f>IFERROR(__xludf.DUMMYFUNCTION("""COMPUTED_VALUE"""),"Y")</f>
        <v>Y</v>
      </c>
      <c r="F1267" s="3" t="str">
        <f>IFERROR(__xludf.DUMMYFUNCTION("""COMPUTED_VALUE"""),"Y")</f>
        <v>Y</v>
      </c>
      <c r="G1267" s="3"/>
      <c r="H1267" s="3"/>
      <c r="I1267" s="3" t="str">
        <f>IFERROR(__xludf.DUMMYFUNCTION("""COMPUTED_VALUE""")," ")</f>
        <v> </v>
      </c>
      <c r="J1267" s="3" t="str">
        <f>IFERROR(__xludf.DUMMYFUNCTION("""COMPUTED_VALUE"""),"Y")</f>
        <v>Y</v>
      </c>
      <c r="K1267" s="3" t="str">
        <f>IFERROR(__xludf.DUMMYFUNCTION("""COMPUTED_VALUE"""),"Y")</f>
        <v>Y</v>
      </c>
      <c r="L1267" s="3" t="str">
        <f>IFERROR(__xludf.DUMMYFUNCTION("""COMPUTED_VALUE"""),"Group 1")</f>
        <v>Group 1</v>
      </c>
      <c r="M1267" s="3"/>
      <c r="N1267" s="5" t="str">
        <f>IFERROR(__xludf.DUMMYFUNCTION("""COMPUTED_VALUE""")," ")</f>
        <v> </v>
      </c>
      <c r="O1267" s="5"/>
    </row>
    <row r="1268">
      <c r="A1268" s="2" t="str">
        <f>IFERROR(__xludf.DUMMYFUNCTION("""COMPUTED_VALUE"""),"1550")</f>
        <v>1550</v>
      </c>
      <c r="B1268" s="2" t="str">
        <f>IFERROR(__xludf.DUMMYFUNCTION("""COMPUTED_VALUE"""),"POUDRE R-1")</f>
        <v>POUDRE R-1</v>
      </c>
      <c r="C1268" s="2" t="str">
        <f>IFERROR(__xludf.DUMMYFUNCTION("""COMPUTED_VALUE"""),"07161")</f>
        <v>07161</v>
      </c>
      <c r="D1268" s="2" t="str">
        <f>IFERROR(__xludf.DUMMYFUNCTION("""COMPUTED_VALUE"""),"PRESTON MIDDLE SCHOOL")</f>
        <v>PRESTON MIDDLE SCHOOL</v>
      </c>
      <c r="E1268" s="3" t="str">
        <f>IFERROR(__xludf.DUMMYFUNCTION("""COMPUTED_VALUE"""),"Y")</f>
        <v>Y</v>
      </c>
      <c r="F1268" s="3" t="str">
        <f>IFERROR(__xludf.DUMMYFUNCTION("""COMPUTED_VALUE"""),"Y")</f>
        <v>Y</v>
      </c>
      <c r="G1268" s="3"/>
      <c r="H1268" s="3"/>
      <c r="I1268" s="3" t="str">
        <f>IFERROR(__xludf.DUMMYFUNCTION("""COMPUTED_VALUE""")," ")</f>
        <v> </v>
      </c>
      <c r="J1268" s="3" t="str">
        <f>IFERROR(__xludf.DUMMYFUNCTION("""COMPUTED_VALUE""")," ")</f>
        <v> </v>
      </c>
      <c r="K1268" s="3" t="str">
        <f>IFERROR(__xludf.DUMMYFUNCTION("""COMPUTED_VALUE"""),"Y")</f>
        <v>Y</v>
      </c>
      <c r="L1268" s="3" t="str">
        <f>IFERROR(__xludf.DUMMYFUNCTION("""COMPUTED_VALUE"""),"Group 14")</f>
        <v>Group 14</v>
      </c>
      <c r="M1268" s="3"/>
      <c r="N1268" s="5" t="str">
        <f>IFERROR(__xludf.DUMMYFUNCTION("""COMPUTED_VALUE""")," ")</f>
        <v> </v>
      </c>
      <c r="O1268" s="5"/>
    </row>
    <row r="1269">
      <c r="A1269" s="2" t="str">
        <f>IFERROR(__xludf.DUMMYFUNCTION("""COMPUTED_VALUE"""),"1550")</f>
        <v>1550</v>
      </c>
      <c r="B1269" s="2" t="str">
        <f>IFERROR(__xludf.DUMMYFUNCTION("""COMPUTED_VALUE"""),"POUDRE R-1")</f>
        <v>POUDRE R-1</v>
      </c>
      <c r="C1269" s="2" t="str">
        <f>IFERROR(__xludf.DUMMYFUNCTION("""COMPUTED_VALUE"""),"07198")</f>
        <v>07198</v>
      </c>
      <c r="D1269" s="2" t="str">
        <f>IFERROR(__xludf.DUMMYFUNCTION("""COMPUTED_VALUE"""),"PSD GLOBAL ACADEMY")</f>
        <v>PSD GLOBAL ACADEMY</v>
      </c>
      <c r="E1269" s="3" t="str">
        <f>IFERROR(__xludf.DUMMYFUNCTION("""COMPUTED_VALUE"""),"Y")</f>
        <v>Y</v>
      </c>
      <c r="F1269" s="3" t="str">
        <f>IFERROR(__xludf.DUMMYFUNCTION("""COMPUTED_VALUE"""),"Y")</f>
        <v>Y</v>
      </c>
      <c r="G1269" s="3"/>
      <c r="H1269" s="3"/>
      <c r="I1269" s="3" t="str">
        <f>IFERROR(__xludf.DUMMYFUNCTION("""COMPUTED_VALUE""")," ")</f>
        <v> </v>
      </c>
      <c r="J1269" s="3" t="str">
        <f>IFERROR(__xludf.DUMMYFUNCTION("""COMPUTED_VALUE""")," ")</f>
        <v> </v>
      </c>
      <c r="K1269" s="3" t="str">
        <f>IFERROR(__xludf.DUMMYFUNCTION("""COMPUTED_VALUE"""),"Y")</f>
        <v>Y</v>
      </c>
      <c r="L1269" s="3" t="str">
        <f>IFERROR(__xludf.DUMMYFUNCTION("""COMPUTED_VALUE"""),"Group 1")</f>
        <v>Group 1</v>
      </c>
      <c r="M1269" s="3"/>
      <c r="N1269" s="5" t="str">
        <f>IFERROR(__xludf.DUMMYFUNCTION("""COMPUTED_VALUE""")," ")</f>
        <v> </v>
      </c>
      <c r="O1269" s="5"/>
    </row>
    <row r="1270">
      <c r="A1270" s="2" t="str">
        <f>IFERROR(__xludf.DUMMYFUNCTION("""COMPUTED_VALUE"""),"1550")</f>
        <v>1550</v>
      </c>
      <c r="B1270" s="2" t="str">
        <f>IFERROR(__xludf.DUMMYFUNCTION("""COMPUTED_VALUE"""),"POUDRE R-1")</f>
        <v>POUDRE R-1</v>
      </c>
      <c r="C1270" s="2" t="str">
        <f>IFERROR(__xludf.DUMMYFUNCTION("""COMPUTED_VALUE"""),"07218")</f>
        <v>07218</v>
      </c>
      <c r="D1270" s="2" t="str">
        <f>IFERROR(__xludf.DUMMYFUNCTION("""COMPUTED_VALUE"""),"PUTNAM ELEMENTARY SCHOOL")</f>
        <v>PUTNAM ELEMENTARY SCHOOL</v>
      </c>
      <c r="E1270" s="3" t="str">
        <f>IFERROR(__xludf.DUMMYFUNCTION("""COMPUTED_VALUE"""),"Y")</f>
        <v>Y</v>
      </c>
      <c r="F1270" s="3" t="str">
        <f>IFERROR(__xludf.DUMMYFUNCTION("""COMPUTED_VALUE"""),"Y")</f>
        <v>Y</v>
      </c>
      <c r="G1270" s="3"/>
      <c r="H1270" s="3"/>
      <c r="I1270" s="3" t="str">
        <f>IFERROR(__xludf.DUMMYFUNCTION("""COMPUTED_VALUE""")," ")</f>
        <v> </v>
      </c>
      <c r="J1270" s="3" t="str">
        <f>IFERROR(__xludf.DUMMYFUNCTION("""COMPUTED_VALUE"""),"Y")</f>
        <v>Y</v>
      </c>
      <c r="K1270" s="3" t="str">
        <f>IFERROR(__xludf.DUMMYFUNCTION("""COMPUTED_VALUE"""),"Y")</f>
        <v>Y</v>
      </c>
      <c r="L1270" s="3" t="str">
        <f>IFERROR(__xludf.DUMMYFUNCTION("""COMPUTED_VALUE"""),"Group 9")</f>
        <v>Group 9</v>
      </c>
      <c r="M1270" s="3"/>
      <c r="N1270" s="5" t="str">
        <f>IFERROR(__xludf.DUMMYFUNCTION("""COMPUTED_VALUE"""),"Y")</f>
        <v>Y</v>
      </c>
      <c r="O1270" s="5"/>
    </row>
    <row r="1271">
      <c r="A1271" s="2" t="str">
        <f>IFERROR(__xludf.DUMMYFUNCTION("""COMPUTED_VALUE"""),"1550")</f>
        <v>1550</v>
      </c>
      <c r="B1271" s="2" t="str">
        <f>IFERROR(__xludf.DUMMYFUNCTION("""COMPUTED_VALUE"""),"POUDRE R-1")</f>
        <v>POUDRE R-1</v>
      </c>
      <c r="C1271" s="2" t="str">
        <f>IFERROR(__xludf.DUMMYFUNCTION("""COMPUTED_VALUE"""),"07325")</f>
        <v>07325</v>
      </c>
      <c r="D1271" s="2" t="str">
        <f>IFERROR(__xludf.DUMMYFUNCTION("""COMPUTED_VALUE"""),"RICE ELEMENTARY SCHOOL")</f>
        <v>RICE ELEMENTARY SCHOOL</v>
      </c>
      <c r="E1271" s="3" t="str">
        <f>IFERROR(__xludf.DUMMYFUNCTION("""COMPUTED_VALUE"""),"Y")</f>
        <v>Y</v>
      </c>
      <c r="F1271" s="3" t="str">
        <f>IFERROR(__xludf.DUMMYFUNCTION("""COMPUTED_VALUE"""),"Y")</f>
        <v>Y</v>
      </c>
      <c r="G1271" s="3"/>
      <c r="H1271" s="3"/>
      <c r="I1271" s="3" t="str">
        <f>IFERROR(__xludf.DUMMYFUNCTION("""COMPUTED_VALUE""")," ")</f>
        <v> </v>
      </c>
      <c r="J1271" s="3" t="str">
        <f>IFERROR(__xludf.DUMMYFUNCTION("""COMPUTED_VALUE""")," ")</f>
        <v> </v>
      </c>
      <c r="K1271" s="3" t="str">
        <f>IFERROR(__xludf.DUMMYFUNCTION("""COMPUTED_VALUE"""),"Y")</f>
        <v>Y</v>
      </c>
      <c r="L1271" s="3" t="str">
        <f>IFERROR(__xludf.DUMMYFUNCTION("""COMPUTED_VALUE"""),"Group 5")</f>
        <v>Group 5</v>
      </c>
      <c r="M1271" s="3"/>
      <c r="N1271" s="5" t="str">
        <f>IFERROR(__xludf.DUMMYFUNCTION("""COMPUTED_VALUE""")," ")</f>
        <v> </v>
      </c>
      <c r="O1271" s="5"/>
    </row>
    <row r="1272">
      <c r="A1272" s="2" t="str">
        <f>IFERROR(__xludf.DUMMYFUNCTION("""COMPUTED_VALUE"""),"1550")</f>
        <v>1550</v>
      </c>
      <c r="B1272" s="2" t="str">
        <f>IFERROR(__xludf.DUMMYFUNCTION("""COMPUTED_VALUE"""),"POUDRE R-1")</f>
        <v>POUDRE R-1</v>
      </c>
      <c r="C1272" s="2" t="str">
        <f>IFERROR(__xludf.DUMMYFUNCTION("""COMPUTED_VALUE"""),"07350")</f>
        <v>07350</v>
      </c>
      <c r="D1272" s="2" t="str">
        <f>IFERROR(__xludf.DUMMYFUNCTION("""COMPUTED_VALUE"""),"RIFFENBURGH ELEMENTARY SCHOOL")</f>
        <v>RIFFENBURGH ELEMENTARY SCHOOL</v>
      </c>
      <c r="E1272" s="3" t="str">
        <f>IFERROR(__xludf.DUMMYFUNCTION("""COMPUTED_VALUE"""),"Y")</f>
        <v>Y</v>
      </c>
      <c r="F1272" s="3" t="str">
        <f>IFERROR(__xludf.DUMMYFUNCTION("""COMPUTED_VALUE"""),"Y")</f>
        <v>Y</v>
      </c>
      <c r="G1272" s="3"/>
      <c r="H1272" s="3"/>
      <c r="I1272" s="3" t="str">
        <f>IFERROR(__xludf.DUMMYFUNCTION("""COMPUTED_VALUE""")," ")</f>
        <v> </v>
      </c>
      <c r="J1272" s="3" t="str">
        <f>IFERROR(__xludf.DUMMYFUNCTION("""COMPUTED_VALUE""")," ")</f>
        <v> </v>
      </c>
      <c r="K1272" s="3" t="str">
        <f>IFERROR(__xludf.DUMMYFUNCTION("""COMPUTED_VALUE"""),"Y")</f>
        <v>Y</v>
      </c>
      <c r="L1272" s="3" t="str">
        <f>IFERROR(__xludf.DUMMYFUNCTION("""COMPUTED_VALUE"""),"Group 2")</f>
        <v>Group 2</v>
      </c>
      <c r="M1272" s="3"/>
      <c r="N1272" s="5" t="str">
        <f>IFERROR(__xludf.DUMMYFUNCTION("""COMPUTED_VALUE""")," ")</f>
        <v> </v>
      </c>
      <c r="O1272" s="5"/>
    </row>
    <row r="1273">
      <c r="A1273" s="2" t="str">
        <f>IFERROR(__xludf.DUMMYFUNCTION("""COMPUTED_VALUE"""),"1550")</f>
        <v>1550</v>
      </c>
      <c r="B1273" s="2" t="str">
        <f>IFERROR(__xludf.DUMMYFUNCTION("""COMPUTED_VALUE"""),"POUDRE R-1")</f>
        <v>POUDRE R-1</v>
      </c>
      <c r="C1273" s="2" t="str">
        <f>IFERROR(__xludf.DUMMYFUNCTION("""COMPUTED_VALUE"""),"07470")</f>
        <v>07470</v>
      </c>
      <c r="D1273" s="2" t="str">
        <f>IFERROR(__xludf.DUMMYFUNCTION("""COMPUTED_VALUE"""),"ROCKY MOUNTAIN HIGH SCHOOL")</f>
        <v>ROCKY MOUNTAIN HIGH SCHOOL</v>
      </c>
      <c r="E1273" s="3" t="str">
        <f>IFERROR(__xludf.DUMMYFUNCTION("""COMPUTED_VALUE"""),"Y")</f>
        <v>Y</v>
      </c>
      <c r="F1273" s="3" t="str">
        <f>IFERROR(__xludf.DUMMYFUNCTION("""COMPUTED_VALUE"""),"Y")</f>
        <v>Y</v>
      </c>
      <c r="G1273" s="3"/>
      <c r="H1273" s="3"/>
      <c r="I1273" s="3" t="str">
        <f>IFERROR(__xludf.DUMMYFUNCTION("""COMPUTED_VALUE""")," ")</f>
        <v> </v>
      </c>
      <c r="J1273" s="3" t="str">
        <f>IFERROR(__xludf.DUMMYFUNCTION("""COMPUTED_VALUE""")," ")</f>
        <v> </v>
      </c>
      <c r="K1273" s="3" t="str">
        <f>IFERROR(__xludf.DUMMYFUNCTION("""COMPUTED_VALUE"""),"Y")</f>
        <v>Y</v>
      </c>
      <c r="L1273" s="3" t="str">
        <f>IFERROR(__xludf.DUMMYFUNCTION("""COMPUTED_VALUE"""),"Group 14")</f>
        <v>Group 14</v>
      </c>
      <c r="M1273" s="3"/>
      <c r="N1273" s="5" t="str">
        <f>IFERROR(__xludf.DUMMYFUNCTION("""COMPUTED_VALUE""")," ")</f>
        <v> </v>
      </c>
      <c r="O1273" s="5"/>
    </row>
    <row r="1274">
      <c r="A1274" s="2" t="str">
        <f>IFERROR(__xludf.DUMMYFUNCTION("""COMPUTED_VALUE"""),"1550")</f>
        <v>1550</v>
      </c>
      <c r="B1274" s="2" t="str">
        <f>IFERROR(__xludf.DUMMYFUNCTION("""COMPUTED_VALUE"""),"POUDRE R-1")</f>
        <v>POUDRE R-1</v>
      </c>
      <c r="C1274" s="2" t="str">
        <f>IFERROR(__xludf.DUMMYFUNCTION("""COMPUTED_VALUE"""),"07834")</f>
        <v>07834</v>
      </c>
      <c r="D1274" s="2" t="str">
        <f>IFERROR(__xludf.DUMMYFUNCTION("""COMPUTED_VALUE"""),"SHEPARDSON ELEMENTARY SCHOOL")</f>
        <v>SHEPARDSON ELEMENTARY SCHOOL</v>
      </c>
      <c r="E1274" s="3" t="str">
        <f>IFERROR(__xludf.DUMMYFUNCTION("""COMPUTED_VALUE"""),"Y")</f>
        <v>Y</v>
      </c>
      <c r="F1274" s="3" t="str">
        <f>IFERROR(__xludf.DUMMYFUNCTION("""COMPUTED_VALUE"""),"Y")</f>
        <v>Y</v>
      </c>
      <c r="G1274" s="3"/>
      <c r="H1274" s="3"/>
      <c r="I1274" s="3" t="str">
        <f>IFERROR(__xludf.DUMMYFUNCTION("""COMPUTED_VALUE""")," ")</f>
        <v> </v>
      </c>
      <c r="J1274" s="3" t="str">
        <f>IFERROR(__xludf.DUMMYFUNCTION("""COMPUTED_VALUE""")," ")</f>
        <v> </v>
      </c>
      <c r="K1274" s="3" t="str">
        <f>IFERROR(__xludf.DUMMYFUNCTION("""COMPUTED_VALUE"""),"Y")</f>
        <v>Y</v>
      </c>
      <c r="L1274" s="3" t="str">
        <f>IFERROR(__xludf.DUMMYFUNCTION("""COMPUTED_VALUE"""),"Group 14")</f>
        <v>Group 14</v>
      </c>
      <c r="M1274" s="3"/>
      <c r="N1274" s="5" t="str">
        <f>IFERROR(__xludf.DUMMYFUNCTION("""COMPUTED_VALUE""")," ")</f>
        <v> </v>
      </c>
      <c r="O1274" s="5"/>
    </row>
    <row r="1275">
      <c r="A1275" s="2" t="str">
        <f>IFERROR(__xludf.DUMMYFUNCTION("""COMPUTED_VALUE"""),"1550")</f>
        <v>1550</v>
      </c>
      <c r="B1275" s="2" t="str">
        <f>IFERROR(__xludf.DUMMYFUNCTION("""COMPUTED_VALUE"""),"POUDRE R-1")</f>
        <v>POUDRE R-1</v>
      </c>
      <c r="C1275" s="2" t="str">
        <f>IFERROR(__xludf.DUMMYFUNCTION("""COMPUTED_VALUE"""),"07877")</f>
        <v>07877</v>
      </c>
      <c r="D1275" s="2" t="str">
        <f>IFERROR(__xludf.DUMMYFUNCTION("""COMPUTED_VALUE"""),"Timnath Middle-High School")</f>
        <v>Timnath Middle-High School</v>
      </c>
      <c r="E1275" s="3" t="str">
        <f>IFERROR(__xludf.DUMMYFUNCTION("""COMPUTED_VALUE"""),"Y")</f>
        <v>Y</v>
      </c>
      <c r="F1275" s="3" t="str">
        <f>IFERROR(__xludf.DUMMYFUNCTION("""COMPUTED_VALUE"""),"Y")</f>
        <v>Y</v>
      </c>
      <c r="G1275" s="3"/>
      <c r="H1275" s="3"/>
      <c r="I1275" s="3" t="str">
        <f>IFERROR(__xludf.DUMMYFUNCTION("""COMPUTED_VALUE""")," ")</f>
        <v> </v>
      </c>
      <c r="J1275" s="3" t="str">
        <f>IFERROR(__xludf.DUMMYFUNCTION("""COMPUTED_VALUE""")," ")</f>
        <v> </v>
      </c>
      <c r="K1275" s="3" t="str">
        <f>IFERROR(__xludf.DUMMYFUNCTION("""COMPUTED_VALUE"""),"Y")</f>
        <v>Y</v>
      </c>
      <c r="L1275" s="3" t="str">
        <f>IFERROR(__xludf.DUMMYFUNCTION("""COMPUTED_VALUE"""),"Group 14")</f>
        <v>Group 14</v>
      </c>
      <c r="M1275" s="3"/>
      <c r="N1275" s="5" t="str">
        <f>IFERROR(__xludf.DUMMYFUNCTION("""COMPUTED_VALUE""")," ")</f>
        <v> </v>
      </c>
      <c r="O1275" s="5"/>
    </row>
    <row r="1276">
      <c r="A1276" s="2" t="str">
        <f>IFERROR(__xludf.DUMMYFUNCTION("""COMPUTED_VALUE"""),"1550")</f>
        <v>1550</v>
      </c>
      <c r="B1276" s="2" t="str">
        <f>IFERROR(__xludf.DUMMYFUNCTION("""COMPUTED_VALUE"""),"POUDRE R-1")</f>
        <v>POUDRE R-1</v>
      </c>
      <c r="C1276" s="2" t="str">
        <f>IFERROR(__xludf.DUMMYFUNCTION("""COMPUTED_VALUE"""),"08460")</f>
        <v>08460</v>
      </c>
      <c r="D1276" s="2" t="str">
        <f>IFERROR(__xludf.DUMMYFUNCTION("""COMPUTED_VALUE"""),"TAVELLI ELEMENTARY SCHOOL")</f>
        <v>TAVELLI ELEMENTARY SCHOOL</v>
      </c>
      <c r="E1276" s="3" t="str">
        <f>IFERROR(__xludf.DUMMYFUNCTION("""COMPUTED_VALUE"""),"Y")</f>
        <v>Y</v>
      </c>
      <c r="F1276" s="3" t="str">
        <f>IFERROR(__xludf.DUMMYFUNCTION("""COMPUTED_VALUE"""),"Y")</f>
        <v>Y</v>
      </c>
      <c r="G1276" s="3"/>
      <c r="H1276" s="3"/>
      <c r="I1276" s="3" t="str">
        <f>IFERROR(__xludf.DUMMYFUNCTION("""COMPUTED_VALUE""")," ")</f>
        <v> </v>
      </c>
      <c r="J1276" s="3" t="str">
        <f>IFERROR(__xludf.DUMMYFUNCTION("""COMPUTED_VALUE""")," ")</f>
        <v> </v>
      </c>
      <c r="K1276" s="3" t="str">
        <f>IFERROR(__xludf.DUMMYFUNCTION("""COMPUTED_VALUE"""),"Y")</f>
        <v>Y</v>
      </c>
      <c r="L1276" s="3" t="str">
        <f>IFERROR(__xludf.DUMMYFUNCTION("""COMPUTED_VALUE"""),"Group 6")</f>
        <v>Group 6</v>
      </c>
      <c r="M1276" s="3"/>
      <c r="N1276" s="5" t="str">
        <f>IFERROR(__xludf.DUMMYFUNCTION("""COMPUTED_VALUE""")," ")</f>
        <v> </v>
      </c>
      <c r="O1276" s="5"/>
    </row>
    <row r="1277">
      <c r="A1277" s="2" t="str">
        <f>IFERROR(__xludf.DUMMYFUNCTION("""COMPUTED_VALUE"""),"1550")</f>
        <v>1550</v>
      </c>
      <c r="B1277" s="2" t="str">
        <f>IFERROR(__xludf.DUMMYFUNCTION("""COMPUTED_VALUE"""),"POUDRE R-1")</f>
        <v>POUDRE R-1</v>
      </c>
      <c r="C1277" s="2" t="str">
        <f>IFERROR(__xludf.DUMMYFUNCTION("""COMPUTED_VALUE"""),"08852")</f>
        <v>08852</v>
      </c>
      <c r="D1277" s="2" t="str">
        <f>IFERROR(__xludf.DUMMYFUNCTION("""COMPUTED_VALUE"""),"TIMNATH ELEMENTARY SCHOOL")</f>
        <v>TIMNATH ELEMENTARY SCHOOL</v>
      </c>
      <c r="E1277" s="3" t="str">
        <f>IFERROR(__xludf.DUMMYFUNCTION("""COMPUTED_VALUE"""),"Y")</f>
        <v>Y</v>
      </c>
      <c r="F1277" s="3" t="str">
        <f>IFERROR(__xludf.DUMMYFUNCTION("""COMPUTED_VALUE"""),"Y")</f>
        <v>Y</v>
      </c>
      <c r="G1277" s="3"/>
      <c r="H1277" s="3"/>
      <c r="I1277" s="3" t="str">
        <f>IFERROR(__xludf.DUMMYFUNCTION("""COMPUTED_VALUE""")," ")</f>
        <v> </v>
      </c>
      <c r="J1277" s="3" t="str">
        <f>IFERROR(__xludf.DUMMYFUNCTION("""COMPUTED_VALUE""")," ")</f>
        <v> </v>
      </c>
      <c r="K1277" s="3" t="str">
        <f>IFERROR(__xludf.DUMMYFUNCTION("""COMPUTED_VALUE"""),"Y")</f>
        <v>Y</v>
      </c>
      <c r="L1277" s="3" t="str">
        <f>IFERROR(__xludf.DUMMYFUNCTION("""COMPUTED_VALUE"""),"Group 14")</f>
        <v>Group 14</v>
      </c>
      <c r="M1277" s="3"/>
      <c r="N1277" s="5" t="str">
        <f>IFERROR(__xludf.DUMMYFUNCTION("""COMPUTED_VALUE""")," ")</f>
        <v> </v>
      </c>
      <c r="O1277" s="5"/>
    </row>
    <row r="1278">
      <c r="A1278" s="2" t="str">
        <f>IFERROR(__xludf.DUMMYFUNCTION("""COMPUTED_VALUE"""),"1550")</f>
        <v>1550</v>
      </c>
      <c r="B1278" s="2" t="str">
        <f>IFERROR(__xludf.DUMMYFUNCTION("""COMPUTED_VALUE"""),"POUDRE R-1")</f>
        <v>POUDRE R-1</v>
      </c>
      <c r="C1278" s="2" t="str">
        <f>IFERROR(__xludf.DUMMYFUNCTION("""COMPUTED_VALUE"""),"09251")</f>
        <v>09251</v>
      </c>
      <c r="D1278" s="2" t="str">
        <f>IFERROR(__xludf.DUMMYFUNCTION("""COMPUTED_VALUE"""),"TRAUT CORE ELEMENTARY SCHOOL")</f>
        <v>TRAUT CORE ELEMENTARY SCHOOL</v>
      </c>
      <c r="E1278" s="3" t="str">
        <f>IFERROR(__xludf.DUMMYFUNCTION("""COMPUTED_VALUE"""),"Y")</f>
        <v>Y</v>
      </c>
      <c r="F1278" s="3" t="str">
        <f>IFERROR(__xludf.DUMMYFUNCTION("""COMPUTED_VALUE"""),"Y")</f>
        <v>Y</v>
      </c>
      <c r="G1278" s="3"/>
      <c r="H1278" s="3"/>
      <c r="I1278" s="3" t="str">
        <f>IFERROR(__xludf.DUMMYFUNCTION("""COMPUTED_VALUE""")," ")</f>
        <v> </v>
      </c>
      <c r="J1278" s="3" t="str">
        <f>IFERROR(__xludf.DUMMYFUNCTION("""COMPUTED_VALUE""")," ")</f>
        <v> </v>
      </c>
      <c r="K1278" s="3" t="str">
        <f>IFERROR(__xludf.DUMMYFUNCTION("""COMPUTED_VALUE"""),"Y")</f>
        <v>Y</v>
      </c>
      <c r="L1278" s="3" t="str">
        <f>IFERROR(__xludf.DUMMYFUNCTION("""COMPUTED_VALUE""")," ")</f>
        <v> </v>
      </c>
      <c r="M1278" s="3"/>
      <c r="N1278" s="5" t="str">
        <f>IFERROR(__xludf.DUMMYFUNCTION("""COMPUTED_VALUE""")," ")</f>
        <v> </v>
      </c>
      <c r="O1278" s="5"/>
    </row>
    <row r="1279">
      <c r="A1279" s="2" t="str">
        <f>IFERROR(__xludf.DUMMYFUNCTION("""COMPUTED_VALUE"""),"1550")</f>
        <v>1550</v>
      </c>
      <c r="B1279" s="2" t="str">
        <f>IFERROR(__xludf.DUMMYFUNCTION("""COMPUTED_VALUE"""),"POUDRE R-1")</f>
        <v>POUDRE R-1</v>
      </c>
      <c r="C1279" s="2" t="str">
        <f>IFERROR(__xludf.DUMMYFUNCTION("""COMPUTED_VALUE"""),"09330")</f>
        <v>09330</v>
      </c>
      <c r="D1279" s="2" t="str">
        <f>IFERROR(__xludf.DUMMYFUNCTION("""COMPUTED_VALUE"""),"WEBBER MIDDLE SCHOOL")</f>
        <v>WEBBER MIDDLE SCHOOL</v>
      </c>
      <c r="E1279" s="3" t="str">
        <f>IFERROR(__xludf.DUMMYFUNCTION("""COMPUTED_VALUE"""),"Y")</f>
        <v>Y</v>
      </c>
      <c r="F1279" s="3" t="str">
        <f>IFERROR(__xludf.DUMMYFUNCTION("""COMPUTED_VALUE"""),"Y")</f>
        <v>Y</v>
      </c>
      <c r="G1279" s="3"/>
      <c r="H1279" s="3"/>
      <c r="I1279" s="3" t="str">
        <f>IFERROR(__xludf.DUMMYFUNCTION("""COMPUTED_VALUE""")," ")</f>
        <v> </v>
      </c>
      <c r="J1279" s="3" t="str">
        <f>IFERROR(__xludf.DUMMYFUNCTION("""COMPUTED_VALUE""")," ")</f>
        <v> </v>
      </c>
      <c r="K1279" s="3" t="str">
        <f>IFERROR(__xludf.DUMMYFUNCTION("""COMPUTED_VALUE"""),"Y")</f>
        <v>Y</v>
      </c>
      <c r="L1279" s="3" t="str">
        <f>IFERROR(__xludf.DUMMYFUNCTION("""COMPUTED_VALUE"""),"Group 1")</f>
        <v>Group 1</v>
      </c>
      <c r="M1279" s="3"/>
      <c r="N1279" s="5" t="str">
        <f>IFERROR(__xludf.DUMMYFUNCTION("""COMPUTED_VALUE""")," ")</f>
        <v> </v>
      </c>
      <c r="O1279" s="5"/>
    </row>
    <row r="1280">
      <c r="A1280" s="2" t="str">
        <f>IFERROR(__xludf.DUMMYFUNCTION("""COMPUTED_VALUE"""),"1550")</f>
        <v>1550</v>
      </c>
      <c r="B1280" s="2" t="str">
        <f>IFERROR(__xludf.DUMMYFUNCTION("""COMPUTED_VALUE"""),"POUDRE R-1")</f>
        <v>POUDRE R-1</v>
      </c>
      <c r="C1280" s="2" t="str">
        <f>IFERROR(__xludf.DUMMYFUNCTION("""COMPUTED_VALUE"""),"09370")</f>
        <v>09370</v>
      </c>
      <c r="D1280" s="2" t="str">
        <f>IFERROR(__xludf.DUMMYFUNCTION("""COMPUTED_VALUE"""),"EYESTONE ELEMENTARY SCHOOL")</f>
        <v>EYESTONE ELEMENTARY SCHOOL</v>
      </c>
      <c r="E1280" s="3" t="str">
        <f>IFERROR(__xludf.DUMMYFUNCTION("""COMPUTED_VALUE"""),"Y")</f>
        <v>Y</v>
      </c>
      <c r="F1280" s="3" t="str">
        <f>IFERROR(__xludf.DUMMYFUNCTION("""COMPUTED_VALUE"""),"Y")</f>
        <v>Y</v>
      </c>
      <c r="G1280" s="3"/>
      <c r="H1280" s="3"/>
      <c r="I1280" s="3" t="str">
        <f>IFERROR(__xludf.DUMMYFUNCTION("""COMPUTED_VALUE""")," ")</f>
        <v> </v>
      </c>
      <c r="J1280" s="3" t="str">
        <f>IFERROR(__xludf.DUMMYFUNCTION("""COMPUTED_VALUE""")," ")</f>
        <v> </v>
      </c>
      <c r="K1280" s="3" t="str">
        <f>IFERROR(__xludf.DUMMYFUNCTION("""COMPUTED_VALUE"""),"Y")</f>
        <v>Y</v>
      </c>
      <c r="L1280" s="3" t="str">
        <f>IFERROR(__xludf.DUMMYFUNCTION("""COMPUTED_VALUE"""),"Group 13")</f>
        <v>Group 13</v>
      </c>
      <c r="M1280" s="3"/>
      <c r="N1280" s="5" t="str">
        <f>IFERROR(__xludf.DUMMYFUNCTION("""COMPUTED_VALUE""")," ")</f>
        <v> </v>
      </c>
      <c r="O1280" s="5"/>
    </row>
    <row r="1281">
      <c r="A1281" s="2" t="str">
        <f>IFERROR(__xludf.DUMMYFUNCTION("""COMPUTED_VALUE"""),"1550")</f>
        <v>1550</v>
      </c>
      <c r="B1281" s="2" t="str">
        <f>IFERROR(__xludf.DUMMYFUNCTION("""COMPUTED_VALUE"""),"POUDRE R-1")</f>
        <v>POUDRE R-1</v>
      </c>
      <c r="C1281" s="2" t="str">
        <f>IFERROR(__xludf.DUMMYFUNCTION("""COMPUTED_VALUE"""),"09374")</f>
        <v>09374</v>
      </c>
      <c r="D1281" s="2" t="str">
        <f>IFERROR(__xludf.DUMMYFUNCTION("""COMPUTED_VALUE"""),"WELLINGTON MIDDLE SCHOOL")</f>
        <v>WELLINGTON MIDDLE SCHOOL</v>
      </c>
      <c r="E1281" s="3" t="str">
        <f>IFERROR(__xludf.DUMMYFUNCTION("""COMPUTED_VALUE"""),"Y")</f>
        <v>Y</v>
      </c>
      <c r="F1281" s="3" t="str">
        <f>IFERROR(__xludf.DUMMYFUNCTION("""COMPUTED_VALUE"""),"Y")</f>
        <v>Y</v>
      </c>
      <c r="G1281" s="3"/>
      <c r="H1281" s="3"/>
      <c r="I1281" s="3" t="str">
        <f>IFERROR(__xludf.DUMMYFUNCTION("""COMPUTED_VALUE""")," ")</f>
        <v> </v>
      </c>
      <c r="J1281" s="3" t="str">
        <f>IFERROR(__xludf.DUMMYFUNCTION("""COMPUTED_VALUE""")," ")</f>
        <v> </v>
      </c>
      <c r="K1281" s="3" t="str">
        <f>IFERROR(__xludf.DUMMYFUNCTION("""COMPUTED_VALUE"""),"Y")</f>
        <v>Y</v>
      </c>
      <c r="L1281" s="3" t="str">
        <f>IFERROR(__xludf.DUMMYFUNCTION("""COMPUTED_VALUE"""),"Group 7")</f>
        <v>Group 7</v>
      </c>
      <c r="M1281" s="3"/>
      <c r="N1281" s="5" t="str">
        <f>IFERROR(__xludf.DUMMYFUNCTION("""COMPUTED_VALUE""")," ")</f>
        <v> </v>
      </c>
      <c r="O1281" s="5"/>
    </row>
    <row r="1282">
      <c r="A1282" s="2" t="str">
        <f>IFERROR(__xludf.DUMMYFUNCTION("""COMPUTED_VALUE"""),"1550")</f>
        <v>1550</v>
      </c>
      <c r="B1282" s="2" t="str">
        <f>IFERROR(__xludf.DUMMYFUNCTION("""COMPUTED_VALUE"""),"POUDRE R-1")</f>
        <v>POUDRE R-1</v>
      </c>
      <c r="C1282" s="2" t="str">
        <f>IFERROR(__xludf.DUMMYFUNCTION("""COMPUTED_VALUE"""),"09380")</f>
        <v>09380</v>
      </c>
      <c r="D1282" s="2" t="str">
        <f>IFERROR(__xludf.DUMMYFUNCTION("""COMPUTED_VALUE"""),"WERNER ELEMENTARY SCHOOL")</f>
        <v>WERNER ELEMENTARY SCHOOL</v>
      </c>
      <c r="E1282" s="3" t="str">
        <f>IFERROR(__xludf.DUMMYFUNCTION("""COMPUTED_VALUE"""),"Y")</f>
        <v>Y</v>
      </c>
      <c r="F1282" s="3" t="str">
        <f>IFERROR(__xludf.DUMMYFUNCTION("""COMPUTED_VALUE"""),"Y")</f>
        <v>Y</v>
      </c>
      <c r="G1282" s="3"/>
      <c r="H1282" s="3"/>
      <c r="I1282" s="3" t="str">
        <f>IFERROR(__xludf.DUMMYFUNCTION("""COMPUTED_VALUE""")," ")</f>
        <v> </v>
      </c>
      <c r="J1282" s="3" t="str">
        <f>IFERROR(__xludf.DUMMYFUNCTION("""COMPUTED_VALUE""")," ")</f>
        <v> </v>
      </c>
      <c r="K1282" s="3" t="str">
        <f>IFERROR(__xludf.DUMMYFUNCTION("""COMPUTED_VALUE"""),"Y")</f>
        <v>Y</v>
      </c>
      <c r="L1282" s="3" t="str">
        <f>IFERROR(__xludf.DUMMYFUNCTION("""COMPUTED_VALUE"""),"Group 7")</f>
        <v>Group 7</v>
      </c>
      <c r="M1282" s="3"/>
      <c r="N1282" s="5" t="str">
        <f>IFERROR(__xludf.DUMMYFUNCTION("""COMPUTED_VALUE""")," ")</f>
        <v> </v>
      </c>
      <c r="O1282" s="5"/>
    </row>
    <row r="1283">
      <c r="A1283" s="2" t="str">
        <f>IFERROR(__xludf.DUMMYFUNCTION("""COMPUTED_VALUE"""),"1560")</f>
        <v>1560</v>
      </c>
      <c r="B1283" s="2" t="str">
        <f>IFERROR(__xludf.DUMMYFUNCTION("""COMPUTED_VALUE"""),"THOMPSON R2-J")</f>
        <v>THOMPSON R2-J</v>
      </c>
      <c r="C1283" s="2" t="str">
        <f>IFERROR(__xludf.DUMMYFUNCTION("""COMPUTED_VALUE"""),"00510")</f>
        <v>00510</v>
      </c>
      <c r="D1283" s="2" t="str">
        <f>IFERROR(__xludf.DUMMYFUNCTION("""COMPUTED_VALUE"""),"PEAKVIEW ACADEMY AT CONRAD BALL")</f>
        <v>PEAKVIEW ACADEMY AT CONRAD BALL</v>
      </c>
      <c r="E1283" s="3" t="str">
        <f>IFERROR(__xludf.DUMMYFUNCTION("""COMPUTED_VALUE"""),"Y")</f>
        <v>Y</v>
      </c>
      <c r="F1283" s="3" t="str">
        <f>IFERROR(__xludf.DUMMYFUNCTION("""COMPUTED_VALUE"""),"Y")</f>
        <v>Y</v>
      </c>
      <c r="G1283" s="3"/>
      <c r="H1283" s="3"/>
      <c r="I1283" s="3" t="str">
        <f>IFERROR(__xludf.DUMMYFUNCTION("""COMPUTED_VALUE""")," ")</f>
        <v> </v>
      </c>
      <c r="J1283" s="3" t="str">
        <f>IFERROR(__xludf.DUMMYFUNCTION("""COMPUTED_VALUE""")," ")</f>
        <v> </v>
      </c>
      <c r="K1283" s="3" t="str">
        <f>IFERROR(__xludf.DUMMYFUNCTION("""COMPUTED_VALUE"""),"Y")</f>
        <v>Y</v>
      </c>
      <c r="L1283" s="3" t="str">
        <f>IFERROR(__xludf.DUMMYFUNCTION("""COMPUTED_VALUE"""),"Group 12")</f>
        <v>Group 12</v>
      </c>
      <c r="M1283" s="3"/>
      <c r="N1283" s="5" t="str">
        <f>IFERROR(__xludf.DUMMYFUNCTION("""COMPUTED_VALUE"""),"Y")</f>
        <v>Y</v>
      </c>
      <c r="O1283" s="5"/>
    </row>
    <row r="1284">
      <c r="A1284" s="2" t="str">
        <f>IFERROR(__xludf.DUMMYFUNCTION("""COMPUTED_VALUE"""),"1560")</f>
        <v>1560</v>
      </c>
      <c r="B1284" s="2" t="str">
        <f>IFERROR(__xludf.DUMMYFUNCTION("""COMPUTED_VALUE"""),"THOMPSON R2-J")</f>
        <v>THOMPSON R2-J</v>
      </c>
      <c r="C1284" s="2" t="str">
        <f>IFERROR(__xludf.DUMMYFUNCTION("""COMPUTED_VALUE"""),"00808")</f>
        <v>00808</v>
      </c>
      <c r="D1284" s="2" t="str">
        <f>IFERROR(__xludf.DUMMYFUNCTION("""COMPUTED_VALUE"""),"BERTHOUD ELEMENTARY SCHOOL")</f>
        <v>BERTHOUD ELEMENTARY SCHOOL</v>
      </c>
      <c r="E1284" s="3" t="str">
        <f>IFERROR(__xludf.DUMMYFUNCTION("""COMPUTED_VALUE"""),"Y")</f>
        <v>Y</v>
      </c>
      <c r="F1284" s="3" t="str">
        <f>IFERROR(__xludf.DUMMYFUNCTION("""COMPUTED_VALUE"""),"Y")</f>
        <v>Y</v>
      </c>
      <c r="G1284" s="3"/>
      <c r="H1284" s="3"/>
      <c r="I1284" s="3" t="str">
        <f>IFERROR(__xludf.DUMMYFUNCTION("""COMPUTED_VALUE""")," ")</f>
        <v> </v>
      </c>
      <c r="J1284" s="3" t="str">
        <f>IFERROR(__xludf.DUMMYFUNCTION("""COMPUTED_VALUE""")," ")</f>
        <v> </v>
      </c>
      <c r="K1284" s="3" t="str">
        <f>IFERROR(__xludf.DUMMYFUNCTION("""COMPUTED_VALUE"""),"Y")</f>
        <v>Y</v>
      </c>
      <c r="L1284" s="3" t="str">
        <f>IFERROR(__xludf.DUMMYFUNCTION("""COMPUTED_VALUE"""),"Group 1")</f>
        <v>Group 1</v>
      </c>
      <c r="M1284" s="3"/>
      <c r="N1284" s="5" t="str">
        <f>IFERROR(__xludf.DUMMYFUNCTION("""COMPUTED_VALUE""")," ")</f>
        <v> </v>
      </c>
      <c r="O1284" s="5"/>
    </row>
    <row r="1285">
      <c r="A1285" s="2" t="str">
        <f>IFERROR(__xludf.DUMMYFUNCTION("""COMPUTED_VALUE"""),"1560")</f>
        <v>1560</v>
      </c>
      <c r="B1285" s="2" t="str">
        <f>IFERROR(__xludf.DUMMYFUNCTION("""COMPUTED_VALUE"""),"THOMPSON R2-J")</f>
        <v>THOMPSON R2-J</v>
      </c>
      <c r="C1285" s="2" t="str">
        <f>IFERROR(__xludf.DUMMYFUNCTION("""COMPUTED_VALUE"""),"00812")</f>
        <v>00812</v>
      </c>
      <c r="D1285" s="2" t="str">
        <f>IFERROR(__xludf.DUMMYFUNCTION("""COMPUTED_VALUE"""),"BERTHOUD HIGH SCHOOL")</f>
        <v>BERTHOUD HIGH SCHOOL</v>
      </c>
      <c r="E1285" s="3" t="str">
        <f>IFERROR(__xludf.DUMMYFUNCTION("""COMPUTED_VALUE"""),"Y")</f>
        <v>Y</v>
      </c>
      <c r="F1285" s="3" t="str">
        <f>IFERROR(__xludf.DUMMYFUNCTION("""COMPUTED_VALUE"""),"Y")</f>
        <v>Y</v>
      </c>
      <c r="G1285" s="3"/>
      <c r="H1285" s="3"/>
      <c r="I1285" s="3" t="str">
        <f>IFERROR(__xludf.DUMMYFUNCTION("""COMPUTED_VALUE""")," ")</f>
        <v> </v>
      </c>
      <c r="J1285" s="3" t="str">
        <f>IFERROR(__xludf.DUMMYFUNCTION("""COMPUTED_VALUE""")," ")</f>
        <v> </v>
      </c>
      <c r="K1285" s="3" t="str">
        <f>IFERROR(__xludf.DUMMYFUNCTION("""COMPUTED_VALUE"""),"Y")</f>
        <v>Y</v>
      </c>
      <c r="L1285" s="3" t="str">
        <f>IFERROR(__xludf.DUMMYFUNCTION("""COMPUTED_VALUE"""),"Group 7")</f>
        <v>Group 7</v>
      </c>
      <c r="M1285" s="3"/>
      <c r="N1285" s="5" t="str">
        <f>IFERROR(__xludf.DUMMYFUNCTION("""COMPUTED_VALUE""")," ")</f>
        <v> </v>
      </c>
      <c r="O1285" s="5"/>
    </row>
    <row r="1286">
      <c r="A1286" s="2" t="str">
        <f>IFERROR(__xludf.DUMMYFUNCTION("""COMPUTED_VALUE"""),"1560")</f>
        <v>1560</v>
      </c>
      <c r="B1286" s="2" t="str">
        <f>IFERROR(__xludf.DUMMYFUNCTION("""COMPUTED_VALUE"""),"THOMPSON R2-J")</f>
        <v>THOMPSON R2-J</v>
      </c>
      <c r="C1286" s="2" t="str">
        <f>IFERROR(__xludf.DUMMYFUNCTION("""COMPUTED_VALUE"""),"00865")</f>
        <v>00865</v>
      </c>
      <c r="D1286" s="2" t="str">
        <f>IFERROR(__xludf.DUMMYFUNCTION("""COMPUTED_VALUE"""),"B F KITCHEN ELEMENTARY SCHOOL")</f>
        <v>B F KITCHEN ELEMENTARY SCHOOL</v>
      </c>
      <c r="E1286" s="3" t="str">
        <f>IFERROR(__xludf.DUMMYFUNCTION("""COMPUTED_VALUE"""),"Y")</f>
        <v>Y</v>
      </c>
      <c r="F1286" s="3" t="str">
        <f>IFERROR(__xludf.DUMMYFUNCTION("""COMPUTED_VALUE"""),"Y")</f>
        <v>Y</v>
      </c>
      <c r="G1286" s="3"/>
      <c r="H1286" s="3"/>
      <c r="I1286" s="3" t="str">
        <f>IFERROR(__xludf.DUMMYFUNCTION("""COMPUTED_VALUE""")," ")</f>
        <v> </v>
      </c>
      <c r="J1286" s="3" t="str">
        <f>IFERROR(__xludf.DUMMYFUNCTION("""COMPUTED_VALUE""")," ")</f>
        <v> </v>
      </c>
      <c r="K1286" s="3" t="str">
        <f>IFERROR(__xludf.DUMMYFUNCTION("""COMPUTED_VALUE"""),"Y")</f>
        <v>Y</v>
      </c>
      <c r="L1286" s="3" t="str">
        <f>IFERROR(__xludf.DUMMYFUNCTION("""COMPUTED_VALUE"""),"Group 6")</f>
        <v>Group 6</v>
      </c>
      <c r="M1286" s="3"/>
      <c r="N1286" s="5" t="str">
        <f>IFERROR(__xludf.DUMMYFUNCTION("""COMPUTED_VALUE"""),"Y")</f>
        <v>Y</v>
      </c>
      <c r="O1286" s="5"/>
    </row>
    <row r="1287">
      <c r="A1287" s="2" t="str">
        <f>IFERROR(__xludf.DUMMYFUNCTION("""COMPUTED_VALUE"""),"1560")</f>
        <v>1560</v>
      </c>
      <c r="B1287" s="2" t="str">
        <f>IFERROR(__xludf.DUMMYFUNCTION("""COMPUTED_VALUE"""),"THOMPSON R2-J")</f>
        <v>THOMPSON R2-J</v>
      </c>
      <c r="C1287" s="2" t="str">
        <f>IFERROR(__xludf.DUMMYFUNCTION("""COMPUTED_VALUE"""),"00870")</f>
        <v>00870</v>
      </c>
      <c r="D1287" s="2" t="str">
        <f>IFERROR(__xludf.DUMMYFUNCTION("""COMPUTED_VALUE"""),"BIG THOMPSON ELEMENTARY SCHOOL")</f>
        <v>BIG THOMPSON ELEMENTARY SCHOOL</v>
      </c>
      <c r="E1287" s="3" t="str">
        <f>IFERROR(__xludf.DUMMYFUNCTION("""COMPUTED_VALUE"""),"Y")</f>
        <v>Y</v>
      </c>
      <c r="F1287" s="3" t="str">
        <f>IFERROR(__xludf.DUMMYFUNCTION("""COMPUTED_VALUE"""),"Y")</f>
        <v>Y</v>
      </c>
      <c r="G1287" s="3"/>
      <c r="H1287" s="3"/>
      <c r="I1287" s="3" t="str">
        <f>IFERROR(__xludf.DUMMYFUNCTION("""COMPUTED_VALUE""")," ")</f>
        <v> </v>
      </c>
      <c r="J1287" s="3" t="str">
        <f>IFERROR(__xludf.DUMMYFUNCTION("""COMPUTED_VALUE""")," ")</f>
        <v> </v>
      </c>
      <c r="K1287" s="3" t="str">
        <f>IFERROR(__xludf.DUMMYFUNCTION("""COMPUTED_VALUE"""),"Y")</f>
        <v>Y</v>
      </c>
      <c r="L1287" s="3" t="str">
        <f>IFERROR(__xludf.DUMMYFUNCTION("""COMPUTED_VALUE"""),"Group 9")</f>
        <v>Group 9</v>
      </c>
      <c r="M1287" s="3"/>
      <c r="N1287" s="5" t="str">
        <f>IFERROR(__xludf.DUMMYFUNCTION("""COMPUTED_VALUE""")," ")</f>
        <v> </v>
      </c>
      <c r="O1287" s="5"/>
    </row>
    <row r="1288">
      <c r="A1288" s="2" t="str">
        <f>IFERROR(__xludf.DUMMYFUNCTION("""COMPUTED_VALUE"""),"1560")</f>
        <v>1560</v>
      </c>
      <c r="B1288" s="2" t="str">
        <f>IFERROR(__xludf.DUMMYFUNCTION("""COMPUTED_VALUE"""),"THOMPSON R2-J")</f>
        <v>THOMPSON R2-J</v>
      </c>
      <c r="C1288" s="2" t="str">
        <f>IFERROR(__xludf.DUMMYFUNCTION("""COMPUTED_VALUE"""),"01323")</f>
        <v>01323</v>
      </c>
      <c r="D1288" s="2" t="str">
        <f>IFERROR(__xludf.DUMMYFUNCTION("""COMPUTED_VALUE"""),"CARRIE MARTIN ELEMENTARY SCHOOL")</f>
        <v>CARRIE MARTIN ELEMENTARY SCHOOL</v>
      </c>
      <c r="E1288" s="3" t="str">
        <f>IFERROR(__xludf.DUMMYFUNCTION("""COMPUTED_VALUE"""),"Y")</f>
        <v>Y</v>
      </c>
      <c r="F1288" s="3" t="str">
        <f>IFERROR(__xludf.DUMMYFUNCTION("""COMPUTED_VALUE"""),"Y")</f>
        <v>Y</v>
      </c>
      <c r="G1288" s="3"/>
      <c r="H1288" s="3"/>
      <c r="I1288" s="3" t="str">
        <f>IFERROR(__xludf.DUMMYFUNCTION("""COMPUTED_VALUE""")," ")</f>
        <v> </v>
      </c>
      <c r="J1288" s="3" t="str">
        <f>IFERROR(__xludf.DUMMYFUNCTION("""COMPUTED_VALUE""")," ")</f>
        <v> </v>
      </c>
      <c r="K1288" s="3" t="str">
        <f>IFERROR(__xludf.DUMMYFUNCTION("""COMPUTED_VALUE"""),"Y")</f>
        <v>Y</v>
      </c>
      <c r="L1288" s="3" t="str">
        <f>IFERROR(__xludf.DUMMYFUNCTION("""COMPUTED_VALUE"""),"Group 8")</f>
        <v>Group 8</v>
      </c>
      <c r="M1288" s="3"/>
      <c r="N1288" s="5" t="str">
        <f>IFERROR(__xludf.DUMMYFUNCTION("""COMPUTED_VALUE""")," ")</f>
        <v> </v>
      </c>
      <c r="O1288" s="5"/>
    </row>
    <row r="1289">
      <c r="A1289" s="2" t="str">
        <f>IFERROR(__xludf.DUMMYFUNCTION("""COMPUTED_VALUE"""),"1560")</f>
        <v>1560</v>
      </c>
      <c r="B1289" s="2" t="str">
        <f>IFERROR(__xludf.DUMMYFUNCTION("""COMPUTED_VALUE"""),"THOMPSON R2-J")</f>
        <v>THOMPSON R2-J</v>
      </c>
      <c r="C1289" s="2" t="str">
        <f>IFERROR(__xludf.DUMMYFUNCTION("""COMPUTED_VALUE"""),"01385")</f>
        <v>01385</v>
      </c>
      <c r="D1289" s="2" t="str">
        <f>IFERROR(__xludf.DUMMYFUNCTION("""COMPUTED_VALUE"""),"CENTENNIAL ELEMENTARY SCHOOL")</f>
        <v>CENTENNIAL ELEMENTARY SCHOOL</v>
      </c>
      <c r="E1289" s="3" t="str">
        <f>IFERROR(__xludf.DUMMYFUNCTION("""COMPUTED_VALUE"""),"Y")</f>
        <v>Y</v>
      </c>
      <c r="F1289" s="3" t="str">
        <f>IFERROR(__xludf.DUMMYFUNCTION("""COMPUTED_VALUE"""),"Y")</f>
        <v>Y</v>
      </c>
      <c r="G1289" s="3"/>
      <c r="H1289" s="3"/>
      <c r="I1289" s="3" t="str">
        <f>IFERROR(__xludf.DUMMYFUNCTION("""COMPUTED_VALUE""")," ")</f>
        <v> </v>
      </c>
      <c r="J1289" s="3" t="str">
        <f>IFERROR(__xludf.DUMMYFUNCTION("""COMPUTED_VALUE""")," ")</f>
        <v> </v>
      </c>
      <c r="K1289" s="3" t="str">
        <f>IFERROR(__xludf.DUMMYFUNCTION("""COMPUTED_VALUE"""),"Y")</f>
        <v>Y</v>
      </c>
      <c r="L1289" s="3" t="str">
        <f>IFERROR(__xludf.DUMMYFUNCTION("""COMPUTED_VALUE"""),"Group 9")</f>
        <v>Group 9</v>
      </c>
      <c r="M1289" s="3"/>
      <c r="N1289" s="5" t="str">
        <f>IFERROR(__xludf.DUMMYFUNCTION("""COMPUTED_VALUE""")," ")</f>
        <v> </v>
      </c>
      <c r="O1289" s="5"/>
    </row>
    <row r="1290">
      <c r="A1290" s="2" t="str">
        <f>IFERROR(__xludf.DUMMYFUNCTION("""COMPUTED_VALUE"""),"1560")</f>
        <v>1560</v>
      </c>
      <c r="B1290" s="2" t="str">
        <f>IFERROR(__xludf.DUMMYFUNCTION("""COMPUTED_VALUE"""),"THOMPSON R2-J")</f>
        <v>THOMPSON R2-J</v>
      </c>
      <c r="C1290" s="2" t="str">
        <f>IFERROR(__xludf.DUMMYFUNCTION("""COMPUTED_VALUE"""),"01530")</f>
        <v>01530</v>
      </c>
      <c r="D1290" s="2" t="str">
        <f>IFERROR(__xludf.DUMMYFUNCTION("""COMPUTED_VALUE"""),"Riverview PK-8")</f>
        <v>Riverview PK-8</v>
      </c>
      <c r="E1290" s="3" t="str">
        <f>IFERROR(__xludf.DUMMYFUNCTION("""COMPUTED_VALUE"""),"Y")</f>
        <v>Y</v>
      </c>
      <c r="F1290" s="3" t="str">
        <f>IFERROR(__xludf.DUMMYFUNCTION("""COMPUTED_VALUE"""),"Y")</f>
        <v>Y</v>
      </c>
      <c r="G1290" s="3"/>
      <c r="H1290" s="3"/>
      <c r="I1290" s="3" t="str">
        <f>IFERROR(__xludf.DUMMYFUNCTION("""COMPUTED_VALUE""")," ")</f>
        <v> </v>
      </c>
      <c r="J1290" s="3" t="str">
        <f>IFERROR(__xludf.DUMMYFUNCTION("""COMPUTED_VALUE""")," ")</f>
        <v> </v>
      </c>
      <c r="K1290" s="3" t="str">
        <f>IFERROR(__xludf.DUMMYFUNCTION("""COMPUTED_VALUE"""),"Y")</f>
        <v>Y</v>
      </c>
      <c r="L1290" s="3" t="str">
        <f>IFERROR(__xludf.DUMMYFUNCTION("""COMPUTED_VALUE"""),"Group 4")</f>
        <v>Group 4</v>
      </c>
      <c r="M1290" s="3"/>
      <c r="N1290" s="5" t="str">
        <f>IFERROR(__xludf.DUMMYFUNCTION("""COMPUTED_VALUE""")," ")</f>
        <v> </v>
      </c>
      <c r="O1290" s="5"/>
    </row>
    <row r="1291">
      <c r="A1291" s="2" t="str">
        <f>IFERROR(__xludf.DUMMYFUNCTION("""COMPUTED_VALUE"""),"1560")</f>
        <v>1560</v>
      </c>
      <c r="B1291" s="2" t="str">
        <f>IFERROR(__xludf.DUMMYFUNCTION("""COMPUTED_VALUE"""),"THOMPSON R2-J")</f>
        <v>THOMPSON R2-J</v>
      </c>
      <c r="C1291" s="2" t="str">
        <f>IFERROR(__xludf.DUMMYFUNCTION("""COMPUTED_VALUE"""),"01920")</f>
        <v>01920</v>
      </c>
      <c r="D1291" s="2" t="str">
        <f>IFERROR(__xludf.DUMMYFUNCTION("""COMPUTED_VALUE"""),"COTTONWOOD PLAINS ELEMENTARY SCHOOL")</f>
        <v>COTTONWOOD PLAINS ELEMENTARY SCHOOL</v>
      </c>
      <c r="E1291" s="3" t="str">
        <f>IFERROR(__xludf.DUMMYFUNCTION("""COMPUTED_VALUE"""),"Y")</f>
        <v>Y</v>
      </c>
      <c r="F1291" s="3" t="str">
        <f>IFERROR(__xludf.DUMMYFUNCTION("""COMPUTED_VALUE"""),"Y")</f>
        <v>Y</v>
      </c>
      <c r="G1291" s="3"/>
      <c r="H1291" s="3"/>
      <c r="I1291" s="3" t="str">
        <f>IFERROR(__xludf.DUMMYFUNCTION("""COMPUTED_VALUE""")," ")</f>
        <v> </v>
      </c>
      <c r="J1291" s="3" t="str">
        <f>IFERROR(__xludf.DUMMYFUNCTION("""COMPUTED_VALUE""")," ")</f>
        <v> </v>
      </c>
      <c r="K1291" s="3" t="str">
        <f>IFERROR(__xludf.DUMMYFUNCTION("""COMPUTED_VALUE"""),"Y")</f>
        <v>Y</v>
      </c>
      <c r="L1291" s="3" t="str">
        <f>IFERROR(__xludf.DUMMYFUNCTION("""COMPUTED_VALUE"""),"Group 12")</f>
        <v>Group 12</v>
      </c>
      <c r="M1291" s="3"/>
      <c r="N1291" s="5" t="str">
        <f>IFERROR(__xludf.DUMMYFUNCTION("""COMPUTED_VALUE""")," ")</f>
        <v> </v>
      </c>
      <c r="O1291" s="5"/>
    </row>
    <row r="1292">
      <c r="A1292" s="2" t="str">
        <f>IFERROR(__xludf.DUMMYFUNCTION("""COMPUTED_VALUE"""),"1560")</f>
        <v>1560</v>
      </c>
      <c r="B1292" s="2" t="str">
        <f>IFERROR(__xludf.DUMMYFUNCTION("""COMPUTED_VALUE"""),"THOMPSON R2-J")</f>
        <v>THOMPSON R2-J</v>
      </c>
      <c r="C1292" s="2" t="str">
        <f>IFERROR(__xludf.DUMMYFUNCTION("""COMPUTED_VALUE"""),"02089")</f>
        <v>02089</v>
      </c>
      <c r="D1292" s="2" t="str">
        <f>IFERROR(__xludf.DUMMYFUNCTION("""COMPUTED_VALUE"""),"COYOTE RIDGE ELEMENTARY SCHOOL")</f>
        <v>COYOTE RIDGE ELEMENTARY SCHOOL</v>
      </c>
      <c r="E1292" s="3" t="str">
        <f>IFERROR(__xludf.DUMMYFUNCTION("""COMPUTED_VALUE"""),"Y")</f>
        <v>Y</v>
      </c>
      <c r="F1292" s="3" t="str">
        <f>IFERROR(__xludf.DUMMYFUNCTION("""COMPUTED_VALUE"""),"Y")</f>
        <v>Y</v>
      </c>
      <c r="G1292" s="3"/>
      <c r="H1292" s="3"/>
      <c r="I1292" s="3" t="str">
        <f>IFERROR(__xludf.DUMMYFUNCTION("""COMPUTED_VALUE""")," ")</f>
        <v> </v>
      </c>
      <c r="J1292" s="3" t="str">
        <f>IFERROR(__xludf.DUMMYFUNCTION("""COMPUTED_VALUE""")," ")</f>
        <v> </v>
      </c>
      <c r="K1292" s="3" t="str">
        <f>IFERROR(__xludf.DUMMYFUNCTION("""COMPUTED_VALUE"""),"Y")</f>
        <v>Y</v>
      </c>
      <c r="L1292" s="3" t="str">
        <f>IFERROR(__xludf.DUMMYFUNCTION("""COMPUTED_VALUE"""),"Group 2")</f>
        <v>Group 2</v>
      </c>
      <c r="M1292" s="3"/>
      <c r="N1292" s="5" t="str">
        <f>IFERROR(__xludf.DUMMYFUNCTION("""COMPUTED_VALUE""")," ")</f>
        <v> </v>
      </c>
      <c r="O1292" s="5"/>
    </row>
    <row r="1293">
      <c r="A1293" s="2" t="str">
        <f>IFERROR(__xludf.DUMMYFUNCTION("""COMPUTED_VALUE"""),"1560")</f>
        <v>1560</v>
      </c>
      <c r="B1293" s="2" t="str">
        <f>IFERROR(__xludf.DUMMYFUNCTION("""COMPUTED_VALUE"""),"THOMPSON R2-J")</f>
        <v>THOMPSON R2-J</v>
      </c>
      <c r="C1293" s="2" t="str">
        <f>IFERROR(__xludf.DUMMYFUNCTION("""COMPUTED_VALUE"""),"02212")</f>
        <v>02212</v>
      </c>
      <c r="D1293" s="2" t="str">
        <f>IFERROR(__xludf.DUMMYFUNCTION("""COMPUTED_VALUE"""),"Berthoud Early Childhood")</f>
        <v>Berthoud Early Childhood</v>
      </c>
      <c r="E1293" s="3" t="str">
        <f>IFERROR(__xludf.DUMMYFUNCTION("""COMPUTED_VALUE"""),"Y")</f>
        <v>Y</v>
      </c>
      <c r="F1293" s="3" t="str">
        <f>IFERROR(__xludf.DUMMYFUNCTION("""COMPUTED_VALUE"""),"Y")</f>
        <v>Y</v>
      </c>
      <c r="G1293" s="3"/>
      <c r="H1293" s="3"/>
      <c r="I1293" s="3" t="str">
        <f>IFERROR(__xludf.DUMMYFUNCTION("""COMPUTED_VALUE""")," ")</f>
        <v> </v>
      </c>
      <c r="J1293" s="3" t="str">
        <f>IFERROR(__xludf.DUMMYFUNCTION("""COMPUTED_VALUE""")," ")</f>
        <v> </v>
      </c>
      <c r="K1293" s="3" t="str">
        <f>IFERROR(__xludf.DUMMYFUNCTION("""COMPUTED_VALUE"""),"Y")</f>
        <v>Y</v>
      </c>
      <c r="L1293" s="3" t="str">
        <f>IFERROR(__xludf.DUMMYFUNCTION("""COMPUTED_VALUE"""),"Group 4")</f>
        <v>Group 4</v>
      </c>
      <c r="M1293" s="3"/>
      <c r="N1293" s="5" t="str">
        <f>IFERROR(__xludf.DUMMYFUNCTION("""COMPUTED_VALUE""")," ")</f>
        <v> </v>
      </c>
      <c r="O1293" s="5"/>
    </row>
    <row r="1294">
      <c r="A1294" s="2" t="str">
        <f>IFERROR(__xludf.DUMMYFUNCTION("""COMPUTED_VALUE"""),"1560")</f>
        <v>1560</v>
      </c>
      <c r="B1294" s="2" t="str">
        <f>IFERROR(__xludf.DUMMYFUNCTION("""COMPUTED_VALUE"""),"THOMPSON R2-J")</f>
        <v>THOMPSON R2-J</v>
      </c>
      <c r="C1294" s="2" t="str">
        <f>IFERROR(__xludf.DUMMYFUNCTION("""COMPUTED_VALUE"""),"03320")</f>
        <v>03320</v>
      </c>
      <c r="D1294" s="2" t="str">
        <f>IFERROR(__xludf.DUMMYFUNCTION("""COMPUTED_VALUE"""),"GARFIELD ELEMENTARY SCHOOL")</f>
        <v>GARFIELD ELEMENTARY SCHOOL</v>
      </c>
      <c r="E1294" s="3" t="str">
        <f>IFERROR(__xludf.DUMMYFUNCTION("""COMPUTED_VALUE"""),"Y")</f>
        <v>Y</v>
      </c>
      <c r="F1294" s="3" t="str">
        <f>IFERROR(__xludf.DUMMYFUNCTION("""COMPUTED_VALUE"""),"Y")</f>
        <v>Y</v>
      </c>
      <c r="G1294" s="3"/>
      <c r="H1294" s="3"/>
      <c r="I1294" s="3" t="str">
        <f>IFERROR(__xludf.DUMMYFUNCTION("""COMPUTED_VALUE""")," ")</f>
        <v> </v>
      </c>
      <c r="J1294" s="3" t="str">
        <f>IFERROR(__xludf.DUMMYFUNCTION("""COMPUTED_VALUE""")," ")</f>
        <v> </v>
      </c>
      <c r="K1294" s="3" t="str">
        <f>IFERROR(__xludf.DUMMYFUNCTION("""COMPUTED_VALUE"""),"Y")</f>
        <v>Y</v>
      </c>
      <c r="L1294" s="3" t="str">
        <f>IFERROR(__xludf.DUMMYFUNCTION("""COMPUTED_VALUE"""),"Group 11")</f>
        <v>Group 11</v>
      </c>
      <c r="M1294" s="3"/>
      <c r="N1294" s="5" t="str">
        <f>IFERROR(__xludf.DUMMYFUNCTION("""COMPUTED_VALUE"""),"Y")</f>
        <v>Y</v>
      </c>
      <c r="O1294" s="5"/>
    </row>
    <row r="1295">
      <c r="A1295" s="2" t="str">
        <f>IFERROR(__xludf.DUMMYFUNCTION("""COMPUTED_VALUE"""),"1560")</f>
        <v>1560</v>
      </c>
      <c r="B1295" s="2" t="str">
        <f>IFERROR(__xludf.DUMMYFUNCTION("""COMPUTED_VALUE"""),"THOMPSON R2-J")</f>
        <v>THOMPSON R2-J</v>
      </c>
      <c r="C1295" s="2" t="str">
        <f>IFERROR(__xludf.DUMMYFUNCTION("""COMPUTED_VALUE"""),"03945")</f>
        <v>03945</v>
      </c>
      <c r="D1295" s="2" t="str">
        <f>IFERROR(__xludf.DUMMYFUNCTION("""COMPUTED_VALUE"""),"HIGH PLAINS SCHOOL")</f>
        <v>HIGH PLAINS SCHOOL</v>
      </c>
      <c r="E1295" s="3" t="str">
        <f>IFERROR(__xludf.DUMMYFUNCTION("""COMPUTED_VALUE"""),"Y")</f>
        <v>Y</v>
      </c>
      <c r="F1295" s="3" t="str">
        <f>IFERROR(__xludf.DUMMYFUNCTION("""COMPUTED_VALUE"""),"Y")</f>
        <v>Y</v>
      </c>
      <c r="G1295" s="3"/>
      <c r="H1295" s="3"/>
      <c r="I1295" s="3" t="str">
        <f>IFERROR(__xludf.DUMMYFUNCTION("""COMPUTED_VALUE""")," ")</f>
        <v> </v>
      </c>
      <c r="J1295" s="3" t="str">
        <f>IFERROR(__xludf.DUMMYFUNCTION("""COMPUTED_VALUE""")," ")</f>
        <v> </v>
      </c>
      <c r="K1295" s="3" t="str">
        <f>IFERROR(__xludf.DUMMYFUNCTION("""COMPUTED_VALUE"""),"Y")</f>
        <v>Y</v>
      </c>
      <c r="L1295" s="3" t="str">
        <f>IFERROR(__xludf.DUMMYFUNCTION("""COMPUTED_VALUE"""),"Group 10")</f>
        <v>Group 10</v>
      </c>
      <c r="M1295" s="3"/>
      <c r="N1295" s="5" t="str">
        <f>IFERROR(__xludf.DUMMYFUNCTION("""COMPUTED_VALUE""")," ")</f>
        <v> </v>
      </c>
      <c r="O1295" s="5"/>
    </row>
    <row r="1296">
      <c r="A1296" s="2" t="str">
        <f>IFERROR(__xludf.DUMMYFUNCTION("""COMPUTED_VALUE"""),"1560")</f>
        <v>1560</v>
      </c>
      <c r="B1296" s="2" t="str">
        <f>IFERROR(__xludf.DUMMYFUNCTION("""COMPUTED_VALUE"""),"THOMPSON R2-J")</f>
        <v>THOMPSON R2-J</v>
      </c>
      <c r="C1296" s="2" t="str">
        <f>IFERROR(__xludf.DUMMYFUNCTION("""COMPUTED_VALUE"""),"04332")</f>
        <v>04332</v>
      </c>
      <c r="D1296" s="2" t="str">
        <f>IFERROR(__xludf.DUMMYFUNCTION("""COMPUTED_VALUE"""),"IVY STOCKWELL ELEMENTARY SCHOOL")</f>
        <v>IVY STOCKWELL ELEMENTARY SCHOOL</v>
      </c>
      <c r="E1296" s="3" t="str">
        <f>IFERROR(__xludf.DUMMYFUNCTION("""COMPUTED_VALUE"""),"Y")</f>
        <v>Y</v>
      </c>
      <c r="F1296" s="3" t="str">
        <f>IFERROR(__xludf.DUMMYFUNCTION("""COMPUTED_VALUE"""),"Y")</f>
        <v>Y</v>
      </c>
      <c r="G1296" s="3"/>
      <c r="H1296" s="3"/>
      <c r="I1296" s="3" t="str">
        <f>IFERROR(__xludf.DUMMYFUNCTION("""COMPUTED_VALUE""")," ")</f>
        <v> </v>
      </c>
      <c r="J1296" s="3" t="str">
        <f>IFERROR(__xludf.DUMMYFUNCTION("""COMPUTED_VALUE""")," ")</f>
        <v> </v>
      </c>
      <c r="K1296" s="3" t="str">
        <f>IFERROR(__xludf.DUMMYFUNCTION("""COMPUTED_VALUE"""),"Y")</f>
        <v>Y</v>
      </c>
      <c r="L1296" s="3" t="str">
        <f>IFERROR(__xludf.DUMMYFUNCTION("""COMPUTED_VALUE"""),"Group 4")</f>
        <v>Group 4</v>
      </c>
      <c r="M1296" s="3"/>
      <c r="N1296" s="5" t="str">
        <f>IFERROR(__xludf.DUMMYFUNCTION("""COMPUTED_VALUE""")," ")</f>
        <v> </v>
      </c>
      <c r="O1296" s="5"/>
    </row>
    <row r="1297">
      <c r="A1297" s="2" t="str">
        <f>IFERROR(__xludf.DUMMYFUNCTION("""COMPUTED_VALUE"""),"1560")</f>
        <v>1560</v>
      </c>
      <c r="B1297" s="2" t="str">
        <f>IFERROR(__xludf.DUMMYFUNCTION("""COMPUTED_VALUE"""),"THOMPSON R2-J")</f>
        <v>THOMPSON R2-J</v>
      </c>
      <c r="C1297" s="2" t="str">
        <f>IFERROR(__xludf.DUMMYFUNCTION("""COMPUTED_VALUE"""),"05018")</f>
        <v>05018</v>
      </c>
      <c r="D1297" s="2" t="str">
        <f>IFERROR(__xludf.DUMMYFUNCTION("""COMPUTED_VALUE"""),"LAURENE EDMONDSON ELEMENTARY SCHOOL")</f>
        <v>LAURENE EDMONDSON ELEMENTARY SCHOOL</v>
      </c>
      <c r="E1297" s="3" t="str">
        <f>IFERROR(__xludf.DUMMYFUNCTION("""COMPUTED_VALUE"""),"Y")</f>
        <v>Y</v>
      </c>
      <c r="F1297" s="3" t="str">
        <f>IFERROR(__xludf.DUMMYFUNCTION("""COMPUTED_VALUE"""),"Y")</f>
        <v>Y</v>
      </c>
      <c r="G1297" s="3"/>
      <c r="H1297" s="3"/>
      <c r="I1297" s="3" t="str">
        <f>IFERROR(__xludf.DUMMYFUNCTION("""COMPUTED_VALUE""")," ")</f>
        <v> </v>
      </c>
      <c r="J1297" s="3" t="str">
        <f>IFERROR(__xludf.DUMMYFUNCTION("""COMPUTED_VALUE""")," ")</f>
        <v> </v>
      </c>
      <c r="K1297" s="3" t="str">
        <f>IFERROR(__xludf.DUMMYFUNCTION("""COMPUTED_VALUE"""),"Y")</f>
        <v>Y</v>
      </c>
      <c r="L1297" s="3" t="str">
        <f>IFERROR(__xludf.DUMMYFUNCTION("""COMPUTED_VALUE"""),"Group 11")</f>
        <v>Group 11</v>
      </c>
      <c r="M1297" s="3"/>
      <c r="N1297" s="5" t="str">
        <f>IFERROR(__xludf.DUMMYFUNCTION("""COMPUTED_VALUE""")," ")</f>
        <v> </v>
      </c>
      <c r="O1297" s="5"/>
    </row>
    <row r="1298">
      <c r="A1298" s="2" t="str">
        <f>IFERROR(__xludf.DUMMYFUNCTION("""COMPUTED_VALUE"""),"1560")</f>
        <v>1560</v>
      </c>
      <c r="B1298" s="2" t="str">
        <f>IFERROR(__xludf.DUMMYFUNCTION("""COMPUTED_VALUE"""),"THOMPSON R2-J")</f>
        <v>THOMPSON R2-J</v>
      </c>
      <c r="C1298" s="2" t="str">
        <f>IFERROR(__xludf.DUMMYFUNCTION("""COMPUTED_VALUE"""),"05170")</f>
        <v>05170</v>
      </c>
      <c r="D1298" s="2" t="str">
        <f>IFERROR(__xludf.DUMMYFUNCTION("""COMPUTED_VALUE"""),"LINCOLN ELEMENTARY SCHOOL")</f>
        <v>LINCOLN ELEMENTARY SCHOOL</v>
      </c>
      <c r="E1298" s="3" t="str">
        <f>IFERROR(__xludf.DUMMYFUNCTION("""COMPUTED_VALUE"""),"Y")</f>
        <v>Y</v>
      </c>
      <c r="F1298" s="3" t="str">
        <f>IFERROR(__xludf.DUMMYFUNCTION("""COMPUTED_VALUE"""),"Y")</f>
        <v>Y</v>
      </c>
      <c r="G1298" s="3"/>
      <c r="H1298" s="3"/>
      <c r="I1298" s="3" t="str">
        <f>IFERROR(__xludf.DUMMYFUNCTION("""COMPUTED_VALUE""")," ")</f>
        <v> </v>
      </c>
      <c r="J1298" s="3" t="str">
        <f>IFERROR(__xludf.DUMMYFUNCTION("""COMPUTED_VALUE""")," ")</f>
        <v> </v>
      </c>
      <c r="K1298" s="3" t="str">
        <f>IFERROR(__xludf.DUMMYFUNCTION("""COMPUTED_VALUE"""),"Y")</f>
        <v>Y</v>
      </c>
      <c r="L1298" s="3" t="str">
        <f>IFERROR(__xludf.DUMMYFUNCTION("""COMPUTED_VALUE"""),"Group 3")</f>
        <v>Group 3</v>
      </c>
      <c r="M1298" s="3"/>
      <c r="N1298" s="5" t="str">
        <f>IFERROR(__xludf.DUMMYFUNCTION("""COMPUTED_VALUE"""),"Y")</f>
        <v>Y</v>
      </c>
      <c r="O1298" s="5"/>
    </row>
    <row r="1299">
      <c r="A1299" s="2" t="str">
        <f>IFERROR(__xludf.DUMMYFUNCTION("""COMPUTED_VALUE"""),"1560")</f>
        <v>1560</v>
      </c>
      <c r="B1299" s="2" t="str">
        <f>IFERROR(__xludf.DUMMYFUNCTION("""COMPUTED_VALUE"""),"THOMPSON R2-J")</f>
        <v>THOMPSON R2-J</v>
      </c>
      <c r="C1299" s="2" t="str">
        <f>IFERROR(__xludf.DUMMYFUNCTION("""COMPUTED_VALUE"""),"05235")</f>
        <v>05235</v>
      </c>
      <c r="D1299" s="2" t="str">
        <f>IFERROR(__xludf.DUMMYFUNCTION("""COMPUTED_VALUE"""),"Loveland Classical Charter School")</f>
        <v>Loveland Classical Charter School</v>
      </c>
      <c r="E1299" s="3"/>
      <c r="F1299" s="3" t="str">
        <f>IFERROR(__xludf.DUMMYFUNCTION("""COMPUTED_VALUE"""),"Y")</f>
        <v>Y</v>
      </c>
      <c r="G1299" s="3"/>
      <c r="H1299" s="3"/>
      <c r="I1299" s="3" t="str">
        <f>IFERROR(__xludf.DUMMYFUNCTION("""COMPUTED_VALUE""")," ")</f>
        <v> </v>
      </c>
      <c r="J1299" s="3" t="str">
        <f>IFERROR(__xludf.DUMMYFUNCTION("""COMPUTED_VALUE""")," ")</f>
        <v> </v>
      </c>
      <c r="K1299" s="3" t="str">
        <f>IFERROR(__xludf.DUMMYFUNCTION("""COMPUTED_VALUE"""),"Y")</f>
        <v>Y</v>
      </c>
      <c r="L1299" s="3" t="str">
        <f>IFERROR(__xludf.DUMMYFUNCTION("""COMPUTED_VALUE""")," ")</f>
        <v> </v>
      </c>
      <c r="M1299" s="3"/>
      <c r="N1299" s="5" t="str">
        <f>IFERROR(__xludf.DUMMYFUNCTION("""COMPUTED_VALUE""")," ")</f>
        <v> </v>
      </c>
      <c r="O1299" s="5"/>
    </row>
    <row r="1300">
      <c r="A1300" s="2" t="str">
        <f>IFERROR(__xludf.DUMMYFUNCTION("""COMPUTED_VALUE"""),"1560")</f>
        <v>1560</v>
      </c>
      <c r="B1300" s="2" t="str">
        <f>IFERROR(__xludf.DUMMYFUNCTION("""COMPUTED_VALUE"""),"THOMPSON R2-J")</f>
        <v>THOMPSON R2-J</v>
      </c>
      <c r="C1300" s="2" t="str">
        <f>IFERROR(__xludf.DUMMYFUNCTION("""COMPUTED_VALUE"""),"05312")</f>
        <v>05312</v>
      </c>
      <c r="D1300" s="2" t="str">
        <f>IFERROR(__xludf.DUMMYFUNCTION("""COMPUTED_VALUE"""),"BILL REED MIDDLE SCHOOL")</f>
        <v>BILL REED MIDDLE SCHOOL</v>
      </c>
      <c r="E1300" s="3" t="str">
        <f>IFERROR(__xludf.DUMMYFUNCTION("""COMPUTED_VALUE"""),"Y")</f>
        <v>Y</v>
      </c>
      <c r="F1300" s="3" t="str">
        <f>IFERROR(__xludf.DUMMYFUNCTION("""COMPUTED_VALUE"""),"Y")</f>
        <v>Y</v>
      </c>
      <c r="G1300" s="3"/>
      <c r="H1300" s="3"/>
      <c r="I1300" s="3" t="str">
        <f>IFERROR(__xludf.DUMMYFUNCTION("""COMPUTED_VALUE""")," ")</f>
        <v> </v>
      </c>
      <c r="J1300" s="3" t="str">
        <f>IFERROR(__xludf.DUMMYFUNCTION("""COMPUTED_VALUE""")," ")</f>
        <v> </v>
      </c>
      <c r="K1300" s="3" t="str">
        <f>IFERROR(__xludf.DUMMYFUNCTION("""COMPUTED_VALUE"""),"Y")</f>
        <v>Y</v>
      </c>
      <c r="L1300" s="3" t="str">
        <f>IFERROR(__xludf.DUMMYFUNCTION("""COMPUTED_VALUE"""),"Group 9")</f>
        <v>Group 9</v>
      </c>
      <c r="M1300" s="3"/>
      <c r="N1300" s="5" t="str">
        <f>IFERROR(__xludf.DUMMYFUNCTION("""COMPUTED_VALUE"""),"Y")</f>
        <v>Y</v>
      </c>
      <c r="O1300" s="5"/>
    </row>
    <row r="1301">
      <c r="A1301" s="2" t="str">
        <f>IFERROR(__xludf.DUMMYFUNCTION("""COMPUTED_VALUE"""),"1560")</f>
        <v>1560</v>
      </c>
      <c r="B1301" s="2" t="str">
        <f>IFERROR(__xludf.DUMMYFUNCTION("""COMPUTED_VALUE"""),"THOMPSON R2-J")</f>
        <v>THOMPSON R2-J</v>
      </c>
      <c r="C1301" s="2" t="str">
        <f>IFERROR(__xludf.DUMMYFUNCTION("""COMPUTED_VALUE"""),"05316")</f>
        <v>05316</v>
      </c>
      <c r="D1301" s="2" t="str">
        <f>IFERROR(__xludf.DUMMYFUNCTION("""COMPUTED_VALUE"""),"LOVELAND HIGH SCHOOL")</f>
        <v>LOVELAND HIGH SCHOOL</v>
      </c>
      <c r="E1301" s="3" t="str">
        <f>IFERROR(__xludf.DUMMYFUNCTION("""COMPUTED_VALUE"""),"Y")</f>
        <v>Y</v>
      </c>
      <c r="F1301" s="3" t="str">
        <f>IFERROR(__xludf.DUMMYFUNCTION("""COMPUTED_VALUE"""),"Y")</f>
        <v>Y</v>
      </c>
      <c r="G1301" s="3"/>
      <c r="H1301" s="3"/>
      <c r="I1301" s="3" t="str">
        <f>IFERROR(__xludf.DUMMYFUNCTION("""COMPUTED_VALUE""")," ")</f>
        <v> </v>
      </c>
      <c r="J1301" s="3" t="str">
        <f>IFERROR(__xludf.DUMMYFUNCTION("""COMPUTED_VALUE""")," ")</f>
        <v> </v>
      </c>
      <c r="K1301" s="3" t="str">
        <f>IFERROR(__xludf.DUMMYFUNCTION("""COMPUTED_VALUE"""),"Y")</f>
        <v>Y</v>
      </c>
      <c r="L1301" s="3" t="str">
        <f>IFERROR(__xludf.DUMMYFUNCTION("""COMPUTED_VALUE"""),"Group 7")</f>
        <v>Group 7</v>
      </c>
      <c r="M1301" s="3"/>
      <c r="N1301" s="5" t="str">
        <f>IFERROR(__xludf.DUMMYFUNCTION("""COMPUTED_VALUE""")," ")</f>
        <v> </v>
      </c>
      <c r="O1301" s="5"/>
    </row>
    <row r="1302">
      <c r="A1302" s="2" t="str">
        <f>IFERROR(__xludf.DUMMYFUNCTION("""COMPUTED_VALUE"""),"1560")</f>
        <v>1560</v>
      </c>
      <c r="B1302" s="2" t="str">
        <f>IFERROR(__xludf.DUMMYFUNCTION("""COMPUTED_VALUE"""),"THOMPSON R2-J")</f>
        <v>THOMPSON R2-J</v>
      </c>
      <c r="C1302" s="2" t="str">
        <f>IFERROR(__xludf.DUMMYFUNCTION("""COMPUTED_VALUE"""),"05335")</f>
        <v>05335</v>
      </c>
      <c r="D1302" s="2" t="str">
        <f>IFERROR(__xludf.DUMMYFUNCTION("""COMPUTED_VALUE"""),"LUCILE ERWIN MIDDLE SCHOOL")</f>
        <v>LUCILE ERWIN MIDDLE SCHOOL</v>
      </c>
      <c r="E1302" s="3" t="str">
        <f>IFERROR(__xludf.DUMMYFUNCTION("""COMPUTED_VALUE"""),"Y")</f>
        <v>Y</v>
      </c>
      <c r="F1302" s="3" t="str">
        <f>IFERROR(__xludf.DUMMYFUNCTION("""COMPUTED_VALUE"""),"Y")</f>
        <v>Y</v>
      </c>
      <c r="G1302" s="3"/>
      <c r="H1302" s="3"/>
      <c r="I1302" s="3" t="str">
        <f>IFERROR(__xludf.DUMMYFUNCTION("""COMPUTED_VALUE""")," ")</f>
        <v> </v>
      </c>
      <c r="J1302" s="3" t="str">
        <f>IFERROR(__xludf.DUMMYFUNCTION("""COMPUTED_VALUE""")," ")</f>
        <v> </v>
      </c>
      <c r="K1302" s="3" t="str">
        <f>IFERROR(__xludf.DUMMYFUNCTION("""COMPUTED_VALUE"""),"Y")</f>
        <v>Y</v>
      </c>
      <c r="L1302" s="3" t="str">
        <f>IFERROR(__xludf.DUMMYFUNCTION("""COMPUTED_VALUE"""),"Group 2")</f>
        <v>Group 2</v>
      </c>
      <c r="M1302" s="3"/>
      <c r="N1302" s="5" t="str">
        <f>IFERROR(__xludf.DUMMYFUNCTION("""COMPUTED_VALUE""")," ")</f>
        <v> </v>
      </c>
      <c r="O1302" s="5"/>
    </row>
    <row r="1303">
      <c r="A1303" s="2" t="str">
        <f>IFERROR(__xludf.DUMMYFUNCTION("""COMPUTED_VALUE"""),"1560")</f>
        <v>1560</v>
      </c>
      <c r="B1303" s="2" t="str">
        <f>IFERROR(__xludf.DUMMYFUNCTION("""COMPUTED_VALUE"""),"THOMPSON R2-J")</f>
        <v>THOMPSON R2-J</v>
      </c>
      <c r="C1303" s="2" t="str">
        <f>IFERROR(__xludf.DUMMYFUNCTION("""COMPUTED_VALUE"""),"05393")</f>
        <v>05393</v>
      </c>
      <c r="D1303" s="2" t="str">
        <f>IFERROR(__xludf.DUMMYFUNCTION("""COMPUTED_VALUE"""),"EARLY CHILDHOOD EDUCATION AT STANSBERRY")</f>
        <v>EARLY CHILDHOOD EDUCATION AT STANSBERRY</v>
      </c>
      <c r="E1303" s="3" t="str">
        <f>IFERROR(__xludf.DUMMYFUNCTION("""COMPUTED_VALUE"""),"Y")</f>
        <v>Y</v>
      </c>
      <c r="F1303" s="3" t="str">
        <f>IFERROR(__xludf.DUMMYFUNCTION("""COMPUTED_VALUE"""),"Y")</f>
        <v>Y</v>
      </c>
      <c r="G1303" s="3"/>
      <c r="H1303" s="3"/>
      <c r="I1303" s="3" t="str">
        <f>IFERROR(__xludf.DUMMYFUNCTION("""COMPUTED_VALUE""")," ")</f>
        <v> </v>
      </c>
      <c r="J1303" s="3" t="str">
        <f>IFERROR(__xludf.DUMMYFUNCTION("""COMPUTED_VALUE""")," ")</f>
        <v> </v>
      </c>
      <c r="K1303" s="3" t="str">
        <f>IFERROR(__xludf.DUMMYFUNCTION("""COMPUTED_VALUE"""),"Y")</f>
        <v>Y</v>
      </c>
      <c r="L1303" s="3" t="str">
        <f>IFERROR(__xludf.DUMMYFUNCTION("""COMPUTED_VALUE""")," ")</f>
        <v> </v>
      </c>
      <c r="M1303" s="3"/>
      <c r="N1303" s="5" t="str">
        <f>IFERROR(__xludf.DUMMYFUNCTION("""COMPUTED_VALUE"""),"Y")</f>
        <v>Y</v>
      </c>
      <c r="O1303" s="5"/>
    </row>
    <row r="1304">
      <c r="A1304" s="2" t="str">
        <f>IFERROR(__xludf.DUMMYFUNCTION("""COMPUTED_VALUE"""),"1560")</f>
        <v>1560</v>
      </c>
      <c r="B1304" s="2" t="str">
        <f>IFERROR(__xludf.DUMMYFUNCTION("""COMPUTED_VALUE"""),"THOMPSON R2-J")</f>
        <v>THOMPSON R2-J</v>
      </c>
      <c r="C1304" s="2" t="str">
        <f>IFERROR(__xludf.DUMMYFUNCTION("""COMPUTED_VALUE"""),"06163")</f>
        <v>06163</v>
      </c>
      <c r="D1304" s="2" t="str">
        <f>IFERROR(__xludf.DUMMYFUNCTION("""COMPUTED_VALUE"""),"MOUNTAIN VIEW HIGH SCHOOL")</f>
        <v>MOUNTAIN VIEW HIGH SCHOOL</v>
      </c>
      <c r="E1304" s="3" t="str">
        <f>IFERROR(__xludf.DUMMYFUNCTION("""COMPUTED_VALUE"""),"Y")</f>
        <v>Y</v>
      </c>
      <c r="F1304" s="3" t="str">
        <f>IFERROR(__xludf.DUMMYFUNCTION("""COMPUTED_VALUE"""),"Y")</f>
        <v>Y</v>
      </c>
      <c r="G1304" s="3"/>
      <c r="H1304" s="3"/>
      <c r="I1304" s="3" t="str">
        <f>IFERROR(__xludf.DUMMYFUNCTION("""COMPUTED_VALUE""")," ")</f>
        <v> </v>
      </c>
      <c r="J1304" s="3" t="str">
        <f>IFERROR(__xludf.DUMMYFUNCTION("""COMPUTED_VALUE""")," ")</f>
        <v> </v>
      </c>
      <c r="K1304" s="3" t="str">
        <f>IFERROR(__xludf.DUMMYFUNCTION("""COMPUTED_VALUE"""),"Y")</f>
        <v>Y</v>
      </c>
      <c r="L1304" s="3" t="str">
        <f>IFERROR(__xludf.DUMMYFUNCTION("""COMPUTED_VALUE"""),"Group 4")</f>
        <v>Group 4</v>
      </c>
      <c r="M1304" s="3"/>
      <c r="N1304" s="5" t="str">
        <f>IFERROR(__xludf.DUMMYFUNCTION("""COMPUTED_VALUE""")," ")</f>
        <v> </v>
      </c>
      <c r="O1304" s="5"/>
    </row>
    <row r="1305">
      <c r="A1305" s="2" t="str">
        <f>IFERROR(__xludf.DUMMYFUNCTION("""COMPUTED_VALUE"""),"1560")</f>
        <v>1560</v>
      </c>
      <c r="B1305" s="2" t="str">
        <f>IFERROR(__xludf.DUMMYFUNCTION("""COMPUTED_VALUE"""),"THOMPSON R2-J")</f>
        <v>THOMPSON R2-J</v>
      </c>
      <c r="C1305" s="2" t="str">
        <f>IFERROR(__xludf.DUMMYFUNCTION("""COMPUTED_VALUE"""),"06194")</f>
        <v>06194</v>
      </c>
      <c r="D1305" s="2" t="str">
        <f>IFERROR(__xludf.DUMMYFUNCTION("""COMPUTED_VALUE"""),"NAMAQUA ELEMENTARY SCHOOL")</f>
        <v>NAMAQUA ELEMENTARY SCHOOL</v>
      </c>
      <c r="E1305" s="3" t="str">
        <f>IFERROR(__xludf.DUMMYFUNCTION("""COMPUTED_VALUE"""),"Y")</f>
        <v>Y</v>
      </c>
      <c r="F1305" s="3" t="str">
        <f>IFERROR(__xludf.DUMMYFUNCTION("""COMPUTED_VALUE"""),"Y")</f>
        <v>Y</v>
      </c>
      <c r="G1305" s="3"/>
      <c r="H1305" s="3"/>
      <c r="I1305" s="3" t="str">
        <f>IFERROR(__xludf.DUMMYFUNCTION("""COMPUTED_VALUE""")," ")</f>
        <v> </v>
      </c>
      <c r="J1305" s="3" t="str">
        <f>IFERROR(__xludf.DUMMYFUNCTION("""COMPUTED_VALUE""")," ")</f>
        <v> </v>
      </c>
      <c r="K1305" s="3" t="str">
        <f>IFERROR(__xludf.DUMMYFUNCTION("""COMPUTED_VALUE"""),"Y")</f>
        <v>Y</v>
      </c>
      <c r="L1305" s="3" t="str">
        <f>IFERROR(__xludf.DUMMYFUNCTION("""COMPUTED_VALUE"""),"Group 5")</f>
        <v>Group 5</v>
      </c>
      <c r="M1305" s="3"/>
      <c r="N1305" s="5" t="str">
        <f>IFERROR(__xludf.DUMMYFUNCTION("""COMPUTED_VALUE""")," ")</f>
        <v> </v>
      </c>
      <c r="O1305" s="5"/>
    </row>
    <row r="1306">
      <c r="A1306" s="2" t="str">
        <f>IFERROR(__xludf.DUMMYFUNCTION("""COMPUTED_VALUE"""),"1560")</f>
        <v>1560</v>
      </c>
      <c r="B1306" s="2" t="str">
        <f>IFERROR(__xludf.DUMMYFUNCTION("""COMPUTED_VALUE"""),"THOMPSON R2-J")</f>
        <v>THOMPSON R2-J</v>
      </c>
      <c r="C1306" s="2" t="str">
        <f>IFERROR(__xludf.DUMMYFUNCTION("""COMPUTED_VALUE"""),"06220")</f>
        <v>06220</v>
      </c>
      <c r="D1306" s="2" t="str">
        <f>IFERROR(__xludf.DUMMYFUNCTION("""COMPUTED_VALUE"""),"NEW VISION CHARTER SCHOOL")</f>
        <v>NEW VISION CHARTER SCHOOL</v>
      </c>
      <c r="E1306" s="3" t="str">
        <f>IFERROR(__xludf.DUMMYFUNCTION("""COMPUTED_VALUE"""),"Y")</f>
        <v>Y</v>
      </c>
      <c r="F1306" s="3" t="str">
        <f>IFERROR(__xludf.DUMMYFUNCTION("""COMPUTED_VALUE"""),"Y")</f>
        <v>Y</v>
      </c>
      <c r="G1306" s="3"/>
      <c r="H1306" s="3"/>
      <c r="I1306" s="3" t="str">
        <f>IFERROR(__xludf.DUMMYFUNCTION("""COMPUTED_VALUE""")," ")</f>
        <v> </v>
      </c>
      <c r="J1306" s="3" t="str">
        <f>IFERROR(__xludf.DUMMYFUNCTION("""COMPUTED_VALUE""")," ")</f>
        <v> </v>
      </c>
      <c r="K1306" s="3" t="str">
        <f>IFERROR(__xludf.DUMMYFUNCTION("""COMPUTED_VALUE"""),"Y")</f>
        <v>Y</v>
      </c>
      <c r="L1306" s="3" t="str">
        <f>IFERROR(__xludf.DUMMYFUNCTION("""COMPUTED_VALUE"""),"Group 7")</f>
        <v>Group 7</v>
      </c>
      <c r="M1306" s="3"/>
      <c r="N1306" s="5" t="str">
        <f>IFERROR(__xludf.DUMMYFUNCTION("""COMPUTED_VALUE""")," ")</f>
        <v> </v>
      </c>
      <c r="O1306" s="5"/>
    </row>
    <row r="1307">
      <c r="A1307" s="2" t="str">
        <f>IFERROR(__xludf.DUMMYFUNCTION("""COMPUTED_VALUE"""),"1560")</f>
        <v>1560</v>
      </c>
      <c r="B1307" s="2" t="str">
        <f>IFERROR(__xludf.DUMMYFUNCTION("""COMPUTED_VALUE"""),"THOMPSON R2-J")</f>
        <v>THOMPSON R2-J</v>
      </c>
      <c r="C1307" s="2" t="str">
        <f>IFERROR(__xludf.DUMMYFUNCTION("""COMPUTED_VALUE"""),"07113")</f>
        <v>07113</v>
      </c>
      <c r="D1307" s="2" t="str">
        <f>IFERROR(__xludf.DUMMYFUNCTION("""COMPUTED_VALUE"""),"PONDEROSA ELEMENTARY")</f>
        <v>PONDEROSA ELEMENTARY</v>
      </c>
      <c r="E1307" s="3" t="str">
        <f>IFERROR(__xludf.DUMMYFUNCTION("""COMPUTED_VALUE"""),"Y")</f>
        <v>Y</v>
      </c>
      <c r="F1307" s="3" t="str">
        <f>IFERROR(__xludf.DUMMYFUNCTION("""COMPUTED_VALUE"""),"Y")</f>
        <v>Y</v>
      </c>
      <c r="G1307" s="3"/>
      <c r="H1307" s="3"/>
      <c r="I1307" s="3" t="str">
        <f>IFERROR(__xludf.DUMMYFUNCTION("""COMPUTED_VALUE""")," ")</f>
        <v> </v>
      </c>
      <c r="J1307" s="3" t="str">
        <f>IFERROR(__xludf.DUMMYFUNCTION("""COMPUTED_VALUE""")," ")</f>
        <v> </v>
      </c>
      <c r="K1307" s="3" t="str">
        <f>IFERROR(__xludf.DUMMYFUNCTION("""COMPUTED_VALUE"""),"Y")</f>
        <v>Y</v>
      </c>
      <c r="L1307" s="3" t="str">
        <f>IFERROR(__xludf.DUMMYFUNCTION("""COMPUTED_VALUE"""),"Group 4")</f>
        <v>Group 4</v>
      </c>
      <c r="M1307" s="3"/>
      <c r="N1307" s="5" t="str">
        <f>IFERROR(__xludf.DUMMYFUNCTION("""COMPUTED_VALUE""")," ")</f>
        <v> </v>
      </c>
      <c r="O1307" s="5"/>
    </row>
    <row r="1308">
      <c r="A1308" s="2" t="str">
        <f>IFERROR(__xludf.DUMMYFUNCTION("""COMPUTED_VALUE"""),"1560")</f>
        <v>1560</v>
      </c>
      <c r="B1308" s="2" t="str">
        <f>IFERROR(__xludf.DUMMYFUNCTION("""COMPUTED_VALUE"""),"THOMPSON R2-J")</f>
        <v>THOMPSON R2-J</v>
      </c>
      <c r="C1308" s="2" t="str">
        <f>IFERROR(__xludf.DUMMYFUNCTION("""COMPUTED_VALUE"""),"07640")</f>
        <v>07640</v>
      </c>
      <c r="D1308" s="2" t="str">
        <f>IFERROR(__xludf.DUMMYFUNCTION("""COMPUTED_VALUE"""),"SARAH MILNER ELEMENTARY SCHOOL")</f>
        <v>SARAH MILNER ELEMENTARY SCHOOL</v>
      </c>
      <c r="E1308" s="3" t="str">
        <f>IFERROR(__xludf.DUMMYFUNCTION("""COMPUTED_VALUE"""),"Y")</f>
        <v>Y</v>
      </c>
      <c r="F1308" s="3" t="str">
        <f>IFERROR(__xludf.DUMMYFUNCTION("""COMPUTED_VALUE"""),"Y")</f>
        <v>Y</v>
      </c>
      <c r="G1308" s="3"/>
      <c r="H1308" s="3"/>
      <c r="I1308" s="3" t="str">
        <f>IFERROR(__xludf.DUMMYFUNCTION("""COMPUTED_VALUE""")," ")</f>
        <v> </v>
      </c>
      <c r="J1308" s="3" t="str">
        <f>IFERROR(__xludf.DUMMYFUNCTION("""COMPUTED_VALUE"""),"Y")</f>
        <v>Y</v>
      </c>
      <c r="K1308" s="3" t="str">
        <f>IFERROR(__xludf.DUMMYFUNCTION("""COMPUTED_VALUE"""),"Y")</f>
        <v>Y</v>
      </c>
      <c r="L1308" s="3" t="str">
        <f>IFERROR(__xludf.DUMMYFUNCTION("""COMPUTED_VALUE"""),"Group 11")</f>
        <v>Group 11</v>
      </c>
      <c r="M1308" s="3"/>
      <c r="N1308" s="5" t="str">
        <f>IFERROR(__xludf.DUMMYFUNCTION("""COMPUTED_VALUE""")," ")</f>
        <v> </v>
      </c>
      <c r="O1308" s="5"/>
    </row>
    <row r="1309">
      <c r="A1309" s="2" t="str">
        <f>IFERROR(__xludf.DUMMYFUNCTION("""COMPUTED_VALUE"""),"1560")</f>
        <v>1560</v>
      </c>
      <c r="B1309" s="2" t="str">
        <f>IFERROR(__xludf.DUMMYFUNCTION("""COMPUTED_VALUE"""),"THOMPSON R2-J")</f>
        <v>THOMPSON R2-J</v>
      </c>
      <c r="C1309" s="2" t="str">
        <f>IFERROR(__xludf.DUMMYFUNCTION("""COMPUTED_VALUE"""),"08824")</f>
        <v>08824</v>
      </c>
      <c r="D1309" s="2" t="str">
        <f>IFERROR(__xludf.DUMMYFUNCTION("""COMPUTED_VALUE"""),"THOMPSON VALLEY HIGH SCHOOL")</f>
        <v>THOMPSON VALLEY HIGH SCHOOL</v>
      </c>
      <c r="E1309" s="3" t="str">
        <f>IFERROR(__xludf.DUMMYFUNCTION("""COMPUTED_VALUE"""),"Y")</f>
        <v>Y</v>
      </c>
      <c r="F1309" s="3" t="str">
        <f>IFERROR(__xludf.DUMMYFUNCTION("""COMPUTED_VALUE"""),"Y")</f>
        <v>Y</v>
      </c>
      <c r="G1309" s="3"/>
      <c r="H1309" s="3"/>
      <c r="I1309" s="3" t="str">
        <f>IFERROR(__xludf.DUMMYFUNCTION("""COMPUTED_VALUE""")," ")</f>
        <v> </v>
      </c>
      <c r="J1309" s="3" t="str">
        <f>IFERROR(__xludf.DUMMYFUNCTION("""COMPUTED_VALUE""")," ")</f>
        <v> </v>
      </c>
      <c r="K1309" s="3" t="str">
        <f>IFERROR(__xludf.DUMMYFUNCTION("""COMPUTED_VALUE"""),"Y")</f>
        <v>Y</v>
      </c>
      <c r="L1309" s="3" t="str">
        <f>IFERROR(__xludf.DUMMYFUNCTION("""COMPUTED_VALUE"""),"Group 1")</f>
        <v>Group 1</v>
      </c>
      <c r="M1309" s="3"/>
      <c r="N1309" s="5" t="str">
        <f>IFERROR(__xludf.DUMMYFUNCTION("""COMPUTED_VALUE""")," ")</f>
        <v> </v>
      </c>
      <c r="O1309" s="5"/>
    </row>
    <row r="1310">
      <c r="A1310" s="2" t="str">
        <f>IFERROR(__xludf.DUMMYFUNCTION("""COMPUTED_VALUE"""),"1560")</f>
        <v>1560</v>
      </c>
      <c r="B1310" s="2" t="str">
        <f>IFERROR(__xludf.DUMMYFUNCTION("""COMPUTED_VALUE"""),"THOMPSON R2-J")</f>
        <v>THOMPSON R2-J</v>
      </c>
      <c r="C1310" s="2" t="str">
        <f>IFERROR(__xludf.DUMMYFUNCTION("""COMPUTED_VALUE"""),"08918")</f>
        <v>08918</v>
      </c>
      <c r="D1310" s="2" t="str">
        <f>IFERROR(__xludf.DUMMYFUNCTION("""COMPUTED_VALUE"""),"TRUSCOTT ELEMENTARY SCHOOL")</f>
        <v>TRUSCOTT ELEMENTARY SCHOOL</v>
      </c>
      <c r="E1310" s="3" t="str">
        <f>IFERROR(__xludf.DUMMYFUNCTION("""COMPUTED_VALUE"""),"Y")</f>
        <v>Y</v>
      </c>
      <c r="F1310" s="3" t="str">
        <f>IFERROR(__xludf.DUMMYFUNCTION("""COMPUTED_VALUE"""),"Y")</f>
        <v>Y</v>
      </c>
      <c r="G1310" s="3"/>
      <c r="H1310" s="3"/>
      <c r="I1310" s="3" t="str">
        <f>IFERROR(__xludf.DUMMYFUNCTION("""COMPUTED_VALUE""")," ")</f>
        <v> </v>
      </c>
      <c r="J1310" s="3" t="str">
        <f>IFERROR(__xludf.DUMMYFUNCTION("""COMPUTED_VALUE""")," ")</f>
        <v> </v>
      </c>
      <c r="K1310" s="3" t="str">
        <f>IFERROR(__xludf.DUMMYFUNCTION("""COMPUTED_VALUE"""),"Y")</f>
        <v>Y</v>
      </c>
      <c r="L1310" s="3" t="str">
        <f>IFERROR(__xludf.DUMMYFUNCTION("""COMPUTED_VALUE"""),"Group 12")</f>
        <v>Group 12</v>
      </c>
      <c r="M1310" s="3"/>
      <c r="N1310" s="5" t="str">
        <f>IFERROR(__xludf.DUMMYFUNCTION("""COMPUTED_VALUE""")," ")</f>
        <v> </v>
      </c>
      <c r="O1310" s="5"/>
    </row>
    <row r="1311">
      <c r="A1311" s="2" t="str">
        <f>IFERROR(__xludf.DUMMYFUNCTION("""COMPUTED_VALUE"""),"1560")</f>
        <v>1560</v>
      </c>
      <c r="B1311" s="2" t="str">
        <f>IFERROR(__xludf.DUMMYFUNCTION("""COMPUTED_VALUE"""),"THOMPSON R2-J")</f>
        <v>THOMPSON R2-J</v>
      </c>
      <c r="C1311" s="2" t="str">
        <f>IFERROR(__xludf.DUMMYFUNCTION("""COMPUTED_VALUE"""),"08925")</f>
        <v>08925</v>
      </c>
      <c r="D1311" s="2" t="str">
        <f>IFERROR(__xludf.DUMMYFUNCTION("""COMPUTED_VALUE"""),"TURNER MIDDLE SCHOOL")</f>
        <v>TURNER MIDDLE SCHOOL</v>
      </c>
      <c r="E1311" s="3" t="str">
        <f>IFERROR(__xludf.DUMMYFUNCTION("""COMPUTED_VALUE"""),"Y")</f>
        <v>Y</v>
      </c>
      <c r="F1311" s="3" t="str">
        <f>IFERROR(__xludf.DUMMYFUNCTION("""COMPUTED_VALUE"""),"Y")</f>
        <v>Y</v>
      </c>
      <c r="G1311" s="3"/>
      <c r="H1311" s="3"/>
      <c r="I1311" s="3" t="str">
        <f>IFERROR(__xludf.DUMMYFUNCTION("""COMPUTED_VALUE""")," ")</f>
        <v> </v>
      </c>
      <c r="J1311" s="3" t="str">
        <f>IFERROR(__xludf.DUMMYFUNCTION("""COMPUTED_VALUE""")," ")</f>
        <v> </v>
      </c>
      <c r="K1311" s="3" t="str">
        <f>IFERROR(__xludf.DUMMYFUNCTION("""COMPUTED_VALUE"""),"Y")</f>
        <v>Y</v>
      </c>
      <c r="L1311" s="3" t="str">
        <f>IFERROR(__xludf.DUMMYFUNCTION("""COMPUTED_VALUE"""),"Group 1")</f>
        <v>Group 1</v>
      </c>
      <c r="M1311" s="3"/>
      <c r="N1311" s="5" t="str">
        <f>IFERROR(__xludf.DUMMYFUNCTION("""COMPUTED_VALUE""")," ")</f>
        <v> </v>
      </c>
      <c r="O1311" s="5"/>
    </row>
    <row r="1312">
      <c r="A1312" s="2" t="str">
        <f>IFERROR(__xludf.DUMMYFUNCTION("""COMPUTED_VALUE"""),"1560")</f>
        <v>1560</v>
      </c>
      <c r="B1312" s="2" t="str">
        <f>IFERROR(__xludf.DUMMYFUNCTION("""COMPUTED_VALUE"""),"THOMPSON R2-J")</f>
        <v>THOMPSON R2-J</v>
      </c>
      <c r="C1312" s="2" t="str">
        <f>IFERROR(__xludf.DUMMYFUNCTION("""COMPUTED_VALUE"""),"09228")</f>
        <v>09228</v>
      </c>
      <c r="D1312" s="2" t="str">
        <f>IFERROR(__xludf.DUMMYFUNCTION("""COMPUTED_VALUE"""),"WALT CLARK MIDDLE SCHOOL")</f>
        <v>WALT CLARK MIDDLE SCHOOL</v>
      </c>
      <c r="E1312" s="3" t="str">
        <f>IFERROR(__xludf.DUMMYFUNCTION("""COMPUTED_VALUE"""),"Y")</f>
        <v>Y</v>
      </c>
      <c r="F1312" s="3" t="str">
        <f>IFERROR(__xludf.DUMMYFUNCTION("""COMPUTED_VALUE"""),"Y")</f>
        <v>Y</v>
      </c>
      <c r="G1312" s="3"/>
      <c r="H1312" s="3"/>
      <c r="I1312" s="3" t="str">
        <f>IFERROR(__xludf.DUMMYFUNCTION("""COMPUTED_VALUE""")," ")</f>
        <v> </v>
      </c>
      <c r="J1312" s="3" t="str">
        <f>IFERROR(__xludf.DUMMYFUNCTION("""COMPUTED_VALUE""")," ")</f>
        <v> </v>
      </c>
      <c r="K1312" s="3" t="str">
        <f>IFERROR(__xludf.DUMMYFUNCTION("""COMPUTED_VALUE"""),"Y")</f>
        <v>Y</v>
      </c>
      <c r="L1312" s="3" t="str">
        <f>IFERROR(__xludf.DUMMYFUNCTION("""COMPUTED_VALUE"""),"Group 10")</f>
        <v>Group 10</v>
      </c>
      <c r="M1312" s="3"/>
      <c r="N1312" s="5" t="str">
        <f>IFERROR(__xludf.DUMMYFUNCTION("""COMPUTED_VALUE"""),"Y")</f>
        <v>Y</v>
      </c>
      <c r="O1312" s="5"/>
    </row>
    <row r="1313">
      <c r="A1313" s="2" t="str">
        <f>IFERROR(__xludf.DUMMYFUNCTION("""COMPUTED_VALUE"""),"1560")</f>
        <v>1560</v>
      </c>
      <c r="B1313" s="2" t="str">
        <f>IFERROR(__xludf.DUMMYFUNCTION("""COMPUTED_VALUE"""),"THOMPSON R2-J")</f>
        <v>THOMPSON R2-J</v>
      </c>
      <c r="C1313" s="2" t="str">
        <f>IFERROR(__xludf.DUMMYFUNCTION("""COMPUTED_VALUE"""),"09674")</f>
        <v>09674</v>
      </c>
      <c r="D1313" s="2" t="str">
        <f>IFERROR(__xludf.DUMMYFUNCTION("""COMPUTED_VALUE"""),"WINONA ELEMENTARY SCHOOL")</f>
        <v>WINONA ELEMENTARY SCHOOL</v>
      </c>
      <c r="E1313" s="3" t="str">
        <f>IFERROR(__xludf.DUMMYFUNCTION("""COMPUTED_VALUE"""),"Y")</f>
        <v>Y</v>
      </c>
      <c r="F1313" s="3" t="str">
        <f>IFERROR(__xludf.DUMMYFUNCTION("""COMPUTED_VALUE"""),"Y")</f>
        <v>Y</v>
      </c>
      <c r="G1313" s="3"/>
      <c r="H1313" s="3"/>
      <c r="I1313" s="3" t="str">
        <f>IFERROR(__xludf.DUMMYFUNCTION("""COMPUTED_VALUE""")," ")</f>
        <v> </v>
      </c>
      <c r="J1313" s="3" t="str">
        <f>IFERROR(__xludf.DUMMYFUNCTION("""COMPUTED_VALUE"""),"Y")</f>
        <v>Y</v>
      </c>
      <c r="K1313" s="3" t="str">
        <f>IFERROR(__xludf.DUMMYFUNCTION("""COMPUTED_VALUE"""),"Y")</f>
        <v>Y</v>
      </c>
      <c r="L1313" s="3" t="str">
        <f>IFERROR(__xludf.DUMMYFUNCTION("""COMPUTED_VALUE"""),"Group 6")</f>
        <v>Group 6</v>
      </c>
      <c r="M1313" s="3"/>
      <c r="N1313" s="5" t="str">
        <f>IFERROR(__xludf.DUMMYFUNCTION("""COMPUTED_VALUE"""),"Y")</f>
        <v>Y</v>
      </c>
      <c r="O1313" s="5"/>
    </row>
    <row r="1314">
      <c r="A1314" s="2" t="str">
        <f>IFERROR(__xludf.DUMMYFUNCTION("""COMPUTED_VALUE"""),"1570")</f>
        <v>1570</v>
      </c>
      <c r="B1314" s="2" t="str">
        <f>IFERROR(__xludf.DUMMYFUNCTION("""COMPUTED_VALUE"""),"ESTES PARK R-3 SCHOOL DISTRICT")</f>
        <v>ESTES PARK R-3 SCHOOL DISTRICT</v>
      </c>
      <c r="C1314" s="2" t="str">
        <f>IFERROR(__xludf.DUMMYFUNCTION("""COMPUTED_VALUE"""),"02790")</f>
        <v>02790</v>
      </c>
      <c r="D1314" s="2" t="str">
        <f>IFERROR(__xludf.DUMMYFUNCTION("""COMPUTED_VALUE"""),"ESTES PARK K-5 SCHOOL")</f>
        <v>ESTES PARK K-5 SCHOOL</v>
      </c>
      <c r="E1314" s="3" t="str">
        <f>IFERROR(__xludf.DUMMYFUNCTION("""COMPUTED_VALUE"""),"Y")</f>
        <v>Y</v>
      </c>
      <c r="F1314" s="3" t="str">
        <f>IFERROR(__xludf.DUMMYFUNCTION("""COMPUTED_VALUE"""),"Y")</f>
        <v>Y</v>
      </c>
      <c r="G1314" s="3" t="str">
        <f>IFERROR(__xludf.DUMMYFUNCTION("""COMPUTED_VALUE"""),"Y")</f>
        <v>Y</v>
      </c>
      <c r="H1314" s="3"/>
      <c r="I1314" s="3" t="str">
        <f>IFERROR(__xludf.DUMMYFUNCTION("""COMPUTED_VALUE""")," ")</f>
        <v> </v>
      </c>
      <c r="J1314" s="3" t="str">
        <f>IFERROR(__xludf.DUMMYFUNCTION("""COMPUTED_VALUE""")," ")</f>
        <v> </v>
      </c>
      <c r="K1314" s="3" t="str">
        <f>IFERROR(__xludf.DUMMYFUNCTION("""COMPUTED_VALUE"""),"Y")</f>
        <v>Y</v>
      </c>
      <c r="L1314" s="3" t="str">
        <f>IFERROR(__xludf.DUMMYFUNCTION("""COMPUTED_VALUE"""),"Group 2")</f>
        <v>Group 2</v>
      </c>
      <c r="M1314" s="3"/>
      <c r="N1314" s="5" t="str">
        <f>IFERROR(__xludf.DUMMYFUNCTION("""COMPUTED_VALUE""")," ")</f>
        <v> </v>
      </c>
      <c r="O1314" s="5"/>
    </row>
    <row r="1315">
      <c r="A1315" s="2" t="str">
        <f>IFERROR(__xludf.DUMMYFUNCTION("""COMPUTED_VALUE"""),"1570")</f>
        <v>1570</v>
      </c>
      <c r="B1315" s="2" t="str">
        <f>IFERROR(__xludf.DUMMYFUNCTION("""COMPUTED_VALUE"""),"ESTES PARK R-3 SCHOOL DISTRICT")</f>
        <v>ESTES PARK R-3 SCHOOL DISTRICT</v>
      </c>
      <c r="C1315" s="2" t="str">
        <f>IFERROR(__xludf.DUMMYFUNCTION("""COMPUTED_VALUE"""),"02792")</f>
        <v>02792</v>
      </c>
      <c r="D1315" s="2" t="str">
        <f>IFERROR(__xludf.DUMMYFUNCTION("""COMPUTED_VALUE"""),"ESTES PARK MIDDLE SCHOOL")</f>
        <v>ESTES PARK MIDDLE SCHOOL</v>
      </c>
      <c r="E1315" s="3" t="str">
        <f>IFERROR(__xludf.DUMMYFUNCTION("""COMPUTED_VALUE"""),"Y")</f>
        <v>Y</v>
      </c>
      <c r="F1315" s="3" t="str">
        <f>IFERROR(__xludf.DUMMYFUNCTION("""COMPUTED_VALUE"""),"Y")</f>
        <v>Y</v>
      </c>
      <c r="G1315" s="3"/>
      <c r="H1315" s="3"/>
      <c r="I1315" s="3" t="str">
        <f>IFERROR(__xludf.DUMMYFUNCTION("""COMPUTED_VALUE""")," ")</f>
        <v> </v>
      </c>
      <c r="J1315" s="3" t="str">
        <f>IFERROR(__xludf.DUMMYFUNCTION("""COMPUTED_VALUE""")," ")</f>
        <v> </v>
      </c>
      <c r="K1315" s="3" t="str">
        <f>IFERROR(__xludf.DUMMYFUNCTION("""COMPUTED_VALUE"""),"Y")</f>
        <v>Y</v>
      </c>
      <c r="L1315" s="3" t="str">
        <f>IFERROR(__xludf.DUMMYFUNCTION("""COMPUTED_VALUE"""),"Group 2")</f>
        <v>Group 2</v>
      </c>
      <c r="M1315" s="3"/>
      <c r="N1315" s="5" t="str">
        <f>IFERROR(__xludf.DUMMYFUNCTION("""COMPUTED_VALUE""")," ")</f>
        <v> </v>
      </c>
      <c r="O1315" s="5"/>
    </row>
    <row r="1316">
      <c r="A1316" s="2" t="str">
        <f>IFERROR(__xludf.DUMMYFUNCTION("""COMPUTED_VALUE"""),"1570")</f>
        <v>1570</v>
      </c>
      <c r="B1316" s="2" t="str">
        <f>IFERROR(__xludf.DUMMYFUNCTION("""COMPUTED_VALUE"""),"ESTES PARK R-3 SCHOOL DISTRICT")</f>
        <v>ESTES PARK R-3 SCHOOL DISTRICT</v>
      </c>
      <c r="C1316" s="2" t="str">
        <f>IFERROR(__xludf.DUMMYFUNCTION("""COMPUTED_VALUE"""),"02794")</f>
        <v>02794</v>
      </c>
      <c r="D1316" s="2" t="str">
        <f>IFERROR(__xludf.DUMMYFUNCTION("""COMPUTED_VALUE"""),"ESTES PARK HIGH SCHOOL")</f>
        <v>ESTES PARK HIGH SCHOOL</v>
      </c>
      <c r="E1316" s="3" t="str">
        <f>IFERROR(__xludf.DUMMYFUNCTION("""COMPUTED_VALUE"""),"Y")</f>
        <v>Y</v>
      </c>
      <c r="F1316" s="3" t="str">
        <f>IFERROR(__xludf.DUMMYFUNCTION("""COMPUTED_VALUE"""),"Y")</f>
        <v>Y</v>
      </c>
      <c r="G1316" s="3"/>
      <c r="H1316" s="3"/>
      <c r="I1316" s="3" t="str">
        <f>IFERROR(__xludf.DUMMYFUNCTION("""COMPUTED_VALUE""")," ")</f>
        <v> </v>
      </c>
      <c r="J1316" s="3" t="str">
        <f>IFERROR(__xludf.DUMMYFUNCTION("""COMPUTED_VALUE""")," ")</f>
        <v> </v>
      </c>
      <c r="K1316" s="3" t="str">
        <f>IFERROR(__xludf.DUMMYFUNCTION("""COMPUTED_VALUE"""),"Y")</f>
        <v>Y</v>
      </c>
      <c r="L1316" s="3" t="str">
        <f>IFERROR(__xludf.DUMMYFUNCTION("""COMPUTED_VALUE"""),"Group 1")</f>
        <v>Group 1</v>
      </c>
      <c r="M1316" s="3"/>
      <c r="N1316" s="5" t="str">
        <f>IFERROR(__xludf.DUMMYFUNCTION("""COMPUTED_VALUE""")," ")</f>
        <v> </v>
      </c>
      <c r="O1316" s="5"/>
    </row>
    <row r="1317">
      <c r="A1317" s="2" t="str">
        <f>IFERROR(__xludf.DUMMYFUNCTION("""COMPUTED_VALUE"""),"1580")</f>
        <v>1580</v>
      </c>
      <c r="B1317" s="2" t="str">
        <f>IFERROR(__xludf.DUMMYFUNCTION("""COMPUTED_VALUE"""),"TRINIDAD            1")</f>
        <v>TRINIDAD            1</v>
      </c>
      <c r="C1317" s="2" t="str">
        <f>IFERROR(__xludf.DUMMYFUNCTION("""COMPUTED_VALUE"""),"01386")</f>
        <v>01386</v>
      </c>
      <c r="D1317" s="2" t="str">
        <f>IFERROR(__xludf.DUMMYFUNCTION("""COMPUTED_VALUE"""),"TRINIDAD MIDDLE SCHOOL")</f>
        <v>TRINIDAD MIDDLE SCHOOL</v>
      </c>
      <c r="E1317" s="3" t="str">
        <f>IFERROR(__xludf.DUMMYFUNCTION("""COMPUTED_VALUE"""),"Y")</f>
        <v>Y</v>
      </c>
      <c r="F1317" s="3" t="str">
        <f>IFERROR(__xludf.DUMMYFUNCTION("""COMPUTED_VALUE"""),"Y")</f>
        <v>Y</v>
      </c>
      <c r="G1317" s="3"/>
      <c r="H1317" s="3"/>
      <c r="I1317" s="3" t="str">
        <f>IFERROR(__xludf.DUMMYFUNCTION("""COMPUTED_VALUE""")," ")</f>
        <v> </v>
      </c>
      <c r="J1317" s="3" t="str">
        <f>IFERROR(__xludf.DUMMYFUNCTION("""COMPUTED_VALUE""")," ")</f>
        <v> </v>
      </c>
      <c r="K1317" s="3" t="str">
        <f>IFERROR(__xludf.DUMMYFUNCTION("""COMPUTED_VALUE"""),"Y")</f>
        <v>Y</v>
      </c>
      <c r="L1317" s="3" t="str">
        <f>IFERROR(__xludf.DUMMYFUNCTION("""COMPUTED_VALUE"""),"Group 1")</f>
        <v>Group 1</v>
      </c>
      <c r="M1317" s="3"/>
      <c r="N1317" s="5" t="str">
        <f>IFERROR(__xludf.DUMMYFUNCTION("""COMPUTED_VALUE"""),"Y")</f>
        <v>Y</v>
      </c>
      <c r="O1317" s="5"/>
    </row>
    <row r="1318">
      <c r="A1318" s="2" t="str">
        <f>IFERROR(__xludf.DUMMYFUNCTION("""COMPUTED_VALUE"""),"1580")</f>
        <v>1580</v>
      </c>
      <c r="B1318" s="2" t="str">
        <f>IFERROR(__xludf.DUMMYFUNCTION("""COMPUTED_VALUE"""),"TRINIDAD            1")</f>
        <v>TRINIDAD            1</v>
      </c>
      <c r="C1318" s="2" t="str">
        <f>IFERROR(__xludf.DUMMYFUNCTION("""COMPUTED_VALUE"""),"02944")</f>
        <v>02944</v>
      </c>
      <c r="D1318" s="2" t="str">
        <f>IFERROR(__xludf.DUMMYFUNCTION("""COMPUTED_VALUE"""),"FISHER'S PEAK ELEMENTARY SCHOOL")</f>
        <v>FISHER'S PEAK ELEMENTARY SCHOOL</v>
      </c>
      <c r="E1318" s="3" t="str">
        <f>IFERROR(__xludf.DUMMYFUNCTION("""COMPUTED_VALUE"""),"Y")</f>
        <v>Y</v>
      </c>
      <c r="F1318" s="3" t="str">
        <f>IFERROR(__xludf.DUMMYFUNCTION("""COMPUTED_VALUE"""),"Y")</f>
        <v>Y</v>
      </c>
      <c r="G1318" s="3"/>
      <c r="H1318" s="3"/>
      <c r="I1318" s="3" t="str">
        <f>IFERROR(__xludf.DUMMYFUNCTION("""COMPUTED_VALUE""")," ")</f>
        <v> </v>
      </c>
      <c r="J1318" s="3" t="str">
        <f>IFERROR(__xludf.DUMMYFUNCTION("""COMPUTED_VALUE""")," ")</f>
        <v> </v>
      </c>
      <c r="K1318" s="3" t="str">
        <f>IFERROR(__xludf.DUMMYFUNCTION("""COMPUTED_VALUE"""),"Y")</f>
        <v>Y</v>
      </c>
      <c r="L1318" s="3" t="str">
        <f>IFERROR(__xludf.DUMMYFUNCTION("""COMPUTED_VALUE"""),"Group 1")</f>
        <v>Group 1</v>
      </c>
      <c r="M1318" s="3"/>
      <c r="N1318" s="5" t="str">
        <f>IFERROR(__xludf.DUMMYFUNCTION("""COMPUTED_VALUE""")," ")</f>
        <v> </v>
      </c>
      <c r="O1318" s="5"/>
    </row>
    <row r="1319">
      <c r="A1319" s="2" t="str">
        <f>IFERROR(__xludf.DUMMYFUNCTION("""COMPUTED_VALUE"""),"1580")</f>
        <v>1580</v>
      </c>
      <c r="B1319" s="2" t="str">
        <f>IFERROR(__xludf.DUMMYFUNCTION("""COMPUTED_VALUE"""),"TRINIDAD            1")</f>
        <v>TRINIDAD            1</v>
      </c>
      <c r="C1319" s="2" t="str">
        <f>IFERROR(__xludf.DUMMYFUNCTION("""COMPUTED_VALUE"""),"08906")</f>
        <v>08906</v>
      </c>
      <c r="D1319" s="2" t="str">
        <f>IFERROR(__xludf.DUMMYFUNCTION("""COMPUTED_VALUE"""),"TRINIDAD HIGH SCHOOL")</f>
        <v>TRINIDAD HIGH SCHOOL</v>
      </c>
      <c r="E1319" s="3" t="str">
        <f>IFERROR(__xludf.DUMMYFUNCTION("""COMPUTED_VALUE"""),"Y")</f>
        <v>Y</v>
      </c>
      <c r="F1319" s="3" t="str">
        <f>IFERROR(__xludf.DUMMYFUNCTION("""COMPUTED_VALUE"""),"Y")</f>
        <v>Y</v>
      </c>
      <c r="G1319" s="3"/>
      <c r="H1319" s="3"/>
      <c r="I1319" s="3" t="str">
        <f>IFERROR(__xludf.DUMMYFUNCTION("""COMPUTED_VALUE""")," ")</f>
        <v> </v>
      </c>
      <c r="J1319" s="3" t="str">
        <f>IFERROR(__xludf.DUMMYFUNCTION("""COMPUTED_VALUE""")," ")</f>
        <v> </v>
      </c>
      <c r="K1319" s="3" t="str">
        <f>IFERROR(__xludf.DUMMYFUNCTION("""COMPUTED_VALUE"""),"Y")</f>
        <v>Y</v>
      </c>
      <c r="L1319" s="3" t="str">
        <f>IFERROR(__xludf.DUMMYFUNCTION("""COMPUTED_VALUE"""),"Group 1")</f>
        <v>Group 1</v>
      </c>
      <c r="M1319" s="3"/>
      <c r="N1319" s="5" t="str">
        <f>IFERROR(__xludf.DUMMYFUNCTION("""COMPUTED_VALUE""")," ")</f>
        <v> </v>
      </c>
      <c r="O1319" s="5"/>
    </row>
    <row r="1320">
      <c r="A1320" s="2" t="str">
        <f>IFERROR(__xludf.DUMMYFUNCTION("""COMPUTED_VALUE"""),"1590")</f>
        <v>1590</v>
      </c>
      <c r="B1320" s="2" t="str">
        <f>IFERROR(__xludf.DUMMYFUNCTION("""COMPUTED_VALUE"""),"PRIMERO REORGANIZED 2")</f>
        <v>PRIMERO REORGANIZED 2</v>
      </c>
      <c r="C1320" s="2" t="str">
        <f>IFERROR(__xludf.DUMMYFUNCTION("""COMPUTED_VALUE"""),"07160")</f>
        <v>07160</v>
      </c>
      <c r="D1320" s="2" t="str">
        <f>IFERROR(__xludf.DUMMYFUNCTION("""COMPUTED_VALUE"""),"PRIMERO ELEMENTARY SCHOOL")</f>
        <v>PRIMERO ELEMENTARY SCHOOL</v>
      </c>
      <c r="E1320" s="3" t="str">
        <f>IFERROR(__xludf.DUMMYFUNCTION("""COMPUTED_VALUE"""),"Y")</f>
        <v>Y</v>
      </c>
      <c r="F1320" s="3" t="str">
        <f>IFERROR(__xludf.DUMMYFUNCTION("""COMPUTED_VALUE"""),"Y")</f>
        <v>Y</v>
      </c>
      <c r="G1320" s="3"/>
      <c r="H1320" s="3"/>
      <c r="I1320" s="3" t="str">
        <f>IFERROR(__xludf.DUMMYFUNCTION("""COMPUTED_VALUE""")," ")</f>
        <v> </v>
      </c>
      <c r="J1320" s="3" t="str">
        <f>IFERROR(__xludf.DUMMYFUNCTION("""COMPUTED_VALUE""")," ")</f>
        <v> </v>
      </c>
      <c r="K1320" s="3" t="str">
        <f>IFERROR(__xludf.DUMMYFUNCTION("""COMPUTED_VALUE"""),"Y")</f>
        <v>Y</v>
      </c>
      <c r="L1320" s="3" t="str">
        <f>IFERROR(__xludf.DUMMYFUNCTION("""COMPUTED_VALUE""")," ")</f>
        <v> </v>
      </c>
      <c r="M1320" s="3" t="str">
        <f>IFERROR(__xludf.DUMMYFUNCTION("""COMPUTED_VALUE"""),"Base year")</f>
        <v>Base year</v>
      </c>
      <c r="N1320" s="5" t="str">
        <f>IFERROR(__xludf.DUMMYFUNCTION("""COMPUTED_VALUE""")," ")</f>
        <v> </v>
      </c>
      <c r="O1320" s="5"/>
    </row>
    <row r="1321">
      <c r="A1321" s="2" t="str">
        <f>IFERROR(__xludf.DUMMYFUNCTION("""COMPUTED_VALUE"""),"1590")</f>
        <v>1590</v>
      </c>
      <c r="B1321" s="2" t="str">
        <f>IFERROR(__xludf.DUMMYFUNCTION("""COMPUTED_VALUE"""),"PRIMERO REORGANIZED 2")</f>
        <v>PRIMERO REORGANIZED 2</v>
      </c>
      <c r="C1321" s="2" t="str">
        <f>IFERROR(__xludf.DUMMYFUNCTION("""COMPUTED_VALUE"""),"07164")</f>
        <v>07164</v>
      </c>
      <c r="D1321" s="2" t="str">
        <f>IFERROR(__xludf.DUMMYFUNCTION("""COMPUTED_VALUE"""),"PRIMERO JUNIOR-SENIOR HIGH SCHOOL")</f>
        <v>PRIMERO JUNIOR-SENIOR HIGH SCHOOL</v>
      </c>
      <c r="E1321" s="3" t="str">
        <f>IFERROR(__xludf.DUMMYFUNCTION("""COMPUTED_VALUE"""),"Y")</f>
        <v>Y</v>
      </c>
      <c r="F1321" s="3" t="str">
        <f>IFERROR(__xludf.DUMMYFUNCTION("""COMPUTED_VALUE"""),"Y")</f>
        <v>Y</v>
      </c>
      <c r="G1321" s="3"/>
      <c r="H1321" s="3"/>
      <c r="I1321" s="3" t="str">
        <f>IFERROR(__xludf.DUMMYFUNCTION("""COMPUTED_VALUE""")," ")</f>
        <v> </v>
      </c>
      <c r="J1321" s="3" t="str">
        <f>IFERROR(__xludf.DUMMYFUNCTION("""COMPUTED_VALUE""")," ")</f>
        <v> </v>
      </c>
      <c r="K1321" s="3" t="str">
        <f>IFERROR(__xludf.DUMMYFUNCTION("""COMPUTED_VALUE"""),"Y")</f>
        <v>Y</v>
      </c>
      <c r="L1321" s="3" t="str">
        <f>IFERROR(__xludf.DUMMYFUNCTION("""COMPUTED_VALUE""")," ")</f>
        <v> </v>
      </c>
      <c r="M1321" s="3" t="str">
        <f>IFERROR(__xludf.DUMMYFUNCTION("""COMPUTED_VALUE"""),"Base year")</f>
        <v>Base year</v>
      </c>
      <c r="N1321" s="5" t="str">
        <f>IFERROR(__xludf.DUMMYFUNCTION("""COMPUTED_VALUE""")," ")</f>
        <v> </v>
      </c>
      <c r="O1321" s="5"/>
    </row>
    <row r="1322">
      <c r="A1322" s="2" t="str">
        <f>IFERROR(__xludf.DUMMYFUNCTION("""COMPUTED_VALUE"""),"1600")</f>
        <v>1600</v>
      </c>
      <c r="B1322" s="2" t="str">
        <f>IFERROR(__xludf.DUMMYFUNCTION("""COMPUTED_VALUE"""),"HOEHNE REORGANIZED  3")</f>
        <v>HOEHNE REORGANIZED  3</v>
      </c>
      <c r="C1322" s="2" t="str">
        <f>IFERROR(__xludf.DUMMYFUNCTION("""COMPUTED_VALUE"""),"04048")</f>
        <v>04048</v>
      </c>
      <c r="D1322" s="2" t="str">
        <f>IFERROR(__xludf.DUMMYFUNCTION("""COMPUTED_VALUE"""),"HOEHNE SCHOOLS")</f>
        <v>HOEHNE SCHOOLS</v>
      </c>
      <c r="E1322" s="3" t="str">
        <f>IFERROR(__xludf.DUMMYFUNCTION("""COMPUTED_VALUE"""),"Y")</f>
        <v>Y</v>
      </c>
      <c r="F1322" s="3" t="str">
        <f>IFERROR(__xludf.DUMMYFUNCTION("""COMPUTED_VALUE"""),"Y")</f>
        <v>Y</v>
      </c>
      <c r="G1322" s="3"/>
      <c r="H1322" s="3"/>
      <c r="I1322" s="3" t="str">
        <f>IFERROR(__xludf.DUMMYFUNCTION("""COMPUTED_VALUE""")," ")</f>
        <v> </v>
      </c>
      <c r="J1322" s="3" t="str">
        <f>IFERROR(__xludf.DUMMYFUNCTION("""COMPUTED_VALUE""")," ")</f>
        <v> </v>
      </c>
      <c r="K1322" s="3" t="str">
        <f>IFERROR(__xludf.DUMMYFUNCTION("""COMPUTED_VALUE"""),"Y")</f>
        <v>Y</v>
      </c>
      <c r="L1322" s="3" t="str">
        <f>IFERROR(__xludf.DUMMYFUNCTION("""COMPUTED_VALUE""")," ")</f>
        <v> </v>
      </c>
      <c r="M1322" s="3"/>
      <c r="N1322" s="5" t="str">
        <f>IFERROR(__xludf.DUMMYFUNCTION("""COMPUTED_VALUE""")," ")</f>
        <v> </v>
      </c>
      <c r="O1322" s="5"/>
    </row>
    <row r="1323">
      <c r="A1323" s="2" t="str">
        <f>IFERROR(__xludf.DUMMYFUNCTION("""COMPUTED_VALUE"""),"1620")</f>
        <v>1620</v>
      </c>
      <c r="B1323" s="2" t="str">
        <f>IFERROR(__xludf.DUMMYFUNCTION("""COMPUTED_VALUE"""),"AGUILAR REORGANIZED 6")</f>
        <v>AGUILAR REORGANIZED 6</v>
      </c>
      <c r="C1323" s="2" t="str">
        <f>IFERROR(__xludf.DUMMYFUNCTION("""COMPUTED_VALUE"""),"00058")</f>
        <v>00058</v>
      </c>
      <c r="D1323" s="2" t="str">
        <f>IFERROR(__xludf.DUMMYFUNCTION("""COMPUTED_VALUE"""),"AGUILAR ELEMENTARY SCHOOL")</f>
        <v>AGUILAR ELEMENTARY SCHOOL</v>
      </c>
      <c r="E1323" s="3" t="str">
        <f>IFERROR(__xludf.DUMMYFUNCTION("""COMPUTED_VALUE"""),"Y")</f>
        <v>Y</v>
      </c>
      <c r="F1323" s="3" t="str">
        <f>IFERROR(__xludf.DUMMYFUNCTION("""COMPUTED_VALUE"""),"Y")</f>
        <v>Y</v>
      </c>
      <c r="G1323" s="3"/>
      <c r="H1323" s="3"/>
      <c r="I1323" s="3" t="str">
        <f>IFERROR(__xludf.DUMMYFUNCTION("""COMPUTED_VALUE""")," ")</f>
        <v> </v>
      </c>
      <c r="J1323" s="3" t="str">
        <f>IFERROR(__xludf.DUMMYFUNCTION("""COMPUTED_VALUE""")," ")</f>
        <v> </v>
      </c>
      <c r="K1323" s="3" t="str">
        <f>IFERROR(__xludf.DUMMYFUNCTION("""COMPUTED_VALUE"""),"Y")</f>
        <v>Y</v>
      </c>
      <c r="L1323" s="3" t="str">
        <f>IFERROR(__xludf.DUMMYFUNCTION("""COMPUTED_VALUE"""),"Group 1")</f>
        <v>Group 1</v>
      </c>
      <c r="M1323" s="3"/>
      <c r="N1323" s="5" t="str">
        <f>IFERROR(__xludf.DUMMYFUNCTION("""COMPUTED_VALUE""")," ")</f>
        <v> </v>
      </c>
      <c r="O1323" s="5"/>
    </row>
    <row r="1324">
      <c r="A1324" s="2" t="str">
        <f>IFERROR(__xludf.DUMMYFUNCTION("""COMPUTED_VALUE"""),"1620")</f>
        <v>1620</v>
      </c>
      <c r="B1324" s="2" t="str">
        <f>IFERROR(__xludf.DUMMYFUNCTION("""COMPUTED_VALUE"""),"AGUILAR REORGANIZED 6")</f>
        <v>AGUILAR REORGANIZED 6</v>
      </c>
      <c r="C1324" s="2" t="str">
        <f>IFERROR(__xludf.DUMMYFUNCTION("""COMPUTED_VALUE"""),"00066")</f>
        <v>00066</v>
      </c>
      <c r="D1324" s="2" t="str">
        <f>IFERROR(__xludf.DUMMYFUNCTION("""COMPUTED_VALUE"""),"AGUILAR JUNIOR-SENIOR HIGH SCHOOL")</f>
        <v>AGUILAR JUNIOR-SENIOR HIGH SCHOOL</v>
      </c>
      <c r="E1324" s="3" t="str">
        <f>IFERROR(__xludf.DUMMYFUNCTION("""COMPUTED_VALUE"""),"Y")</f>
        <v>Y</v>
      </c>
      <c r="F1324" s="3" t="str">
        <f>IFERROR(__xludf.DUMMYFUNCTION("""COMPUTED_VALUE"""),"Y")</f>
        <v>Y</v>
      </c>
      <c r="G1324" s="3"/>
      <c r="H1324" s="3"/>
      <c r="I1324" s="3" t="str">
        <f>IFERROR(__xludf.DUMMYFUNCTION("""COMPUTED_VALUE""")," ")</f>
        <v> </v>
      </c>
      <c r="J1324" s="3" t="str">
        <f>IFERROR(__xludf.DUMMYFUNCTION("""COMPUTED_VALUE""")," ")</f>
        <v> </v>
      </c>
      <c r="K1324" s="3" t="str">
        <f>IFERROR(__xludf.DUMMYFUNCTION("""COMPUTED_VALUE"""),"Y")</f>
        <v>Y</v>
      </c>
      <c r="L1324" s="3" t="str">
        <f>IFERROR(__xludf.DUMMYFUNCTION("""COMPUTED_VALUE"""),"Group 1")</f>
        <v>Group 1</v>
      </c>
      <c r="M1324" s="3"/>
      <c r="N1324" s="5" t="str">
        <f>IFERROR(__xludf.DUMMYFUNCTION("""COMPUTED_VALUE""")," ")</f>
        <v> </v>
      </c>
      <c r="O1324" s="5"/>
    </row>
    <row r="1325">
      <c r="A1325" s="2" t="str">
        <f>IFERROR(__xludf.DUMMYFUNCTION("""COMPUTED_VALUE"""),"1750")</f>
        <v>1750</v>
      </c>
      <c r="B1325" s="2" t="str">
        <f>IFERROR(__xludf.DUMMYFUNCTION("""COMPUTED_VALUE"""),"BRANSON REORGANIZED 82")</f>
        <v>BRANSON REORGANIZED 82</v>
      </c>
      <c r="C1325" s="2" t="str">
        <f>IFERROR(__xludf.DUMMYFUNCTION("""COMPUTED_VALUE"""),"00978")</f>
        <v>00978</v>
      </c>
      <c r="D1325" s="2" t="str">
        <f>IFERROR(__xludf.DUMMYFUNCTION("""COMPUTED_VALUE"""),"BRANSON SCHOOL")</f>
        <v>BRANSON SCHOOL</v>
      </c>
      <c r="E1325" s="3" t="str">
        <f>IFERROR(__xludf.DUMMYFUNCTION("""COMPUTED_VALUE"""),"Y")</f>
        <v>Y</v>
      </c>
      <c r="F1325" s="3" t="str">
        <f>IFERROR(__xludf.DUMMYFUNCTION("""COMPUTED_VALUE"""),"Y")</f>
        <v>Y</v>
      </c>
      <c r="G1325" s="3"/>
      <c r="H1325" s="3"/>
      <c r="I1325" s="3" t="str">
        <f>IFERROR(__xludf.DUMMYFUNCTION("""COMPUTED_VALUE"""),"Y")</f>
        <v>Y</v>
      </c>
      <c r="J1325" s="3" t="str">
        <f>IFERROR(__xludf.DUMMYFUNCTION("""COMPUTED_VALUE""")," ")</f>
        <v> </v>
      </c>
      <c r="K1325" s="3" t="str">
        <f>IFERROR(__xludf.DUMMYFUNCTION("""COMPUTED_VALUE"""),"Y")</f>
        <v>Y</v>
      </c>
      <c r="L1325" s="3" t="str">
        <f>IFERROR(__xludf.DUMMYFUNCTION("""COMPUTED_VALUE"""),"Group 1")</f>
        <v>Group 1</v>
      </c>
      <c r="M1325" s="3"/>
      <c r="N1325" s="5" t="str">
        <f>IFERROR(__xludf.DUMMYFUNCTION("""COMPUTED_VALUE""")," ")</f>
        <v> </v>
      </c>
      <c r="O1325" s="5"/>
    </row>
    <row r="1326">
      <c r="A1326" s="2" t="str">
        <f>IFERROR(__xludf.DUMMYFUNCTION("""COMPUTED_VALUE"""),"1760")</f>
        <v>1760</v>
      </c>
      <c r="B1326" s="2" t="str">
        <f>IFERROR(__xludf.DUMMYFUNCTION("""COMPUTED_VALUE"""),"KIM REORGANIZED     88")</f>
        <v>KIM REORGANIZED     88</v>
      </c>
      <c r="C1326" s="2" t="str">
        <f>IFERROR(__xludf.DUMMYFUNCTION("""COMPUTED_VALUE"""),"04694")</f>
        <v>04694</v>
      </c>
      <c r="D1326" s="2" t="str">
        <f>IFERROR(__xludf.DUMMYFUNCTION("""COMPUTED_VALUE"""),"KIM UNDIVIDED HIGH SCHOOL")</f>
        <v>KIM UNDIVIDED HIGH SCHOOL</v>
      </c>
      <c r="E1326" s="3" t="str">
        <f>IFERROR(__xludf.DUMMYFUNCTION("""COMPUTED_VALUE"""),"Y")</f>
        <v>Y</v>
      </c>
      <c r="F1326" s="3" t="str">
        <f>IFERROR(__xludf.DUMMYFUNCTION("""COMPUTED_VALUE"""),"Y")</f>
        <v>Y</v>
      </c>
      <c r="G1326" s="3"/>
      <c r="H1326" s="3"/>
      <c r="I1326" s="3" t="str">
        <f>IFERROR(__xludf.DUMMYFUNCTION("""COMPUTED_VALUE""")," ")</f>
        <v> </v>
      </c>
      <c r="J1326" s="3" t="str">
        <f>IFERROR(__xludf.DUMMYFUNCTION("""COMPUTED_VALUE""")," ")</f>
        <v> </v>
      </c>
      <c r="K1326" s="3" t="str">
        <f>IFERROR(__xludf.DUMMYFUNCTION("""COMPUTED_VALUE"""),"Y")</f>
        <v>Y</v>
      </c>
      <c r="L1326" s="3" t="str">
        <f>IFERROR(__xludf.DUMMYFUNCTION("""COMPUTED_VALUE""")," ")</f>
        <v> </v>
      </c>
      <c r="M1326" s="3" t="str">
        <f>IFERROR(__xludf.DUMMYFUNCTION("""COMPUTED_VALUE"""),"Base year")</f>
        <v>Base year</v>
      </c>
      <c r="N1326" s="5" t="str">
        <f>IFERROR(__xludf.DUMMYFUNCTION("""COMPUTED_VALUE""")," ")</f>
        <v> </v>
      </c>
      <c r="O1326" s="5"/>
    </row>
    <row r="1327">
      <c r="A1327" s="2" t="str">
        <f>IFERROR(__xludf.DUMMYFUNCTION("""COMPUTED_VALUE"""),"1760")</f>
        <v>1760</v>
      </c>
      <c r="B1327" s="2" t="str">
        <f>IFERROR(__xludf.DUMMYFUNCTION("""COMPUTED_VALUE"""),"KIM REORGANIZED     88")</f>
        <v>KIM REORGANIZED     88</v>
      </c>
      <c r="C1327" s="2" t="str">
        <f>IFERROR(__xludf.DUMMYFUNCTION("""COMPUTED_VALUE"""),"04690")</f>
        <v>04690</v>
      </c>
      <c r="D1327" s="2" t="str">
        <f>IFERROR(__xludf.DUMMYFUNCTION("""COMPUTED_VALUE"""),"KIM ELEMENTARY SCHOOL")</f>
        <v>KIM ELEMENTARY SCHOOL</v>
      </c>
      <c r="E1327" s="3" t="str">
        <f>IFERROR(__xludf.DUMMYFUNCTION("""COMPUTED_VALUE"""),"Y")</f>
        <v>Y</v>
      </c>
      <c r="F1327" s="3" t="str">
        <f>IFERROR(__xludf.DUMMYFUNCTION("""COMPUTED_VALUE"""),"Y")</f>
        <v>Y</v>
      </c>
      <c r="G1327" s="3"/>
      <c r="H1327" s="3"/>
      <c r="I1327" s="3" t="str">
        <f>IFERROR(__xludf.DUMMYFUNCTION("""COMPUTED_VALUE""")," ")</f>
        <v> </v>
      </c>
      <c r="J1327" s="3" t="str">
        <f>IFERROR(__xludf.DUMMYFUNCTION("""COMPUTED_VALUE""")," ")</f>
        <v> </v>
      </c>
      <c r="K1327" s="3" t="str">
        <f>IFERROR(__xludf.DUMMYFUNCTION("""COMPUTED_VALUE"""),"Y")</f>
        <v>Y</v>
      </c>
      <c r="L1327" s="3" t="str">
        <f>IFERROR(__xludf.DUMMYFUNCTION("""COMPUTED_VALUE"""),"Group 1")</f>
        <v>Group 1</v>
      </c>
      <c r="M1327" s="3"/>
      <c r="N1327" s="5" t="str">
        <f>IFERROR(__xludf.DUMMYFUNCTION("""COMPUTED_VALUE""")," ")</f>
        <v> </v>
      </c>
      <c r="O1327" s="5"/>
    </row>
    <row r="1328">
      <c r="A1328" s="2" t="str">
        <f>IFERROR(__xludf.DUMMYFUNCTION("""COMPUTED_VALUE"""),"1780")</f>
        <v>1780</v>
      </c>
      <c r="B1328" s="2" t="str">
        <f>IFERROR(__xludf.DUMMYFUNCTION("""COMPUTED_VALUE"""),"GENOA-HUGO          C113")</f>
        <v>GENOA-HUGO          C113</v>
      </c>
      <c r="C1328" s="2" t="str">
        <f>IFERROR(__xludf.DUMMYFUNCTION("""COMPUTED_VALUE"""),"04162")</f>
        <v>04162</v>
      </c>
      <c r="D1328" s="2" t="str">
        <f>IFERROR(__xludf.DUMMYFUNCTION("""COMPUTED_VALUE"""),"GENOA-HUGO SCHOOL")</f>
        <v>GENOA-HUGO SCHOOL</v>
      </c>
      <c r="E1328" s="3" t="str">
        <f>IFERROR(__xludf.DUMMYFUNCTION("""COMPUTED_VALUE"""),"Y")</f>
        <v>Y</v>
      </c>
      <c r="F1328" s="3" t="str">
        <f>IFERROR(__xludf.DUMMYFUNCTION("""COMPUTED_VALUE"""),"Y")</f>
        <v>Y</v>
      </c>
      <c r="G1328" s="3"/>
      <c r="H1328" s="3"/>
      <c r="I1328" s="3" t="str">
        <f>IFERROR(__xludf.DUMMYFUNCTION("""COMPUTED_VALUE""")," ")</f>
        <v> </v>
      </c>
      <c r="J1328" s="3" t="str">
        <f>IFERROR(__xludf.DUMMYFUNCTION("""COMPUTED_VALUE""")," ")</f>
        <v> </v>
      </c>
      <c r="K1328" s="3" t="str">
        <f>IFERROR(__xludf.DUMMYFUNCTION("""COMPUTED_VALUE"""),"Y")</f>
        <v>Y</v>
      </c>
      <c r="L1328" s="3" t="str">
        <f>IFERROR(__xludf.DUMMYFUNCTION("""COMPUTED_VALUE"""),"Group 1")</f>
        <v>Group 1</v>
      </c>
      <c r="M1328" s="3"/>
      <c r="N1328" s="5" t="str">
        <f>IFERROR(__xludf.DUMMYFUNCTION("""COMPUTED_VALUE""")," ")</f>
        <v> </v>
      </c>
      <c r="O1328" s="5"/>
    </row>
    <row r="1329">
      <c r="A1329" s="2" t="str">
        <f>IFERROR(__xludf.DUMMYFUNCTION("""COMPUTED_VALUE"""),"1790")</f>
        <v>1790</v>
      </c>
      <c r="B1329" s="2" t="str">
        <f>IFERROR(__xludf.DUMMYFUNCTION("""COMPUTED_VALUE"""),"LIMON               RE-4J")</f>
        <v>LIMON               RE-4J</v>
      </c>
      <c r="C1329" s="2" t="str">
        <f>IFERROR(__xludf.DUMMYFUNCTION("""COMPUTED_VALUE"""),"05132")</f>
        <v>05132</v>
      </c>
      <c r="D1329" s="2" t="str">
        <f>IFERROR(__xludf.DUMMYFUNCTION("""COMPUTED_VALUE"""),"LIMON ELEMENTARY SCHOOL")</f>
        <v>LIMON ELEMENTARY SCHOOL</v>
      </c>
      <c r="E1329" s="3" t="str">
        <f>IFERROR(__xludf.DUMMYFUNCTION("""COMPUTED_VALUE"""),"Y")</f>
        <v>Y</v>
      </c>
      <c r="F1329" s="3" t="str">
        <f>IFERROR(__xludf.DUMMYFUNCTION("""COMPUTED_VALUE"""),"Y")</f>
        <v>Y</v>
      </c>
      <c r="G1329" s="3"/>
      <c r="H1329" s="3"/>
      <c r="I1329" s="3" t="str">
        <f>IFERROR(__xludf.DUMMYFUNCTION("""COMPUTED_VALUE""")," ")</f>
        <v> </v>
      </c>
      <c r="J1329" s="3" t="str">
        <f>IFERROR(__xludf.DUMMYFUNCTION("""COMPUTED_VALUE""")," ")</f>
        <v> </v>
      </c>
      <c r="K1329" s="3" t="str">
        <f>IFERROR(__xludf.DUMMYFUNCTION("""COMPUTED_VALUE"""),"Y")</f>
        <v>Y</v>
      </c>
      <c r="L1329" s="3" t="str">
        <f>IFERROR(__xludf.DUMMYFUNCTION("""COMPUTED_VALUE"""),"Group 1")</f>
        <v>Group 1</v>
      </c>
      <c r="M1329" s="3"/>
      <c r="N1329" s="5" t="str">
        <f>IFERROR(__xludf.DUMMYFUNCTION("""COMPUTED_VALUE""")," ")</f>
        <v> </v>
      </c>
      <c r="O1329" s="5"/>
    </row>
    <row r="1330">
      <c r="A1330" s="2" t="str">
        <f>IFERROR(__xludf.DUMMYFUNCTION("""COMPUTED_VALUE"""),"1790")</f>
        <v>1790</v>
      </c>
      <c r="B1330" s="2" t="str">
        <f>IFERROR(__xludf.DUMMYFUNCTION("""COMPUTED_VALUE"""),"LIMON               RE-4J")</f>
        <v>LIMON               RE-4J</v>
      </c>
      <c r="C1330" s="2" t="str">
        <f>IFERROR(__xludf.DUMMYFUNCTION("""COMPUTED_VALUE"""),"05136")</f>
        <v>05136</v>
      </c>
      <c r="D1330" s="2" t="str">
        <f>IFERROR(__xludf.DUMMYFUNCTION("""COMPUTED_VALUE"""),"LIMON JUNIOR-SENIOR HIGH SCHOOL")</f>
        <v>LIMON JUNIOR-SENIOR HIGH SCHOOL</v>
      </c>
      <c r="E1330" s="3" t="str">
        <f>IFERROR(__xludf.DUMMYFUNCTION("""COMPUTED_VALUE"""),"Y")</f>
        <v>Y</v>
      </c>
      <c r="F1330" s="3" t="str">
        <f>IFERROR(__xludf.DUMMYFUNCTION("""COMPUTED_VALUE"""),"Y")</f>
        <v>Y</v>
      </c>
      <c r="G1330" s="3"/>
      <c r="H1330" s="3"/>
      <c r="I1330" s="3" t="str">
        <f>IFERROR(__xludf.DUMMYFUNCTION("""COMPUTED_VALUE""")," ")</f>
        <v> </v>
      </c>
      <c r="J1330" s="3" t="str">
        <f>IFERROR(__xludf.DUMMYFUNCTION("""COMPUTED_VALUE""")," ")</f>
        <v> </v>
      </c>
      <c r="K1330" s="3" t="str">
        <f>IFERROR(__xludf.DUMMYFUNCTION("""COMPUTED_VALUE"""),"Y")</f>
        <v>Y</v>
      </c>
      <c r="L1330" s="3" t="str">
        <f>IFERROR(__xludf.DUMMYFUNCTION("""COMPUTED_VALUE"""),"Group 2")</f>
        <v>Group 2</v>
      </c>
      <c r="M1330" s="3"/>
      <c r="N1330" s="5" t="str">
        <f>IFERROR(__xludf.DUMMYFUNCTION("""COMPUTED_VALUE""")," ")</f>
        <v> </v>
      </c>
      <c r="O1330" s="5"/>
    </row>
    <row r="1331">
      <c r="A1331" s="2" t="str">
        <f>IFERROR(__xludf.DUMMYFUNCTION("""COMPUTED_VALUE"""),"1810")</f>
        <v>1810</v>
      </c>
      <c r="B1331" s="2" t="str">
        <f>IFERROR(__xludf.DUMMYFUNCTION("""COMPUTED_VALUE"""),"KARVAL              RE-23")</f>
        <v>KARVAL              RE-23</v>
      </c>
      <c r="C1331" s="2" t="str">
        <f>IFERROR(__xludf.DUMMYFUNCTION("""COMPUTED_VALUE"""),"04502")</f>
        <v>04502</v>
      </c>
      <c r="D1331" s="2" t="str">
        <f>IFERROR(__xludf.DUMMYFUNCTION("""COMPUTED_VALUE"""),"KARVAL ELEMENTARY SCHOOL")</f>
        <v>KARVAL ELEMENTARY SCHOOL</v>
      </c>
      <c r="E1331" s="3"/>
      <c r="F1331" s="3" t="str">
        <f>IFERROR(__xludf.DUMMYFUNCTION("""COMPUTED_VALUE"""),"Y")</f>
        <v>Y</v>
      </c>
      <c r="G1331" s="3"/>
      <c r="H1331" s="3"/>
      <c r="I1331" s="3" t="str">
        <f>IFERROR(__xludf.DUMMYFUNCTION("""COMPUTED_VALUE""")," ")</f>
        <v> </v>
      </c>
      <c r="J1331" s="3" t="str">
        <f>IFERROR(__xludf.DUMMYFUNCTION("""COMPUTED_VALUE""")," ")</f>
        <v> </v>
      </c>
      <c r="K1331" s="3" t="str">
        <f>IFERROR(__xludf.DUMMYFUNCTION("""COMPUTED_VALUE"""),"Y")</f>
        <v>Y</v>
      </c>
      <c r="L1331" s="3" t="str">
        <f>IFERROR(__xludf.DUMMYFUNCTION("""COMPUTED_VALUE""")," ")</f>
        <v> </v>
      </c>
      <c r="M1331" s="3" t="str">
        <f>IFERROR(__xludf.DUMMYFUNCTION("""COMPUTED_VALUE"""),"Base year")</f>
        <v>Base year</v>
      </c>
      <c r="N1331" s="5" t="str">
        <f>IFERROR(__xludf.DUMMYFUNCTION("""COMPUTED_VALUE""")," ")</f>
        <v> </v>
      </c>
      <c r="O1331" s="5"/>
    </row>
    <row r="1332">
      <c r="A1332" s="2" t="str">
        <f>IFERROR(__xludf.DUMMYFUNCTION("""COMPUTED_VALUE"""),"1810")</f>
        <v>1810</v>
      </c>
      <c r="B1332" s="2" t="str">
        <f>IFERROR(__xludf.DUMMYFUNCTION("""COMPUTED_VALUE"""),"KARVAL              RE-23")</f>
        <v>KARVAL              RE-23</v>
      </c>
      <c r="C1332" s="2" t="str">
        <f>IFERROR(__xludf.DUMMYFUNCTION("""COMPUTED_VALUE"""),"04506")</f>
        <v>04506</v>
      </c>
      <c r="D1332" s="2" t="str">
        <f>IFERROR(__xludf.DUMMYFUNCTION("""COMPUTED_VALUE"""),"KARVAL JUNIOR-SENIOR HIGH SCHOOL")</f>
        <v>KARVAL JUNIOR-SENIOR HIGH SCHOOL</v>
      </c>
      <c r="E1332" s="3"/>
      <c r="F1332" s="3" t="str">
        <f>IFERROR(__xludf.DUMMYFUNCTION("""COMPUTED_VALUE"""),"Y")</f>
        <v>Y</v>
      </c>
      <c r="G1332" s="3"/>
      <c r="H1332" s="3"/>
      <c r="I1332" s="3" t="str">
        <f>IFERROR(__xludf.DUMMYFUNCTION("""COMPUTED_VALUE""")," ")</f>
        <v> </v>
      </c>
      <c r="J1332" s="3" t="str">
        <f>IFERROR(__xludf.DUMMYFUNCTION("""COMPUTED_VALUE""")," ")</f>
        <v> </v>
      </c>
      <c r="K1332" s="3" t="str">
        <f>IFERROR(__xludf.DUMMYFUNCTION("""COMPUTED_VALUE"""),"Y")</f>
        <v>Y</v>
      </c>
      <c r="L1332" s="3" t="str">
        <f>IFERROR(__xludf.DUMMYFUNCTION("""COMPUTED_VALUE""")," ")</f>
        <v> </v>
      </c>
      <c r="M1332" s="3" t="str">
        <f>IFERROR(__xludf.DUMMYFUNCTION("""COMPUTED_VALUE"""),"Base year")</f>
        <v>Base year</v>
      </c>
      <c r="N1332" s="5" t="str">
        <f>IFERROR(__xludf.DUMMYFUNCTION("""COMPUTED_VALUE""")," ")</f>
        <v> </v>
      </c>
      <c r="O1332" s="5"/>
    </row>
    <row r="1333">
      <c r="A1333" s="2" t="str">
        <f>IFERROR(__xludf.DUMMYFUNCTION("""COMPUTED_VALUE"""),"1828")</f>
        <v>1828</v>
      </c>
      <c r="B1333" s="2" t="str">
        <f>IFERROR(__xludf.DUMMYFUNCTION("""COMPUTED_VALUE"""),"VALLEY RE-1")</f>
        <v>VALLEY RE-1</v>
      </c>
      <c r="C1333" s="2" t="str">
        <f>IFERROR(__xludf.DUMMYFUNCTION("""COMPUTED_VALUE"""),"00515")</f>
        <v>00515</v>
      </c>
      <c r="D1333" s="2" t="str">
        <f>IFERROR(__xludf.DUMMYFUNCTION("""COMPUTED_VALUE"""),"AYRES ELEMENTARY SCHOOL")</f>
        <v>AYRES ELEMENTARY SCHOOL</v>
      </c>
      <c r="E1333" s="3" t="str">
        <f>IFERROR(__xludf.DUMMYFUNCTION("""COMPUTED_VALUE"""),"Y")</f>
        <v>Y</v>
      </c>
      <c r="F1333" s="3" t="str">
        <f>IFERROR(__xludf.DUMMYFUNCTION("""COMPUTED_VALUE"""),"Y")</f>
        <v>Y</v>
      </c>
      <c r="G1333" s="3"/>
      <c r="H1333" s="3"/>
      <c r="I1333" s="3" t="str">
        <f>IFERROR(__xludf.DUMMYFUNCTION("""COMPUTED_VALUE""")," ")</f>
        <v> </v>
      </c>
      <c r="J1333" s="3" t="str">
        <f>IFERROR(__xludf.DUMMYFUNCTION("""COMPUTED_VALUE""")," ")</f>
        <v> </v>
      </c>
      <c r="K1333" s="3" t="str">
        <f>IFERROR(__xludf.DUMMYFUNCTION("""COMPUTED_VALUE"""),"Y")</f>
        <v>Y</v>
      </c>
      <c r="L1333" s="3" t="str">
        <f>IFERROR(__xludf.DUMMYFUNCTION("""COMPUTED_VALUE"""),"Group 3")</f>
        <v>Group 3</v>
      </c>
      <c r="M1333" s="3"/>
      <c r="N1333" s="5" t="str">
        <f>IFERROR(__xludf.DUMMYFUNCTION("""COMPUTED_VALUE""")," ")</f>
        <v> </v>
      </c>
      <c r="O1333" s="5"/>
    </row>
    <row r="1334">
      <c r="A1334" s="2" t="str">
        <f>IFERROR(__xludf.DUMMYFUNCTION("""COMPUTED_VALUE"""),"1828")</f>
        <v>1828</v>
      </c>
      <c r="B1334" s="2" t="str">
        <f>IFERROR(__xludf.DUMMYFUNCTION("""COMPUTED_VALUE"""),"VALLEY RE-1")</f>
        <v>VALLEY RE-1</v>
      </c>
      <c r="C1334" s="2" t="str">
        <f>IFERROR(__xludf.DUMMYFUNCTION("""COMPUTED_VALUE"""),"01220")</f>
        <v>01220</v>
      </c>
      <c r="D1334" s="2" t="str">
        <f>IFERROR(__xludf.DUMMYFUNCTION("""COMPUTED_VALUE"""),"CALICHE ELEMENTARY SCHOOL")</f>
        <v>CALICHE ELEMENTARY SCHOOL</v>
      </c>
      <c r="E1334" s="3" t="str">
        <f>IFERROR(__xludf.DUMMYFUNCTION("""COMPUTED_VALUE"""),"Y")</f>
        <v>Y</v>
      </c>
      <c r="F1334" s="3" t="str">
        <f>IFERROR(__xludf.DUMMYFUNCTION("""COMPUTED_VALUE"""),"Y")</f>
        <v>Y</v>
      </c>
      <c r="G1334" s="3"/>
      <c r="H1334" s="3"/>
      <c r="I1334" s="3" t="str">
        <f>IFERROR(__xludf.DUMMYFUNCTION("""COMPUTED_VALUE""")," ")</f>
        <v> </v>
      </c>
      <c r="J1334" s="3" t="str">
        <f>IFERROR(__xludf.DUMMYFUNCTION("""COMPUTED_VALUE""")," ")</f>
        <v> </v>
      </c>
      <c r="K1334" s="3" t="str">
        <f>IFERROR(__xludf.DUMMYFUNCTION("""COMPUTED_VALUE"""),"Y")</f>
        <v>Y</v>
      </c>
      <c r="L1334" s="3" t="str">
        <f>IFERROR(__xludf.DUMMYFUNCTION("""COMPUTED_VALUE"""),"Group 1")</f>
        <v>Group 1</v>
      </c>
      <c r="M1334" s="3"/>
      <c r="N1334" s="5" t="str">
        <f>IFERROR(__xludf.DUMMYFUNCTION("""COMPUTED_VALUE""")," ")</f>
        <v> </v>
      </c>
      <c r="O1334" s="5"/>
    </row>
    <row r="1335">
      <c r="A1335" s="2" t="str">
        <f>IFERROR(__xludf.DUMMYFUNCTION("""COMPUTED_VALUE"""),"1828")</f>
        <v>1828</v>
      </c>
      <c r="B1335" s="2" t="str">
        <f>IFERROR(__xludf.DUMMYFUNCTION("""COMPUTED_VALUE"""),"VALLEY RE-1")</f>
        <v>VALLEY RE-1</v>
      </c>
      <c r="C1335" s="2" t="str">
        <f>IFERROR(__xludf.DUMMYFUNCTION("""COMPUTED_VALUE"""),"01224")</f>
        <v>01224</v>
      </c>
      <c r="D1335" s="2" t="str">
        <f>IFERROR(__xludf.DUMMYFUNCTION("""COMPUTED_VALUE"""),"CALICHE JUNIOR-SENIOR HIGH SCHOOL")</f>
        <v>CALICHE JUNIOR-SENIOR HIGH SCHOOL</v>
      </c>
      <c r="E1335" s="3" t="str">
        <f>IFERROR(__xludf.DUMMYFUNCTION("""COMPUTED_VALUE"""),"Y")</f>
        <v>Y</v>
      </c>
      <c r="F1335" s="3" t="str">
        <f>IFERROR(__xludf.DUMMYFUNCTION("""COMPUTED_VALUE"""),"Y")</f>
        <v>Y</v>
      </c>
      <c r="G1335" s="3"/>
      <c r="H1335" s="3"/>
      <c r="I1335" s="3" t="str">
        <f>IFERROR(__xludf.DUMMYFUNCTION("""COMPUTED_VALUE""")," ")</f>
        <v> </v>
      </c>
      <c r="J1335" s="3" t="str">
        <f>IFERROR(__xludf.DUMMYFUNCTION("""COMPUTED_VALUE""")," ")</f>
        <v> </v>
      </c>
      <c r="K1335" s="3" t="str">
        <f>IFERROR(__xludf.DUMMYFUNCTION("""COMPUTED_VALUE"""),"Y")</f>
        <v>Y</v>
      </c>
      <c r="L1335" s="3" t="str">
        <f>IFERROR(__xludf.DUMMYFUNCTION("""COMPUTED_VALUE"""),"Group 2")</f>
        <v>Group 2</v>
      </c>
      <c r="M1335" s="3"/>
      <c r="N1335" s="5" t="str">
        <f>IFERROR(__xludf.DUMMYFUNCTION("""COMPUTED_VALUE""")," ")</f>
        <v> </v>
      </c>
      <c r="O1335" s="5"/>
    </row>
    <row r="1336">
      <c r="A1336" s="2" t="str">
        <f>IFERROR(__xludf.DUMMYFUNCTION("""COMPUTED_VALUE"""),"1828")</f>
        <v>1828</v>
      </c>
      <c r="B1336" s="2" t="str">
        <f>IFERROR(__xludf.DUMMYFUNCTION("""COMPUTED_VALUE"""),"VALLEY RE-1")</f>
        <v>VALLEY RE-1</v>
      </c>
      <c r="C1336" s="2" t="str">
        <f>IFERROR(__xludf.DUMMYFUNCTION("""COMPUTED_VALUE"""),"01321")</f>
        <v>01321</v>
      </c>
      <c r="D1336" s="2" t="str">
        <f>IFERROR(__xludf.DUMMYFUNCTION("""COMPUTED_VALUE"""),"CAMPBELL ELEMENTARY SCHOOL")</f>
        <v>CAMPBELL ELEMENTARY SCHOOL</v>
      </c>
      <c r="E1336" s="3" t="str">
        <f>IFERROR(__xludf.DUMMYFUNCTION("""COMPUTED_VALUE"""),"Y")</f>
        <v>Y</v>
      </c>
      <c r="F1336" s="3" t="str">
        <f>IFERROR(__xludf.DUMMYFUNCTION("""COMPUTED_VALUE"""),"Y")</f>
        <v>Y</v>
      </c>
      <c r="G1336" s="3"/>
      <c r="H1336" s="3"/>
      <c r="I1336" s="3" t="str">
        <f>IFERROR(__xludf.DUMMYFUNCTION("""COMPUTED_VALUE""")," ")</f>
        <v> </v>
      </c>
      <c r="J1336" s="3" t="str">
        <f>IFERROR(__xludf.DUMMYFUNCTION("""COMPUTED_VALUE""")," ")</f>
        <v> </v>
      </c>
      <c r="K1336" s="3" t="str">
        <f>IFERROR(__xludf.DUMMYFUNCTION("""COMPUTED_VALUE"""),"Y")</f>
        <v>Y</v>
      </c>
      <c r="L1336" s="3" t="str">
        <f>IFERROR(__xludf.DUMMYFUNCTION("""COMPUTED_VALUE"""),"Group 1")</f>
        <v>Group 1</v>
      </c>
      <c r="M1336" s="3"/>
      <c r="N1336" s="5" t="str">
        <f>IFERROR(__xludf.DUMMYFUNCTION("""COMPUTED_VALUE"""),"Y")</f>
        <v>Y</v>
      </c>
      <c r="O1336" s="5"/>
    </row>
    <row r="1337">
      <c r="A1337" s="2" t="str">
        <f>IFERROR(__xludf.DUMMYFUNCTION("""COMPUTED_VALUE"""),"1828")</f>
        <v>1828</v>
      </c>
      <c r="B1337" s="2" t="str">
        <f>IFERROR(__xludf.DUMMYFUNCTION("""COMPUTED_VALUE"""),"VALLEY RE-1")</f>
        <v>VALLEY RE-1</v>
      </c>
      <c r="C1337" s="2" t="str">
        <f>IFERROR(__xludf.DUMMYFUNCTION("""COMPUTED_VALUE"""),"03729")</f>
        <v>03729</v>
      </c>
      <c r="D1337" s="2" t="str">
        <f>IFERROR(__xludf.DUMMYFUNCTION("""COMPUTED_VALUE"""),"HAGEN EARLY EDUCATION CENTER")</f>
        <v>HAGEN EARLY EDUCATION CENTER</v>
      </c>
      <c r="E1337" s="3" t="str">
        <f>IFERROR(__xludf.DUMMYFUNCTION("""COMPUTED_VALUE"""),"Y")</f>
        <v>Y</v>
      </c>
      <c r="F1337" s="3" t="str">
        <f>IFERROR(__xludf.DUMMYFUNCTION("""COMPUTED_VALUE"""),"Y")</f>
        <v>Y</v>
      </c>
      <c r="G1337" s="3"/>
      <c r="H1337" s="3"/>
      <c r="I1337" s="3" t="str">
        <f>IFERROR(__xludf.DUMMYFUNCTION("""COMPUTED_VALUE""")," ")</f>
        <v> </v>
      </c>
      <c r="J1337" s="3" t="str">
        <f>IFERROR(__xludf.DUMMYFUNCTION("""COMPUTED_VALUE""")," ")</f>
        <v> </v>
      </c>
      <c r="K1337" s="3" t="str">
        <f>IFERROR(__xludf.DUMMYFUNCTION("""COMPUTED_VALUE"""),"Y")</f>
        <v>Y</v>
      </c>
      <c r="L1337" s="3" t="str">
        <f>IFERROR(__xludf.DUMMYFUNCTION("""COMPUTED_VALUE"""),"Group 3")</f>
        <v>Group 3</v>
      </c>
      <c r="M1337" s="3"/>
      <c r="N1337" s="5" t="str">
        <f>IFERROR(__xludf.DUMMYFUNCTION("""COMPUTED_VALUE""")," ")</f>
        <v> </v>
      </c>
      <c r="O1337" s="5"/>
    </row>
    <row r="1338">
      <c r="A1338" s="2" t="str">
        <f>IFERROR(__xludf.DUMMYFUNCTION("""COMPUTED_VALUE"""),"1828")</f>
        <v>1828</v>
      </c>
      <c r="B1338" s="2" t="str">
        <f>IFERROR(__xludf.DUMMYFUNCTION("""COMPUTED_VALUE"""),"VALLEY RE-1")</f>
        <v>VALLEY RE-1</v>
      </c>
      <c r="C1338" s="2" t="str">
        <f>IFERROR(__xludf.DUMMYFUNCTION("""COMPUTED_VALUE"""),"08256")</f>
        <v>08256</v>
      </c>
      <c r="D1338" s="2" t="str">
        <f>IFERROR(__xludf.DUMMYFUNCTION("""COMPUTED_VALUE"""),"STERLING MIDDLE SCHOOL")</f>
        <v>STERLING MIDDLE SCHOOL</v>
      </c>
      <c r="E1338" s="3" t="str">
        <f>IFERROR(__xludf.DUMMYFUNCTION("""COMPUTED_VALUE"""),"Y")</f>
        <v>Y</v>
      </c>
      <c r="F1338" s="3" t="str">
        <f>IFERROR(__xludf.DUMMYFUNCTION("""COMPUTED_VALUE"""),"Y")</f>
        <v>Y</v>
      </c>
      <c r="G1338" s="3"/>
      <c r="H1338" s="3"/>
      <c r="I1338" s="3" t="str">
        <f>IFERROR(__xludf.DUMMYFUNCTION("""COMPUTED_VALUE""")," ")</f>
        <v> </v>
      </c>
      <c r="J1338" s="3" t="str">
        <f>IFERROR(__xludf.DUMMYFUNCTION("""COMPUTED_VALUE""")," ")</f>
        <v> </v>
      </c>
      <c r="K1338" s="3" t="str">
        <f>IFERROR(__xludf.DUMMYFUNCTION("""COMPUTED_VALUE"""),"Y")</f>
        <v>Y</v>
      </c>
      <c r="L1338" s="3" t="str">
        <f>IFERROR(__xludf.DUMMYFUNCTION("""COMPUTED_VALUE"""),"Group 3")</f>
        <v>Group 3</v>
      </c>
      <c r="M1338" s="3"/>
      <c r="N1338" s="5" t="str">
        <f>IFERROR(__xludf.DUMMYFUNCTION("""COMPUTED_VALUE""")," ")</f>
        <v> </v>
      </c>
      <c r="O1338" s="5"/>
    </row>
    <row r="1339">
      <c r="A1339" s="2" t="str">
        <f>IFERROR(__xludf.DUMMYFUNCTION("""COMPUTED_VALUE"""),"1828")</f>
        <v>1828</v>
      </c>
      <c r="B1339" s="2" t="str">
        <f>IFERROR(__xludf.DUMMYFUNCTION("""COMPUTED_VALUE"""),"VALLEY RE-1")</f>
        <v>VALLEY RE-1</v>
      </c>
      <c r="C1339" s="2" t="str">
        <f>IFERROR(__xludf.DUMMYFUNCTION("""COMPUTED_VALUE"""),"08260")</f>
        <v>08260</v>
      </c>
      <c r="D1339" s="2" t="str">
        <f>IFERROR(__xludf.DUMMYFUNCTION("""COMPUTED_VALUE"""),"STERLING HIGH SCHOOL")</f>
        <v>STERLING HIGH SCHOOL</v>
      </c>
      <c r="E1339" s="3" t="str">
        <f>IFERROR(__xludf.DUMMYFUNCTION("""COMPUTED_VALUE"""),"Y")</f>
        <v>Y</v>
      </c>
      <c r="F1339" s="3" t="str">
        <f>IFERROR(__xludf.DUMMYFUNCTION("""COMPUTED_VALUE"""),"Y")</f>
        <v>Y</v>
      </c>
      <c r="G1339" s="3"/>
      <c r="H1339" s="3"/>
      <c r="I1339" s="3" t="str">
        <f>IFERROR(__xludf.DUMMYFUNCTION("""COMPUTED_VALUE""")," ")</f>
        <v> </v>
      </c>
      <c r="J1339" s="3" t="str">
        <f>IFERROR(__xludf.DUMMYFUNCTION("""COMPUTED_VALUE""")," ")</f>
        <v> </v>
      </c>
      <c r="K1339" s="3" t="str">
        <f>IFERROR(__xludf.DUMMYFUNCTION("""COMPUTED_VALUE"""),"Y")</f>
        <v>Y</v>
      </c>
      <c r="L1339" s="3" t="str">
        <f>IFERROR(__xludf.DUMMYFUNCTION("""COMPUTED_VALUE"""),"Group 2")</f>
        <v>Group 2</v>
      </c>
      <c r="M1339" s="3"/>
      <c r="N1339" s="5" t="str">
        <f>IFERROR(__xludf.DUMMYFUNCTION("""COMPUTED_VALUE""")," ")</f>
        <v> </v>
      </c>
      <c r="O1339" s="5"/>
    </row>
    <row r="1340">
      <c r="A1340" s="2" t="str">
        <f>IFERROR(__xludf.DUMMYFUNCTION("""COMPUTED_VALUE"""),"1850")</f>
        <v>1850</v>
      </c>
      <c r="B1340" s="2" t="str">
        <f>IFERROR(__xludf.DUMMYFUNCTION("""COMPUTED_VALUE"""),"FRENCHMAN           RE-3")</f>
        <v>FRENCHMAN           RE-3</v>
      </c>
      <c r="C1340" s="2" t="str">
        <f>IFERROR(__xludf.DUMMYFUNCTION("""COMPUTED_VALUE"""),"02980")</f>
        <v>02980</v>
      </c>
      <c r="D1340" s="2" t="str">
        <f>IFERROR(__xludf.DUMMYFUNCTION("""COMPUTED_VALUE"""),"FLEMING ELEMENTARY SCHOOL")</f>
        <v>FLEMING ELEMENTARY SCHOOL</v>
      </c>
      <c r="E1340" s="3" t="str">
        <f>IFERROR(__xludf.DUMMYFUNCTION("""COMPUTED_VALUE"""),"Y")</f>
        <v>Y</v>
      </c>
      <c r="F1340" s="3" t="str">
        <f>IFERROR(__xludf.DUMMYFUNCTION("""COMPUTED_VALUE"""),"Y")</f>
        <v>Y</v>
      </c>
      <c r="G1340" s="3"/>
      <c r="H1340" s="3"/>
      <c r="I1340" s="3" t="str">
        <f>IFERROR(__xludf.DUMMYFUNCTION("""COMPUTED_VALUE""")," ")</f>
        <v> </v>
      </c>
      <c r="J1340" s="3" t="str">
        <f>IFERROR(__xludf.DUMMYFUNCTION("""COMPUTED_VALUE""")," ")</f>
        <v> </v>
      </c>
      <c r="K1340" s="3" t="str">
        <f>IFERROR(__xludf.DUMMYFUNCTION("""COMPUTED_VALUE"""),"Y")</f>
        <v>Y</v>
      </c>
      <c r="L1340" s="3" t="str">
        <f>IFERROR(__xludf.DUMMYFUNCTION("""COMPUTED_VALUE""")," ")</f>
        <v> </v>
      </c>
      <c r="M1340" s="3" t="str">
        <f>IFERROR(__xludf.DUMMYFUNCTION("""COMPUTED_VALUE"""),"Base year")</f>
        <v>Base year</v>
      </c>
      <c r="N1340" s="5" t="str">
        <f>IFERROR(__xludf.DUMMYFUNCTION("""COMPUTED_VALUE""")," ")</f>
        <v> </v>
      </c>
      <c r="O1340" s="5"/>
    </row>
    <row r="1341">
      <c r="A1341" s="2" t="str">
        <f>IFERROR(__xludf.DUMMYFUNCTION("""COMPUTED_VALUE"""),"1850")</f>
        <v>1850</v>
      </c>
      <c r="B1341" s="2" t="str">
        <f>IFERROR(__xludf.DUMMYFUNCTION("""COMPUTED_VALUE"""),"FRENCHMAN           RE-3")</f>
        <v>FRENCHMAN           RE-3</v>
      </c>
      <c r="C1341" s="2" t="str">
        <f>IFERROR(__xludf.DUMMYFUNCTION("""COMPUTED_VALUE"""),"02988")</f>
        <v>02988</v>
      </c>
      <c r="D1341" s="2" t="str">
        <f>IFERROR(__xludf.DUMMYFUNCTION("""COMPUTED_VALUE"""),"FLEMING HIGH SCHOOL")</f>
        <v>FLEMING HIGH SCHOOL</v>
      </c>
      <c r="E1341" s="3" t="str">
        <f>IFERROR(__xludf.DUMMYFUNCTION("""COMPUTED_VALUE"""),"Y")</f>
        <v>Y</v>
      </c>
      <c r="F1341" s="3" t="str">
        <f>IFERROR(__xludf.DUMMYFUNCTION("""COMPUTED_VALUE"""),"Y")</f>
        <v>Y</v>
      </c>
      <c r="G1341" s="3"/>
      <c r="H1341" s="3"/>
      <c r="I1341" s="3" t="str">
        <f>IFERROR(__xludf.DUMMYFUNCTION("""COMPUTED_VALUE""")," ")</f>
        <v> </v>
      </c>
      <c r="J1341" s="3" t="str">
        <f>IFERROR(__xludf.DUMMYFUNCTION("""COMPUTED_VALUE""")," ")</f>
        <v> </v>
      </c>
      <c r="K1341" s="3" t="str">
        <f>IFERROR(__xludf.DUMMYFUNCTION("""COMPUTED_VALUE"""),"Y")</f>
        <v>Y</v>
      </c>
      <c r="L1341" s="3" t="str">
        <f>IFERROR(__xludf.DUMMYFUNCTION("""COMPUTED_VALUE""")," ")</f>
        <v> </v>
      </c>
      <c r="M1341" s="3" t="str">
        <f>IFERROR(__xludf.DUMMYFUNCTION("""COMPUTED_VALUE"""),"Base year")</f>
        <v>Base year</v>
      </c>
      <c r="N1341" s="5" t="str">
        <f>IFERROR(__xludf.DUMMYFUNCTION("""COMPUTED_VALUE""")," ")</f>
        <v> </v>
      </c>
      <c r="O1341" s="5"/>
    </row>
    <row r="1342">
      <c r="A1342" s="2" t="str">
        <f>IFERROR(__xludf.DUMMYFUNCTION("""COMPUTED_VALUE"""),"1860")</f>
        <v>1860</v>
      </c>
      <c r="B1342" s="2" t="str">
        <f>IFERROR(__xludf.DUMMYFUNCTION("""COMPUTED_VALUE"""),"BUFFALO RE-4J")</f>
        <v>BUFFALO RE-4J</v>
      </c>
      <c r="C1342" s="2" t="str">
        <f>IFERROR(__xludf.DUMMYFUNCTION("""COMPUTED_VALUE"""),"04794")</f>
        <v>04794</v>
      </c>
      <c r="D1342" s="2" t="str">
        <f>IFERROR(__xludf.DUMMYFUNCTION("""COMPUTED_VALUE"""),"Little Folks Preschool/Daycare")</f>
        <v>Little Folks Preschool/Daycare</v>
      </c>
      <c r="E1342" s="3" t="str">
        <f>IFERROR(__xludf.DUMMYFUNCTION("""COMPUTED_VALUE"""),"Y")</f>
        <v>Y</v>
      </c>
      <c r="F1342" s="3" t="str">
        <f>IFERROR(__xludf.DUMMYFUNCTION("""COMPUTED_VALUE"""),"Y")</f>
        <v>Y</v>
      </c>
      <c r="G1342" s="3"/>
      <c r="H1342" s="3"/>
      <c r="I1342" s="3" t="str">
        <f>IFERROR(__xludf.DUMMYFUNCTION("""COMPUTED_VALUE""")," ")</f>
        <v> </v>
      </c>
      <c r="J1342" s="3" t="str">
        <f>IFERROR(__xludf.DUMMYFUNCTION("""COMPUTED_VALUE""")," ")</f>
        <v> </v>
      </c>
      <c r="K1342" s="3" t="str">
        <f>IFERROR(__xludf.DUMMYFUNCTION("""COMPUTED_VALUE"""),"Y")</f>
        <v>Y</v>
      </c>
      <c r="L1342" s="3" t="str">
        <f>IFERROR(__xludf.DUMMYFUNCTION("""COMPUTED_VALUE""")," ")</f>
        <v> </v>
      </c>
      <c r="M1342" s="3"/>
      <c r="N1342" s="5" t="str">
        <f>IFERROR(__xludf.DUMMYFUNCTION("""COMPUTED_VALUE""")," ")</f>
        <v> </v>
      </c>
      <c r="O1342" s="5"/>
    </row>
    <row r="1343">
      <c r="A1343" s="2" t="str">
        <f>IFERROR(__xludf.DUMMYFUNCTION("""COMPUTED_VALUE"""),"1860")</f>
        <v>1860</v>
      </c>
      <c r="B1343" s="2" t="str">
        <f>IFERROR(__xludf.DUMMYFUNCTION("""COMPUTED_VALUE"""),"BUFFALO RE-4J")</f>
        <v>BUFFALO RE-4J</v>
      </c>
      <c r="C1343" s="2" t="str">
        <f>IFERROR(__xludf.DUMMYFUNCTION("""COMPUTED_VALUE"""),"05802")</f>
        <v>05802</v>
      </c>
      <c r="D1343" s="2" t="str">
        <f>IFERROR(__xludf.DUMMYFUNCTION("""COMPUTED_VALUE"""),"MERINO ELEMENTARY SCHOOL")</f>
        <v>MERINO ELEMENTARY SCHOOL</v>
      </c>
      <c r="E1343" s="3" t="str">
        <f>IFERROR(__xludf.DUMMYFUNCTION("""COMPUTED_VALUE"""),"Y")</f>
        <v>Y</v>
      </c>
      <c r="F1343" s="3" t="str">
        <f>IFERROR(__xludf.DUMMYFUNCTION("""COMPUTED_VALUE"""),"Y")</f>
        <v>Y</v>
      </c>
      <c r="G1343" s="3"/>
      <c r="H1343" s="3"/>
      <c r="I1343" s="3" t="str">
        <f>IFERROR(__xludf.DUMMYFUNCTION("""COMPUTED_VALUE""")," ")</f>
        <v> </v>
      </c>
      <c r="J1343" s="3" t="str">
        <f>IFERROR(__xludf.DUMMYFUNCTION("""COMPUTED_VALUE""")," ")</f>
        <v> </v>
      </c>
      <c r="K1343" s="3" t="str">
        <f>IFERROR(__xludf.DUMMYFUNCTION("""COMPUTED_VALUE"""),"Y")</f>
        <v>Y</v>
      </c>
      <c r="L1343" s="3" t="str">
        <f>IFERROR(__xludf.DUMMYFUNCTION("""COMPUTED_VALUE"""),"Group 1")</f>
        <v>Group 1</v>
      </c>
      <c r="M1343" s="3"/>
      <c r="N1343" s="5" t="str">
        <f>IFERROR(__xludf.DUMMYFUNCTION("""COMPUTED_VALUE""")," ")</f>
        <v> </v>
      </c>
      <c r="O1343" s="5"/>
    </row>
    <row r="1344">
      <c r="A1344" s="2" t="str">
        <f>IFERROR(__xludf.DUMMYFUNCTION("""COMPUTED_VALUE"""),"1860")</f>
        <v>1860</v>
      </c>
      <c r="B1344" s="2" t="str">
        <f>IFERROR(__xludf.DUMMYFUNCTION("""COMPUTED_VALUE"""),"BUFFALO RE-4J")</f>
        <v>BUFFALO RE-4J</v>
      </c>
      <c r="C1344" s="2" t="str">
        <f>IFERROR(__xludf.DUMMYFUNCTION("""COMPUTED_VALUE"""),"05806")</f>
        <v>05806</v>
      </c>
      <c r="D1344" s="2" t="str">
        <f>IFERROR(__xludf.DUMMYFUNCTION("""COMPUTED_VALUE"""),"MERINO JUNIOR SENIOR HIGH SCHOOL")</f>
        <v>MERINO JUNIOR SENIOR HIGH SCHOOL</v>
      </c>
      <c r="E1344" s="3" t="str">
        <f>IFERROR(__xludf.DUMMYFUNCTION("""COMPUTED_VALUE"""),"Y")</f>
        <v>Y</v>
      </c>
      <c r="F1344" s="3" t="str">
        <f>IFERROR(__xludf.DUMMYFUNCTION("""COMPUTED_VALUE"""),"Y")</f>
        <v>Y</v>
      </c>
      <c r="G1344" s="3"/>
      <c r="H1344" s="3"/>
      <c r="I1344" s="3" t="str">
        <f>IFERROR(__xludf.DUMMYFUNCTION("""COMPUTED_VALUE""")," ")</f>
        <v> </v>
      </c>
      <c r="J1344" s="3" t="str">
        <f>IFERROR(__xludf.DUMMYFUNCTION("""COMPUTED_VALUE""")," ")</f>
        <v> </v>
      </c>
      <c r="K1344" s="3" t="str">
        <f>IFERROR(__xludf.DUMMYFUNCTION("""COMPUTED_VALUE"""),"Y")</f>
        <v>Y</v>
      </c>
      <c r="L1344" s="3" t="str">
        <f>IFERROR(__xludf.DUMMYFUNCTION("""COMPUTED_VALUE"""),"Group 1")</f>
        <v>Group 1</v>
      </c>
      <c r="M1344" s="3"/>
      <c r="N1344" s="5" t="str">
        <f>IFERROR(__xludf.DUMMYFUNCTION("""COMPUTED_VALUE""")," ")</f>
        <v> </v>
      </c>
      <c r="O1344" s="5"/>
    </row>
    <row r="1345">
      <c r="A1345" s="2" t="str">
        <f>IFERROR(__xludf.DUMMYFUNCTION("""COMPUTED_VALUE"""),"1870")</f>
        <v>1870</v>
      </c>
      <c r="B1345" s="2" t="str">
        <f>IFERROR(__xludf.DUMMYFUNCTION("""COMPUTED_VALUE"""),"PEETZ PLATEAU       RE-5")</f>
        <v>PEETZ PLATEAU       RE-5</v>
      </c>
      <c r="C1345" s="2" t="str">
        <f>IFERROR(__xludf.DUMMYFUNCTION("""COMPUTED_VALUE"""),"06834")</f>
        <v>06834</v>
      </c>
      <c r="D1345" s="2" t="str">
        <f>IFERROR(__xludf.DUMMYFUNCTION("""COMPUTED_VALUE"""),"PEETZ ELEMENTARY SCHOOL")</f>
        <v>PEETZ ELEMENTARY SCHOOL</v>
      </c>
      <c r="E1345" s="3"/>
      <c r="F1345" s="3" t="str">
        <f>IFERROR(__xludf.DUMMYFUNCTION("""COMPUTED_VALUE"""),"Y")</f>
        <v>Y</v>
      </c>
      <c r="G1345" s="3"/>
      <c r="H1345" s="3"/>
      <c r="I1345" s="3" t="str">
        <f>IFERROR(__xludf.DUMMYFUNCTION("""COMPUTED_VALUE""")," ")</f>
        <v> </v>
      </c>
      <c r="J1345" s="3" t="str">
        <f>IFERROR(__xludf.DUMMYFUNCTION("""COMPUTED_VALUE""")," ")</f>
        <v> </v>
      </c>
      <c r="K1345" s="3" t="str">
        <f>IFERROR(__xludf.DUMMYFUNCTION("""COMPUTED_VALUE"""),"Y")</f>
        <v>Y</v>
      </c>
      <c r="L1345" s="3" t="str">
        <f>IFERROR(__xludf.DUMMYFUNCTION("""COMPUTED_VALUE""")," ")</f>
        <v> </v>
      </c>
      <c r="M1345" s="3"/>
      <c r="N1345" s="5" t="str">
        <f>IFERROR(__xludf.DUMMYFUNCTION("""COMPUTED_VALUE""")," ")</f>
        <v> </v>
      </c>
      <c r="O1345" s="5"/>
    </row>
    <row r="1346">
      <c r="A1346" s="2" t="str">
        <f>IFERROR(__xludf.DUMMYFUNCTION("""COMPUTED_VALUE"""),"1870")</f>
        <v>1870</v>
      </c>
      <c r="B1346" s="2" t="str">
        <f>IFERROR(__xludf.DUMMYFUNCTION("""COMPUTED_VALUE"""),"PEETZ PLATEAU       RE-5")</f>
        <v>PEETZ PLATEAU       RE-5</v>
      </c>
      <c r="C1346" s="2" t="str">
        <f>IFERROR(__xludf.DUMMYFUNCTION("""COMPUTED_VALUE"""),"06838")</f>
        <v>06838</v>
      </c>
      <c r="D1346" s="2" t="str">
        <f>IFERROR(__xludf.DUMMYFUNCTION("""COMPUTED_VALUE"""),"PEETZ JUNIOR-SENIOR HIGH SCHOOL")</f>
        <v>PEETZ JUNIOR-SENIOR HIGH SCHOOL</v>
      </c>
      <c r="E1346" s="3"/>
      <c r="F1346" s="3" t="str">
        <f>IFERROR(__xludf.DUMMYFUNCTION("""COMPUTED_VALUE"""),"Y")</f>
        <v>Y</v>
      </c>
      <c r="G1346" s="3"/>
      <c r="H1346" s="3"/>
      <c r="I1346" s="3" t="str">
        <f>IFERROR(__xludf.DUMMYFUNCTION("""COMPUTED_VALUE""")," ")</f>
        <v> </v>
      </c>
      <c r="J1346" s="3" t="str">
        <f>IFERROR(__xludf.DUMMYFUNCTION("""COMPUTED_VALUE""")," ")</f>
        <v> </v>
      </c>
      <c r="K1346" s="3" t="str">
        <f>IFERROR(__xludf.DUMMYFUNCTION("""COMPUTED_VALUE"""),"Y")</f>
        <v>Y</v>
      </c>
      <c r="L1346" s="3" t="str">
        <f>IFERROR(__xludf.DUMMYFUNCTION("""COMPUTED_VALUE""")," ")</f>
        <v> </v>
      </c>
      <c r="M1346" s="3"/>
      <c r="N1346" s="5" t="str">
        <f>IFERROR(__xludf.DUMMYFUNCTION("""COMPUTED_VALUE""")," ")</f>
        <v> </v>
      </c>
      <c r="O1346" s="5"/>
    </row>
    <row r="1347">
      <c r="A1347" s="2" t="str">
        <f>IFERROR(__xludf.DUMMYFUNCTION("""COMPUTED_VALUE"""),"1980")</f>
        <v>1980</v>
      </c>
      <c r="B1347" s="2" t="str">
        <f>IFERROR(__xludf.DUMMYFUNCTION("""COMPUTED_VALUE"""),"DE BEQUE            49JT")</f>
        <v>DE BEQUE            49JT</v>
      </c>
      <c r="C1347" s="2" t="str">
        <f>IFERROR(__xludf.DUMMYFUNCTION("""COMPUTED_VALUE"""),"02126")</f>
        <v>02126</v>
      </c>
      <c r="D1347" s="2" t="str">
        <f>IFERROR(__xludf.DUMMYFUNCTION("""COMPUTED_VALUE"""),"DE BEQUE PK-12 SCHOOL DISTRICT 49JT")</f>
        <v>DE BEQUE PK-12 SCHOOL DISTRICT 49JT</v>
      </c>
      <c r="E1347" s="3" t="str">
        <f>IFERROR(__xludf.DUMMYFUNCTION("""COMPUTED_VALUE"""),"Y")</f>
        <v>Y</v>
      </c>
      <c r="F1347" s="3" t="str">
        <f>IFERROR(__xludf.DUMMYFUNCTION("""COMPUTED_VALUE"""),"Y")</f>
        <v>Y</v>
      </c>
      <c r="G1347" s="3"/>
      <c r="H1347" s="3"/>
      <c r="I1347" s="3" t="str">
        <f>IFERROR(__xludf.DUMMYFUNCTION("""COMPUTED_VALUE""")," ")</f>
        <v> </v>
      </c>
      <c r="J1347" s="3" t="str">
        <f>IFERROR(__xludf.DUMMYFUNCTION("""COMPUTED_VALUE""")," ")</f>
        <v> </v>
      </c>
      <c r="K1347" s="3" t="str">
        <f>IFERROR(__xludf.DUMMYFUNCTION("""COMPUTED_VALUE"""),"Y")</f>
        <v>Y</v>
      </c>
      <c r="L1347" s="3" t="str">
        <f>IFERROR(__xludf.DUMMYFUNCTION("""COMPUTED_VALUE"""),"Group 1")</f>
        <v>Group 1</v>
      </c>
      <c r="M1347" s="3"/>
      <c r="N1347" s="5" t="str">
        <f>IFERROR(__xludf.DUMMYFUNCTION("""COMPUTED_VALUE""")," ")</f>
        <v> </v>
      </c>
      <c r="O1347" s="5"/>
    </row>
    <row r="1348">
      <c r="A1348" s="2" t="str">
        <f>IFERROR(__xludf.DUMMYFUNCTION("""COMPUTED_VALUE"""),"1990")</f>
        <v>1990</v>
      </c>
      <c r="B1348" s="2" t="str">
        <f>IFERROR(__xludf.DUMMYFUNCTION("""COMPUTED_VALUE"""),"PLATEAU VALLEY      50")</f>
        <v>PLATEAU VALLEY      50</v>
      </c>
      <c r="C1348" s="2" t="str">
        <f>IFERROR(__xludf.DUMMYFUNCTION("""COMPUTED_VALUE"""),"07024")</f>
        <v>07024</v>
      </c>
      <c r="D1348" s="2" t="str">
        <f>IFERROR(__xludf.DUMMYFUNCTION("""COMPUTED_VALUE"""),"PLATEAU VALLEY ELEMENTARY SCHOOL")</f>
        <v>PLATEAU VALLEY ELEMENTARY SCHOOL</v>
      </c>
      <c r="E1348" s="3" t="str">
        <f>IFERROR(__xludf.DUMMYFUNCTION("""COMPUTED_VALUE"""),"Y")</f>
        <v>Y</v>
      </c>
      <c r="F1348" s="3" t="str">
        <f>IFERROR(__xludf.DUMMYFUNCTION("""COMPUTED_VALUE"""),"Y")</f>
        <v>Y</v>
      </c>
      <c r="G1348" s="3"/>
      <c r="H1348" s="3"/>
      <c r="I1348" s="3" t="str">
        <f>IFERROR(__xludf.DUMMYFUNCTION("""COMPUTED_VALUE""")," ")</f>
        <v> </v>
      </c>
      <c r="J1348" s="3" t="str">
        <f>IFERROR(__xludf.DUMMYFUNCTION("""COMPUTED_VALUE""")," ")</f>
        <v> </v>
      </c>
      <c r="K1348" s="3" t="str">
        <f>IFERROR(__xludf.DUMMYFUNCTION("""COMPUTED_VALUE"""),"Y")</f>
        <v>Y</v>
      </c>
      <c r="L1348" s="3" t="str">
        <f>IFERROR(__xludf.DUMMYFUNCTION("""COMPUTED_VALUE"""),"Group 2")</f>
        <v>Group 2</v>
      </c>
      <c r="M1348" s="3"/>
      <c r="N1348" s="5" t="str">
        <f>IFERROR(__xludf.DUMMYFUNCTION("""COMPUTED_VALUE""")," ")</f>
        <v> </v>
      </c>
      <c r="O1348" s="5"/>
    </row>
    <row r="1349">
      <c r="A1349" s="2" t="str">
        <f>IFERROR(__xludf.DUMMYFUNCTION("""COMPUTED_VALUE"""),"1990")</f>
        <v>1990</v>
      </c>
      <c r="B1349" s="2" t="str">
        <f>IFERROR(__xludf.DUMMYFUNCTION("""COMPUTED_VALUE"""),"PLATEAU VALLEY      50")</f>
        <v>PLATEAU VALLEY      50</v>
      </c>
      <c r="C1349" s="2" t="str">
        <f>IFERROR(__xludf.DUMMYFUNCTION("""COMPUTED_VALUE"""),"07028")</f>
        <v>07028</v>
      </c>
      <c r="D1349" s="2" t="str">
        <f>IFERROR(__xludf.DUMMYFUNCTION("""COMPUTED_VALUE"""),"PLATEAU VALLEY MIDDLE SCHOOL")</f>
        <v>PLATEAU VALLEY MIDDLE SCHOOL</v>
      </c>
      <c r="E1349" s="3" t="str">
        <f>IFERROR(__xludf.DUMMYFUNCTION("""COMPUTED_VALUE"""),"Y")</f>
        <v>Y</v>
      </c>
      <c r="F1349" s="3" t="str">
        <f>IFERROR(__xludf.DUMMYFUNCTION("""COMPUTED_VALUE"""),"Y")</f>
        <v>Y</v>
      </c>
      <c r="G1349" s="3"/>
      <c r="H1349" s="3"/>
      <c r="I1349" s="3" t="str">
        <f>IFERROR(__xludf.DUMMYFUNCTION("""COMPUTED_VALUE""")," ")</f>
        <v> </v>
      </c>
      <c r="J1349" s="3" t="str">
        <f>IFERROR(__xludf.DUMMYFUNCTION("""COMPUTED_VALUE""")," ")</f>
        <v> </v>
      </c>
      <c r="K1349" s="3" t="str">
        <f>IFERROR(__xludf.DUMMYFUNCTION("""COMPUTED_VALUE"""),"Y")</f>
        <v>Y</v>
      </c>
      <c r="L1349" s="3" t="str">
        <f>IFERROR(__xludf.DUMMYFUNCTION("""COMPUTED_VALUE"""),"Group 2")</f>
        <v>Group 2</v>
      </c>
      <c r="M1349" s="3"/>
      <c r="N1349" s="5" t="str">
        <f>IFERROR(__xludf.DUMMYFUNCTION("""COMPUTED_VALUE""")," ")</f>
        <v> </v>
      </c>
      <c r="O1349" s="5"/>
    </row>
    <row r="1350">
      <c r="A1350" s="2" t="str">
        <f>IFERROR(__xludf.DUMMYFUNCTION("""COMPUTED_VALUE"""),"1990")</f>
        <v>1990</v>
      </c>
      <c r="B1350" s="2" t="str">
        <f>IFERROR(__xludf.DUMMYFUNCTION("""COMPUTED_VALUE"""),"PLATEAU VALLEY      50")</f>
        <v>PLATEAU VALLEY      50</v>
      </c>
      <c r="C1350" s="2" t="str">
        <f>IFERROR(__xludf.DUMMYFUNCTION("""COMPUTED_VALUE"""),"07032")</f>
        <v>07032</v>
      </c>
      <c r="D1350" s="2" t="str">
        <f>IFERROR(__xludf.DUMMYFUNCTION("""COMPUTED_VALUE"""),"PLATEAU VALLEY HIGH SCHOOL")</f>
        <v>PLATEAU VALLEY HIGH SCHOOL</v>
      </c>
      <c r="E1350" s="3" t="str">
        <f>IFERROR(__xludf.DUMMYFUNCTION("""COMPUTED_VALUE"""),"Y")</f>
        <v>Y</v>
      </c>
      <c r="F1350" s="3" t="str">
        <f>IFERROR(__xludf.DUMMYFUNCTION("""COMPUTED_VALUE"""),"Y")</f>
        <v>Y</v>
      </c>
      <c r="G1350" s="3"/>
      <c r="H1350" s="3"/>
      <c r="I1350" s="3" t="str">
        <f>IFERROR(__xludf.DUMMYFUNCTION("""COMPUTED_VALUE""")," ")</f>
        <v> </v>
      </c>
      <c r="J1350" s="3" t="str">
        <f>IFERROR(__xludf.DUMMYFUNCTION("""COMPUTED_VALUE""")," ")</f>
        <v> </v>
      </c>
      <c r="K1350" s="3" t="str">
        <f>IFERROR(__xludf.DUMMYFUNCTION("""COMPUTED_VALUE"""),"Y")</f>
        <v>Y</v>
      </c>
      <c r="L1350" s="3" t="str">
        <f>IFERROR(__xludf.DUMMYFUNCTION("""COMPUTED_VALUE"""),"Group 1")</f>
        <v>Group 1</v>
      </c>
      <c r="M1350" s="3"/>
      <c r="N1350" s="5" t="str">
        <f>IFERROR(__xludf.DUMMYFUNCTION("""COMPUTED_VALUE""")," ")</f>
        <v> </v>
      </c>
      <c r="O1350" s="5"/>
    </row>
    <row r="1351">
      <c r="A1351" s="2" t="str">
        <f>IFERROR(__xludf.DUMMYFUNCTION("""COMPUTED_VALUE"""),"2000")</f>
        <v>2000</v>
      </c>
      <c r="B1351" s="2" t="str">
        <f>IFERROR(__xludf.DUMMYFUNCTION("""COMPUTED_VALUE"""),"MESA COUNTY VALLEY 51")</f>
        <v>MESA COUNTY VALLEY 51</v>
      </c>
      <c r="C1351" s="2" t="str">
        <f>IFERROR(__xludf.DUMMYFUNCTION("""COMPUTED_VALUE"""),"00262")</f>
        <v>00262</v>
      </c>
      <c r="D1351" s="2" t="str">
        <f>IFERROR(__xludf.DUMMYFUNCTION("""COMPUTED_VALUE"""),"APPLETON ELEMENTARY SCHOOL")</f>
        <v>APPLETON ELEMENTARY SCHOOL</v>
      </c>
      <c r="E1351" s="3" t="str">
        <f>IFERROR(__xludf.DUMMYFUNCTION("""COMPUTED_VALUE"""),"Y")</f>
        <v>Y</v>
      </c>
      <c r="F1351" s="3" t="str">
        <f>IFERROR(__xludf.DUMMYFUNCTION("""COMPUTED_VALUE"""),"Y")</f>
        <v>Y</v>
      </c>
      <c r="G1351" s="3"/>
      <c r="H1351" s="3"/>
      <c r="I1351" s="3" t="str">
        <f>IFERROR(__xludf.DUMMYFUNCTION("""COMPUTED_VALUE""")," ")</f>
        <v> </v>
      </c>
      <c r="J1351" s="3" t="str">
        <f>IFERROR(__xludf.DUMMYFUNCTION("""COMPUTED_VALUE""")," ")</f>
        <v> </v>
      </c>
      <c r="K1351" s="3" t="str">
        <f>IFERROR(__xludf.DUMMYFUNCTION("""COMPUTED_VALUE"""),"Y")</f>
        <v>Y</v>
      </c>
      <c r="L1351" s="3" t="str">
        <f>IFERROR(__xludf.DUMMYFUNCTION("""COMPUTED_VALUE"""),"Group 8")</f>
        <v>Group 8</v>
      </c>
      <c r="M1351" s="3"/>
      <c r="N1351" s="5" t="str">
        <f>IFERROR(__xludf.DUMMYFUNCTION("""COMPUTED_VALUE""")," ")</f>
        <v> </v>
      </c>
      <c r="O1351" s="5"/>
    </row>
    <row r="1352">
      <c r="A1352" s="2" t="str">
        <f>IFERROR(__xludf.DUMMYFUNCTION("""COMPUTED_VALUE"""),"2000")</f>
        <v>2000</v>
      </c>
      <c r="B1352" s="2" t="str">
        <f>IFERROR(__xludf.DUMMYFUNCTION("""COMPUTED_VALUE"""),"MESA COUNTY VALLEY 51")</f>
        <v>MESA COUNTY VALLEY 51</v>
      </c>
      <c r="C1352" s="2" t="str">
        <f>IFERROR(__xludf.DUMMYFUNCTION("""COMPUTED_VALUE"""),"00362")</f>
        <v>00362</v>
      </c>
      <c r="D1352" s="2" t="str">
        <f>IFERROR(__xludf.DUMMYFUNCTION("""COMPUTED_VALUE"""),"RIM ROCK ELEMENTARY SCHOOL")</f>
        <v>RIM ROCK ELEMENTARY SCHOOL</v>
      </c>
      <c r="E1352" s="3" t="str">
        <f>IFERROR(__xludf.DUMMYFUNCTION("""COMPUTED_VALUE"""),"Y")</f>
        <v>Y</v>
      </c>
      <c r="F1352" s="3" t="str">
        <f>IFERROR(__xludf.DUMMYFUNCTION("""COMPUTED_VALUE"""),"Y")</f>
        <v>Y</v>
      </c>
      <c r="G1352" s="3"/>
      <c r="H1352" s="3"/>
      <c r="I1352" s="3" t="str">
        <f>IFERROR(__xludf.DUMMYFUNCTION("""COMPUTED_VALUE""")," ")</f>
        <v> </v>
      </c>
      <c r="J1352" s="3" t="str">
        <f>IFERROR(__xludf.DUMMYFUNCTION("""COMPUTED_VALUE""")," ")</f>
        <v> </v>
      </c>
      <c r="K1352" s="3" t="str">
        <f>IFERROR(__xludf.DUMMYFUNCTION("""COMPUTED_VALUE"""),"Y")</f>
        <v>Y</v>
      </c>
      <c r="L1352" s="3" t="str">
        <f>IFERROR(__xludf.DUMMYFUNCTION("""COMPUTED_VALUE"""),"Group 2")</f>
        <v>Group 2</v>
      </c>
      <c r="M1352" s="3"/>
      <c r="N1352" s="5" t="str">
        <f>IFERROR(__xludf.DUMMYFUNCTION("""COMPUTED_VALUE"""),"Y")</f>
        <v>Y</v>
      </c>
      <c r="O1352" s="5"/>
    </row>
    <row r="1353">
      <c r="A1353" s="2" t="str">
        <f>IFERROR(__xludf.DUMMYFUNCTION("""COMPUTED_VALUE"""),"2000")</f>
        <v>2000</v>
      </c>
      <c r="B1353" s="2" t="str">
        <f>IFERROR(__xludf.DUMMYFUNCTION("""COMPUTED_VALUE"""),"MESA COUNTY VALLEY 51")</f>
        <v>MESA COUNTY VALLEY 51</v>
      </c>
      <c r="C1353" s="2" t="str">
        <f>IFERROR(__xludf.DUMMYFUNCTION("""COMPUTED_VALUE"""),"00363")</f>
        <v>00363</v>
      </c>
      <c r="D1353" s="2" t="str">
        <f>IFERROR(__xludf.DUMMYFUNCTION("""COMPUTED_VALUE"""),"PEAR PARK ELEMENTARY SCHOOL")</f>
        <v>PEAR PARK ELEMENTARY SCHOOL</v>
      </c>
      <c r="E1353" s="3" t="str">
        <f>IFERROR(__xludf.DUMMYFUNCTION("""COMPUTED_VALUE"""),"Y")</f>
        <v>Y</v>
      </c>
      <c r="F1353" s="3" t="str">
        <f>IFERROR(__xludf.DUMMYFUNCTION("""COMPUTED_VALUE"""),"Y")</f>
        <v>Y</v>
      </c>
      <c r="G1353" s="3"/>
      <c r="H1353" s="3"/>
      <c r="I1353" s="3" t="str">
        <f>IFERROR(__xludf.DUMMYFUNCTION("""COMPUTED_VALUE""")," ")</f>
        <v> </v>
      </c>
      <c r="J1353" s="3" t="str">
        <f>IFERROR(__xludf.DUMMYFUNCTION("""COMPUTED_VALUE"""),"Y")</f>
        <v>Y</v>
      </c>
      <c r="K1353" s="3" t="str">
        <f>IFERROR(__xludf.DUMMYFUNCTION("""COMPUTED_VALUE"""),"Y")</f>
        <v>Y</v>
      </c>
      <c r="L1353" s="3" t="str">
        <f>IFERROR(__xludf.DUMMYFUNCTION("""COMPUTED_VALUE"""),"Group 12")</f>
        <v>Group 12</v>
      </c>
      <c r="M1353" s="3"/>
      <c r="N1353" s="5" t="str">
        <f>IFERROR(__xludf.DUMMYFUNCTION("""COMPUTED_VALUE"""),"Y")</f>
        <v>Y</v>
      </c>
      <c r="O1353" s="5"/>
    </row>
    <row r="1354">
      <c r="A1354" s="2" t="str">
        <f>IFERROR(__xludf.DUMMYFUNCTION("""COMPUTED_VALUE"""),"2000")</f>
        <v>2000</v>
      </c>
      <c r="B1354" s="2" t="str">
        <f>IFERROR(__xludf.DUMMYFUNCTION("""COMPUTED_VALUE"""),"MESA COUNTY VALLEY 51")</f>
        <v>MESA COUNTY VALLEY 51</v>
      </c>
      <c r="C1354" s="2" t="str">
        <f>IFERROR(__xludf.DUMMYFUNCTION("""COMPUTED_VALUE"""),"00900")</f>
        <v>00900</v>
      </c>
      <c r="D1354" s="2" t="str">
        <f>IFERROR(__xludf.DUMMYFUNCTION("""COMPUTED_VALUE"""),"BOOKCLIFF MIDDLE SCHOOL")</f>
        <v>BOOKCLIFF MIDDLE SCHOOL</v>
      </c>
      <c r="E1354" s="3" t="str">
        <f>IFERROR(__xludf.DUMMYFUNCTION("""COMPUTED_VALUE"""),"Y")</f>
        <v>Y</v>
      </c>
      <c r="F1354" s="3" t="str">
        <f>IFERROR(__xludf.DUMMYFUNCTION("""COMPUTED_VALUE"""),"Y")</f>
        <v>Y</v>
      </c>
      <c r="G1354" s="3"/>
      <c r="H1354" s="3"/>
      <c r="I1354" s="3" t="str">
        <f>IFERROR(__xludf.DUMMYFUNCTION("""COMPUTED_VALUE""")," ")</f>
        <v> </v>
      </c>
      <c r="J1354" s="3" t="str">
        <f>IFERROR(__xludf.DUMMYFUNCTION("""COMPUTED_VALUE"""),"Y")</f>
        <v>Y</v>
      </c>
      <c r="K1354" s="3" t="str">
        <f>IFERROR(__xludf.DUMMYFUNCTION("""COMPUTED_VALUE"""),"Y")</f>
        <v>Y</v>
      </c>
      <c r="L1354" s="3" t="str">
        <f>IFERROR(__xludf.DUMMYFUNCTION("""COMPUTED_VALUE"""),"Group 9")</f>
        <v>Group 9</v>
      </c>
      <c r="M1354" s="3"/>
      <c r="N1354" s="5" t="str">
        <f>IFERROR(__xludf.DUMMYFUNCTION("""COMPUTED_VALUE""")," ")</f>
        <v> </v>
      </c>
      <c r="O1354" s="5"/>
    </row>
    <row r="1355">
      <c r="A1355" s="2" t="str">
        <f>IFERROR(__xludf.DUMMYFUNCTION("""COMPUTED_VALUE"""),"2000")</f>
        <v>2000</v>
      </c>
      <c r="B1355" s="2" t="str">
        <f>IFERROR(__xludf.DUMMYFUNCTION("""COMPUTED_VALUE"""),"MESA COUNTY VALLEY 51")</f>
        <v>MESA COUNTY VALLEY 51</v>
      </c>
      <c r="C1355" s="2" t="str">
        <f>IFERROR(__xludf.DUMMYFUNCTION("""COMPUTED_VALUE"""),"01046")</f>
        <v>01046</v>
      </c>
      <c r="D1355" s="2" t="str">
        <f>IFERROR(__xludf.DUMMYFUNCTION("""COMPUTED_VALUE"""),"BROADWAY ELEMENTARY SCHOOL")</f>
        <v>BROADWAY ELEMENTARY SCHOOL</v>
      </c>
      <c r="E1355" s="3" t="str">
        <f>IFERROR(__xludf.DUMMYFUNCTION("""COMPUTED_VALUE"""),"Y")</f>
        <v>Y</v>
      </c>
      <c r="F1355" s="3" t="str">
        <f>IFERROR(__xludf.DUMMYFUNCTION("""COMPUTED_VALUE"""),"Y")</f>
        <v>Y</v>
      </c>
      <c r="G1355" s="3"/>
      <c r="H1355" s="3"/>
      <c r="I1355" s="3" t="str">
        <f>IFERROR(__xludf.DUMMYFUNCTION("""COMPUTED_VALUE""")," ")</f>
        <v> </v>
      </c>
      <c r="J1355" s="3" t="str">
        <f>IFERROR(__xludf.DUMMYFUNCTION("""COMPUTED_VALUE""")," ")</f>
        <v> </v>
      </c>
      <c r="K1355" s="3" t="str">
        <f>IFERROR(__xludf.DUMMYFUNCTION("""COMPUTED_VALUE"""),"Y")</f>
        <v>Y</v>
      </c>
      <c r="L1355" s="3" t="str">
        <f>IFERROR(__xludf.DUMMYFUNCTION("""COMPUTED_VALUE"""),"Group 7")</f>
        <v>Group 7</v>
      </c>
      <c r="M1355" s="3"/>
      <c r="N1355" s="5" t="str">
        <f>IFERROR(__xludf.DUMMYFUNCTION("""COMPUTED_VALUE""")," ")</f>
        <v> </v>
      </c>
      <c r="O1355" s="5"/>
    </row>
    <row r="1356">
      <c r="A1356" s="2" t="str">
        <f>IFERROR(__xludf.DUMMYFUNCTION("""COMPUTED_VALUE"""),"2000")</f>
        <v>2000</v>
      </c>
      <c r="B1356" s="2" t="str">
        <f>IFERROR(__xludf.DUMMYFUNCTION("""COMPUTED_VALUE"""),"MESA COUNTY VALLEY 51")</f>
        <v>MESA COUNTY VALLEY 51</v>
      </c>
      <c r="C1356" s="2" t="str">
        <f>IFERROR(__xludf.DUMMYFUNCTION("""COMPUTED_VALUE"""),"01297")</f>
        <v>01297</v>
      </c>
      <c r="D1356" s="2" t="str">
        <f>IFERROR(__xludf.DUMMYFUNCTION("""COMPUTED_VALUE"""),"Monument Ridge Elementary School")</f>
        <v>Monument Ridge Elementary School</v>
      </c>
      <c r="E1356" s="3" t="str">
        <f>IFERROR(__xludf.DUMMYFUNCTION("""COMPUTED_VALUE"""),"Y")</f>
        <v>Y</v>
      </c>
      <c r="F1356" s="3" t="str">
        <f>IFERROR(__xludf.DUMMYFUNCTION("""COMPUTED_VALUE"""),"Y")</f>
        <v>Y</v>
      </c>
      <c r="G1356" s="3"/>
      <c r="H1356" s="3"/>
      <c r="I1356" s="3" t="str">
        <f>IFERROR(__xludf.DUMMYFUNCTION("""COMPUTED_VALUE""")," ")</f>
        <v> </v>
      </c>
      <c r="J1356" s="3" t="str">
        <f>IFERROR(__xludf.DUMMYFUNCTION("""COMPUTED_VALUE""")," ")</f>
        <v> </v>
      </c>
      <c r="K1356" s="3" t="str">
        <f>IFERROR(__xludf.DUMMYFUNCTION("""COMPUTED_VALUE"""),"Y")</f>
        <v>Y</v>
      </c>
      <c r="L1356" s="3" t="str">
        <f>IFERROR(__xludf.DUMMYFUNCTION("""COMPUTED_VALUE"""),"Group 1")</f>
        <v>Group 1</v>
      </c>
      <c r="M1356" s="3"/>
      <c r="N1356" s="5" t="str">
        <f>IFERROR(__xludf.DUMMYFUNCTION("""COMPUTED_VALUE""")," ")</f>
        <v> </v>
      </c>
      <c r="O1356" s="5"/>
    </row>
    <row r="1357">
      <c r="A1357" s="2" t="str">
        <f>IFERROR(__xludf.DUMMYFUNCTION("""COMPUTED_VALUE"""),"2000")</f>
        <v>2000</v>
      </c>
      <c r="B1357" s="2" t="str">
        <f>IFERROR(__xludf.DUMMYFUNCTION("""COMPUTED_VALUE"""),"MESA COUNTY VALLEY 51")</f>
        <v>MESA COUNTY VALLEY 51</v>
      </c>
      <c r="C1357" s="2" t="str">
        <f>IFERROR(__xludf.DUMMYFUNCTION("""COMPUTED_VALUE"""),"01450")</f>
        <v>01450</v>
      </c>
      <c r="D1357" s="2" t="str">
        <f>IFERROR(__xludf.DUMMYFUNCTION("""COMPUTED_VALUE"""),"CENTRAL HIGH SCHOOL")</f>
        <v>CENTRAL HIGH SCHOOL</v>
      </c>
      <c r="E1357" s="3" t="str">
        <f>IFERROR(__xludf.DUMMYFUNCTION("""COMPUTED_VALUE"""),"Y")</f>
        <v>Y</v>
      </c>
      <c r="F1357" s="3" t="str">
        <f>IFERROR(__xludf.DUMMYFUNCTION("""COMPUTED_VALUE"""),"Y")</f>
        <v>Y</v>
      </c>
      <c r="G1357" s="3"/>
      <c r="H1357" s="3"/>
      <c r="I1357" s="3" t="str">
        <f>IFERROR(__xludf.DUMMYFUNCTION("""COMPUTED_VALUE""")," ")</f>
        <v> </v>
      </c>
      <c r="J1357" s="3" t="str">
        <f>IFERROR(__xludf.DUMMYFUNCTION("""COMPUTED_VALUE""")," ")</f>
        <v> </v>
      </c>
      <c r="K1357" s="3" t="str">
        <f>IFERROR(__xludf.DUMMYFUNCTION("""COMPUTED_VALUE"""),"Y")</f>
        <v>Y</v>
      </c>
      <c r="L1357" s="3" t="str">
        <f>IFERROR(__xludf.DUMMYFUNCTION("""COMPUTED_VALUE"""),"Group 1")</f>
        <v>Group 1</v>
      </c>
      <c r="M1357" s="3"/>
      <c r="N1357" s="5" t="str">
        <f>IFERROR(__xludf.DUMMYFUNCTION("""COMPUTED_VALUE"""),"Y")</f>
        <v>Y</v>
      </c>
      <c r="O1357" s="5"/>
    </row>
    <row r="1358">
      <c r="A1358" s="2" t="str">
        <f>IFERROR(__xludf.DUMMYFUNCTION("""COMPUTED_VALUE"""),"2000")</f>
        <v>2000</v>
      </c>
      <c r="B1358" s="2" t="str">
        <f>IFERROR(__xludf.DUMMYFUNCTION("""COMPUTED_VALUE"""),"MESA COUNTY VALLEY 51")</f>
        <v>MESA COUNTY VALLEY 51</v>
      </c>
      <c r="C1358" s="2" t="str">
        <f>IFERROR(__xludf.DUMMYFUNCTION("""COMPUTED_VALUE"""),"01520")</f>
        <v>01520</v>
      </c>
      <c r="D1358" s="2" t="str">
        <f>IFERROR(__xludf.DUMMYFUNCTION("""COMPUTED_VALUE"""),"CHATFIELD ELEMENTARY SCHOOL")</f>
        <v>CHATFIELD ELEMENTARY SCHOOL</v>
      </c>
      <c r="E1358" s="3" t="str">
        <f>IFERROR(__xludf.DUMMYFUNCTION("""COMPUTED_VALUE"""),"Y")</f>
        <v>Y</v>
      </c>
      <c r="F1358" s="3" t="str">
        <f>IFERROR(__xludf.DUMMYFUNCTION("""COMPUTED_VALUE"""),"Y")</f>
        <v>Y</v>
      </c>
      <c r="G1358" s="3"/>
      <c r="H1358" s="3"/>
      <c r="I1358" s="3" t="str">
        <f>IFERROR(__xludf.DUMMYFUNCTION("""COMPUTED_VALUE""")," ")</f>
        <v> </v>
      </c>
      <c r="J1358" s="3" t="str">
        <f>IFERROR(__xludf.DUMMYFUNCTION("""COMPUTED_VALUE""")," ")</f>
        <v> </v>
      </c>
      <c r="K1358" s="3" t="str">
        <f>IFERROR(__xludf.DUMMYFUNCTION("""COMPUTED_VALUE"""),"Y")</f>
        <v>Y</v>
      </c>
      <c r="L1358" s="3" t="str">
        <f>IFERROR(__xludf.DUMMYFUNCTION("""COMPUTED_VALUE"""),"Group 10")</f>
        <v>Group 10</v>
      </c>
      <c r="M1358" s="3"/>
      <c r="N1358" s="5" t="str">
        <f>IFERROR(__xludf.DUMMYFUNCTION("""COMPUTED_VALUE""")," ")</f>
        <v> </v>
      </c>
      <c r="O1358" s="5"/>
    </row>
    <row r="1359">
      <c r="A1359" s="2" t="str">
        <f>IFERROR(__xludf.DUMMYFUNCTION("""COMPUTED_VALUE"""),"2000")</f>
        <v>2000</v>
      </c>
      <c r="B1359" s="2" t="str">
        <f>IFERROR(__xludf.DUMMYFUNCTION("""COMPUTED_VALUE"""),"MESA COUNTY VALLEY 51")</f>
        <v>MESA COUNTY VALLEY 51</v>
      </c>
      <c r="C1359" s="2" t="str">
        <f>IFERROR(__xludf.DUMMYFUNCTION("""COMPUTED_VALUE"""),"01619")</f>
        <v>01619</v>
      </c>
      <c r="D1359" s="2" t="str">
        <f>IFERROR(__xludf.DUMMYFUNCTION("""COMPUTED_VALUE"""),"CHIPETA ELEMENTARY SCHOOL")</f>
        <v>CHIPETA ELEMENTARY SCHOOL</v>
      </c>
      <c r="E1359" s="3" t="str">
        <f>IFERROR(__xludf.DUMMYFUNCTION("""COMPUTED_VALUE"""),"Y")</f>
        <v>Y</v>
      </c>
      <c r="F1359" s="3" t="str">
        <f>IFERROR(__xludf.DUMMYFUNCTION("""COMPUTED_VALUE"""),"Y")</f>
        <v>Y</v>
      </c>
      <c r="G1359" s="3"/>
      <c r="H1359" s="3"/>
      <c r="I1359" s="3" t="str">
        <f>IFERROR(__xludf.DUMMYFUNCTION("""COMPUTED_VALUE""")," ")</f>
        <v> </v>
      </c>
      <c r="J1359" s="3" t="str">
        <f>IFERROR(__xludf.DUMMYFUNCTION("""COMPUTED_VALUE"""),"Y")</f>
        <v>Y</v>
      </c>
      <c r="K1359" s="3" t="str">
        <f>IFERROR(__xludf.DUMMYFUNCTION("""COMPUTED_VALUE"""),"Y")</f>
        <v>Y</v>
      </c>
      <c r="L1359" s="3" t="str">
        <f>IFERROR(__xludf.DUMMYFUNCTION("""COMPUTED_VALUE"""),"Group 9")</f>
        <v>Group 9</v>
      </c>
      <c r="M1359" s="3"/>
      <c r="N1359" s="5" t="str">
        <f>IFERROR(__xludf.DUMMYFUNCTION("""COMPUTED_VALUE"""),"Y")</f>
        <v>Y</v>
      </c>
      <c r="O1359" s="5"/>
    </row>
    <row r="1360">
      <c r="A1360" s="2" t="str">
        <f>IFERROR(__xludf.DUMMYFUNCTION("""COMPUTED_VALUE"""),"2000")</f>
        <v>2000</v>
      </c>
      <c r="B1360" s="2" t="str">
        <f>IFERROR(__xludf.DUMMYFUNCTION("""COMPUTED_VALUE"""),"MESA COUNTY VALLEY 51")</f>
        <v>MESA COUNTY VALLEY 51</v>
      </c>
      <c r="C1360" s="2" t="str">
        <f>IFERROR(__xludf.DUMMYFUNCTION("""COMPUTED_VALUE"""),"01686")</f>
        <v>01686</v>
      </c>
      <c r="D1360" s="2" t="str">
        <f>IFERROR(__xludf.DUMMYFUNCTION("""COMPUTED_VALUE"""),"CLIFTON ELEMENTARY SCHOOL")</f>
        <v>CLIFTON ELEMENTARY SCHOOL</v>
      </c>
      <c r="E1360" s="3" t="str">
        <f>IFERROR(__xludf.DUMMYFUNCTION("""COMPUTED_VALUE"""),"Y")</f>
        <v>Y</v>
      </c>
      <c r="F1360" s="3" t="str">
        <f>IFERROR(__xludf.DUMMYFUNCTION("""COMPUTED_VALUE"""),"Y")</f>
        <v>Y</v>
      </c>
      <c r="G1360" s="3"/>
      <c r="H1360" s="3"/>
      <c r="I1360" s="3" t="str">
        <f>IFERROR(__xludf.DUMMYFUNCTION("""COMPUTED_VALUE""")," ")</f>
        <v> </v>
      </c>
      <c r="J1360" s="3" t="str">
        <f>IFERROR(__xludf.DUMMYFUNCTION("""COMPUTED_VALUE"""),"Y")</f>
        <v>Y</v>
      </c>
      <c r="K1360" s="3" t="str">
        <f>IFERROR(__xludf.DUMMYFUNCTION("""COMPUTED_VALUE"""),"Y")</f>
        <v>Y</v>
      </c>
      <c r="L1360" s="3" t="str">
        <f>IFERROR(__xludf.DUMMYFUNCTION("""COMPUTED_VALUE"""),"Group 12")</f>
        <v>Group 12</v>
      </c>
      <c r="M1360" s="3"/>
      <c r="N1360" s="5" t="str">
        <f>IFERROR(__xludf.DUMMYFUNCTION("""COMPUTED_VALUE"""),"Y")</f>
        <v>Y</v>
      </c>
      <c r="O1360" s="5"/>
    </row>
    <row r="1361">
      <c r="A1361" s="2" t="str">
        <f>IFERROR(__xludf.DUMMYFUNCTION("""COMPUTED_VALUE"""),"2000")</f>
        <v>2000</v>
      </c>
      <c r="B1361" s="2" t="str">
        <f>IFERROR(__xludf.DUMMYFUNCTION("""COMPUTED_VALUE"""),"MESA COUNTY VALLEY 51")</f>
        <v>MESA COUNTY VALLEY 51</v>
      </c>
      <c r="C1361" s="2" t="str">
        <f>IFERROR(__xludf.DUMMYFUNCTION("""COMPUTED_VALUE"""),"02128")</f>
        <v>02128</v>
      </c>
      <c r="D1361" s="2" t="str">
        <f>IFERROR(__xludf.DUMMYFUNCTION("""COMPUTED_VALUE"""),"Independence Academy")</f>
        <v>Independence Academy</v>
      </c>
      <c r="E1361" s="3"/>
      <c r="F1361" s="3" t="str">
        <f>IFERROR(__xludf.DUMMYFUNCTION("""COMPUTED_VALUE"""),"Y")</f>
        <v>Y</v>
      </c>
      <c r="G1361" s="3"/>
      <c r="H1361" s="3"/>
      <c r="I1361" s="3" t="str">
        <f>IFERROR(__xludf.DUMMYFUNCTION("""COMPUTED_VALUE""")," ")</f>
        <v> </v>
      </c>
      <c r="J1361" s="3" t="str">
        <f>IFERROR(__xludf.DUMMYFUNCTION("""COMPUTED_VALUE""")," ")</f>
        <v> </v>
      </c>
      <c r="K1361" s="3" t="str">
        <f>IFERROR(__xludf.DUMMYFUNCTION("""COMPUTED_VALUE"""),"Y")</f>
        <v>Y</v>
      </c>
      <c r="L1361" s="3" t="str">
        <f>IFERROR(__xludf.DUMMYFUNCTION("""COMPUTED_VALUE""")," ")</f>
        <v> </v>
      </c>
      <c r="M1361" s="3"/>
      <c r="N1361" s="5" t="str">
        <f>IFERROR(__xludf.DUMMYFUNCTION("""COMPUTED_VALUE""")," ")</f>
        <v> </v>
      </c>
      <c r="O1361" s="5"/>
    </row>
    <row r="1362">
      <c r="A1362" s="2" t="str">
        <f>IFERROR(__xludf.DUMMYFUNCTION("""COMPUTED_VALUE"""),"2000")</f>
        <v>2000</v>
      </c>
      <c r="B1362" s="2" t="str">
        <f>IFERROR(__xludf.DUMMYFUNCTION("""COMPUTED_VALUE"""),"MESA COUNTY VALLEY 51")</f>
        <v>MESA COUNTY VALLEY 51</v>
      </c>
      <c r="C1362" s="2" t="str">
        <f>IFERROR(__xludf.DUMMYFUNCTION("""COMPUTED_VALUE"""),"02224")</f>
        <v>02224</v>
      </c>
      <c r="D1362" s="2" t="str">
        <f>IFERROR(__xludf.DUMMYFUNCTION("""COMPUTED_VALUE"""),"DOS RIOS ELEMENTARY SCHOOL")</f>
        <v>DOS RIOS ELEMENTARY SCHOOL</v>
      </c>
      <c r="E1362" s="3" t="str">
        <f>IFERROR(__xludf.DUMMYFUNCTION("""COMPUTED_VALUE"""),"Y")</f>
        <v>Y</v>
      </c>
      <c r="F1362" s="3" t="str">
        <f>IFERROR(__xludf.DUMMYFUNCTION("""COMPUTED_VALUE"""),"Y")</f>
        <v>Y</v>
      </c>
      <c r="G1362" s="3"/>
      <c r="H1362" s="3"/>
      <c r="I1362" s="3" t="str">
        <f>IFERROR(__xludf.DUMMYFUNCTION("""COMPUTED_VALUE""")," ")</f>
        <v> </v>
      </c>
      <c r="J1362" s="3" t="str">
        <f>IFERROR(__xludf.DUMMYFUNCTION("""COMPUTED_VALUE"""),"Y")</f>
        <v>Y</v>
      </c>
      <c r="K1362" s="3" t="str">
        <f>IFERROR(__xludf.DUMMYFUNCTION("""COMPUTED_VALUE"""),"Y")</f>
        <v>Y</v>
      </c>
      <c r="L1362" s="3" t="str">
        <f>IFERROR(__xludf.DUMMYFUNCTION("""COMPUTED_VALUE"""),"Group 9")</f>
        <v>Group 9</v>
      </c>
      <c r="M1362" s="3"/>
      <c r="N1362" s="5" t="str">
        <f>IFERROR(__xludf.DUMMYFUNCTION("""COMPUTED_VALUE"""),"Y")</f>
        <v>Y</v>
      </c>
      <c r="O1362" s="5"/>
    </row>
    <row r="1363">
      <c r="A1363" s="2" t="str">
        <f>IFERROR(__xludf.DUMMYFUNCTION("""COMPUTED_VALUE"""),"2000")</f>
        <v>2000</v>
      </c>
      <c r="B1363" s="2" t="str">
        <f>IFERROR(__xludf.DUMMYFUNCTION("""COMPUTED_VALUE"""),"MESA COUNTY VALLEY 51")</f>
        <v>MESA COUNTY VALLEY 51</v>
      </c>
      <c r="C1363" s="2" t="str">
        <f>IFERROR(__xludf.DUMMYFUNCTION("""COMPUTED_VALUE"""),"02297")</f>
        <v>02297</v>
      </c>
      <c r="D1363" s="2" t="str">
        <f>IFERROR(__xludf.DUMMYFUNCTION("""COMPUTED_VALUE"""),"DUAL IMMERSION ACADEMY SCHOOL")</f>
        <v>DUAL IMMERSION ACADEMY SCHOOL</v>
      </c>
      <c r="E1363" s="3" t="str">
        <f>IFERROR(__xludf.DUMMYFUNCTION("""COMPUTED_VALUE"""),"Y")</f>
        <v>Y</v>
      </c>
      <c r="F1363" s="3" t="str">
        <f>IFERROR(__xludf.DUMMYFUNCTION("""COMPUTED_VALUE"""),"Y")</f>
        <v>Y</v>
      </c>
      <c r="G1363" s="3"/>
      <c r="H1363" s="3"/>
      <c r="I1363" s="3" t="str">
        <f>IFERROR(__xludf.DUMMYFUNCTION("""COMPUTED_VALUE""")," ")</f>
        <v> </v>
      </c>
      <c r="J1363" s="3" t="str">
        <f>IFERROR(__xludf.DUMMYFUNCTION("""COMPUTED_VALUE""")," ")</f>
        <v> </v>
      </c>
      <c r="K1363" s="3" t="str">
        <f>IFERROR(__xludf.DUMMYFUNCTION("""COMPUTED_VALUE"""),"Y")</f>
        <v>Y</v>
      </c>
      <c r="L1363" s="3" t="str">
        <f>IFERROR(__xludf.DUMMYFUNCTION("""COMPUTED_VALUE"""),"Group 8")</f>
        <v>Group 8</v>
      </c>
      <c r="M1363" s="3"/>
      <c r="N1363" s="5" t="str">
        <f>IFERROR(__xludf.DUMMYFUNCTION("""COMPUTED_VALUE"""),"Y")</f>
        <v>Y</v>
      </c>
      <c r="O1363" s="5"/>
    </row>
    <row r="1364">
      <c r="A1364" s="2" t="str">
        <f>IFERROR(__xludf.DUMMYFUNCTION("""COMPUTED_VALUE"""),"2000")</f>
        <v>2000</v>
      </c>
      <c r="B1364" s="2" t="str">
        <f>IFERROR(__xludf.DUMMYFUNCTION("""COMPUTED_VALUE"""),"MESA COUNTY VALLEY 51")</f>
        <v>MESA COUNTY VALLEY 51</v>
      </c>
      <c r="C1364" s="2" t="str">
        <f>IFERROR(__xludf.DUMMYFUNCTION("""COMPUTED_VALUE"""),"02724")</f>
        <v>02724</v>
      </c>
      <c r="D1364" s="2" t="str">
        <f>IFERROR(__xludf.DUMMYFUNCTION("""COMPUTED_VALUE"""),"NEW EMERSON SCHOOL AT COLUMBUS")</f>
        <v>NEW EMERSON SCHOOL AT COLUMBUS</v>
      </c>
      <c r="E1364" s="3"/>
      <c r="F1364" s="3" t="str">
        <f>IFERROR(__xludf.DUMMYFUNCTION("""COMPUTED_VALUE"""),"Y")</f>
        <v>Y</v>
      </c>
      <c r="G1364" s="3"/>
      <c r="H1364" s="3"/>
      <c r="I1364" s="3" t="str">
        <f>IFERROR(__xludf.DUMMYFUNCTION("""COMPUTED_VALUE""")," ")</f>
        <v> </v>
      </c>
      <c r="J1364" s="3" t="str">
        <f>IFERROR(__xludf.DUMMYFUNCTION("""COMPUTED_VALUE""")," ")</f>
        <v> </v>
      </c>
      <c r="K1364" s="3" t="str">
        <f>IFERROR(__xludf.DUMMYFUNCTION("""COMPUTED_VALUE"""),"Y")</f>
        <v>Y</v>
      </c>
      <c r="L1364" s="3" t="str">
        <f>IFERROR(__xludf.DUMMYFUNCTION("""COMPUTED_VALUE""")," ")</f>
        <v> </v>
      </c>
      <c r="M1364" s="3"/>
      <c r="N1364" s="5" t="str">
        <f>IFERROR(__xludf.DUMMYFUNCTION("""COMPUTED_VALUE""")," ")</f>
        <v> </v>
      </c>
      <c r="O1364" s="5"/>
    </row>
    <row r="1365">
      <c r="A1365" s="2" t="str">
        <f>IFERROR(__xludf.DUMMYFUNCTION("""COMPUTED_VALUE"""),"2000")</f>
        <v>2000</v>
      </c>
      <c r="B1365" s="2" t="str">
        <f>IFERROR(__xludf.DUMMYFUNCTION("""COMPUTED_VALUE"""),"MESA COUNTY VALLEY 51")</f>
        <v>MESA COUNTY VALLEY 51</v>
      </c>
      <c r="C1365" s="2" t="str">
        <f>IFERROR(__xludf.DUMMYFUNCTION("""COMPUTED_VALUE"""),"03244")</f>
        <v>03244</v>
      </c>
      <c r="D1365" s="2" t="str">
        <f>IFERROR(__xludf.DUMMYFUNCTION("""COMPUTED_VALUE"""),"FRUITA MIDDLE SCHOOL")</f>
        <v>FRUITA MIDDLE SCHOOL</v>
      </c>
      <c r="E1365" s="3" t="str">
        <f>IFERROR(__xludf.DUMMYFUNCTION("""COMPUTED_VALUE"""),"Y")</f>
        <v>Y</v>
      </c>
      <c r="F1365" s="3" t="str">
        <f>IFERROR(__xludf.DUMMYFUNCTION("""COMPUTED_VALUE"""),"Y")</f>
        <v>Y</v>
      </c>
      <c r="G1365" s="3"/>
      <c r="H1365" s="3"/>
      <c r="I1365" s="3" t="str">
        <f>IFERROR(__xludf.DUMMYFUNCTION("""COMPUTED_VALUE""")," ")</f>
        <v> </v>
      </c>
      <c r="J1365" s="3" t="str">
        <f>IFERROR(__xludf.DUMMYFUNCTION("""COMPUTED_VALUE""")," ")</f>
        <v> </v>
      </c>
      <c r="K1365" s="3" t="str">
        <f>IFERROR(__xludf.DUMMYFUNCTION("""COMPUTED_VALUE"""),"Y")</f>
        <v>Y</v>
      </c>
      <c r="L1365" s="3" t="str">
        <f>IFERROR(__xludf.DUMMYFUNCTION("""COMPUTED_VALUE"""),"Group 12")</f>
        <v>Group 12</v>
      </c>
      <c r="M1365" s="3"/>
      <c r="N1365" s="5" t="str">
        <f>IFERROR(__xludf.DUMMYFUNCTION("""COMPUTED_VALUE"""),"Y")</f>
        <v>Y</v>
      </c>
      <c r="O1365" s="5"/>
    </row>
    <row r="1366">
      <c r="A1366" s="2" t="str">
        <f>IFERROR(__xludf.DUMMYFUNCTION("""COMPUTED_VALUE"""),"2000")</f>
        <v>2000</v>
      </c>
      <c r="B1366" s="2" t="str">
        <f>IFERROR(__xludf.DUMMYFUNCTION("""COMPUTED_VALUE"""),"MESA COUNTY VALLEY 51")</f>
        <v>MESA COUNTY VALLEY 51</v>
      </c>
      <c r="C1366" s="2" t="str">
        <f>IFERROR(__xludf.DUMMYFUNCTION("""COMPUTED_VALUE"""),"03262")</f>
        <v>03262</v>
      </c>
      <c r="D1366" s="2" t="str">
        <f>IFERROR(__xludf.DUMMYFUNCTION("""COMPUTED_VALUE"""),"FRUITVALE ELEMENTARY SCHOOL")</f>
        <v>FRUITVALE ELEMENTARY SCHOOL</v>
      </c>
      <c r="E1366" s="3" t="str">
        <f>IFERROR(__xludf.DUMMYFUNCTION("""COMPUTED_VALUE"""),"Y")</f>
        <v>Y</v>
      </c>
      <c r="F1366" s="3" t="str">
        <f>IFERROR(__xludf.DUMMYFUNCTION("""COMPUTED_VALUE"""),"Y")</f>
        <v>Y</v>
      </c>
      <c r="G1366" s="3"/>
      <c r="H1366" s="3"/>
      <c r="I1366" s="3" t="str">
        <f>IFERROR(__xludf.DUMMYFUNCTION("""COMPUTED_VALUE""")," ")</f>
        <v> </v>
      </c>
      <c r="J1366" s="3" t="str">
        <f>IFERROR(__xludf.DUMMYFUNCTION("""COMPUTED_VALUE"""),"Y")</f>
        <v>Y</v>
      </c>
      <c r="K1366" s="3" t="str">
        <f>IFERROR(__xludf.DUMMYFUNCTION("""COMPUTED_VALUE"""),"Y")</f>
        <v>Y</v>
      </c>
      <c r="L1366" s="3" t="str">
        <f>IFERROR(__xludf.DUMMYFUNCTION("""COMPUTED_VALUE"""),"Group 9")</f>
        <v>Group 9</v>
      </c>
      <c r="M1366" s="3"/>
      <c r="N1366" s="5" t="str">
        <f>IFERROR(__xludf.DUMMYFUNCTION("""COMPUTED_VALUE""")," ")</f>
        <v> </v>
      </c>
      <c r="O1366" s="5"/>
    </row>
    <row r="1367">
      <c r="A1367" s="2" t="str">
        <f>IFERROR(__xludf.DUMMYFUNCTION("""COMPUTED_VALUE"""),"2000")</f>
        <v>2000</v>
      </c>
      <c r="B1367" s="2" t="str">
        <f>IFERROR(__xludf.DUMMYFUNCTION("""COMPUTED_VALUE"""),"MESA COUNTY VALLEY 51")</f>
        <v>MESA COUNTY VALLEY 51</v>
      </c>
      <c r="C1367" s="2" t="str">
        <f>IFERROR(__xludf.DUMMYFUNCTION("""COMPUTED_VALUE"""),"03570")</f>
        <v>03570</v>
      </c>
      <c r="D1367" s="2" t="str">
        <f>IFERROR(__xludf.DUMMYFUNCTION("""COMPUTED_VALUE"""),"GRAND JUNCTION HIGH SCHOOL")</f>
        <v>GRAND JUNCTION HIGH SCHOOL</v>
      </c>
      <c r="E1367" s="3" t="str">
        <f>IFERROR(__xludf.DUMMYFUNCTION("""COMPUTED_VALUE"""),"Y")</f>
        <v>Y</v>
      </c>
      <c r="F1367" s="3" t="str">
        <f>IFERROR(__xludf.DUMMYFUNCTION("""COMPUTED_VALUE"""),"Y")</f>
        <v>Y</v>
      </c>
      <c r="G1367" s="3"/>
      <c r="H1367" s="3"/>
      <c r="I1367" s="3" t="str">
        <f>IFERROR(__xludf.DUMMYFUNCTION("""COMPUTED_VALUE""")," ")</f>
        <v> </v>
      </c>
      <c r="J1367" s="3" t="str">
        <f>IFERROR(__xludf.DUMMYFUNCTION("""COMPUTED_VALUE""")," ")</f>
        <v> </v>
      </c>
      <c r="K1367" s="3" t="str">
        <f>IFERROR(__xludf.DUMMYFUNCTION("""COMPUTED_VALUE"""),"Y")</f>
        <v>Y</v>
      </c>
      <c r="L1367" s="3" t="str">
        <f>IFERROR(__xludf.DUMMYFUNCTION("""COMPUTED_VALUE"""),"Group 4")</f>
        <v>Group 4</v>
      </c>
      <c r="M1367" s="3"/>
      <c r="N1367" s="5" t="str">
        <f>IFERROR(__xludf.DUMMYFUNCTION("""COMPUTED_VALUE""")," ")</f>
        <v> </v>
      </c>
      <c r="O1367" s="5"/>
    </row>
    <row r="1368">
      <c r="A1368" s="2" t="str">
        <f>IFERROR(__xludf.DUMMYFUNCTION("""COMPUTED_VALUE"""),"2000")</f>
        <v>2000</v>
      </c>
      <c r="B1368" s="2" t="str">
        <f>IFERROR(__xludf.DUMMYFUNCTION("""COMPUTED_VALUE"""),"MESA COUNTY VALLEY 51")</f>
        <v>MESA COUNTY VALLEY 51</v>
      </c>
      <c r="C1368" s="2" t="str">
        <f>IFERROR(__xludf.DUMMYFUNCTION("""COMPUTED_VALUE"""),"03584")</f>
        <v>03584</v>
      </c>
      <c r="D1368" s="2" t="str">
        <f>IFERROR(__xludf.DUMMYFUNCTION("""COMPUTED_VALUE"""),"GRAND MESA MIDDLE SCHOOL")</f>
        <v>GRAND MESA MIDDLE SCHOOL</v>
      </c>
      <c r="E1368" s="3" t="str">
        <f>IFERROR(__xludf.DUMMYFUNCTION("""COMPUTED_VALUE"""),"Y")</f>
        <v>Y</v>
      </c>
      <c r="F1368" s="3" t="str">
        <f>IFERROR(__xludf.DUMMYFUNCTION("""COMPUTED_VALUE"""),"Y")</f>
        <v>Y</v>
      </c>
      <c r="G1368" s="3"/>
      <c r="H1368" s="3"/>
      <c r="I1368" s="3" t="str">
        <f>IFERROR(__xludf.DUMMYFUNCTION("""COMPUTED_VALUE""")," ")</f>
        <v> </v>
      </c>
      <c r="J1368" s="3" t="str">
        <f>IFERROR(__xludf.DUMMYFUNCTION("""COMPUTED_VALUE""")," ")</f>
        <v> </v>
      </c>
      <c r="K1368" s="3" t="str">
        <f>IFERROR(__xludf.DUMMYFUNCTION("""COMPUTED_VALUE"""),"Y")</f>
        <v>Y</v>
      </c>
      <c r="L1368" s="3" t="str">
        <f>IFERROR(__xludf.DUMMYFUNCTION("""COMPUTED_VALUE"""),"Group 10")</f>
        <v>Group 10</v>
      </c>
      <c r="M1368" s="3"/>
      <c r="N1368" s="5" t="str">
        <f>IFERROR(__xludf.DUMMYFUNCTION("""COMPUTED_VALUE""")," ")</f>
        <v> </v>
      </c>
      <c r="O1368" s="5"/>
    </row>
    <row r="1369">
      <c r="A1369" s="2" t="str">
        <f>IFERROR(__xludf.DUMMYFUNCTION("""COMPUTED_VALUE"""),"2000")</f>
        <v>2000</v>
      </c>
      <c r="B1369" s="2" t="str">
        <f>IFERROR(__xludf.DUMMYFUNCTION("""COMPUTED_VALUE"""),"MESA COUNTY VALLEY 51")</f>
        <v>MESA COUNTY VALLEY 51</v>
      </c>
      <c r="C1369" s="2" t="str">
        <f>IFERROR(__xludf.DUMMYFUNCTION("""COMPUTED_VALUE"""),"03604")</f>
        <v>03604</v>
      </c>
      <c r="D1369" s="2" t="str">
        <f>IFERROR(__xludf.DUMMYFUNCTION("""COMPUTED_VALUE"""),"Grand River Academy")</f>
        <v>Grand River Academy</v>
      </c>
      <c r="E1369" s="3"/>
      <c r="F1369" s="3" t="str">
        <f>IFERROR(__xludf.DUMMYFUNCTION("""COMPUTED_VALUE"""),"Y")</f>
        <v>Y</v>
      </c>
      <c r="G1369" s="3"/>
      <c r="H1369" s="3"/>
      <c r="I1369" s="3" t="str">
        <f>IFERROR(__xludf.DUMMYFUNCTION("""COMPUTED_VALUE""")," ")</f>
        <v> </v>
      </c>
      <c r="J1369" s="3" t="str">
        <f>IFERROR(__xludf.DUMMYFUNCTION("""COMPUTED_VALUE""")," ")</f>
        <v> </v>
      </c>
      <c r="K1369" s="3" t="str">
        <f>IFERROR(__xludf.DUMMYFUNCTION("""COMPUTED_VALUE"""),"Y")</f>
        <v>Y</v>
      </c>
      <c r="L1369" s="3" t="str">
        <f>IFERROR(__xludf.DUMMYFUNCTION("""COMPUTED_VALUE""")," ")</f>
        <v> </v>
      </c>
      <c r="M1369" s="3"/>
      <c r="N1369" s="5" t="str">
        <f>IFERROR(__xludf.DUMMYFUNCTION("""COMPUTED_VALUE""")," ")</f>
        <v> </v>
      </c>
      <c r="O1369" s="5"/>
    </row>
    <row r="1370">
      <c r="A1370" s="2" t="str">
        <f>IFERROR(__xludf.DUMMYFUNCTION("""COMPUTED_VALUE"""),"2000")</f>
        <v>2000</v>
      </c>
      <c r="B1370" s="2" t="str">
        <f>IFERROR(__xludf.DUMMYFUNCTION("""COMPUTED_VALUE"""),"MESA COUNTY VALLEY 51")</f>
        <v>MESA COUNTY VALLEY 51</v>
      </c>
      <c r="C1370" s="2" t="str">
        <f>IFERROR(__xludf.DUMMYFUNCTION("""COMPUTED_VALUE"""),"04439")</f>
        <v>04439</v>
      </c>
      <c r="D1370" s="2" t="str">
        <f>IFERROR(__xludf.DUMMYFUNCTION("""COMPUTED_VALUE"""),"Juniper Ridge Community School")</f>
        <v>Juniper Ridge Community School</v>
      </c>
      <c r="E1370" s="3"/>
      <c r="F1370" s="3" t="str">
        <f>IFERROR(__xludf.DUMMYFUNCTION("""COMPUTED_VALUE"""),"Y")</f>
        <v>Y</v>
      </c>
      <c r="G1370" s="3"/>
      <c r="H1370" s="3"/>
      <c r="I1370" s="3" t="str">
        <f>IFERROR(__xludf.DUMMYFUNCTION("""COMPUTED_VALUE""")," ")</f>
        <v> </v>
      </c>
      <c r="J1370" s="3" t="str">
        <f>IFERROR(__xludf.DUMMYFUNCTION("""COMPUTED_VALUE""")," ")</f>
        <v> </v>
      </c>
      <c r="K1370" s="3" t="str">
        <f>IFERROR(__xludf.DUMMYFUNCTION("""COMPUTED_VALUE"""),"Y")</f>
        <v>Y</v>
      </c>
      <c r="L1370" s="3" t="str">
        <f>IFERROR(__xludf.DUMMYFUNCTION("""COMPUTED_VALUE""")," ")</f>
        <v> </v>
      </c>
      <c r="M1370" s="3"/>
      <c r="N1370" s="5" t="str">
        <f>IFERROR(__xludf.DUMMYFUNCTION("""COMPUTED_VALUE""")," ")</f>
        <v> </v>
      </c>
      <c r="O1370" s="5"/>
    </row>
    <row r="1371">
      <c r="A1371" s="2" t="str">
        <f>IFERROR(__xludf.DUMMYFUNCTION("""COMPUTED_VALUE"""),"2000")</f>
        <v>2000</v>
      </c>
      <c r="B1371" s="2" t="str">
        <f>IFERROR(__xludf.DUMMYFUNCTION("""COMPUTED_VALUE"""),"MESA COUNTY VALLEY 51")</f>
        <v>MESA COUNTY VALLEY 51</v>
      </c>
      <c r="C1371" s="2" t="str">
        <f>IFERROR(__xludf.DUMMYFUNCTION("""COMPUTED_VALUE"""),"05210")</f>
        <v>05210</v>
      </c>
      <c r="D1371" s="2" t="str">
        <f>IFERROR(__xludf.DUMMYFUNCTION("""COMPUTED_VALUE"""),"LINCOLN ORCHARD MESA ELEMENTARY SCHOOL")</f>
        <v>LINCOLN ORCHARD MESA ELEMENTARY SCHOOL</v>
      </c>
      <c r="E1371" s="3" t="str">
        <f>IFERROR(__xludf.DUMMYFUNCTION("""COMPUTED_VALUE"""),"Y")</f>
        <v>Y</v>
      </c>
      <c r="F1371" s="3" t="str">
        <f>IFERROR(__xludf.DUMMYFUNCTION("""COMPUTED_VALUE"""),"Y")</f>
        <v>Y</v>
      </c>
      <c r="G1371" s="3"/>
      <c r="H1371" s="3"/>
      <c r="I1371" s="3" t="str">
        <f>IFERROR(__xludf.DUMMYFUNCTION("""COMPUTED_VALUE""")," ")</f>
        <v> </v>
      </c>
      <c r="J1371" s="3" t="str">
        <f>IFERROR(__xludf.DUMMYFUNCTION("""COMPUTED_VALUE""")," ")</f>
        <v> </v>
      </c>
      <c r="K1371" s="3" t="str">
        <f>IFERROR(__xludf.DUMMYFUNCTION("""COMPUTED_VALUE"""),"Y")</f>
        <v>Y</v>
      </c>
      <c r="L1371" s="3" t="str">
        <f>IFERROR(__xludf.DUMMYFUNCTION("""COMPUTED_VALUE"""),"Group 3")</f>
        <v>Group 3</v>
      </c>
      <c r="M1371" s="3"/>
      <c r="N1371" s="5" t="str">
        <f>IFERROR(__xludf.DUMMYFUNCTION("""COMPUTED_VALUE""")," ")</f>
        <v> </v>
      </c>
      <c r="O1371" s="5"/>
    </row>
    <row r="1372">
      <c r="A1372" s="2" t="str">
        <f>IFERROR(__xludf.DUMMYFUNCTION("""COMPUTED_VALUE"""),"2000")</f>
        <v>2000</v>
      </c>
      <c r="B1372" s="2" t="str">
        <f>IFERROR(__xludf.DUMMYFUNCTION("""COMPUTED_VALUE"""),"MESA COUNTY VALLEY 51")</f>
        <v>MESA COUNTY VALLEY 51</v>
      </c>
      <c r="C1372" s="2" t="str">
        <f>IFERROR(__xludf.DUMMYFUNCTION("""COMPUTED_VALUE"""),"05244")</f>
        <v>05244</v>
      </c>
      <c r="D1372" s="2" t="str">
        <f>IFERROR(__xludf.DUMMYFUNCTION("""COMPUTED_VALUE"""),"LOMA ELEMENTARY SCHOOL")</f>
        <v>LOMA ELEMENTARY SCHOOL</v>
      </c>
      <c r="E1372" s="3" t="str">
        <f>IFERROR(__xludf.DUMMYFUNCTION("""COMPUTED_VALUE"""),"Y")</f>
        <v>Y</v>
      </c>
      <c r="F1372" s="3" t="str">
        <f>IFERROR(__xludf.DUMMYFUNCTION("""COMPUTED_VALUE"""),"Y")</f>
        <v>Y</v>
      </c>
      <c r="G1372" s="3"/>
      <c r="H1372" s="3"/>
      <c r="I1372" s="3" t="str">
        <f>IFERROR(__xludf.DUMMYFUNCTION("""COMPUTED_VALUE""")," ")</f>
        <v> </v>
      </c>
      <c r="J1372" s="3" t="str">
        <f>IFERROR(__xludf.DUMMYFUNCTION("""COMPUTED_VALUE""")," ")</f>
        <v> </v>
      </c>
      <c r="K1372" s="3" t="str">
        <f>IFERROR(__xludf.DUMMYFUNCTION("""COMPUTED_VALUE"""),"Y")</f>
        <v>Y</v>
      </c>
      <c r="L1372" s="3" t="str">
        <f>IFERROR(__xludf.DUMMYFUNCTION("""COMPUTED_VALUE"""),"Group 1")</f>
        <v>Group 1</v>
      </c>
      <c r="M1372" s="3"/>
      <c r="N1372" s="5" t="str">
        <f>IFERROR(__xludf.DUMMYFUNCTION("""COMPUTED_VALUE""")," ")</f>
        <v> </v>
      </c>
      <c r="O1372" s="5"/>
    </row>
    <row r="1373">
      <c r="A1373" s="2" t="str">
        <f>IFERROR(__xludf.DUMMYFUNCTION("""COMPUTED_VALUE"""),"2000")</f>
        <v>2000</v>
      </c>
      <c r="B1373" s="2" t="str">
        <f>IFERROR(__xludf.DUMMYFUNCTION("""COMPUTED_VALUE"""),"MESA COUNTY VALLEY 51")</f>
        <v>MESA COUNTY VALLEY 51</v>
      </c>
      <c r="C1373" s="2" t="str">
        <f>IFERROR(__xludf.DUMMYFUNCTION("""COMPUTED_VALUE"""),"05828")</f>
        <v>05828</v>
      </c>
      <c r="D1373" s="2" t="str">
        <f>IFERROR(__xludf.DUMMYFUNCTION("""COMPUTED_VALUE"""),"MESA VALLEY COMMUNITY SCHOOL")</f>
        <v>MESA VALLEY COMMUNITY SCHOOL</v>
      </c>
      <c r="E1373" s="3"/>
      <c r="F1373" s="3" t="str">
        <f>IFERROR(__xludf.DUMMYFUNCTION("""COMPUTED_VALUE"""),"Y")</f>
        <v>Y</v>
      </c>
      <c r="G1373" s="3"/>
      <c r="H1373" s="3"/>
      <c r="I1373" s="3" t="str">
        <f>IFERROR(__xludf.DUMMYFUNCTION("""COMPUTED_VALUE""")," ")</f>
        <v> </v>
      </c>
      <c r="J1373" s="3" t="str">
        <f>IFERROR(__xludf.DUMMYFUNCTION("""COMPUTED_VALUE""")," ")</f>
        <v> </v>
      </c>
      <c r="K1373" s="3" t="str">
        <f>IFERROR(__xludf.DUMMYFUNCTION("""COMPUTED_VALUE"""),"Y")</f>
        <v>Y</v>
      </c>
      <c r="L1373" s="3" t="str">
        <f>IFERROR(__xludf.DUMMYFUNCTION("""COMPUTED_VALUE""")," ")</f>
        <v> </v>
      </c>
      <c r="M1373" s="3"/>
      <c r="N1373" s="5" t="str">
        <f>IFERROR(__xludf.DUMMYFUNCTION("""COMPUTED_VALUE""")," ")</f>
        <v> </v>
      </c>
      <c r="O1373" s="5"/>
    </row>
    <row r="1374">
      <c r="A1374" s="2" t="str">
        <f>IFERROR(__xludf.DUMMYFUNCTION("""COMPUTED_VALUE"""),"2000")</f>
        <v>2000</v>
      </c>
      <c r="B1374" s="2" t="str">
        <f>IFERROR(__xludf.DUMMYFUNCTION("""COMPUTED_VALUE"""),"MESA COUNTY VALLEY 51")</f>
        <v>MESA COUNTY VALLEY 51</v>
      </c>
      <c r="C1374" s="2" t="str">
        <f>IFERROR(__xludf.DUMMYFUNCTION("""COMPUTED_VALUE"""),"05833")</f>
        <v>05833</v>
      </c>
      <c r="D1374" s="2" t="str">
        <f>IFERROR(__xludf.DUMMYFUNCTION("""COMPUTED_VALUE"""),"MESA VALLEY ENRICHMENT PROGRAM")</f>
        <v>MESA VALLEY ENRICHMENT PROGRAM</v>
      </c>
      <c r="E1374" s="3"/>
      <c r="F1374" s="3" t="str">
        <f>IFERROR(__xludf.DUMMYFUNCTION("""COMPUTED_VALUE"""),"Y")</f>
        <v>Y</v>
      </c>
      <c r="G1374" s="3"/>
      <c r="H1374" s="3"/>
      <c r="I1374" s="3" t="str">
        <f>IFERROR(__xludf.DUMMYFUNCTION("""COMPUTED_VALUE""")," ")</f>
        <v> </v>
      </c>
      <c r="J1374" s="3" t="str">
        <f>IFERROR(__xludf.DUMMYFUNCTION("""COMPUTED_VALUE""")," ")</f>
        <v> </v>
      </c>
      <c r="K1374" s="3" t="str">
        <f>IFERROR(__xludf.DUMMYFUNCTION("""COMPUTED_VALUE"""),"Y")</f>
        <v>Y</v>
      </c>
      <c r="L1374" s="3" t="str">
        <f>IFERROR(__xludf.DUMMYFUNCTION("""COMPUTED_VALUE""")," ")</f>
        <v> </v>
      </c>
      <c r="M1374" s="3"/>
      <c r="N1374" s="5" t="str">
        <f>IFERROR(__xludf.DUMMYFUNCTION("""COMPUTED_VALUE""")," ")</f>
        <v> </v>
      </c>
      <c r="O1374" s="5"/>
    </row>
    <row r="1375">
      <c r="A1375" s="2" t="str">
        <f>IFERROR(__xludf.DUMMYFUNCTION("""COMPUTED_VALUE"""),"2000")</f>
        <v>2000</v>
      </c>
      <c r="B1375" s="2" t="str">
        <f>IFERROR(__xludf.DUMMYFUNCTION("""COMPUTED_VALUE"""),"MESA COUNTY VALLEY 51")</f>
        <v>MESA COUNTY VALLEY 51</v>
      </c>
      <c r="C1375" s="2" t="str">
        <f>IFERROR(__xludf.DUMMYFUNCTION("""COMPUTED_VALUE"""),"05842")</f>
        <v>05842</v>
      </c>
      <c r="D1375" s="2" t="str">
        <f>IFERROR(__xludf.DUMMYFUNCTION("""COMPUTED_VALUE"""),"MESA VIEW ELEMENTARY SCHOOL")</f>
        <v>MESA VIEW ELEMENTARY SCHOOL</v>
      </c>
      <c r="E1375" s="3" t="str">
        <f>IFERROR(__xludf.DUMMYFUNCTION("""COMPUTED_VALUE"""),"Y")</f>
        <v>Y</v>
      </c>
      <c r="F1375" s="3" t="str">
        <f>IFERROR(__xludf.DUMMYFUNCTION("""COMPUTED_VALUE"""),"Y")</f>
        <v>Y</v>
      </c>
      <c r="G1375" s="3"/>
      <c r="H1375" s="3"/>
      <c r="I1375" s="3" t="str">
        <f>IFERROR(__xludf.DUMMYFUNCTION("""COMPUTED_VALUE""")," ")</f>
        <v> </v>
      </c>
      <c r="J1375" s="3" t="str">
        <f>IFERROR(__xludf.DUMMYFUNCTION("""COMPUTED_VALUE""")," ")</f>
        <v> </v>
      </c>
      <c r="K1375" s="3" t="str">
        <f>IFERROR(__xludf.DUMMYFUNCTION("""COMPUTED_VALUE"""),"Y")</f>
        <v>Y</v>
      </c>
      <c r="L1375" s="3" t="str">
        <f>IFERROR(__xludf.DUMMYFUNCTION("""COMPUTED_VALUE"""),"Group 11")</f>
        <v>Group 11</v>
      </c>
      <c r="M1375" s="3"/>
      <c r="N1375" s="5" t="str">
        <f>IFERROR(__xludf.DUMMYFUNCTION("""COMPUTED_VALUE""")," ")</f>
        <v> </v>
      </c>
      <c r="O1375" s="5"/>
    </row>
    <row r="1376">
      <c r="A1376" s="2" t="str">
        <f>IFERROR(__xludf.DUMMYFUNCTION("""COMPUTED_VALUE"""),"2000")</f>
        <v>2000</v>
      </c>
      <c r="B1376" s="2" t="str">
        <f>IFERROR(__xludf.DUMMYFUNCTION("""COMPUTED_VALUE"""),"MESA COUNTY VALLEY 51")</f>
        <v>MESA COUNTY VALLEY 51</v>
      </c>
      <c r="C1376" s="2" t="str">
        <f>IFERROR(__xludf.DUMMYFUNCTION("""COMPUTED_VALUE"""),"06070")</f>
        <v>06070</v>
      </c>
      <c r="D1376" s="2" t="str">
        <f>IFERROR(__xludf.DUMMYFUNCTION("""COMPUTED_VALUE"""),"FRUITA MONUMENT HIGH SCHOOL")</f>
        <v>FRUITA MONUMENT HIGH SCHOOL</v>
      </c>
      <c r="E1376" s="3" t="str">
        <f>IFERROR(__xludf.DUMMYFUNCTION("""COMPUTED_VALUE"""),"Y")</f>
        <v>Y</v>
      </c>
      <c r="F1376" s="3" t="str">
        <f>IFERROR(__xludf.DUMMYFUNCTION("""COMPUTED_VALUE"""),"Y")</f>
        <v>Y</v>
      </c>
      <c r="G1376" s="3"/>
      <c r="H1376" s="3"/>
      <c r="I1376" s="3" t="str">
        <f>IFERROR(__xludf.DUMMYFUNCTION("""COMPUTED_VALUE""")," ")</f>
        <v> </v>
      </c>
      <c r="J1376" s="3" t="str">
        <f>IFERROR(__xludf.DUMMYFUNCTION("""COMPUTED_VALUE""")," ")</f>
        <v> </v>
      </c>
      <c r="K1376" s="3" t="str">
        <f>IFERROR(__xludf.DUMMYFUNCTION("""COMPUTED_VALUE"""),"Y")</f>
        <v>Y</v>
      </c>
      <c r="L1376" s="3" t="str">
        <f>IFERROR(__xludf.DUMMYFUNCTION("""COMPUTED_VALUE""")," ")</f>
        <v> </v>
      </c>
      <c r="M1376" s="3"/>
      <c r="N1376" s="5" t="str">
        <f>IFERROR(__xludf.DUMMYFUNCTION("""COMPUTED_VALUE""")," ")</f>
        <v> </v>
      </c>
      <c r="O1376" s="5"/>
    </row>
    <row r="1377">
      <c r="A1377" s="2" t="str">
        <f>IFERROR(__xludf.DUMMYFUNCTION("""COMPUTED_VALUE"""),"2000")</f>
        <v>2000</v>
      </c>
      <c r="B1377" s="2" t="str">
        <f>IFERROR(__xludf.DUMMYFUNCTION("""COMPUTED_VALUE"""),"MESA COUNTY VALLEY 51")</f>
        <v>MESA COUNTY VALLEY 51</v>
      </c>
      <c r="C1377" s="2" t="str">
        <f>IFERROR(__xludf.DUMMYFUNCTION("""COMPUTED_VALUE"""),"06166")</f>
        <v>06166</v>
      </c>
      <c r="D1377" s="2" t="str">
        <f>IFERROR(__xludf.DUMMYFUNCTION("""COMPUTED_VALUE"""),"MOUNT GARFIELD MIDDLE SCHOOL")</f>
        <v>MOUNT GARFIELD MIDDLE SCHOOL</v>
      </c>
      <c r="E1377" s="3" t="str">
        <f>IFERROR(__xludf.DUMMYFUNCTION("""COMPUTED_VALUE"""),"Y")</f>
        <v>Y</v>
      </c>
      <c r="F1377" s="3" t="str">
        <f>IFERROR(__xludf.DUMMYFUNCTION("""COMPUTED_VALUE"""),"Y")</f>
        <v>Y</v>
      </c>
      <c r="G1377" s="3"/>
      <c r="H1377" s="3"/>
      <c r="I1377" s="3" t="str">
        <f>IFERROR(__xludf.DUMMYFUNCTION("""COMPUTED_VALUE""")," ")</f>
        <v> </v>
      </c>
      <c r="J1377" s="3" t="str">
        <f>IFERROR(__xludf.DUMMYFUNCTION("""COMPUTED_VALUE"""),"Y")</f>
        <v>Y</v>
      </c>
      <c r="K1377" s="3" t="str">
        <f>IFERROR(__xludf.DUMMYFUNCTION("""COMPUTED_VALUE"""),"Y")</f>
        <v>Y</v>
      </c>
      <c r="L1377" s="3" t="str">
        <f>IFERROR(__xludf.DUMMYFUNCTION("""COMPUTED_VALUE"""),"Group 12")</f>
        <v>Group 12</v>
      </c>
      <c r="M1377" s="3"/>
      <c r="N1377" s="5" t="str">
        <f>IFERROR(__xludf.DUMMYFUNCTION("""COMPUTED_VALUE""")," ")</f>
        <v> </v>
      </c>
      <c r="O1377" s="5"/>
    </row>
    <row r="1378">
      <c r="A1378" s="2" t="str">
        <f>IFERROR(__xludf.DUMMYFUNCTION("""COMPUTED_VALUE"""),"2000")</f>
        <v>2000</v>
      </c>
      <c r="B1378" s="2" t="str">
        <f>IFERROR(__xludf.DUMMYFUNCTION("""COMPUTED_VALUE"""),"MESA COUNTY VALLEY 51")</f>
        <v>MESA COUNTY VALLEY 51</v>
      </c>
      <c r="C1378" s="2" t="str">
        <f>IFERROR(__xludf.DUMMYFUNCTION("""COMPUTED_VALUE"""),"06264")</f>
        <v>06264</v>
      </c>
      <c r="D1378" s="2" t="str">
        <f>IFERROR(__xludf.DUMMYFUNCTION("""COMPUTED_VALUE"""),"NISLEY ELEMENTARY SCHOOL")</f>
        <v>NISLEY ELEMENTARY SCHOOL</v>
      </c>
      <c r="E1378" s="3" t="str">
        <f>IFERROR(__xludf.DUMMYFUNCTION("""COMPUTED_VALUE"""),"Y")</f>
        <v>Y</v>
      </c>
      <c r="F1378" s="3" t="str">
        <f>IFERROR(__xludf.DUMMYFUNCTION("""COMPUTED_VALUE"""),"Y")</f>
        <v>Y</v>
      </c>
      <c r="G1378" s="3"/>
      <c r="H1378" s="3"/>
      <c r="I1378" s="3" t="str">
        <f>IFERROR(__xludf.DUMMYFUNCTION("""COMPUTED_VALUE""")," ")</f>
        <v> </v>
      </c>
      <c r="J1378" s="3" t="str">
        <f>IFERROR(__xludf.DUMMYFUNCTION("""COMPUTED_VALUE"""),"Y")</f>
        <v>Y</v>
      </c>
      <c r="K1378" s="3" t="str">
        <f>IFERROR(__xludf.DUMMYFUNCTION("""COMPUTED_VALUE"""),"Y")</f>
        <v>Y</v>
      </c>
      <c r="L1378" s="3" t="str">
        <f>IFERROR(__xludf.DUMMYFUNCTION("""COMPUTED_VALUE"""),"Group 12")</f>
        <v>Group 12</v>
      </c>
      <c r="M1378" s="3"/>
      <c r="N1378" s="5" t="str">
        <f>IFERROR(__xludf.DUMMYFUNCTION("""COMPUTED_VALUE""")," ")</f>
        <v> </v>
      </c>
      <c r="O1378" s="5"/>
    </row>
    <row r="1379">
      <c r="A1379" s="2" t="str">
        <f>IFERROR(__xludf.DUMMYFUNCTION("""COMPUTED_VALUE"""),"2000")</f>
        <v>2000</v>
      </c>
      <c r="B1379" s="2" t="str">
        <f>IFERROR(__xludf.DUMMYFUNCTION("""COMPUTED_VALUE"""),"MESA COUNTY VALLEY 51")</f>
        <v>MESA COUNTY VALLEY 51</v>
      </c>
      <c r="C1379" s="2" t="str">
        <f>IFERROR(__xludf.DUMMYFUNCTION("""COMPUTED_VALUE"""),"06554")</f>
        <v>06554</v>
      </c>
      <c r="D1379" s="2" t="str">
        <f>IFERROR(__xludf.DUMMYFUNCTION("""COMPUTED_VALUE"""),"ORCHARD AVENUE ELEMENTARY SCHOOL")</f>
        <v>ORCHARD AVENUE ELEMENTARY SCHOOL</v>
      </c>
      <c r="E1379" s="3" t="str">
        <f>IFERROR(__xludf.DUMMYFUNCTION("""COMPUTED_VALUE"""),"Y")</f>
        <v>Y</v>
      </c>
      <c r="F1379" s="3" t="str">
        <f>IFERROR(__xludf.DUMMYFUNCTION("""COMPUTED_VALUE"""),"Y")</f>
        <v>Y</v>
      </c>
      <c r="G1379" s="3"/>
      <c r="H1379" s="3"/>
      <c r="I1379" s="3" t="str">
        <f>IFERROR(__xludf.DUMMYFUNCTION("""COMPUTED_VALUE""")," ")</f>
        <v> </v>
      </c>
      <c r="J1379" s="3" t="str">
        <f>IFERROR(__xludf.DUMMYFUNCTION("""COMPUTED_VALUE""")," ")</f>
        <v> </v>
      </c>
      <c r="K1379" s="3" t="str">
        <f>IFERROR(__xludf.DUMMYFUNCTION("""COMPUTED_VALUE"""),"Y")</f>
        <v>Y</v>
      </c>
      <c r="L1379" s="3" t="str">
        <f>IFERROR(__xludf.DUMMYFUNCTION("""COMPUTED_VALUE"""),"Group 5")</f>
        <v>Group 5</v>
      </c>
      <c r="M1379" s="3"/>
      <c r="N1379" s="5" t="str">
        <f>IFERROR(__xludf.DUMMYFUNCTION("""COMPUTED_VALUE""")," ")</f>
        <v> </v>
      </c>
      <c r="O1379" s="5"/>
    </row>
    <row r="1380">
      <c r="A1380" s="2" t="str">
        <f>IFERROR(__xludf.DUMMYFUNCTION("""COMPUTED_VALUE"""),"2000")</f>
        <v>2000</v>
      </c>
      <c r="B1380" s="2" t="str">
        <f>IFERROR(__xludf.DUMMYFUNCTION("""COMPUTED_VALUE"""),"MESA COUNTY VALLEY 51")</f>
        <v>MESA COUNTY VALLEY 51</v>
      </c>
      <c r="C1380" s="2" t="str">
        <f>IFERROR(__xludf.DUMMYFUNCTION("""COMPUTED_VALUE"""),"06562")</f>
        <v>06562</v>
      </c>
      <c r="D1380" s="2" t="str">
        <f>IFERROR(__xludf.DUMMYFUNCTION("""COMPUTED_VALUE"""),"ORCHARD MESA MIDDLE SCHOOL")</f>
        <v>ORCHARD MESA MIDDLE SCHOOL</v>
      </c>
      <c r="E1380" s="3" t="str">
        <f>IFERROR(__xludf.DUMMYFUNCTION("""COMPUTED_VALUE"""),"Y")</f>
        <v>Y</v>
      </c>
      <c r="F1380" s="3" t="str">
        <f>IFERROR(__xludf.DUMMYFUNCTION("""COMPUTED_VALUE"""),"Y")</f>
        <v>Y</v>
      </c>
      <c r="G1380" s="3"/>
      <c r="H1380" s="3"/>
      <c r="I1380" s="3" t="str">
        <f>IFERROR(__xludf.DUMMYFUNCTION("""COMPUTED_VALUE""")," ")</f>
        <v> </v>
      </c>
      <c r="J1380" s="3" t="str">
        <f>IFERROR(__xludf.DUMMYFUNCTION("""COMPUTED_VALUE""")," ")</f>
        <v> </v>
      </c>
      <c r="K1380" s="3" t="str">
        <f>IFERROR(__xludf.DUMMYFUNCTION("""COMPUTED_VALUE"""),"Y")</f>
        <v>Y</v>
      </c>
      <c r="L1380" s="3" t="str">
        <f>IFERROR(__xludf.DUMMYFUNCTION("""COMPUTED_VALUE"""),"Group 9")</f>
        <v>Group 9</v>
      </c>
      <c r="M1380" s="3"/>
      <c r="N1380" s="5" t="str">
        <f>IFERROR(__xludf.DUMMYFUNCTION("""COMPUTED_VALUE"""),"Y")</f>
        <v>Y</v>
      </c>
      <c r="O1380" s="5"/>
    </row>
    <row r="1381">
      <c r="A1381" s="2" t="str">
        <f>IFERROR(__xludf.DUMMYFUNCTION("""COMPUTED_VALUE"""),"2000")</f>
        <v>2000</v>
      </c>
      <c r="B1381" s="2" t="str">
        <f>IFERROR(__xludf.DUMMYFUNCTION("""COMPUTED_VALUE"""),"MESA COUNTY VALLEY 51")</f>
        <v>MESA COUNTY VALLEY 51</v>
      </c>
      <c r="C1381" s="2" t="str">
        <f>IFERROR(__xludf.DUMMYFUNCTION("""COMPUTED_VALUE"""),"06666")</f>
        <v>06666</v>
      </c>
      <c r="D1381" s="2" t="str">
        <f>IFERROR(__xludf.DUMMYFUNCTION("""COMPUTED_VALUE"""),"PALISADE HIGH SCHOOL")</f>
        <v>PALISADE HIGH SCHOOL</v>
      </c>
      <c r="E1381" s="3" t="str">
        <f>IFERROR(__xludf.DUMMYFUNCTION("""COMPUTED_VALUE"""),"Y")</f>
        <v>Y</v>
      </c>
      <c r="F1381" s="3" t="str">
        <f>IFERROR(__xludf.DUMMYFUNCTION("""COMPUTED_VALUE"""),"Y")</f>
        <v>Y</v>
      </c>
      <c r="G1381" s="3"/>
      <c r="H1381" s="3"/>
      <c r="I1381" s="3" t="str">
        <f>IFERROR(__xludf.DUMMYFUNCTION("""COMPUTED_VALUE""")," ")</f>
        <v> </v>
      </c>
      <c r="J1381" s="3" t="str">
        <f>IFERROR(__xludf.DUMMYFUNCTION("""COMPUTED_VALUE""")," ")</f>
        <v> </v>
      </c>
      <c r="K1381" s="3" t="str">
        <f>IFERROR(__xludf.DUMMYFUNCTION("""COMPUTED_VALUE"""),"Y")</f>
        <v>Y</v>
      </c>
      <c r="L1381" s="3" t="str">
        <f>IFERROR(__xludf.DUMMYFUNCTION("""COMPUTED_VALUE"""),"Group 8")</f>
        <v>Group 8</v>
      </c>
      <c r="M1381" s="3"/>
      <c r="N1381" s="5" t="str">
        <f>IFERROR(__xludf.DUMMYFUNCTION("""COMPUTED_VALUE""")," ")</f>
        <v> </v>
      </c>
      <c r="O1381" s="5"/>
    </row>
    <row r="1382">
      <c r="A1382" s="2" t="str">
        <f>IFERROR(__xludf.DUMMYFUNCTION("""COMPUTED_VALUE"""),"2000")</f>
        <v>2000</v>
      </c>
      <c r="B1382" s="2" t="str">
        <f>IFERROR(__xludf.DUMMYFUNCTION("""COMPUTED_VALUE"""),"MESA COUNTY VALLEY 51")</f>
        <v>MESA COUNTY VALLEY 51</v>
      </c>
      <c r="C1382" s="2" t="str">
        <f>IFERROR(__xludf.DUMMYFUNCTION("""COMPUTED_VALUE"""),"07110")</f>
        <v>07110</v>
      </c>
      <c r="D1382" s="2" t="str">
        <f>IFERROR(__xludf.DUMMYFUNCTION("""COMPUTED_VALUE"""),"POMONA ELEMENTARY SCHOOL")</f>
        <v>POMONA ELEMENTARY SCHOOL</v>
      </c>
      <c r="E1382" s="3" t="str">
        <f>IFERROR(__xludf.DUMMYFUNCTION("""COMPUTED_VALUE"""),"Y")</f>
        <v>Y</v>
      </c>
      <c r="F1382" s="3" t="str">
        <f>IFERROR(__xludf.DUMMYFUNCTION("""COMPUTED_VALUE"""),"Y")</f>
        <v>Y</v>
      </c>
      <c r="G1382" s="3"/>
      <c r="H1382" s="3"/>
      <c r="I1382" s="3" t="str">
        <f>IFERROR(__xludf.DUMMYFUNCTION("""COMPUTED_VALUE""")," ")</f>
        <v> </v>
      </c>
      <c r="J1382" s="3" t="str">
        <f>IFERROR(__xludf.DUMMYFUNCTION("""COMPUTED_VALUE""")," ")</f>
        <v> </v>
      </c>
      <c r="K1382" s="3" t="str">
        <f>IFERROR(__xludf.DUMMYFUNCTION("""COMPUTED_VALUE"""),"Y")</f>
        <v>Y</v>
      </c>
      <c r="L1382" s="3" t="str">
        <f>IFERROR(__xludf.DUMMYFUNCTION("""COMPUTED_VALUE"""),"Group 6")</f>
        <v>Group 6</v>
      </c>
      <c r="M1382" s="3"/>
      <c r="N1382" s="5" t="str">
        <f>IFERROR(__xludf.DUMMYFUNCTION("""COMPUTED_VALUE""")," ")</f>
        <v> </v>
      </c>
      <c r="O1382" s="5"/>
    </row>
    <row r="1383">
      <c r="A1383" s="2" t="str">
        <f>IFERROR(__xludf.DUMMYFUNCTION("""COMPUTED_VALUE"""),"2000")</f>
        <v>2000</v>
      </c>
      <c r="B1383" s="2" t="str">
        <f>IFERROR(__xludf.DUMMYFUNCTION("""COMPUTED_VALUE"""),"MESA COUNTY VALLEY 51")</f>
        <v>MESA COUNTY VALLEY 51</v>
      </c>
      <c r="C1383" s="2" t="str">
        <f>IFERROR(__xludf.DUMMYFUNCTION("""COMPUTED_VALUE"""),"07236")</f>
        <v>07236</v>
      </c>
      <c r="D1383" s="2" t="str">
        <f>IFERROR(__xludf.DUMMYFUNCTION("""COMPUTED_VALUE"""),"R-5 HIGH SCHOOL")</f>
        <v>R-5 HIGH SCHOOL</v>
      </c>
      <c r="E1383" s="3" t="str">
        <f>IFERROR(__xludf.DUMMYFUNCTION("""COMPUTED_VALUE"""),"Y")</f>
        <v>Y</v>
      </c>
      <c r="F1383" s="3" t="str">
        <f>IFERROR(__xludf.DUMMYFUNCTION("""COMPUTED_VALUE"""),"Y")</f>
        <v>Y</v>
      </c>
      <c r="G1383" s="3"/>
      <c r="H1383" s="3"/>
      <c r="I1383" s="3" t="str">
        <f>IFERROR(__xludf.DUMMYFUNCTION("""COMPUTED_VALUE""")," ")</f>
        <v> </v>
      </c>
      <c r="J1383" s="3" t="str">
        <f>IFERROR(__xludf.DUMMYFUNCTION("""COMPUTED_VALUE"""),"Y")</f>
        <v>Y</v>
      </c>
      <c r="K1383" s="3" t="str">
        <f>IFERROR(__xludf.DUMMYFUNCTION("""COMPUTED_VALUE"""),"Y")</f>
        <v>Y</v>
      </c>
      <c r="L1383" s="3" t="str">
        <f>IFERROR(__xludf.DUMMYFUNCTION("""COMPUTED_VALUE"""),"Group 11")</f>
        <v>Group 11</v>
      </c>
      <c r="M1383" s="3"/>
      <c r="N1383" s="5" t="str">
        <f>IFERROR(__xludf.DUMMYFUNCTION("""COMPUTED_VALUE""")," ")</f>
        <v> </v>
      </c>
      <c r="O1383" s="5"/>
    </row>
    <row r="1384">
      <c r="A1384" s="2" t="str">
        <f>IFERROR(__xludf.DUMMYFUNCTION("""COMPUTED_VALUE"""),"2000")</f>
        <v>2000</v>
      </c>
      <c r="B1384" s="2" t="str">
        <f>IFERROR(__xludf.DUMMYFUNCTION("""COMPUTED_VALUE"""),"MESA COUNTY VALLEY 51")</f>
        <v>MESA COUNTY VALLEY 51</v>
      </c>
      <c r="C1384" s="2" t="str">
        <f>IFERROR(__xludf.DUMMYFUNCTION("""COMPUTED_VALUE"""),"07281")</f>
        <v>07281</v>
      </c>
      <c r="D1384" s="2" t="str">
        <f>IFERROR(__xludf.DUMMYFUNCTION("""COMPUTED_VALUE"""),"REDLANDS MIDDLE SCHOOL")</f>
        <v>REDLANDS MIDDLE SCHOOL</v>
      </c>
      <c r="E1384" s="3" t="str">
        <f>IFERROR(__xludf.DUMMYFUNCTION("""COMPUTED_VALUE"""),"Y")</f>
        <v>Y</v>
      </c>
      <c r="F1384" s="3" t="str">
        <f>IFERROR(__xludf.DUMMYFUNCTION("""COMPUTED_VALUE"""),"Y")</f>
        <v>Y</v>
      </c>
      <c r="G1384" s="3"/>
      <c r="H1384" s="3"/>
      <c r="I1384" s="3" t="str">
        <f>IFERROR(__xludf.DUMMYFUNCTION("""COMPUTED_VALUE""")," ")</f>
        <v> </v>
      </c>
      <c r="J1384" s="3" t="str">
        <f>IFERROR(__xludf.DUMMYFUNCTION("""COMPUTED_VALUE""")," ")</f>
        <v> </v>
      </c>
      <c r="K1384" s="3" t="str">
        <f>IFERROR(__xludf.DUMMYFUNCTION("""COMPUTED_VALUE"""),"Y")</f>
        <v>Y</v>
      </c>
      <c r="L1384" s="3" t="str">
        <f>IFERROR(__xludf.DUMMYFUNCTION("""COMPUTED_VALUE"""),"Group 4")</f>
        <v>Group 4</v>
      </c>
      <c r="M1384" s="3"/>
      <c r="N1384" s="5" t="str">
        <f>IFERROR(__xludf.DUMMYFUNCTION("""COMPUTED_VALUE""")," ")</f>
        <v> </v>
      </c>
      <c r="O1384" s="5"/>
    </row>
    <row r="1385">
      <c r="A1385" s="2" t="str">
        <f>IFERROR(__xludf.DUMMYFUNCTION("""COMPUTED_VALUE"""),"2000")</f>
        <v>2000</v>
      </c>
      <c r="B1385" s="2" t="str">
        <f>IFERROR(__xludf.DUMMYFUNCTION("""COMPUTED_VALUE"""),"MESA COUNTY VALLEY 51")</f>
        <v>MESA COUNTY VALLEY 51</v>
      </c>
      <c r="C1385" s="2" t="str">
        <f>IFERROR(__xludf.DUMMYFUNCTION("""COMPUTED_VALUE"""),"07467")</f>
        <v>07467</v>
      </c>
      <c r="D1385" s="2" t="str">
        <f>IFERROR(__xludf.DUMMYFUNCTION("""COMPUTED_VALUE"""),"ROCKY MOUNTAIN ELEMENTARY SCHOOL")</f>
        <v>ROCKY MOUNTAIN ELEMENTARY SCHOOL</v>
      </c>
      <c r="E1385" s="3" t="str">
        <f>IFERROR(__xludf.DUMMYFUNCTION("""COMPUTED_VALUE"""),"Y")</f>
        <v>Y</v>
      </c>
      <c r="F1385" s="3" t="str">
        <f>IFERROR(__xludf.DUMMYFUNCTION("""COMPUTED_VALUE"""),"Y")</f>
        <v>Y</v>
      </c>
      <c r="G1385" s="3"/>
      <c r="H1385" s="3"/>
      <c r="I1385" s="3" t="str">
        <f>IFERROR(__xludf.DUMMYFUNCTION("""COMPUTED_VALUE""")," ")</f>
        <v> </v>
      </c>
      <c r="J1385" s="3" t="str">
        <f>IFERROR(__xludf.DUMMYFUNCTION("""COMPUTED_VALUE"""),"Y")</f>
        <v>Y</v>
      </c>
      <c r="K1385" s="3" t="str">
        <f>IFERROR(__xludf.DUMMYFUNCTION("""COMPUTED_VALUE"""),"Y")</f>
        <v>Y</v>
      </c>
      <c r="L1385" s="3" t="str">
        <f>IFERROR(__xludf.DUMMYFUNCTION("""COMPUTED_VALUE"""),"Group 12")</f>
        <v>Group 12</v>
      </c>
      <c r="M1385" s="3"/>
      <c r="N1385" s="5" t="str">
        <f>IFERROR(__xludf.DUMMYFUNCTION("""COMPUTED_VALUE""")," ")</f>
        <v> </v>
      </c>
      <c r="O1385" s="5"/>
    </row>
    <row r="1386">
      <c r="A1386" s="2" t="str">
        <f>IFERROR(__xludf.DUMMYFUNCTION("""COMPUTED_VALUE"""),"2000")</f>
        <v>2000</v>
      </c>
      <c r="B1386" s="2" t="str">
        <f>IFERROR(__xludf.DUMMYFUNCTION("""COMPUTED_VALUE"""),"MESA COUNTY VALLEY 51")</f>
        <v>MESA COUNTY VALLEY 51</v>
      </c>
      <c r="C1386" s="2" t="str">
        <f>IFERROR(__xludf.DUMMYFUNCTION("""COMPUTED_VALUE"""),"07832")</f>
        <v>07832</v>
      </c>
      <c r="D1386" s="2" t="str">
        <f>IFERROR(__xludf.DUMMYFUNCTION("""COMPUTED_VALUE"""),"SHELLEDY ELEMENTARY SCHOOL")</f>
        <v>SHELLEDY ELEMENTARY SCHOOL</v>
      </c>
      <c r="E1386" s="3" t="str">
        <f>IFERROR(__xludf.DUMMYFUNCTION("""COMPUTED_VALUE"""),"Y")</f>
        <v>Y</v>
      </c>
      <c r="F1386" s="3" t="str">
        <f>IFERROR(__xludf.DUMMYFUNCTION("""COMPUTED_VALUE"""),"Y")</f>
        <v>Y</v>
      </c>
      <c r="G1386" s="3"/>
      <c r="H1386" s="3"/>
      <c r="I1386" s="3" t="str">
        <f>IFERROR(__xludf.DUMMYFUNCTION("""COMPUTED_VALUE""")," ")</f>
        <v> </v>
      </c>
      <c r="J1386" s="3" t="str">
        <f>IFERROR(__xludf.DUMMYFUNCTION("""COMPUTED_VALUE""")," ")</f>
        <v> </v>
      </c>
      <c r="K1386" s="3" t="str">
        <f>IFERROR(__xludf.DUMMYFUNCTION("""COMPUTED_VALUE"""),"Y")</f>
        <v>Y</v>
      </c>
      <c r="L1386" s="3" t="str">
        <f>IFERROR(__xludf.DUMMYFUNCTION("""COMPUTED_VALUE"""),"Group 2")</f>
        <v>Group 2</v>
      </c>
      <c r="M1386" s="3"/>
      <c r="N1386" s="5" t="str">
        <f>IFERROR(__xludf.DUMMYFUNCTION("""COMPUTED_VALUE"""),"Y")</f>
        <v>Y</v>
      </c>
      <c r="O1386" s="5"/>
    </row>
    <row r="1387">
      <c r="A1387" s="2" t="str">
        <f>IFERROR(__xludf.DUMMYFUNCTION("""COMPUTED_VALUE"""),"2000")</f>
        <v>2000</v>
      </c>
      <c r="B1387" s="2" t="str">
        <f>IFERROR(__xludf.DUMMYFUNCTION("""COMPUTED_VALUE"""),"MESA COUNTY VALLEY 51")</f>
        <v>MESA COUNTY VALLEY 51</v>
      </c>
      <c r="C1387" s="2" t="str">
        <f>IFERROR(__xludf.DUMMYFUNCTION("""COMPUTED_VALUE"""),"08462")</f>
        <v>08462</v>
      </c>
      <c r="D1387" s="2" t="str">
        <f>IFERROR(__xludf.DUMMYFUNCTION("""COMPUTED_VALUE"""),"TAYLOR ELEMENTARY SCHOOL")</f>
        <v>TAYLOR ELEMENTARY SCHOOL</v>
      </c>
      <c r="E1387" s="3" t="str">
        <f>IFERROR(__xludf.DUMMYFUNCTION("""COMPUTED_VALUE"""),"Y")</f>
        <v>Y</v>
      </c>
      <c r="F1387" s="3" t="str">
        <f>IFERROR(__xludf.DUMMYFUNCTION("""COMPUTED_VALUE"""),"Y")</f>
        <v>Y</v>
      </c>
      <c r="G1387" s="3"/>
      <c r="H1387" s="3"/>
      <c r="I1387" s="3" t="str">
        <f>IFERROR(__xludf.DUMMYFUNCTION("""COMPUTED_VALUE""")," ")</f>
        <v> </v>
      </c>
      <c r="J1387" s="3" t="str">
        <f>IFERROR(__xludf.DUMMYFUNCTION("""COMPUTED_VALUE""")," ")</f>
        <v> </v>
      </c>
      <c r="K1387" s="3" t="str">
        <f>IFERROR(__xludf.DUMMYFUNCTION("""COMPUTED_VALUE"""),"Y")</f>
        <v>Y</v>
      </c>
      <c r="L1387" s="3" t="str">
        <f>IFERROR(__xludf.DUMMYFUNCTION("""COMPUTED_VALUE"""),"Group 11")</f>
        <v>Group 11</v>
      </c>
      <c r="M1387" s="3"/>
      <c r="N1387" s="5" t="str">
        <f>IFERROR(__xludf.DUMMYFUNCTION("""COMPUTED_VALUE""")," ")</f>
        <v> </v>
      </c>
      <c r="O1387" s="5"/>
    </row>
    <row r="1388">
      <c r="A1388" s="2" t="str">
        <f>IFERROR(__xludf.DUMMYFUNCTION("""COMPUTED_VALUE"""),"2000")</f>
        <v>2000</v>
      </c>
      <c r="B1388" s="2" t="str">
        <f>IFERROR(__xludf.DUMMYFUNCTION("""COMPUTED_VALUE"""),"MESA COUNTY VALLEY 51")</f>
        <v>MESA COUNTY VALLEY 51</v>
      </c>
      <c r="C1388" s="2" t="str">
        <f>IFERROR(__xludf.DUMMYFUNCTION("""COMPUTED_VALUE"""),"08846")</f>
        <v>08846</v>
      </c>
      <c r="D1388" s="2" t="str">
        <f>IFERROR(__xludf.DUMMYFUNCTION("""COMPUTED_VALUE"""),"THUNDER MOUNTAIN ELEMENTARY SCHOOL")</f>
        <v>THUNDER MOUNTAIN ELEMENTARY SCHOOL</v>
      </c>
      <c r="E1388" s="3" t="str">
        <f>IFERROR(__xludf.DUMMYFUNCTION("""COMPUTED_VALUE"""),"Y")</f>
        <v>Y</v>
      </c>
      <c r="F1388" s="3" t="str">
        <f>IFERROR(__xludf.DUMMYFUNCTION("""COMPUTED_VALUE"""),"Y")</f>
        <v>Y</v>
      </c>
      <c r="G1388" s="3"/>
      <c r="H1388" s="3"/>
      <c r="I1388" s="3" t="str">
        <f>IFERROR(__xludf.DUMMYFUNCTION("""COMPUTED_VALUE""")," ")</f>
        <v> </v>
      </c>
      <c r="J1388" s="3" t="str">
        <f>IFERROR(__xludf.DUMMYFUNCTION("""COMPUTED_VALUE""")," ")</f>
        <v> </v>
      </c>
      <c r="K1388" s="3" t="str">
        <f>IFERROR(__xludf.DUMMYFUNCTION("""COMPUTED_VALUE"""),"Y")</f>
        <v>Y</v>
      </c>
      <c r="L1388" s="3" t="str">
        <f>IFERROR(__xludf.DUMMYFUNCTION("""COMPUTED_VALUE"""),"Group 11")</f>
        <v>Group 11</v>
      </c>
      <c r="M1388" s="3"/>
      <c r="N1388" s="5" t="str">
        <f>IFERROR(__xludf.DUMMYFUNCTION("""COMPUTED_VALUE""")," ")</f>
        <v> </v>
      </c>
      <c r="O1388" s="5"/>
    </row>
    <row r="1389">
      <c r="A1389" s="2" t="str">
        <f>IFERROR(__xludf.DUMMYFUNCTION("""COMPUTED_VALUE"""),"2000")</f>
        <v>2000</v>
      </c>
      <c r="B1389" s="2" t="str">
        <f>IFERROR(__xludf.DUMMYFUNCTION("""COMPUTED_VALUE"""),"MESA COUNTY VALLEY 51")</f>
        <v>MESA COUNTY VALLEY 51</v>
      </c>
      <c r="C1389" s="2" t="str">
        <f>IFERROR(__xludf.DUMMYFUNCTION("""COMPUTED_VALUE"""),"08876")</f>
        <v>08876</v>
      </c>
      <c r="D1389" s="2" t="str">
        <f>IFERROR(__xludf.DUMMYFUNCTION("""COMPUTED_VALUE"""),"TOPE ELEMENTARY SCHOOL")</f>
        <v>TOPE ELEMENTARY SCHOOL</v>
      </c>
      <c r="E1389" s="3" t="str">
        <f>IFERROR(__xludf.DUMMYFUNCTION("""COMPUTED_VALUE"""),"Y")</f>
        <v>Y</v>
      </c>
      <c r="F1389" s="3" t="str">
        <f>IFERROR(__xludf.DUMMYFUNCTION("""COMPUTED_VALUE"""),"Y")</f>
        <v>Y</v>
      </c>
      <c r="G1389" s="3"/>
      <c r="H1389" s="3"/>
      <c r="I1389" s="3" t="str">
        <f>IFERROR(__xludf.DUMMYFUNCTION("""COMPUTED_VALUE""")," ")</f>
        <v> </v>
      </c>
      <c r="J1389" s="3" t="str">
        <f>IFERROR(__xludf.DUMMYFUNCTION("""COMPUTED_VALUE""")," ")</f>
        <v> </v>
      </c>
      <c r="K1389" s="3" t="str">
        <f>IFERROR(__xludf.DUMMYFUNCTION("""COMPUTED_VALUE"""),"Y")</f>
        <v>Y</v>
      </c>
      <c r="L1389" s="3" t="str">
        <f>IFERROR(__xludf.DUMMYFUNCTION("""COMPUTED_VALUE"""),"Group 12")</f>
        <v>Group 12</v>
      </c>
      <c r="M1389" s="3"/>
      <c r="N1389" s="5" t="str">
        <f>IFERROR(__xludf.DUMMYFUNCTION("""COMPUTED_VALUE""")," ")</f>
        <v> </v>
      </c>
      <c r="O1389" s="5"/>
    </row>
    <row r="1390">
      <c r="A1390" s="2" t="str">
        <f>IFERROR(__xludf.DUMMYFUNCTION("""COMPUTED_VALUE"""),"2000")</f>
        <v>2000</v>
      </c>
      <c r="B1390" s="2" t="str">
        <f>IFERROR(__xludf.DUMMYFUNCTION("""COMPUTED_VALUE"""),"MESA COUNTY VALLEY 51")</f>
        <v>MESA COUNTY VALLEY 51</v>
      </c>
      <c r="C1390" s="2" t="str">
        <f>IFERROR(__xludf.DUMMYFUNCTION("""COMPUTED_VALUE"""),"09406")</f>
        <v>09406</v>
      </c>
      <c r="D1390" s="2" t="str">
        <f>IFERROR(__xludf.DUMMYFUNCTION("""COMPUTED_VALUE"""),"WEST MIDDLE SCHOOL")</f>
        <v>WEST MIDDLE SCHOOL</v>
      </c>
      <c r="E1390" s="3" t="str">
        <f>IFERROR(__xludf.DUMMYFUNCTION("""COMPUTED_VALUE"""),"Y")</f>
        <v>Y</v>
      </c>
      <c r="F1390" s="3" t="str">
        <f>IFERROR(__xludf.DUMMYFUNCTION("""COMPUTED_VALUE"""),"Y")</f>
        <v>Y</v>
      </c>
      <c r="G1390" s="3"/>
      <c r="H1390" s="3"/>
      <c r="I1390" s="3" t="str">
        <f>IFERROR(__xludf.DUMMYFUNCTION("""COMPUTED_VALUE""")," ")</f>
        <v> </v>
      </c>
      <c r="J1390" s="3" t="str">
        <f>IFERROR(__xludf.DUMMYFUNCTION("""COMPUTED_VALUE""")," ")</f>
        <v> </v>
      </c>
      <c r="K1390" s="3" t="str">
        <f>IFERROR(__xludf.DUMMYFUNCTION("""COMPUTED_VALUE"""),"Y")</f>
        <v>Y</v>
      </c>
      <c r="L1390" s="3" t="str">
        <f>IFERROR(__xludf.DUMMYFUNCTION("""COMPUTED_VALUE"""),"Group 2")</f>
        <v>Group 2</v>
      </c>
      <c r="M1390" s="3"/>
      <c r="N1390" s="5" t="str">
        <f>IFERROR(__xludf.DUMMYFUNCTION("""COMPUTED_VALUE""")," ")</f>
        <v> </v>
      </c>
      <c r="O1390" s="5"/>
    </row>
    <row r="1391">
      <c r="A1391" s="2" t="str">
        <f>IFERROR(__xludf.DUMMYFUNCTION("""COMPUTED_VALUE"""),"2000")</f>
        <v>2000</v>
      </c>
      <c r="B1391" s="2" t="str">
        <f>IFERROR(__xludf.DUMMYFUNCTION("""COMPUTED_VALUE"""),"MESA COUNTY VALLEY 51")</f>
        <v>MESA COUNTY VALLEY 51</v>
      </c>
      <c r="C1391" s="2" t="str">
        <f>IFERROR(__xludf.DUMMYFUNCTION("""COMPUTED_VALUE"""),"09434")</f>
        <v>09434</v>
      </c>
      <c r="D1391" s="2" t="str">
        <f>IFERROR(__xludf.DUMMYFUNCTION("""COMPUTED_VALUE"""),"SCENIC ELEMENTARY SCHOOL")</f>
        <v>SCENIC ELEMENTARY SCHOOL</v>
      </c>
      <c r="E1391" s="3" t="str">
        <f>IFERROR(__xludf.DUMMYFUNCTION("""COMPUTED_VALUE"""),"Y")</f>
        <v>Y</v>
      </c>
      <c r="F1391" s="3" t="str">
        <f>IFERROR(__xludf.DUMMYFUNCTION("""COMPUTED_VALUE"""),"Y")</f>
        <v>Y</v>
      </c>
      <c r="G1391" s="3"/>
      <c r="H1391" s="3"/>
      <c r="I1391" s="3" t="str">
        <f>IFERROR(__xludf.DUMMYFUNCTION("""COMPUTED_VALUE""")," ")</f>
        <v> </v>
      </c>
      <c r="J1391" s="3" t="str">
        <f>IFERROR(__xludf.DUMMYFUNCTION("""COMPUTED_VALUE""")," ")</f>
        <v> </v>
      </c>
      <c r="K1391" s="3" t="str">
        <f>IFERROR(__xludf.DUMMYFUNCTION("""COMPUTED_VALUE"""),"Y")</f>
        <v>Y</v>
      </c>
      <c r="L1391" s="3" t="str">
        <f>IFERROR(__xludf.DUMMYFUNCTION("""COMPUTED_VALUE"""),"Group 1")</f>
        <v>Group 1</v>
      </c>
      <c r="M1391" s="3"/>
      <c r="N1391" s="5" t="str">
        <f>IFERROR(__xludf.DUMMYFUNCTION("""COMPUTED_VALUE""")," ")</f>
        <v> </v>
      </c>
      <c r="O1391" s="5"/>
    </row>
    <row r="1392">
      <c r="A1392" s="2" t="str">
        <f>IFERROR(__xludf.DUMMYFUNCTION("""COMPUTED_VALUE"""),"2000")</f>
        <v>2000</v>
      </c>
      <c r="B1392" s="2" t="str">
        <f>IFERROR(__xludf.DUMMYFUNCTION("""COMPUTED_VALUE"""),"MESA COUNTY VALLEY 51")</f>
        <v>MESA COUNTY VALLEY 51</v>
      </c>
      <c r="C1392" s="2" t="str">
        <f>IFERROR(__xludf.DUMMYFUNCTION("""COMPUTED_VALUE"""),"09673")</f>
        <v>09673</v>
      </c>
      <c r="D1392" s="2" t="str">
        <f>IFERROR(__xludf.DUMMYFUNCTION("""COMPUTED_VALUE"""),"WINGATE ELEMENTARY SCHOOL")</f>
        <v>WINGATE ELEMENTARY SCHOOL</v>
      </c>
      <c r="E1392" s="3" t="str">
        <f>IFERROR(__xludf.DUMMYFUNCTION("""COMPUTED_VALUE"""),"Y")</f>
        <v>Y</v>
      </c>
      <c r="F1392" s="3" t="str">
        <f>IFERROR(__xludf.DUMMYFUNCTION("""COMPUTED_VALUE"""),"Y")</f>
        <v>Y</v>
      </c>
      <c r="G1392" s="3"/>
      <c r="H1392" s="3"/>
      <c r="I1392" s="3" t="str">
        <f>IFERROR(__xludf.DUMMYFUNCTION("""COMPUTED_VALUE""")," ")</f>
        <v> </v>
      </c>
      <c r="J1392" s="3" t="str">
        <f>IFERROR(__xludf.DUMMYFUNCTION("""COMPUTED_VALUE""")," ")</f>
        <v> </v>
      </c>
      <c r="K1392" s="3" t="str">
        <f>IFERROR(__xludf.DUMMYFUNCTION("""COMPUTED_VALUE"""),"Y")</f>
        <v>Y</v>
      </c>
      <c r="L1392" s="3" t="str">
        <f>IFERROR(__xludf.DUMMYFUNCTION("""COMPUTED_VALUE"""),"Group 7")</f>
        <v>Group 7</v>
      </c>
      <c r="M1392" s="3"/>
      <c r="N1392" s="5" t="str">
        <f>IFERROR(__xludf.DUMMYFUNCTION("""COMPUTED_VALUE""")," ")</f>
        <v> </v>
      </c>
      <c r="O1392" s="5"/>
    </row>
    <row r="1393">
      <c r="A1393" s="2" t="str">
        <f>IFERROR(__xludf.DUMMYFUNCTION("""COMPUTED_VALUE"""),"2010")</f>
        <v>2010</v>
      </c>
      <c r="B1393" s="2" t="str">
        <f>IFERROR(__xludf.DUMMYFUNCTION("""COMPUTED_VALUE"""),"CREEDE SCHOOL DISTRICT")</f>
        <v>CREEDE SCHOOL DISTRICT</v>
      </c>
      <c r="C1393" s="2" t="str">
        <f>IFERROR(__xludf.DUMMYFUNCTION("""COMPUTED_VALUE"""),"01966")</f>
        <v>01966</v>
      </c>
      <c r="D1393" s="2" t="str">
        <f>IFERROR(__xludf.DUMMYFUNCTION("""COMPUTED_VALUE"""),"Creede School")</f>
        <v>Creede School</v>
      </c>
      <c r="E1393" s="3"/>
      <c r="F1393" s="3" t="str">
        <f>IFERROR(__xludf.DUMMYFUNCTION("""COMPUTED_VALUE"""),"Y")</f>
        <v>Y</v>
      </c>
      <c r="G1393" s="3"/>
      <c r="H1393" s="3"/>
      <c r="I1393" s="3" t="str">
        <f>IFERROR(__xludf.DUMMYFUNCTION("""COMPUTED_VALUE""")," ")</f>
        <v> </v>
      </c>
      <c r="J1393" s="3" t="str">
        <f>IFERROR(__xludf.DUMMYFUNCTION("""COMPUTED_VALUE""")," ")</f>
        <v> </v>
      </c>
      <c r="K1393" s="3" t="str">
        <f>IFERROR(__xludf.DUMMYFUNCTION("""COMPUTED_VALUE"""),"Y")</f>
        <v>Y</v>
      </c>
      <c r="L1393" s="3" t="str">
        <f>IFERROR(__xludf.DUMMYFUNCTION("""COMPUTED_VALUE""")," ")</f>
        <v> </v>
      </c>
      <c r="M1393" s="3"/>
      <c r="N1393" s="5" t="str">
        <f>IFERROR(__xludf.DUMMYFUNCTION("""COMPUTED_VALUE""")," ")</f>
        <v> </v>
      </c>
      <c r="O1393" s="5"/>
    </row>
    <row r="1394">
      <c r="A1394" s="2" t="str">
        <f>IFERROR(__xludf.DUMMYFUNCTION("""COMPUTED_VALUE"""),"2020")</f>
        <v>2020</v>
      </c>
      <c r="B1394" s="2" t="str">
        <f>IFERROR(__xludf.DUMMYFUNCTION("""COMPUTED_VALUE"""),"MOFFAT COUNTY       RE:NO 1")</f>
        <v>MOFFAT COUNTY       RE:NO 1</v>
      </c>
      <c r="C1394" s="2" t="str">
        <f>IFERROR(__xludf.DUMMYFUNCTION("""COMPUTED_VALUE"""),"01936")</f>
        <v>01936</v>
      </c>
      <c r="D1394" s="2" t="str">
        <f>IFERROR(__xludf.DUMMYFUNCTION("""COMPUTED_VALUE"""),"SANDROCK ELEMENTARY")</f>
        <v>SANDROCK ELEMENTARY</v>
      </c>
      <c r="E1394" s="3" t="str">
        <f>IFERROR(__xludf.DUMMYFUNCTION("""COMPUTED_VALUE"""),"Y")</f>
        <v>Y</v>
      </c>
      <c r="F1394" s="3" t="str">
        <f>IFERROR(__xludf.DUMMYFUNCTION("""COMPUTED_VALUE"""),"Y")</f>
        <v>Y</v>
      </c>
      <c r="G1394" s="3"/>
      <c r="H1394" s="3"/>
      <c r="I1394" s="3" t="str">
        <f>IFERROR(__xludf.DUMMYFUNCTION("""COMPUTED_VALUE""")," ")</f>
        <v> </v>
      </c>
      <c r="J1394" s="3" t="str">
        <f>IFERROR(__xludf.DUMMYFUNCTION("""COMPUTED_VALUE"""),"Y")</f>
        <v>Y</v>
      </c>
      <c r="K1394" s="3" t="str">
        <f>IFERROR(__xludf.DUMMYFUNCTION("""COMPUTED_VALUE"""),"Y")</f>
        <v>Y</v>
      </c>
      <c r="L1394" s="3" t="str">
        <f>IFERROR(__xludf.DUMMYFUNCTION("""COMPUTED_VALUE"""),"Group 1")</f>
        <v>Group 1</v>
      </c>
      <c r="M1394" s="3"/>
      <c r="N1394" s="5" t="str">
        <f>IFERROR(__xludf.DUMMYFUNCTION("""COMPUTED_VALUE"""),"Y")</f>
        <v>Y</v>
      </c>
      <c r="O1394" s="5"/>
    </row>
    <row r="1395">
      <c r="A1395" s="2" t="str">
        <f>IFERROR(__xludf.DUMMYFUNCTION("""COMPUTED_VALUE"""),"2020")</f>
        <v>2020</v>
      </c>
      <c r="B1395" s="2" t="str">
        <f>IFERROR(__xludf.DUMMYFUNCTION("""COMPUTED_VALUE"""),"MOFFAT COUNTY       RE:NO 1")</f>
        <v>MOFFAT COUNTY       RE:NO 1</v>
      </c>
      <c r="C1395" s="2" t="str">
        <f>IFERROR(__xludf.DUMMYFUNCTION("""COMPUTED_VALUE"""),"01938")</f>
        <v>01938</v>
      </c>
      <c r="D1395" s="2" t="str">
        <f>IFERROR(__xludf.DUMMYFUNCTION("""COMPUTED_VALUE"""),"CRAIG MIDDLE SCHOOL")</f>
        <v>CRAIG MIDDLE SCHOOL</v>
      </c>
      <c r="E1395" s="3" t="str">
        <f>IFERROR(__xludf.DUMMYFUNCTION("""COMPUTED_VALUE"""),"Y")</f>
        <v>Y</v>
      </c>
      <c r="F1395" s="3" t="str">
        <f>IFERROR(__xludf.DUMMYFUNCTION("""COMPUTED_VALUE"""),"Y")</f>
        <v>Y</v>
      </c>
      <c r="G1395" s="3"/>
      <c r="H1395" s="3"/>
      <c r="I1395" s="3" t="str">
        <f>IFERROR(__xludf.DUMMYFUNCTION("""COMPUTED_VALUE""")," ")</f>
        <v> </v>
      </c>
      <c r="J1395" s="3" t="str">
        <f>IFERROR(__xludf.DUMMYFUNCTION("""COMPUTED_VALUE""")," ")</f>
        <v> </v>
      </c>
      <c r="K1395" s="3" t="str">
        <f>IFERROR(__xludf.DUMMYFUNCTION("""COMPUTED_VALUE"""),"Y")</f>
        <v>Y</v>
      </c>
      <c r="L1395" s="3" t="str">
        <f>IFERROR(__xludf.DUMMYFUNCTION("""COMPUTED_VALUE"""),"Group 2")</f>
        <v>Group 2</v>
      </c>
      <c r="M1395" s="3"/>
      <c r="N1395" s="5" t="str">
        <f>IFERROR(__xludf.DUMMYFUNCTION("""COMPUTED_VALUE""")," ")</f>
        <v> </v>
      </c>
      <c r="O1395" s="5"/>
    </row>
    <row r="1396">
      <c r="A1396" s="2" t="str">
        <f>IFERROR(__xludf.DUMMYFUNCTION("""COMPUTED_VALUE"""),"2020")</f>
        <v>2020</v>
      </c>
      <c r="B1396" s="2" t="str">
        <f>IFERROR(__xludf.DUMMYFUNCTION("""COMPUTED_VALUE"""),"MOFFAT COUNTY       RE:NO 1")</f>
        <v>MOFFAT COUNTY       RE:NO 1</v>
      </c>
      <c r="C1396" s="2" t="str">
        <f>IFERROR(__xludf.DUMMYFUNCTION("""COMPUTED_VALUE"""),"02373")</f>
        <v>02373</v>
      </c>
      <c r="D1396" s="2" t="str">
        <f>IFERROR(__xludf.DUMMYFUNCTION("""COMPUTED_VALUE"""),"EARLY CHILDHOOD CENTER")</f>
        <v>EARLY CHILDHOOD CENTER</v>
      </c>
      <c r="E1396" s="3" t="str">
        <f>IFERROR(__xludf.DUMMYFUNCTION("""COMPUTED_VALUE"""),"Y")</f>
        <v>Y</v>
      </c>
      <c r="F1396" s="3" t="str">
        <f>IFERROR(__xludf.DUMMYFUNCTION("""COMPUTED_VALUE"""),"Y")</f>
        <v>Y</v>
      </c>
      <c r="G1396" s="3"/>
      <c r="H1396" s="3"/>
      <c r="I1396" s="3" t="str">
        <f>IFERROR(__xludf.DUMMYFUNCTION("""COMPUTED_VALUE""")," ")</f>
        <v> </v>
      </c>
      <c r="J1396" s="3" t="str">
        <f>IFERROR(__xludf.DUMMYFUNCTION("""COMPUTED_VALUE"""),"Y")</f>
        <v>Y</v>
      </c>
      <c r="K1396" s="3" t="str">
        <f>IFERROR(__xludf.DUMMYFUNCTION("""COMPUTED_VALUE"""),"Y")</f>
        <v>Y</v>
      </c>
      <c r="L1396" s="3" t="str">
        <f>IFERROR(__xludf.DUMMYFUNCTION("""COMPUTED_VALUE"""),"Group 1")</f>
        <v>Group 1</v>
      </c>
      <c r="M1396" s="3"/>
      <c r="N1396" s="5" t="str">
        <f>IFERROR(__xludf.DUMMYFUNCTION("""COMPUTED_VALUE""")," ")</f>
        <v> </v>
      </c>
      <c r="O1396" s="5"/>
    </row>
    <row r="1397">
      <c r="A1397" s="2" t="str">
        <f>IFERROR(__xludf.DUMMYFUNCTION("""COMPUTED_VALUE"""),"2020")</f>
        <v>2020</v>
      </c>
      <c r="B1397" s="2" t="str">
        <f>IFERROR(__xludf.DUMMYFUNCTION("""COMPUTED_VALUE"""),"MOFFAT COUNTY       RE:NO 1")</f>
        <v>MOFFAT COUNTY       RE:NO 1</v>
      </c>
      <c r="C1397" s="2" t="str">
        <f>IFERROR(__xludf.DUMMYFUNCTION("""COMPUTED_VALUE"""),"05656")</f>
        <v>05656</v>
      </c>
      <c r="D1397" s="2" t="str">
        <f>IFERROR(__xludf.DUMMYFUNCTION("""COMPUTED_VALUE"""),"MAYBELL SCHOOL")</f>
        <v>MAYBELL SCHOOL</v>
      </c>
      <c r="E1397" s="3" t="str">
        <f>IFERROR(__xludf.DUMMYFUNCTION("""COMPUTED_VALUE"""),"Y")</f>
        <v>Y</v>
      </c>
      <c r="F1397" s="3" t="str">
        <f>IFERROR(__xludf.DUMMYFUNCTION("""COMPUTED_VALUE"""),"Y")</f>
        <v>Y</v>
      </c>
      <c r="G1397" s="3"/>
      <c r="H1397" s="3"/>
      <c r="I1397" s="3" t="str">
        <f>IFERROR(__xludf.DUMMYFUNCTION("""COMPUTED_VALUE""")," ")</f>
        <v> </v>
      </c>
      <c r="J1397" s="3" t="str">
        <f>IFERROR(__xludf.DUMMYFUNCTION("""COMPUTED_VALUE""")," ")</f>
        <v> </v>
      </c>
      <c r="K1397" s="3" t="str">
        <f>IFERROR(__xludf.DUMMYFUNCTION("""COMPUTED_VALUE"""),"Y")</f>
        <v>Y</v>
      </c>
      <c r="L1397" s="3" t="str">
        <f>IFERROR(__xludf.DUMMYFUNCTION("""COMPUTED_VALUE"""),"Group 2")</f>
        <v>Group 2</v>
      </c>
      <c r="M1397" s="3"/>
      <c r="N1397" s="5" t="str">
        <f>IFERROR(__xludf.DUMMYFUNCTION("""COMPUTED_VALUE""")," ")</f>
        <v> </v>
      </c>
      <c r="O1397" s="5"/>
    </row>
    <row r="1398">
      <c r="A1398" s="2" t="str">
        <f>IFERROR(__xludf.DUMMYFUNCTION("""COMPUTED_VALUE"""),"2020")</f>
        <v>2020</v>
      </c>
      <c r="B1398" s="2" t="str">
        <f>IFERROR(__xludf.DUMMYFUNCTION("""COMPUTED_VALUE"""),"MOFFAT COUNTY       RE:NO 1")</f>
        <v>MOFFAT COUNTY       RE:NO 1</v>
      </c>
      <c r="C1398" s="2" t="str">
        <f>IFERROR(__xludf.DUMMYFUNCTION("""COMPUTED_VALUE"""),"05962")</f>
        <v>05962</v>
      </c>
      <c r="D1398" s="2" t="str">
        <f>IFERROR(__xludf.DUMMYFUNCTION("""COMPUTED_VALUE"""),"MOFFAT COUNTY HIGH SCHOOL")</f>
        <v>MOFFAT COUNTY HIGH SCHOOL</v>
      </c>
      <c r="E1398" s="3" t="str">
        <f>IFERROR(__xludf.DUMMYFUNCTION("""COMPUTED_VALUE"""),"Y")</f>
        <v>Y</v>
      </c>
      <c r="F1398" s="3" t="str">
        <f>IFERROR(__xludf.DUMMYFUNCTION("""COMPUTED_VALUE"""),"Y")</f>
        <v>Y</v>
      </c>
      <c r="G1398" s="3"/>
      <c r="H1398" s="3"/>
      <c r="I1398" s="3" t="str">
        <f>IFERROR(__xludf.DUMMYFUNCTION("""COMPUTED_VALUE""")," ")</f>
        <v> </v>
      </c>
      <c r="J1398" s="3" t="str">
        <f>IFERROR(__xludf.DUMMYFUNCTION("""COMPUTED_VALUE""")," ")</f>
        <v> </v>
      </c>
      <c r="K1398" s="3" t="str">
        <f>IFERROR(__xludf.DUMMYFUNCTION("""COMPUTED_VALUE"""),"Y")</f>
        <v>Y</v>
      </c>
      <c r="L1398" s="3" t="str">
        <f>IFERROR(__xludf.DUMMYFUNCTION("""COMPUTED_VALUE""")," ")</f>
        <v> </v>
      </c>
      <c r="M1398" s="3"/>
      <c r="N1398" s="5" t="str">
        <f>IFERROR(__xludf.DUMMYFUNCTION("""COMPUTED_VALUE""")," ")</f>
        <v> </v>
      </c>
      <c r="O1398" s="5"/>
    </row>
    <row r="1399">
      <c r="A1399" s="2" t="str">
        <f>IFERROR(__xludf.DUMMYFUNCTION("""COMPUTED_VALUE"""),"2020")</f>
        <v>2020</v>
      </c>
      <c r="B1399" s="2" t="str">
        <f>IFERROR(__xludf.DUMMYFUNCTION("""COMPUTED_VALUE"""),"MOFFAT COUNTY       RE:NO 1")</f>
        <v>MOFFAT COUNTY       RE:NO 1</v>
      </c>
      <c r="C1399" s="2" t="str">
        <f>IFERROR(__xludf.DUMMYFUNCTION("""COMPUTED_VALUE"""),"07338")</f>
        <v>07338</v>
      </c>
      <c r="D1399" s="2" t="str">
        <f>IFERROR(__xludf.DUMMYFUNCTION("""COMPUTED_VALUE"""),"RIDGEVIEW ELEMENTARY SCHOOL")</f>
        <v>RIDGEVIEW ELEMENTARY SCHOOL</v>
      </c>
      <c r="E1399" s="3" t="str">
        <f>IFERROR(__xludf.DUMMYFUNCTION("""COMPUTED_VALUE"""),"Y")</f>
        <v>Y</v>
      </c>
      <c r="F1399" s="3" t="str">
        <f>IFERROR(__xludf.DUMMYFUNCTION("""COMPUTED_VALUE"""),"Y")</f>
        <v>Y</v>
      </c>
      <c r="G1399" s="3"/>
      <c r="H1399" s="3"/>
      <c r="I1399" s="3" t="str">
        <f>IFERROR(__xludf.DUMMYFUNCTION("""COMPUTED_VALUE""")," ")</f>
        <v> </v>
      </c>
      <c r="J1399" s="3" t="str">
        <f>IFERROR(__xludf.DUMMYFUNCTION("""COMPUTED_VALUE""")," ")</f>
        <v> </v>
      </c>
      <c r="K1399" s="3" t="str">
        <f>IFERROR(__xludf.DUMMYFUNCTION("""COMPUTED_VALUE"""),"Y")</f>
        <v>Y</v>
      </c>
      <c r="L1399" s="3" t="str">
        <f>IFERROR(__xludf.DUMMYFUNCTION("""COMPUTED_VALUE"""),"Group 2")</f>
        <v>Group 2</v>
      </c>
      <c r="M1399" s="3"/>
      <c r="N1399" s="5" t="str">
        <f>IFERROR(__xludf.DUMMYFUNCTION("""COMPUTED_VALUE""")," ")</f>
        <v> </v>
      </c>
      <c r="O1399" s="5"/>
    </row>
    <row r="1400">
      <c r="A1400" s="2" t="str">
        <f>IFERROR(__xludf.DUMMYFUNCTION("""COMPUTED_VALUE"""),"2020")</f>
        <v>2020</v>
      </c>
      <c r="B1400" s="2" t="str">
        <f>IFERROR(__xludf.DUMMYFUNCTION("""COMPUTED_VALUE"""),"MOFFAT COUNTY       RE:NO 1")</f>
        <v>MOFFAT COUNTY       RE:NO 1</v>
      </c>
      <c r="C1400" s="2" t="str">
        <f>IFERROR(__xludf.DUMMYFUNCTION("""COMPUTED_VALUE"""),"08398")</f>
        <v>08398</v>
      </c>
      <c r="D1400" s="2" t="str">
        <f>IFERROR(__xludf.DUMMYFUNCTION("""COMPUTED_VALUE"""),"SUNSET ELEMENTARY SCHOOL")</f>
        <v>SUNSET ELEMENTARY SCHOOL</v>
      </c>
      <c r="E1400" s="3" t="str">
        <f>IFERROR(__xludf.DUMMYFUNCTION("""COMPUTED_VALUE"""),"Y")</f>
        <v>Y</v>
      </c>
      <c r="F1400" s="3" t="str">
        <f>IFERROR(__xludf.DUMMYFUNCTION("""COMPUTED_VALUE"""),"Y")</f>
        <v>Y</v>
      </c>
      <c r="G1400" s="3"/>
      <c r="H1400" s="3"/>
      <c r="I1400" s="3" t="str">
        <f>IFERROR(__xludf.DUMMYFUNCTION("""COMPUTED_VALUE""")," ")</f>
        <v> </v>
      </c>
      <c r="J1400" s="3" t="str">
        <f>IFERROR(__xludf.DUMMYFUNCTION("""COMPUTED_VALUE""")," ")</f>
        <v> </v>
      </c>
      <c r="K1400" s="3" t="str">
        <f>IFERROR(__xludf.DUMMYFUNCTION("""COMPUTED_VALUE"""),"Y")</f>
        <v>Y</v>
      </c>
      <c r="L1400" s="3" t="str">
        <f>IFERROR(__xludf.DUMMYFUNCTION("""COMPUTED_VALUE"""),"Group 3")</f>
        <v>Group 3</v>
      </c>
      <c r="M1400" s="3"/>
      <c r="N1400" s="5" t="str">
        <f>IFERROR(__xludf.DUMMYFUNCTION("""COMPUTED_VALUE""")," ")</f>
        <v> </v>
      </c>
      <c r="O1400" s="5"/>
    </row>
    <row r="1401">
      <c r="A1401" s="2" t="str">
        <f>IFERROR(__xludf.DUMMYFUNCTION("""COMPUTED_VALUE"""),"2035")</f>
        <v>2035</v>
      </c>
      <c r="B1401" s="2" t="str">
        <f>IFERROR(__xludf.DUMMYFUNCTION("""COMPUTED_VALUE"""),"MONTEZUMA-CORTEZ    RE-1")</f>
        <v>MONTEZUMA-CORTEZ    RE-1</v>
      </c>
      <c r="C1401" s="2" t="str">
        <f>IFERROR(__xludf.DUMMYFUNCTION("""COMPUTED_VALUE"""),"00609")</f>
        <v>00609</v>
      </c>
      <c r="D1401" s="2" t="str">
        <f>IFERROR(__xludf.DUMMYFUNCTION("""COMPUTED_VALUE"""),"BATTLE ROCK CHARTER SCHOOL")</f>
        <v>BATTLE ROCK CHARTER SCHOOL</v>
      </c>
      <c r="E1401" s="3" t="str">
        <f>IFERROR(__xludf.DUMMYFUNCTION("""COMPUTED_VALUE"""),"Y")</f>
        <v>Y</v>
      </c>
      <c r="F1401" s="3" t="str">
        <f>IFERROR(__xludf.DUMMYFUNCTION("""COMPUTED_VALUE"""),"Y")</f>
        <v>Y</v>
      </c>
      <c r="G1401" s="3"/>
      <c r="H1401" s="3"/>
      <c r="I1401" s="3" t="str">
        <f>IFERROR(__xludf.DUMMYFUNCTION("""COMPUTED_VALUE""")," ")</f>
        <v> </v>
      </c>
      <c r="J1401" s="3" t="str">
        <f>IFERROR(__xludf.DUMMYFUNCTION("""COMPUTED_VALUE""")," ")</f>
        <v> </v>
      </c>
      <c r="K1401" s="3" t="str">
        <f>IFERROR(__xludf.DUMMYFUNCTION("""COMPUTED_VALUE"""),"Y")</f>
        <v>Y</v>
      </c>
      <c r="L1401" s="3" t="str">
        <f>IFERROR(__xludf.DUMMYFUNCTION("""COMPUTED_VALUE"""),"Group 4")</f>
        <v>Group 4</v>
      </c>
      <c r="M1401" s="3"/>
      <c r="N1401" s="5" t="str">
        <f>IFERROR(__xludf.DUMMYFUNCTION("""COMPUTED_VALUE""")," ")</f>
        <v> </v>
      </c>
      <c r="O1401" s="5"/>
    </row>
    <row r="1402">
      <c r="A1402" s="2" t="str">
        <f>IFERROR(__xludf.DUMMYFUNCTION("""COMPUTED_VALUE"""),"2035")</f>
        <v>2035</v>
      </c>
      <c r="B1402" s="2" t="str">
        <f>IFERROR(__xludf.DUMMYFUNCTION("""COMPUTED_VALUE"""),"MONTEZUMA-CORTEZ    RE-1")</f>
        <v>MONTEZUMA-CORTEZ    RE-1</v>
      </c>
      <c r="C1402" s="2" t="str">
        <f>IFERROR(__xludf.DUMMYFUNCTION("""COMPUTED_VALUE"""),"01888")</f>
        <v>01888</v>
      </c>
      <c r="D1402" s="2" t="str">
        <f>IFERROR(__xludf.DUMMYFUNCTION("""COMPUTED_VALUE"""),"CORTEZ MIDDLE SCHOOL")</f>
        <v>CORTEZ MIDDLE SCHOOL</v>
      </c>
      <c r="E1402" s="3" t="str">
        <f>IFERROR(__xludf.DUMMYFUNCTION("""COMPUTED_VALUE"""),"Y")</f>
        <v>Y</v>
      </c>
      <c r="F1402" s="3" t="str">
        <f>IFERROR(__xludf.DUMMYFUNCTION("""COMPUTED_VALUE"""),"Y")</f>
        <v>Y</v>
      </c>
      <c r="G1402" s="3"/>
      <c r="H1402" s="3"/>
      <c r="I1402" s="3" t="str">
        <f>IFERROR(__xludf.DUMMYFUNCTION("""COMPUTED_VALUE""")," ")</f>
        <v> </v>
      </c>
      <c r="J1402" s="3" t="str">
        <f>IFERROR(__xludf.DUMMYFUNCTION("""COMPUTED_VALUE""")," ")</f>
        <v> </v>
      </c>
      <c r="K1402" s="3" t="str">
        <f>IFERROR(__xludf.DUMMYFUNCTION("""COMPUTED_VALUE"""),"Y")</f>
        <v>Y</v>
      </c>
      <c r="L1402" s="3" t="str">
        <f>IFERROR(__xludf.DUMMYFUNCTION("""COMPUTED_VALUE"""),"Group 2")</f>
        <v>Group 2</v>
      </c>
      <c r="M1402" s="3"/>
      <c r="N1402" s="5" t="str">
        <f>IFERROR(__xludf.DUMMYFUNCTION("""COMPUTED_VALUE""")," ")</f>
        <v> </v>
      </c>
      <c r="O1402" s="5"/>
    </row>
    <row r="1403">
      <c r="A1403" s="2" t="str">
        <f>IFERROR(__xludf.DUMMYFUNCTION("""COMPUTED_VALUE"""),"2035")</f>
        <v>2035</v>
      </c>
      <c r="B1403" s="2" t="str">
        <f>IFERROR(__xludf.DUMMYFUNCTION("""COMPUTED_VALUE"""),"MONTEZUMA-CORTEZ    RE-1")</f>
        <v>MONTEZUMA-CORTEZ    RE-1</v>
      </c>
      <c r="C1403" s="2" t="str">
        <f>IFERROR(__xludf.DUMMYFUNCTION("""COMPUTED_VALUE"""),"02036")</f>
        <v>02036</v>
      </c>
      <c r="D1403" s="2" t="str">
        <f>IFERROR(__xludf.DUMMYFUNCTION("""COMPUTED_VALUE"""),"Children's Kiva Montesorri School")</f>
        <v>Children's Kiva Montesorri School</v>
      </c>
      <c r="E1403" s="3" t="str">
        <f>IFERROR(__xludf.DUMMYFUNCTION("""COMPUTED_VALUE"""),"Y")</f>
        <v>Y</v>
      </c>
      <c r="F1403" s="3" t="str">
        <f>IFERROR(__xludf.DUMMYFUNCTION("""COMPUTED_VALUE"""),"Y")</f>
        <v>Y</v>
      </c>
      <c r="G1403" s="3"/>
      <c r="H1403" s="3"/>
      <c r="I1403" s="3" t="str">
        <f>IFERROR(__xludf.DUMMYFUNCTION("""COMPUTED_VALUE""")," ")</f>
        <v> </v>
      </c>
      <c r="J1403" s="3" t="str">
        <f>IFERROR(__xludf.DUMMYFUNCTION("""COMPUTED_VALUE""")," ")</f>
        <v> </v>
      </c>
      <c r="K1403" s="3" t="str">
        <f>IFERROR(__xludf.DUMMYFUNCTION("""COMPUTED_VALUE"""),"Y")</f>
        <v>Y</v>
      </c>
      <c r="L1403" s="3" t="str">
        <f>IFERROR(__xludf.DUMMYFUNCTION("""COMPUTED_VALUE"""),"Group 5")</f>
        <v>Group 5</v>
      </c>
      <c r="M1403" s="3"/>
      <c r="N1403" s="5" t="str">
        <f>IFERROR(__xludf.DUMMYFUNCTION("""COMPUTED_VALUE""")," ")</f>
        <v> </v>
      </c>
      <c r="O1403" s="5"/>
    </row>
    <row r="1404">
      <c r="A1404" s="2" t="str">
        <f>IFERROR(__xludf.DUMMYFUNCTION("""COMPUTED_VALUE"""),"2035")</f>
        <v>2035</v>
      </c>
      <c r="B1404" s="2" t="str">
        <f>IFERROR(__xludf.DUMMYFUNCTION("""COMPUTED_VALUE"""),"MONTEZUMA-CORTEZ    RE-1")</f>
        <v>MONTEZUMA-CORTEZ    RE-1</v>
      </c>
      <c r="C1404" s="2" t="str">
        <f>IFERROR(__xludf.DUMMYFUNCTION("""COMPUTED_VALUE"""),"04546")</f>
        <v>04546</v>
      </c>
      <c r="D1404" s="2" t="str">
        <f>IFERROR(__xludf.DUMMYFUNCTION("""COMPUTED_VALUE"""),"KEMPER ELEMENTARY SCHOOL")</f>
        <v>KEMPER ELEMENTARY SCHOOL</v>
      </c>
      <c r="E1404" s="3" t="str">
        <f>IFERROR(__xludf.DUMMYFUNCTION("""COMPUTED_VALUE"""),"Y")</f>
        <v>Y</v>
      </c>
      <c r="F1404" s="3" t="str">
        <f>IFERROR(__xludf.DUMMYFUNCTION("""COMPUTED_VALUE"""),"Y")</f>
        <v>Y</v>
      </c>
      <c r="G1404" s="3"/>
      <c r="H1404" s="3"/>
      <c r="I1404" s="3" t="str">
        <f>IFERROR(__xludf.DUMMYFUNCTION("""COMPUTED_VALUE""")," ")</f>
        <v> </v>
      </c>
      <c r="J1404" s="3" t="str">
        <f>IFERROR(__xludf.DUMMYFUNCTION("""COMPUTED_VALUE""")," ")</f>
        <v> </v>
      </c>
      <c r="K1404" s="3" t="str">
        <f>IFERROR(__xludf.DUMMYFUNCTION("""COMPUTED_VALUE"""),"Y")</f>
        <v>Y</v>
      </c>
      <c r="L1404" s="3" t="str">
        <f>IFERROR(__xludf.DUMMYFUNCTION("""COMPUTED_VALUE"""),"Group 4")</f>
        <v>Group 4</v>
      </c>
      <c r="M1404" s="3"/>
      <c r="N1404" s="5" t="str">
        <f>IFERROR(__xludf.DUMMYFUNCTION("""COMPUTED_VALUE"""),"Y")</f>
        <v>Y</v>
      </c>
      <c r="O1404" s="5"/>
    </row>
    <row r="1405">
      <c r="A1405" s="2" t="str">
        <f>IFERROR(__xludf.DUMMYFUNCTION("""COMPUTED_VALUE"""),"2035")</f>
        <v>2035</v>
      </c>
      <c r="B1405" s="2" t="str">
        <f>IFERROR(__xludf.DUMMYFUNCTION("""COMPUTED_VALUE"""),"MONTEZUMA-CORTEZ    RE-1")</f>
        <v>MONTEZUMA-CORTEZ    RE-1</v>
      </c>
      <c r="C1405" s="2" t="str">
        <f>IFERROR(__xludf.DUMMYFUNCTION("""COMPUTED_VALUE"""),"05090")</f>
        <v>05090</v>
      </c>
      <c r="D1405" s="2" t="str">
        <f>IFERROR(__xludf.DUMMYFUNCTION("""COMPUTED_VALUE"""),"LEWIS-ARRIOLA ELEMENTARY SCHOOL")</f>
        <v>LEWIS-ARRIOLA ELEMENTARY SCHOOL</v>
      </c>
      <c r="E1405" s="3" t="str">
        <f>IFERROR(__xludf.DUMMYFUNCTION("""COMPUTED_VALUE"""),"Y")</f>
        <v>Y</v>
      </c>
      <c r="F1405" s="3" t="str">
        <f>IFERROR(__xludf.DUMMYFUNCTION("""COMPUTED_VALUE"""),"Y")</f>
        <v>Y</v>
      </c>
      <c r="G1405" s="3"/>
      <c r="H1405" s="3"/>
      <c r="I1405" s="3" t="str">
        <f>IFERROR(__xludf.DUMMYFUNCTION("""COMPUTED_VALUE""")," ")</f>
        <v> </v>
      </c>
      <c r="J1405" s="3" t="str">
        <f>IFERROR(__xludf.DUMMYFUNCTION("""COMPUTED_VALUE""")," ")</f>
        <v> </v>
      </c>
      <c r="K1405" s="3" t="str">
        <f>IFERROR(__xludf.DUMMYFUNCTION("""COMPUTED_VALUE"""),"Y")</f>
        <v>Y</v>
      </c>
      <c r="L1405" s="3" t="str">
        <f>IFERROR(__xludf.DUMMYFUNCTION("""COMPUTED_VALUE"""),"Group 3")</f>
        <v>Group 3</v>
      </c>
      <c r="M1405" s="3"/>
      <c r="N1405" s="5" t="str">
        <f>IFERROR(__xludf.DUMMYFUNCTION("""COMPUTED_VALUE""")," ")</f>
        <v> </v>
      </c>
      <c r="O1405" s="5"/>
    </row>
    <row r="1406">
      <c r="A1406" s="2" t="str">
        <f>IFERROR(__xludf.DUMMYFUNCTION("""COMPUTED_VALUE"""),"2035")</f>
        <v>2035</v>
      </c>
      <c r="B1406" s="2" t="str">
        <f>IFERROR(__xludf.DUMMYFUNCTION("""COMPUTED_VALUE"""),"MONTEZUMA-CORTEZ    RE-1")</f>
        <v>MONTEZUMA-CORTEZ    RE-1</v>
      </c>
      <c r="C1406" s="2" t="str">
        <f>IFERROR(__xludf.DUMMYFUNCTION("""COMPUTED_VALUE"""),"05836")</f>
        <v>05836</v>
      </c>
      <c r="D1406" s="2" t="str">
        <f>IFERROR(__xludf.DUMMYFUNCTION("""COMPUTED_VALUE"""),"MESA ELEMENTARY SCHOOL")</f>
        <v>MESA ELEMENTARY SCHOOL</v>
      </c>
      <c r="E1406" s="3" t="str">
        <f>IFERROR(__xludf.DUMMYFUNCTION("""COMPUTED_VALUE"""),"Y")</f>
        <v>Y</v>
      </c>
      <c r="F1406" s="3" t="str">
        <f>IFERROR(__xludf.DUMMYFUNCTION("""COMPUTED_VALUE"""),"Y")</f>
        <v>Y</v>
      </c>
      <c r="G1406" s="3"/>
      <c r="H1406" s="3"/>
      <c r="I1406" s="3" t="str">
        <f>IFERROR(__xludf.DUMMYFUNCTION("""COMPUTED_VALUE""")," ")</f>
        <v> </v>
      </c>
      <c r="J1406" s="3" t="str">
        <f>IFERROR(__xludf.DUMMYFUNCTION("""COMPUTED_VALUE"""),"Y")</f>
        <v>Y</v>
      </c>
      <c r="K1406" s="3" t="str">
        <f>IFERROR(__xludf.DUMMYFUNCTION("""COMPUTED_VALUE"""),"Y")</f>
        <v>Y</v>
      </c>
      <c r="L1406" s="3" t="str">
        <f>IFERROR(__xludf.DUMMYFUNCTION("""COMPUTED_VALUE"""),"Group 4")</f>
        <v>Group 4</v>
      </c>
      <c r="M1406" s="3"/>
      <c r="N1406" s="5" t="str">
        <f>IFERROR(__xludf.DUMMYFUNCTION("""COMPUTED_VALUE""")," ")</f>
        <v> </v>
      </c>
      <c r="O1406" s="5"/>
    </row>
    <row r="1407">
      <c r="A1407" s="2" t="str">
        <f>IFERROR(__xludf.DUMMYFUNCTION("""COMPUTED_VALUE"""),"2035")</f>
        <v>2035</v>
      </c>
      <c r="B1407" s="2" t="str">
        <f>IFERROR(__xludf.DUMMYFUNCTION("""COMPUTED_VALUE"""),"MONTEZUMA-CORTEZ    RE-1")</f>
        <v>MONTEZUMA-CORTEZ    RE-1</v>
      </c>
      <c r="C1407" s="2" t="str">
        <f>IFERROR(__xludf.DUMMYFUNCTION("""COMPUTED_VALUE"""),"06026")</f>
        <v>06026</v>
      </c>
      <c r="D1407" s="2" t="str">
        <f>IFERROR(__xludf.DUMMYFUNCTION("""COMPUTED_VALUE"""),"MONTEZUMA-CORTEZ HIGH SCHOOL")</f>
        <v>MONTEZUMA-CORTEZ HIGH SCHOOL</v>
      </c>
      <c r="E1407" s="3" t="str">
        <f>IFERROR(__xludf.DUMMYFUNCTION("""COMPUTED_VALUE"""),"Y")</f>
        <v>Y</v>
      </c>
      <c r="F1407" s="3" t="str">
        <f>IFERROR(__xludf.DUMMYFUNCTION("""COMPUTED_VALUE"""),"Y")</f>
        <v>Y</v>
      </c>
      <c r="G1407" s="3"/>
      <c r="H1407" s="3"/>
      <c r="I1407" s="3" t="str">
        <f>IFERROR(__xludf.DUMMYFUNCTION("""COMPUTED_VALUE""")," ")</f>
        <v> </v>
      </c>
      <c r="J1407" s="3" t="str">
        <f>IFERROR(__xludf.DUMMYFUNCTION("""COMPUTED_VALUE""")," ")</f>
        <v> </v>
      </c>
      <c r="K1407" s="3" t="str">
        <f>IFERROR(__xludf.DUMMYFUNCTION("""COMPUTED_VALUE"""),"Y")</f>
        <v>Y</v>
      </c>
      <c r="L1407" s="3" t="str">
        <f>IFERROR(__xludf.DUMMYFUNCTION("""COMPUTED_VALUE"""),"Group 1")</f>
        <v>Group 1</v>
      </c>
      <c r="M1407" s="3"/>
      <c r="N1407" s="5" t="str">
        <f>IFERROR(__xludf.DUMMYFUNCTION("""COMPUTED_VALUE""")," ")</f>
        <v> </v>
      </c>
      <c r="O1407" s="5"/>
    </row>
    <row r="1408">
      <c r="A1408" s="2" t="str">
        <f>IFERROR(__xludf.DUMMYFUNCTION("""COMPUTED_VALUE"""),"2035")</f>
        <v>2035</v>
      </c>
      <c r="B1408" s="2" t="str">
        <f>IFERROR(__xludf.DUMMYFUNCTION("""COMPUTED_VALUE"""),"MONTEZUMA-CORTEZ    RE-1")</f>
        <v>MONTEZUMA-CORTEZ    RE-1</v>
      </c>
      <c r="C1408" s="2" t="str">
        <f>IFERROR(__xludf.DUMMYFUNCTION("""COMPUTED_VALUE"""),"07082")</f>
        <v>07082</v>
      </c>
      <c r="D1408" s="2" t="str">
        <f>IFERROR(__xludf.DUMMYFUNCTION("""COMPUTED_VALUE"""),"PLEASANT VIEW ELEMENTARY SCHOOL")</f>
        <v>PLEASANT VIEW ELEMENTARY SCHOOL</v>
      </c>
      <c r="E1408" s="3" t="str">
        <f>IFERROR(__xludf.DUMMYFUNCTION("""COMPUTED_VALUE"""),"Y")</f>
        <v>Y</v>
      </c>
      <c r="F1408" s="3" t="str">
        <f>IFERROR(__xludf.DUMMYFUNCTION("""COMPUTED_VALUE"""),"Y")</f>
        <v>Y</v>
      </c>
      <c r="G1408" s="3"/>
      <c r="H1408" s="3"/>
      <c r="I1408" s="3" t="str">
        <f>IFERROR(__xludf.DUMMYFUNCTION("""COMPUTED_VALUE""")," ")</f>
        <v> </v>
      </c>
      <c r="J1408" s="3" t="str">
        <f>IFERROR(__xludf.DUMMYFUNCTION("""COMPUTED_VALUE""")," ")</f>
        <v> </v>
      </c>
      <c r="K1408" s="3" t="str">
        <f>IFERROR(__xludf.DUMMYFUNCTION("""COMPUTED_VALUE"""),"Y")</f>
        <v>Y</v>
      </c>
      <c r="L1408" s="3" t="str">
        <f>IFERROR(__xludf.DUMMYFUNCTION("""COMPUTED_VALUE"""),"Group 4")</f>
        <v>Group 4</v>
      </c>
      <c r="M1408" s="3"/>
      <c r="N1408" s="5" t="str">
        <f>IFERROR(__xludf.DUMMYFUNCTION("""COMPUTED_VALUE""")," ")</f>
        <v> </v>
      </c>
      <c r="O1408" s="5"/>
    </row>
    <row r="1409">
      <c r="A1409" s="2" t="str">
        <f>IFERROR(__xludf.DUMMYFUNCTION("""COMPUTED_VALUE"""),"2035")</f>
        <v>2035</v>
      </c>
      <c r="B1409" s="2" t="str">
        <f>IFERROR(__xludf.DUMMYFUNCTION("""COMPUTED_VALUE"""),"MONTEZUMA-CORTEZ    RE-1")</f>
        <v>MONTEZUMA-CORTEZ    RE-1</v>
      </c>
      <c r="C1409" s="2" t="str">
        <f>IFERROR(__xludf.DUMMYFUNCTION("""COMPUTED_VALUE"""),"07430")</f>
        <v>07430</v>
      </c>
      <c r="D1409" s="2" t="str">
        <f>IFERROR(__xludf.DUMMYFUNCTION("""COMPUTED_VALUE"""),"PRESCHOOL/JUMPSTART")</f>
        <v>PRESCHOOL/JUMPSTART</v>
      </c>
      <c r="E1409" s="3" t="str">
        <f>IFERROR(__xludf.DUMMYFUNCTION("""COMPUTED_VALUE"""),"Y")</f>
        <v>Y</v>
      </c>
      <c r="F1409" s="3" t="str">
        <f>IFERROR(__xludf.DUMMYFUNCTION("""COMPUTED_VALUE"""),"Y")</f>
        <v>Y</v>
      </c>
      <c r="G1409" s="3"/>
      <c r="H1409" s="3"/>
      <c r="I1409" s="3" t="str">
        <f>IFERROR(__xludf.DUMMYFUNCTION("""COMPUTED_VALUE""")," ")</f>
        <v> </v>
      </c>
      <c r="J1409" s="3" t="str">
        <f>IFERROR(__xludf.DUMMYFUNCTION("""COMPUTED_VALUE"""),"Y")</f>
        <v>Y</v>
      </c>
      <c r="K1409" s="3" t="str">
        <f>IFERROR(__xludf.DUMMYFUNCTION("""COMPUTED_VALUE"""),"Y")</f>
        <v>Y</v>
      </c>
      <c r="L1409" s="3" t="str">
        <f>IFERROR(__xludf.DUMMYFUNCTION("""COMPUTED_VALUE"""),"Group 3")</f>
        <v>Group 3</v>
      </c>
      <c r="M1409" s="3"/>
      <c r="N1409" s="5" t="str">
        <f>IFERROR(__xludf.DUMMYFUNCTION("""COMPUTED_VALUE""")," ")</f>
        <v> </v>
      </c>
      <c r="O1409" s="5"/>
    </row>
    <row r="1410">
      <c r="A1410" s="2" t="str">
        <f>IFERROR(__xludf.DUMMYFUNCTION("""COMPUTED_VALUE"""),"2035")</f>
        <v>2035</v>
      </c>
      <c r="B1410" s="2" t="str">
        <f>IFERROR(__xludf.DUMMYFUNCTION("""COMPUTED_VALUE"""),"MONTEZUMA-CORTEZ    RE-1")</f>
        <v>MONTEZUMA-CORTEZ    RE-1</v>
      </c>
      <c r="C1410" s="2" t="str">
        <f>IFERROR(__xludf.DUMMYFUNCTION("""COMPUTED_VALUE"""),"08133")</f>
        <v>08133</v>
      </c>
      <c r="D1410" s="2" t="str">
        <f>IFERROR(__xludf.DUMMYFUNCTION("""COMPUTED_VALUE"""),"SOUTHWEST OPEN CHARTER SCHOOL")</f>
        <v>SOUTHWEST OPEN CHARTER SCHOOL</v>
      </c>
      <c r="E1410" s="3" t="str">
        <f>IFERROR(__xludf.DUMMYFUNCTION("""COMPUTED_VALUE"""),"Y")</f>
        <v>Y</v>
      </c>
      <c r="F1410" s="3" t="str">
        <f>IFERROR(__xludf.DUMMYFUNCTION("""COMPUTED_VALUE"""),"Y")</f>
        <v>Y</v>
      </c>
      <c r="G1410" s="3"/>
      <c r="H1410" s="3"/>
      <c r="I1410" s="3" t="str">
        <f>IFERROR(__xludf.DUMMYFUNCTION("""COMPUTED_VALUE""")," ")</f>
        <v> </v>
      </c>
      <c r="J1410" s="3" t="str">
        <f>IFERROR(__xludf.DUMMYFUNCTION("""COMPUTED_VALUE"""),"Y")</f>
        <v>Y</v>
      </c>
      <c r="K1410" s="3" t="str">
        <f>IFERROR(__xludf.DUMMYFUNCTION("""COMPUTED_VALUE"""),"Y")</f>
        <v>Y</v>
      </c>
      <c r="L1410" s="3" t="str">
        <f>IFERROR(__xludf.DUMMYFUNCTION("""COMPUTED_VALUE"""),"Group 3")</f>
        <v>Group 3</v>
      </c>
      <c r="M1410" s="3"/>
      <c r="N1410" s="5" t="str">
        <f>IFERROR(__xludf.DUMMYFUNCTION("""COMPUTED_VALUE""")," ")</f>
        <v> </v>
      </c>
      <c r="O1410" s="5"/>
    </row>
    <row r="1411">
      <c r="A1411" s="2" t="str">
        <f>IFERROR(__xludf.DUMMYFUNCTION("""COMPUTED_VALUE"""),"2055")</f>
        <v>2055</v>
      </c>
      <c r="B1411" s="2" t="str">
        <f>IFERROR(__xludf.DUMMYFUNCTION("""COMPUTED_VALUE"""),"DOLORES RE-4A")</f>
        <v>DOLORES RE-4A</v>
      </c>
      <c r="C1411" s="2" t="str">
        <f>IFERROR(__xludf.DUMMYFUNCTION("""COMPUTED_VALUE"""),"02204")</f>
        <v>02204</v>
      </c>
      <c r="D1411" s="2" t="str">
        <f>IFERROR(__xludf.DUMMYFUNCTION("""COMPUTED_VALUE"""),"DOLORES ELEMENTARY SCHOOL")</f>
        <v>DOLORES ELEMENTARY SCHOOL</v>
      </c>
      <c r="E1411" s="3" t="str">
        <f>IFERROR(__xludf.DUMMYFUNCTION("""COMPUTED_VALUE"""),"Y")</f>
        <v>Y</v>
      </c>
      <c r="F1411" s="3" t="str">
        <f>IFERROR(__xludf.DUMMYFUNCTION("""COMPUTED_VALUE"""),"Y")</f>
        <v>Y</v>
      </c>
      <c r="G1411" s="3"/>
      <c r="H1411" s="3"/>
      <c r="I1411" s="3" t="str">
        <f>IFERROR(__xludf.DUMMYFUNCTION("""COMPUTED_VALUE""")," ")</f>
        <v> </v>
      </c>
      <c r="J1411" s="3" t="str">
        <f>IFERROR(__xludf.DUMMYFUNCTION("""COMPUTED_VALUE""")," ")</f>
        <v> </v>
      </c>
      <c r="K1411" s="3" t="str">
        <f>IFERROR(__xludf.DUMMYFUNCTION("""COMPUTED_VALUE"""),"Y")</f>
        <v>Y</v>
      </c>
      <c r="L1411" s="3" t="str">
        <f>IFERROR(__xludf.DUMMYFUNCTION("""COMPUTED_VALUE"""),"Group 1")</f>
        <v>Group 1</v>
      </c>
      <c r="M1411" s="3"/>
      <c r="N1411" s="5" t="str">
        <f>IFERROR(__xludf.DUMMYFUNCTION("""COMPUTED_VALUE""")," ")</f>
        <v> </v>
      </c>
      <c r="O1411" s="5"/>
    </row>
    <row r="1412">
      <c r="A1412" s="2" t="str">
        <f>IFERROR(__xludf.DUMMYFUNCTION("""COMPUTED_VALUE"""),"2055")</f>
        <v>2055</v>
      </c>
      <c r="B1412" s="2" t="str">
        <f>IFERROR(__xludf.DUMMYFUNCTION("""COMPUTED_VALUE"""),"DOLORES RE-4A")</f>
        <v>DOLORES RE-4A</v>
      </c>
      <c r="C1412" s="2" t="str">
        <f>IFERROR(__xludf.DUMMYFUNCTION("""COMPUTED_VALUE"""),"02206")</f>
        <v>02206</v>
      </c>
      <c r="D1412" s="2" t="str">
        <f>IFERROR(__xludf.DUMMYFUNCTION("""COMPUTED_VALUE"""),"DOLORES MIDDLE SCHOOL")</f>
        <v>DOLORES MIDDLE SCHOOL</v>
      </c>
      <c r="E1412" s="3" t="str">
        <f>IFERROR(__xludf.DUMMYFUNCTION("""COMPUTED_VALUE"""),"Y")</f>
        <v>Y</v>
      </c>
      <c r="F1412" s="3" t="str">
        <f>IFERROR(__xludf.DUMMYFUNCTION("""COMPUTED_VALUE"""),"Y")</f>
        <v>Y</v>
      </c>
      <c r="G1412" s="3"/>
      <c r="H1412" s="3"/>
      <c r="I1412" s="3" t="str">
        <f>IFERROR(__xludf.DUMMYFUNCTION("""COMPUTED_VALUE""")," ")</f>
        <v> </v>
      </c>
      <c r="J1412" s="3" t="str">
        <f>IFERROR(__xludf.DUMMYFUNCTION("""COMPUTED_VALUE""")," ")</f>
        <v> </v>
      </c>
      <c r="K1412" s="3" t="str">
        <f>IFERROR(__xludf.DUMMYFUNCTION("""COMPUTED_VALUE"""),"Y")</f>
        <v>Y</v>
      </c>
      <c r="L1412" s="3" t="str">
        <f>IFERROR(__xludf.DUMMYFUNCTION("""COMPUTED_VALUE"""),"Group 2")</f>
        <v>Group 2</v>
      </c>
      <c r="M1412" s="3"/>
      <c r="N1412" s="5" t="str">
        <f>IFERROR(__xludf.DUMMYFUNCTION("""COMPUTED_VALUE""")," ")</f>
        <v> </v>
      </c>
      <c r="O1412" s="5"/>
    </row>
    <row r="1413">
      <c r="A1413" s="2" t="str">
        <f>IFERROR(__xludf.DUMMYFUNCTION("""COMPUTED_VALUE"""),"2055")</f>
        <v>2055</v>
      </c>
      <c r="B1413" s="2" t="str">
        <f>IFERROR(__xludf.DUMMYFUNCTION("""COMPUTED_VALUE"""),"DOLORES RE-4A")</f>
        <v>DOLORES RE-4A</v>
      </c>
      <c r="C1413" s="2" t="str">
        <f>IFERROR(__xludf.DUMMYFUNCTION("""COMPUTED_VALUE"""),"02208")</f>
        <v>02208</v>
      </c>
      <c r="D1413" s="2" t="str">
        <f>IFERROR(__xludf.DUMMYFUNCTION("""COMPUTED_VALUE"""),"DOLORES HIGH SCHOOL")</f>
        <v>DOLORES HIGH SCHOOL</v>
      </c>
      <c r="E1413" s="3" t="str">
        <f>IFERROR(__xludf.DUMMYFUNCTION("""COMPUTED_VALUE"""),"Y")</f>
        <v>Y</v>
      </c>
      <c r="F1413" s="3" t="str">
        <f>IFERROR(__xludf.DUMMYFUNCTION("""COMPUTED_VALUE"""),"Y")</f>
        <v>Y</v>
      </c>
      <c r="G1413" s="3"/>
      <c r="H1413" s="3"/>
      <c r="I1413" s="3" t="str">
        <f>IFERROR(__xludf.DUMMYFUNCTION("""COMPUTED_VALUE""")," ")</f>
        <v> </v>
      </c>
      <c r="J1413" s="3" t="str">
        <f>IFERROR(__xludf.DUMMYFUNCTION("""COMPUTED_VALUE""")," ")</f>
        <v> </v>
      </c>
      <c r="K1413" s="3" t="str">
        <f>IFERROR(__xludf.DUMMYFUNCTION("""COMPUTED_VALUE"""),"Y")</f>
        <v>Y</v>
      </c>
      <c r="L1413" s="3" t="str">
        <f>IFERROR(__xludf.DUMMYFUNCTION("""COMPUTED_VALUE"""),"Group 2")</f>
        <v>Group 2</v>
      </c>
      <c r="M1413" s="3"/>
      <c r="N1413" s="5" t="str">
        <f>IFERROR(__xludf.DUMMYFUNCTION("""COMPUTED_VALUE""")," ")</f>
        <v> </v>
      </c>
      <c r="O1413" s="5"/>
    </row>
    <row r="1414">
      <c r="A1414" s="2" t="str">
        <f>IFERROR(__xludf.DUMMYFUNCTION("""COMPUTED_VALUE"""),"2070")</f>
        <v>2070</v>
      </c>
      <c r="B1414" s="2" t="str">
        <f>IFERROR(__xludf.DUMMYFUNCTION("""COMPUTED_VALUE"""),"MANCOS RE-6")</f>
        <v>MANCOS RE-6</v>
      </c>
      <c r="C1414" s="2" t="str">
        <f>IFERROR(__xludf.DUMMYFUNCTION("""COMPUTED_VALUE"""),"05446")</f>
        <v>05446</v>
      </c>
      <c r="D1414" s="2" t="str">
        <f>IFERROR(__xludf.DUMMYFUNCTION("""COMPUTED_VALUE"""),"MANCOS ELEMENTARY SCHOOL")</f>
        <v>MANCOS ELEMENTARY SCHOOL</v>
      </c>
      <c r="E1414" s="3" t="str">
        <f>IFERROR(__xludf.DUMMYFUNCTION("""COMPUTED_VALUE"""),"Y")</f>
        <v>Y</v>
      </c>
      <c r="F1414" s="3" t="str">
        <f>IFERROR(__xludf.DUMMYFUNCTION("""COMPUTED_VALUE"""),"Y")</f>
        <v>Y</v>
      </c>
      <c r="G1414" s="3"/>
      <c r="H1414" s="3"/>
      <c r="I1414" s="3" t="str">
        <f>IFERROR(__xludf.DUMMYFUNCTION("""COMPUTED_VALUE""")," ")</f>
        <v> </v>
      </c>
      <c r="J1414" s="3" t="str">
        <f>IFERROR(__xludf.DUMMYFUNCTION("""COMPUTED_VALUE""")," ")</f>
        <v> </v>
      </c>
      <c r="K1414" s="3" t="str">
        <f>IFERROR(__xludf.DUMMYFUNCTION("""COMPUTED_VALUE"""),"Y")</f>
        <v>Y</v>
      </c>
      <c r="L1414" s="3" t="str">
        <f>IFERROR(__xludf.DUMMYFUNCTION("""COMPUTED_VALUE"""),"Group 3")</f>
        <v>Group 3</v>
      </c>
      <c r="M1414" s="3"/>
      <c r="N1414" s="5" t="str">
        <f>IFERROR(__xludf.DUMMYFUNCTION("""COMPUTED_VALUE"""),"Y")</f>
        <v>Y</v>
      </c>
      <c r="O1414" s="5"/>
    </row>
    <row r="1415">
      <c r="A1415" s="2" t="str">
        <f>IFERROR(__xludf.DUMMYFUNCTION("""COMPUTED_VALUE"""),"2070")</f>
        <v>2070</v>
      </c>
      <c r="B1415" s="2" t="str">
        <f>IFERROR(__xludf.DUMMYFUNCTION("""COMPUTED_VALUE"""),"MANCOS RE-6")</f>
        <v>MANCOS RE-6</v>
      </c>
      <c r="C1415" s="2" t="str">
        <f>IFERROR(__xludf.DUMMYFUNCTION("""COMPUTED_VALUE"""),"05450")</f>
        <v>05450</v>
      </c>
      <c r="D1415" s="2" t="str">
        <f>IFERROR(__xludf.DUMMYFUNCTION("""COMPUTED_VALUE"""),"MANCOS MIDDLE SCHOOL")</f>
        <v>MANCOS MIDDLE SCHOOL</v>
      </c>
      <c r="E1415" s="3" t="str">
        <f>IFERROR(__xludf.DUMMYFUNCTION("""COMPUTED_VALUE"""),"Y")</f>
        <v>Y</v>
      </c>
      <c r="F1415" s="3" t="str">
        <f>IFERROR(__xludf.DUMMYFUNCTION("""COMPUTED_VALUE"""),"Y")</f>
        <v>Y</v>
      </c>
      <c r="G1415" s="3"/>
      <c r="H1415" s="3"/>
      <c r="I1415" s="3" t="str">
        <f>IFERROR(__xludf.DUMMYFUNCTION("""COMPUTED_VALUE""")," ")</f>
        <v> </v>
      </c>
      <c r="J1415" s="3" t="str">
        <f>IFERROR(__xludf.DUMMYFUNCTION("""COMPUTED_VALUE""")," ")</f>
        <v> </v>
      </c>
      <c r="K1415" s="3" t="str">
        <f>IFERROR(__xludf.DUMMYFUNCTION("""COMPUTED_VALUE"""),"Y")</f>
        <v>Y</v>
      </c>
      <c r="L1415" s="3" t="str">
        <f>IFERROR(__xludf.DUMMYFUNCTION("""COMPUTED_VALUE"""),"Group 2")</f>
        <v>Group 2</v>
      </c>
      <c r="M1415" s="3"/>
      <c r="N1415" s="5" t="str">
        <f>IFERROR(__xludf.DUMMYFUNCTION("""COMPUTED_VALUE""")," ")</f>
        <v> </v>
      </c>
      <c r="O1415" s="5"/>
    </row>
    <row r="1416">
      <c r="A1416" s="2" t="str">
        <f>IFERROR(__xludf.DUMMYFUNCTION("""COMPUTED_VALUE"""),"2070")</f>
        <v>2070</v>
      </c>
      <c r="B1416" s="2" t="str">
        <f>IFERROR(__xludf.DUMMYFUNCTION("""COMPUTED_VALUE"""),"MANCOS RE-6")</f>
        <v>MANCOS RE-6</v>
      </c>
      <c r="C1416" s="2" t="str">
        <f>IFERROR(__xludf.DUMMYFUNCTION("""COMPUTED_VALUE"""),"05452")</f>
        <v>05452</v>
      </c>
      <c r="D1416" s="2" t="str">
        <f>IFERROR(__xludf.DUMMYFUNCTION("""COMPUTED_VALUE"""),"MANCOS HIGH SCHOOL")</f>
        <v>MANCOS HIGH SCHOOL</v>
      </c>
      <c r="E1416" s="3" t="str">
        <f>IFERROR(__xludf.DUMMYFUNCTION("""COMPUTED_VALUE"""),"Y")</f>
        <v>Y</v>
      </c>
      <c r="F1416" s="3" t="str">
        <f>IFERROR(__xludf.DUMMYFUNCTION("""COMPUTED_VALUE"""),"Y")</f>
        <v>Y</v>
      </c>
      <c r="G1416" s="3"/>
      <c r="H1416" s="3"/>
      <c r="I1416" s="3" t="str">
        <f>IFERROR(__xludf.DUMMYFUNCTION("""COMPUTED_VALUE""")," ")</f>
        <v> </v>
      </c>
      <c r="J1416" s="3" t="str">
        <f>IFERROR(__xludf.DUMMYFUNCTION("""COMPUTED_VALUE""")," ")</f>
        <v> </v>
      </c>
      <c r="K1416" s="3" t="str">
        <f>IFERROR(__xludf.DUMMYFUNCTION("""COMPUTED_VALUE"""),"Y")</f>
        <v>Y</v>
      </c>
      <c r="L1416" s="3" t="str">
        <f>IFERROR(__xludf.DUMMYFUNCTION("""COMPUTED_VALUE"""),"Group 1")</f>
        <v>Group 1</v>
      </c>
      <c r="M1416" s="3"/>
      <c r="N1416" s="5" t="str">
        <f>IFERROR(__xludf.DUMMYFUNCTION("""COMPUTED_VALUE""")," ")</f>
        <v> </v>
      </c>
      <c r="O1416" s="5"/>
    </row>
    <row r="1417">
      <c r="A1417" s="2" t="str">
        <f>IFERROR(__xludf.DUMMYFUNCTION("""COMPUTED_VALUE"""),"2070")</f>
        <v>2070</v>
      </c>
      <c r="B1417" s="2" t="str">
        <f>IFERROR(__xludf.DUMMYFUNCTION("""COMPUTED_VALUE"""),"MANCOS RE-6")</f>
        <v>MANCOS RE-6</v>
      </c>
      <c r="C1417" s="2" t="str">
        <f>IFERROR(__xludf.DUMMYFUNCTION("""COMPUTED_VALUE"""),"06179")</f>
        <v>06179</v>
      </c>
      <c r="D1417" s="2" t="str">
        <f>IFERROR(__xludf.DUMMYFUNCTION("""COMPUTED_VALUE"""),"MANCOS EARLY LEARNING CENTER")</f>
        <v>MANCOS EARLY LEARNING CENTER</v>
      </c>
      <c r="E1417" s="3" t="str">
        <f>IFERROR(__xludf.DUMMYFUNCTION("""COMPUTED_VALUE"""),"Y")</f>
        <v>Y</v>
      </c>
      <c r="F1417" s="3" t="str">
        <f>IFERROR(__xludf.DUMMYFUNCTION("""COMPUTED_VALUE"""),"Y")</f>
        <v>Y</v>
      </c>
      <c r="G1417" s="3"/>
      <c r="H1417" s="3"/>
      <c r="I1417" s="3" t="str">
        <f>IFERROR(__xludf.DUMMYFUNCTION("""COMPUTED_VALUE""")," ")</f>
        <v> </v>
      </c>
      <c r="J1417" s="3" t="str">
        <f>IFERROR(__xludf.DUMMYFUNCTION("""COMPUTED_VALUE""")," ")</f>
        <v> </v>
      </c>
      <c r="K1417" s="3" t="str">
        <f>IFERROR(__xludf.DUMMYFUNCTION("""COMPUTED_VALUE"""),"Y")</f>
        <v>Y</v>
      </c>
      <c r="L1417" s="3" t="str">
        <f>IFERROR(__xludf.DUMMYFUNCTION("""COMPUTED_VALUE"""),"Group 2")</f>
        <v>Group 2</v>
      </c>
      <c r="M1417" s="3"/>
      <c r="N1417" s="5" t="str">
        <f>IFERROR(__xludf.DUMMYFUNCTION("""COMPUTED_VALUE""")," ")</f>
        <v> </v>
      </c>
      <c r="O1417" s="5"/>
    </row>
    <row r="1418">
      <c r="A1418" s="2" t="str">
        <f>IFERROR(__xludf.DUMMYFUNCTION("""COMPUTED_VALUE"""),"2180")</f>
        <v>2180</v>
      </c>
      <c r="B1418" s="2" t="str">
        <f>IFERROR(__xludf.DUMMYFUNCTION("""COMPUTED_VALUE"""),"MONTROSE COUNTY RE-1J")</f>
        <v>MONTROSE COUNTY RE-1J</v>
      </c>
      <c r="C1418" s="2" t="str">
        <f>IFERROR(__xludf.DUMMYFUNCTION("""COMPUTED_VALUE"""),"01392")</f>
        <v>01392</v>
      </c>
      <c r="D1418" s="2" t="str">
        <f>IFERROR(__xludf.DUMMYFUNCTION("""COMPUTED_VALUE"""),"CENTENNIAL MIDDLE SCHOOL")</f>
        <v>CENTENNIAL MIDDLE SCHOOL</v>
      </c>
      <c r="E1418" s="3" t="str">
        <f>IFERROR(__xludf.DUMMYFUNCTION("""COMPUTED_VALUE"""),"Y")</f>
        <v>Y</v>
      </c>
      <c r="F1418" s="3" t="str">
        <f>IFERROR(__xludf.DUMMYFUNCTION("""COMPUTED_VALUE"""),"Y")</f>
        <v>Y</v>
      </c>
      <c r="G1418" s="3"/>
      <c r="H1418" s="3"/>
      <c r="I1418" s="3" t="str">
        <f>IFERROR(__xludf.DUMMYFUNCTION("""COMPUTED_VALUE""")," ")</f>
        <v> </v>
      </c>
      <c r="J1418" s="3" t="str">
        <f>IFERROR(__xludf.DUMMYFUNCTION("""COMPUTED_VALUE""")," ")</f>
        <v> </v>
      </c>
      <c r="K1418" s="3" t="str">
        <f>IFERROR(__xludf.DUMMYFUNCTION("""COMPUTED_VALUE"""),"Y")</f>
        <v>Y</v>
      </c>
      <c r="L1418" s="3" t="str">
        <f>IFERROR(__xludf.DUMMYFUNCTION("""COMPUTED_VALUE"""),"Group 1")</f>
        <v>Group 1</v>
      </c>
      <c r="M1418" s="3"/>
      <c r="N1418" s="5" t="str">
        <f>IFERROR(__xludf.DUMMYFUNCTION("""COMPUTED_VALUE""")," ")</f>
        <v> </v>
      </c>
      <c r="O1418" s="5"/>
    </row>
    <row r="1419">
      <c r="A1419" s="2" t="str">
        <f>IFERROR(__xludf.DUMMYFUNCTION("""COMPUTED_VALUE"""),"2180")</f>
        <v>2180</v>
      </c>
      <c r="B1419" s="2" t="str">
        <f>IFERROR(__xludf.DUMMYFUNCTION("""COMPUTED_VALUE"""),"MONTROSE COUNTY RE-1J")</f>
        <v>MONTROSE COUNTY RE-1J</v>
      </c>
      <c r="C1419" s="2" t="str">
        <f>IFERROR(__xludf.DUMMYFUNCTION("""COMPUTED_VALUE"""),"01915")</f>
        <v>01915</v>
      </c>
      <c r="D1419" s="2" t="str">
        <f>IFERROR(__xludf.DUMMYFUNCTION("""COMPUTED_VALUE"""),"COTTONWOOD ELEMENTARY SCHOOL")</f>
        <v>COTTONWOOD ELEMENTARY SCHOOL</v>
      </c>
      <c r="E1419" s="3" t="str">
        <f>IFERROR(__xludf.DUMMYFUNCTION("""COMPUTED_VALUE"""),"Y")</f>
        <v>Y</v>
      </c>
      <c r="F1419" s="3" t="str">
        <f>IFERROR(__xludf.DUMMYFUNCTION("""COMPUTED_VALUE"""),"Y")</f>
        <v>Y</v>
      </c>
      <c r="G1419" s="3"/>
      <c r="H1419" s="3"/>
      <c r="I1419" s="3" t="str">
        <f>IFERROR(__xludf.DUMMYFUNCTION("""COMPUTED_VALUE""")," ")</f>
        <v> </v>
      </c>
      <c r="J1419" s="3" t="str">
        <f>IFERROR(__xludf.DUMMYFUNCTION("""COMPUTED_VALUE""")," ")</f>
        <v> </v>
      </c>
      <c r="K1419" s="3" t="str">
        <f>IFERROR(__xludf.DUMMYFUNCTION("""COMPUTED_VALUE"""),"Y")</f>
        <v>Y</v>
      </c>
      <c r="L1419" s="3" t="str">
        <f>IFERROR(__xludf.DUMMYFUNCTION("""COMPUTED_VALUE"""),"Group 4")</f>
        <v>Group 4</v>
      </c>
      <c r="M1419" s="3"/>
      <c r="N1419" s="5" t="str">
        <f>IFERROR(__xludf.DUMMYFUNCTION("""COMPUTED_VALUE""")," ")</f>
        <v> </v>
      </c>
      <c r="O1419" s="5"/>
    </row>
    <row r="1420">
      <c r="A1420" s="2" t="str">
        <f>IFERROR(__xludf.DUMMYFUNCTION("""COMPUTED_VALUE"""),"2180")</f>
        <v>2180</v>
      </c>
      <c r="B1420" s="2" t="str">
        <f>IFERROR(__xludf.DUMMYFUNCTION("""COMPUTED_VALUE"""),"MONTROSE COUNTY RE-1J")</f>
        <v>MONTROSE COUNTY RE-1J</v>
      </c>
      <c r="C1420" s="2" t="str">
        <f>IFERROR(__xludf.DUMMYFUNCTION("""COMPUTED_VALUE"""),"02942")</f>
        <v>02942</v>
      </c>
      <c r="D1420" s="2" t="str">
        <f>IFERROR(__xludf.DUMMYFUNCTION("""COMPUTED_VALUE"""),"EARLY CHILDHOOD CENTER")</f>
        <v>EARLY CHILDHOOD CENTER</v>
      </c>
      <c r="E1420" s="3" t="str">
        <f>IFERROR(__xludf.DUMMYFUNCTION("""COMPUTED_VALUE"""),"Y")</f>
        <v>Y</v>
      </c>
      <c r="F1420" s="3" t="str">
        <f>IFERROR(__xludf.DUMMYFUNCTION("""COMPUTED_VALUE"""),"Y")</f>
        <v>Y</v>
      </c>
      <c r="G1420" s="3" t="str">
        <f>IFERROR(__xludf.DUMMYFUNCTION("""COMPUTED_VALUE"""),"Y")</f>
        <v>Y</v>
      </c>
      <c r="H1420" s="3"/>
      <c r="I1420" s="3" t="str">
        <f>IFERROR(__xludf.DUMMYFUNCTION("""COMPUTED_VALUE""")," ")</f>
        <v> </v>
      </c>
      <c r="J1420" s="3" t="str">
        <f>IFERROR(__xludf.DUMMYFUNCTION("""COMPUTED_VALUE""")," ")</f>
        <v> </v>
      </c>
      <c r="K1420" s="3" t="str">
        <f>IFERROR(__xludf.DUMMYFUNCTION("""COMPUTED_VALUE"""),"Y")</f>
        <v>Y</v>
      </c>
      <c r="L1420" s="3" t="str">
        <f>IFERROR(__xludf.DUMMYFUNCTION("""COMPUTED_VALUE"""),"Group 2")</f>
        <v>Group 2</v>
      </c>
      <c r="M1420" s="3"/>
      <c r="N1420" s="5" t="str">
        <f>IFERROR(__xludf.DUMMYFUNCTION("""COMPUTED_VALUE""")," ")</f>
        <v> </v>
      </c>
      <c r="O1420" s="5"/>
    </row>
    <row r="1421">
      <c r="A1421" s="2" t="str">
        <f>IFERROR(__xludf.DUMMYFUNCTION("""COMPUTED_VALUE"""),"2180")</f>
        <v>2180</v>
      </c>
      <c r="B1421" s="2" t="str">
        <f>IFERROR(__xludf.DUMMYFUNCTION("""COMPUTED_VALUE"""),"MONTROSE COUNTY RE-1J")</f>
        <v>MONTROSE COUNTY RE-1J</v>
      </c>
      <c r="C1421" s="2" t="str">
        <f>IFERROR(__xludf.DUMMYFUNCTION("""COMPUTED_VALUE"""),"04458")</f>
        <v>04458</v>
      </c>
      <c r="D1421" s="2" t="str">
        <f>IFERROR(__xludf.DUMMYFUNCTION("""COMPUTED_VALUE"""),"JOHNSON ELEMENTARY SCHOOL")</f>
        <v>JOHNSON ELEMENTARY SCHOOL</v>
      </c>
      <c r="E1421" s="3" t="str">
        <f>IFERROR(__xludf.DUMMYFUNCTION("""COMPUTED_VALUE"""),"Y")</f>
        <v>Y</v>
      </c>
      <c r="F1421" s="3" t="str">
        <f>IFERROR(__xludf.DUMMYFUNCTION("""COMPUTED_VALUE"""),"Y")</f>
        <v>Y</v>
      </c>
      <c r="G1421" s="3" t="str">
        <f>IFERROR(__xludf.DUMMYFUNCTION("""COMPUTED_VALUE"""),"Y")</f>
        <v>Y</v>
      </c>
      <c r="H1421" s="3"/>
      <c r="I1421" s="3" t="str">
        <f>IFERROR(__xludf.DUMMYFUNCTION("""COMPUTED_VALUE""")," ")</f>
        <v> </v>
      </c>
      <c r="J1421" s="3" t="str">
        <f>IFERROR(__xludf.DUMMYFUNCTION("""COMPUTED_VALUE"""),"Y")</f>
        <v>Y</v>
      </c>
      <c r="K1421" s="3" t="str">
        <f>IFERROR(__xludf.DUMMYFUNCTION("""COMPUTED_VALUE"""),"Y")</f>
        <v>Y</v>
      </c>
      <c r="L1421" s="3" t="str">
        <f>IFERROR(__xludf.DUMMYFUNCTION("""COMPUTED_VALUE"""),"Group 5")</f>
        <v>Group 5</v>
      </c>
      <c r="M1421" s="3"/>
      <c r="N1421" s="5" t="str">
        <f>IFERROR(__xludf.DUMMYFUNCTION("""COMPUTED_VALUE""")," ")</f>
        <v> </v>
      </c>
      <c r="O1421" s="5"/>
    </row>
    <row r="1422">
      <c r="A1422" s="2" t="str">
        <f>IFERROR(__xludf.DUMMYFUNCTION("""COMPUTED_VALUE"""),"2180")</f>
        <v>2180</v>
      </c>
      <c r="B1422" s="2" t="str">
        <f>IFERROR(__xludf.DUMMYFUNCTION("""COMPUTED_VALUE"""),"MONTROSE COUNTY RE-1J")</f>
        <v>MONTROSE COUNTY RE-1J</v>
      </c>
      <c r="C1422" s="2" t="str">
        <f>IFERROR(__xludf.DUMMYFUNCTION("""COMPUTED_VALUE"""),"05876")</f>
        <v>05876</v>
      </c>
      <c r="D1422" s="2" t="str">
        <f>IFERROR(__xludf.DUMMYFUNCTION("""COMPUTED_VALUE"""),"Black Canyon High School")</f>
        <v>Black Canyon High School</v>
      </c>
      <c r="E1422" s="3" t="str">
        <f>IFERROR(__xludf.DUMMYFUNCTION("""COMPUTED_VALUE"""),"Y")</f>
        <v>Y</v>
      </c>
      <c r="F1422" s="3" t="str">
        <f>IFERROR(__xludf.DUMMYFUNCTION("""COMPUTED_VALUE"""),"Y")</f>
        <v>Y</v>
      </c>
      <c r="G1422" s="3"/>
      <c r="H1422" s="3"/>
      <c r="I1422" s="3" t="str">
        <f>IFERROR(__xludf.DUMMYFUNCTION("""COMPUTED_VALUE""")," ")</f>
        <v> </v>
      </c>
      <c r="J1422" s="3" t="str">
        <f>IFERROR(__xludf.DUMMYFUNCTION("""COMPUTED_VALUE"""),"Y")</f>
        <v>Y</v>
      </c>
      <c r="K1422" s="3" t="str">
        <f>IFERROR(__xludf.DUMMYFUNCTION("""COMPUTED_VALUE"""),"Y")</f>
        <v>Y</v>
      </c>
      <c r="L1422" s="3" t="str">
        <f>IFERROR(__xludf.DUMMYFUNCTION("""COMPUTED_VALUE"""),"Group 1")</f>
        <v>Group 1</v>
      </c>
      <c r="M1422" s="3"/>
      <c r="N1422" s="5" t="str">
        <f>IFERROR(__xludf.DUMMYFUNCTION("""COMPUTED_VALUE""")," ")</f>
        <v> </v>
      </c>
      <c r="O1422" s="5"/>
    </row>
    <row r="1423">
      <c r="A1423" s="2" t="str">
        <f>IFERROR(__xludf.DUMMYFUNCTION("""COMPUTED_VALUE"""),"2180")</f>
        <v>2180</v>
      </c>
      <c r="B1423" s="2" t="str">
        <f>IFERROR(__xludf.DUMMYFUNCTION("""COMPUTED_VALUE"""),"MONTROSE COUNTY RE-1J")</f>
        <v>MONTROSE COUNTY RE-1J</v>
      </c>
      <c r="C1423" s="2" t="str">
        <f>IFERROR(__xludf.DUMMYFUNCTION("""COMPUTED_VALUE"""),"06054")</f>
        <v>06054</v>
      </c>
      <c r="D1423" s="2" t="str">
        <f>IFERROR(__xludf.DUMMYFUNCTION("""COMPUTED_VALUE"""),"COLUMBINE MIDDLE SCHOOL")</f>
        <v>COLUMBINE MIDDLE SCHOOL</v>
      </c>
      <c r="E1423" s="3" t="str">
        <f>IFERROR(__xludf.DUMMYFUNCTION("""COMPUTED_VALUE"""),"Y")</f>
        <v>Y</v>
      </c>
      <c r="F1423" s="3" t="str">
        <f>IFERROR(__xludf.DUMMYFUNCTION("""COMPUTED_VALUE"""),"Y")</f>
        <v>Y</v>
      </c>
      <c r="G1423" s="3"/>
      <c r="H1423" s="3"/>
      <c r="I1423" s="3" t="str">
        <f>IFERROR(__xludf.DUMMYFUNCTION("""COMPUTED_VALUE""")," ")</f>
        <v> </v>
      </c>
      <c r="J1423" s="3" t="str">
        <f>IFERROR(__xludf.DUMMYFUNCTION("""COMPUTED_VALUE""")," ")</f>
        <v> </v>
      </c>
      <c r="K1423" s="3" t="str">
        <f>IFERROR(__xludf.DUMMYFUNCTION("""COMPUTED_VALUE"""),"Y")</f>
        <v>Y</v>
      </c>
      <c r="L1423" s="3" t="str">
        <f>IFERROR(__xludf.DUMMYFUNCTION("""COMPUTED_VALUE"""),"Group 7")</f>
        <v>Group 7</v>
      </c>
      <c r="M1423" s="3"/>
      <c r="N1423" s="5" t="str">
        <f>IFERROR(__xludf.DUMMYFUNCTION("""COMPUTED_VALUE"""),"Y")</f>
        <v>Y</v>
      </c>
      <c r="O1423" s="5"/>
    </row>
    <row r="1424">
      <c r="A1424" s="2" t="str">
        <f>IFERROR(__xludf.DUMMYFUNCTION("""COMPUTED_VALUE"""),"2180")</f>
        <v>2180</v>
      </c>
      <c r="B1424" s="2" t="str">
        <f>IFERROR(__xludf.DUMMYFUNCTION("""COMPUTED_VALUE"""),"MONTROSE COUNTY RE-1J")</f>
        <v>MONTROSE COUNTY RE-1J</v>
      </c>
      <c r="C1424" s="2" t="str">
        <f>IFERROR(__xludf.DUMMYFUNCTION("""COMPUTED_VALUE"""),"06058")</f>
        <v>06058</v>
      </c>
      <c r="D1424" s="2" t="str">
        <f>IFERROR(__xludf.DUMMYFUNCTION("""COMPUTED_VALUE"""),"MONTROSE HIGH SCHOOL")</f>
        <v>MONTROSE HIGH SCHOOL</v>
      </c>
      <c r="E1424" s="3" t="str">
        <f>IFERROR(__xludf.DUMMYFUNCTION("""COMPUTED_VALUE"""),"Y")</f>
        <v>Y</v>
      </c>
      <c r="F1424" s="3" t="str">
        <f>IFERROR(__xludf.DUMMYFUNCTION("""COMPUTED_VALUE"""),"Y")</f>
        <v>Y</v>
      </c>
      <c r="G1424" s="3"/>
      <c r="H1424" s="3"/>
      <c r="I1424" s="3" t="str">
        <f>IFERROR(__xludf.DUMMYFUNCTION("""COMPUTED_VALUE""")," ")</f>
        <v> </v>
      </c>
      <c r="J1424" s="3" t="str">
        <f>IFERROR(__xludf.DUMMYFUNCTION("""COMPUTED_VALUE""")," ")</f>
        <v> </v>
      </c>
      <c r="K1424" s="3" t="str">
        <f>IFERROR(__xludf.DUMMYFUNCTION("""COMPUTED_VALUE"""),"Y")</f>
        <v>Y</v>
      </c>
      <c r="L1424" s="3" t="str">
        <f>IFERROR(__xludf.DUMMYFUNCTION("""COMPUTED_VALUE"""),"Group 3")</f>
        <v>Group 3</v>
      </c>
      <c r="M1424" s="3"/>
      <c r="N1424" s="5" t="str">
        <f>IFERROR(__xludf.DUMMYFUNCTION("""COMPUTED_VALUE""")," ")</f>
        <v> </v>
      </c>
      <c r="O1424" s="5"/>
    </row>
    <row r="1425">
      <c r="A1425" s="2" t="str">
        <f>IFERROR(__xludf.DUMMYFUNCTION("""COMPUTED_VALUE"""),"2180")</f>
        <v>2180</v>
      </c>
      <c r="B1425" s="2" t="str">
        <f>IFERROR(__xludf.DUMMYFUNCTION("""COMPUTED_VALUE"""),"MONTROSE COUNTY RE-1J")</f>
        <v>MONTROSE COUNTY RE-1J</v>
      </c>
      <c r="C1425" s="2" t="str">
        <f>IFERROR(__xludf.DUMMYFUNCTION("""COMPUTED_VALUE"""),"06262")</f>
        <v>06262</v>
      </c>
      <c r="D1425" s="2" t="str">
        <f>IFERROR(__xludf.DUMMYFUNCTION("""COMPUTED_VALUE"""),"PEAK VIRTUAL ACADEMY")</f>
        <v>PEAK VIRTUAL ACADEMY</v>
      </c>
      <c r="E1425" s="3" t="str">
        <f>IFERROR(__xludf.DUMMYFUNCTION("""COMPUTED_VALUE"""),"Y")</f>
        <v>Y</v>
      </c>
      <c r="F1425" s="3" t="str">
        <f>IFERROR(__xludf.DUMMYFUNCTION("""COMPUTED_VALUE"""),"Y")</f>
        <v>Y</v>
      </c>
      <c r="G1425" s="3"/>
      <c r="H1425" s="3"/>
      <c r="I1425" s="3" t="str">
        <f>IFERROR(__xludf.DUMMYFUNCTION("""COMPUTED_VALUE""")," ")</f>
        <v> </v>
      </c>
      <c r="J1425" s="3" t="str">
        <f>IFERROR(__xludf.DUMMYFUNCTION("""COMPUTED_VALUE""")," ")</f>
        <v> </v>
      </c>
      <c r="K1425" s="3" t="str">
        <f>IFERROR(__xludf.DUMMYFUNCTION("""COMPUTED_VALUE"""),"Y")</f>
        <v>Y</v>
      </c>
      <c r="L1425" s="3" t="str">
        <f>IFERROR(__xludf.DUMMYFUNCTION("""COMPUTED_VALUE"""),"Group 8")</f>
        <v>Group 8</v>
      </c>
      <c r="M1425" s="3"/>
      <c r="N1425" s="5" t="str">
        <f>IFERROR(__xludf.DUMMYFUNCTION("""COMPUTED_VALUE""")," ")</f>
        <v> </v>
      </c>
      <c r="O1425" s="5"/>
    </row>
    <row r="1426">
      <c r="A1426" s="2" t="str">
        <f>IFERROR(__xludf.DUMMYFUNCTION("""COMPUTED_VALUE"""),"2180")</f>
        <v>2180</v>
      </c>
      <c r="B1426" s="2" t="str">
        <f>IFERROR(__xludf.DUMMYFUNCTION("""COMPUTED_VALUE"""),"MONTROSE COUNTY RE-1J")</f>
        <v>MONTROSE COUNTY RE-1J</v>
      </c>
      <c r="C1426" s="2" t="str">
        <f>IFERROR(__xludf.DUMMYFUNCTION("""COMPUTED_VALUE"""),"06366")</f>
        <v>06366</v>
      </c>
      <c r="D1426" s="2" t="str">
        <f>IFERROR(__xludf.DUMMYFUNCTION("""COMPUTED_VALUE"""),"NORTHSIDE ELEMENTARY SCHOOL")</f>
        <v>NORTHSIDE ELEMENTARY SCHOOL</v>
      </c>
      <c r="E1426" s="3" t="str">
        <f>IFERROR(__xludf.DUMMYFUNCTION("""COMPUTED_VALUE"""),"Y")</f>
        <v>Y</v>
      </c>
      <c r="F1426" s="3" t="str">
        <f>IFERROR(__xludf.DUMMYFUNCTION("""COMPUTED_VALUE"""),"Y")</f>
        <v>Y</v>
      </c>
      <c r="G1426" s="3"/>
      <c r="H1426" s="3"/>
      <c r="I1426" s="3" t="str">
        <f>IFERROR(__xludf.DUMMYFUNCTION("""COMPUTED_VALUE""")," ")</f>
        <v> </v>
      </c>
      <c r="J1426" s="3" t="str">
        <f>IFERROR(__xludf.DUMMYFUNCTION("""COMPUTED_VALUE"""),"Y")</f>
        <v>Y</v>
      </c>
      <c r="K1426" s="3" t="str">
        <f>IFERROR(__xludf.DUMMYFUNCTION("""COMPUTED_VALUE"""),"Y")</f>
        <v>Y</v>
      </c>
      <c r="L1426" s="3" t="str">
        <f>IFERROR(__xludf.DUMMYFUNCTION("""COMPUTED_VALUE"""),"Group 6")</f>
        <v>Group 6</v>
      </c>
      <c r="M1426" s="3"/>
      <c r="N1426" s="5" t="str">
        <f>IFERROR(__xludf.DUMMYFUNCTION("""COMPUTED_VALUE"""),"Y")</f>
        <v>Y</v>
      </c>
      <c r="O1426" s="5"/>
    </row>
    <row r="1427">
      <c r="A1427" s="2" t="str">
        <f>IFERROR(__xludf.DUMMYFUNCTION("""COMPUTED_VALUE"""),"2180")</f>
        <v>2180</v>
      </c>
      <c r="B1427" s="2" t="str">
        <f>IFERROR(__xludf.DUMMYFUNCTION("""COMPUTED_VALUE"""),"MONTROSE COUNTY RE-1J")</f>
        <v>MONTROSE COUNTY RE-1J</v>
      </c>
      <c r="C1427" s="2" t="str">
        <f>IFERROR(__xludf.DUMMYFUNCTION("""COMPUTED_VALUE"""),"06466")</f>
        <v>06466</v>
      </c>
      <c r="D1427" s="2" t="str">
        <f>IFERROR(__xludf.DUMMYFUNCTION("""COMPUTED_VALUE"""),"OAK GROVE ELEMENTARY SCHOOL")</f>
        <v>OAK GROVE ELEMENTARY SCHOOL</v>
      </c>
      <c r="E1427" s="3" t="str">
        <f>IFERROR(__xludf.DUMMYFUNCTION("""COMPUTED_VALUE"""),"Y")</f>
        <v>Y</v>
      </c>
      <c r="F1427" s="3" t="str">
        <f>IFERROR(__xludf.DUMMYFUNCTION("""COMPUTED_VALUE"""),"Y")</f>
        <v>Y</v>
      </c>
      <c r="G1427" s="3"/>
      <c r="H1427" s="3"/>
      <c r="I1427" s="3" t="str">
        <f>IFERROR(__xludf.DUMMYFUNCTION("""COMPUTED_VALUE""")," ")</f>
        <v> </v>
      </c>
      <c r="J1427" s="3" t="str">
        <f>IFERROR(__xludf.DUMMYFUNCTION("""COMPUTED_VALUE""")," ")</f>
        <v> </v>
      </c>
      <c r="K1427" s="3" t="str">
        <f>IFERROR(__xludf.DUMMYFUNCTION("""COMPUTED_VALUE"""),"Y")</f>
        <v>Y</v>
      </c>
      <c r="L1427" s="3" t="str">
        <f>IFERROR(__xludf.DUMMYFUNCTION("""COMPUTED_VALUE"""),"Group 4")</f>
        <v>Group 4</v>
      </c>
      <c r="M1427" s="3"/>
      <c r="N1427" s="5" t="str">
        <f>IFERROR(__xludf.DUMMYFUNCTION("""COMPUTED_VALUE""")," ")</f>
        <v> </v>
      </c>
      <c r="O1427" s="5"/>
    </row>
    <row r="1428">
      <c r="A1428" s="2" t="str">
        <f>IFERROR(__xludf.DUMMYFUNCTION("""COMPUTED_VALUE"""),"2180")</f>
        <v>2180</v>
      </c>
      <c r="B1428" s="2" t="str">
        <f>IFERROR(__xludf.DUMMYFUNCTION("""COMPUTED_VALUE"""),"MONTROSE COUNTY RE-1J")</f>
        <v>MONTROSE COUNTY RE-1J</v>
      </c>
      <c r="C1428" s="2" t="str">
        <f>IFERROR(__xludf.DUMMYFUNCTION("""COMPUTED_VALUE"""),"06486")</f>
        <v>06486</v>
      </c>
      <c r="D1428" s="2" t="str">
        <f>IFERROR(__xludf.DUMMYFUNCTION("""COMPUTED_VALUE"""),"OLATHE ELEMENTARY SCHOOL")</f>
        <v>OLATHE ELEMENTARY SCHOOL</v>
      </c>
      <c r="E1428" s="3" t="str">
        <f>IFERROR(__xludf.DUMMYFUNCTION("""COMPUTED_VALUE"""),"Y")</f>
        <v>Y</v>
      </c>
      <c r="F1428" s="3" t="str">
        <f>IFERROR(__xludf.DUMMYFUNCTION("""COMPUTED_VALUE"""),"Y")</f>
        <v>Y</v>
      </c>
      <c r="G1428" s="3" t="str">
        <f>IFERROR(__xludf.DUMMYFUNCTION("""COMPUTED_VALUE"""),"Y")</f>
        <v>Y</v>
      </c>
      <c r="H1428" s="3"/>
      <c r="I1428" s="3" t="str">
        <f>IFERROR(__xludf.DUMMYFUNCTION("""COMPUTED_VALUE""")," ")</f>
        <v> </v>
      </c>
      <c r="J1428" s="3" t="str">
        <f>IFERROR(__xludf.DUMMYFUNCTION("""COMPUTED_VALUE"""),"Y")</f>
        <v>Y</v>
      </c>
      <c r="K1428" s="3" t="str">
        <f>IFERROR(__xludf.DUMMYFUNCTION("""COMPUTED_VALUE"""),"Y")</f>
        <v>Y</v>
      </c>
      <c r="L1428" s="3" t="str">
        <f>IFERROR(__xludf.DUMMYFUNCTION("""COMPUTED_VALUE"""),"Group 5")</f>
        <v>Group 5</v>
      </c>
      <c r="M1428" s="3"/>
      <c r="N1428" s="5" t="str">
        <f>IFERROR(__xludf.DUMMYFUNCTION("""COMPUTED_VALUE"""),"Y")</f>
        <v>Y</v>
      </c>
      <c r="O1428" s="5"/>
    </row>
    <row r="1429">
      <c r="A1429" s="2" t="str">
        <f>IFERROR(__xludf.DUMMYFUNCTION("""COMPUTED_VALUE"""),"2180")</f>
        <v>2180</v>
      </c>
      <c r="B1429" s="2" t="str">
        <f>IFERROR(__xludf.DUMMYFUNCTION("""COMPUTED_VALUE"""),"MONTROSE COUNTY RE-1J")</f>
        <v>MONTROSE COUNTY RE-1J</v>
      </c>
      <c r="C1429" s="2" t="str">
        <f>IFERROR(__xludf.DUMMYFUNCTION("""COMPUTED_VALUE"""),"06494")</f>
        <v>06494</v>
      </c>
      <c r="D1429" s="2" t="str">
        <f>IFERROR(__xludf.DUMMYFUNCTION("""COMPUTED_VALUE"""),"OLATHE MIDDLE/HIGH SCHOOL")</f>
        <v>OLATHE MIDDLE/HIGH SCHOOL</v>
      </c>
      <c r="E1429" s="3" t="str">
        <f>IFERROR(__xludf.DUMMYFUNCTION("""COMPUTED_VALUE"""),"Y")</f>
        <v>Y</v>
      </c>
      <c r="F1429" s="3" t="str">
        <f>IFERROR(__xludf.DUMMYFUNCTION("""COMPUTED_VALUE"""),"Y")</f>
        <v>Y</v>
      </c>
      <c r="G1429" s="3"/>
      <c r="H1429" s="3"/>
      <c r="I1429" s="3" t="str">
        <f>IFERROR(__xludf.DUMMYFUNCTION("""COMPUTED_VALUE""")," ")</f>
        <v> </v>
      </c>
      <c r="J1429" s="3" t="str">
        <f>IFERROR(__xludf.DUMMYFUNCTION("""COMPUTED_VALUE""")," ")</f>
        <v> </v>
      </c>
      <c r="K1429" s="3" t="str">
        <f>IFERROR(__xludf.DUMMYFUNCTION("""COMPUTED_VALUE"""),"Y")</f>
        <v>Y</v>
      </c>
      <c r="L1429" s="3" t="str">
        <f>IFERROR(__xludf.DUMMYFUNCTION("""COMPUTED_VALUE"""),"Group 3")</f>
        <v>Group 3</v>
      </c>
      <c r="M1429" s="3"/>
      <c r="N1429" s="5" t="str">
        <f>IFERROR(__xludf.DUMMYFUNCTION("""COMPUTED_VALUE""")," ")</f>
        <v> </v>
      </c>
      <c r="O1429" s="5"/>
    </row>
    <row r="1430">
      <c r="A1430" s="2" t="str">
        <f>IFERROR(__xludf.DUMMYFUNCTION("""COMPUTED_VALUE"""),"2180")</f>
        <v>2180</v>
      </c>
      <c r="B1430" s="2" t="str">
        <f>IFERROR(__xludf.DUMMYFUNCTION("""COMPUTED_VALUE"""),"MONTROSE COUNTY RE-1J")</f>
        <v>MONTROSE COUNTY RE-1J</v>
      </c>
      <c r="C1430" s="2" t="str">
        <f>IFERROR(__xludf.DUMMYFUNCTION("""COMPUTED_VALUE"""),"07106")</f>
        <v>07106</v>
      </c>
      <c r="D1430" s="2" t="str">
        <f>IFERROR(__xludf.DUMMYFUNCTION("""COMPUTED_VALUE"""),"POMONA ELEMENTARY SCHOOL")</f>
        <v>POMONA ELEMENTARY SCHOOL</v>
      </c>
      <c r="E1430" s="3" t="str">
        <f>IFERROR(__xludf.DUMMYFUNCTION("""COMPUTED_VALUE"""),"Y")</f>
        <v>Y</v>
      </c>
      <c r="F1430" s="3" t="str">
        <f>IFERROR(__xludf.DUMMYFUNCTION("""COMPUTED_VALUE"""),"Y")</f>
        <v>Y</v>
      </c>
      <c r="G1430" s="3" t="str">
        <f>IFERROR(__xludf.DUMMYFUNCTION("""COMPUTED_VALUE"""),"Y")</f>
        <v>Y</v>
      </c>
      <c r="H1430" s="3"/>
      <c r="I1430" s="3" t="str">
        <f>IFERROR(__xludf.DUMMYFUNCTION("""COMPUTED_VALUE""")," ")</f>
        <v> </v>
      </c>
      <c r="J1430" s="3" t="str">
        <f>IFERROR(__xludf.DUMMYFUNCTION("""COMPUTED_VALUE"""),"Y")</f>
        <v>Y</v>
      </c>
      <c r="K1430" s="3" t="str">
        <f>IFERROR(__xludf.DUMMYFUNCTION("""COMPUTED_VALUE"""),"Y")</f>
        <v>Y</v>
      </c>
      <c r="L1430" s="3" t="str">
        <f>IFERROR(__xludf.DUMMYFUNCTION("""COMPUTED_VALUE"""),"Group 2")</f>
        <v>Group 2</v>
      </c>
      <c r="M1430" s="3"/>
      <c r="N1430" s="5" t="str">
        <f>IFERROR(__xludf.DUMMYFUNCTION("""COMPUTED_VALUE"""),"Y")</f>
        <v>Y</v>
      </c>
      <c r="O1430" s="5"/>
    </row>
    <row r="1431">
      <c r="A1431" s="2" t="str">
        <f>IFERROR(__xludf.DUMMYFUNCTION("""COMPUTED_VALUE"""),"2180")</f>
        <v>2180</v>
      </c>
      <c r="B1431" s="2" t="str">
        <f>IFERROR(__xludf.DUMMYFUNCTION("""COMPUTED_VALUE"""),"MONTROSE COUNTY RE-1J")</f>
        <v>MONTROSE COUNTY RE-1J</v>
      </c>
      <c r="C1431" s="2" t="str">
        <f>IFERROR(__xludf.DUMMYFUNCTION("""COMPUTED_VALUE"""),"07169")</f>
        <v>07169</v>
      </c>
      <c r="D1431" s="2" t="str">
        <f>IFERROR(__xludf.DUMMYFUNCTION("""COMPUTED_VALUE"""),"Outer Range")</f>
        <v>Outer Range</v>
      </c>
      <c r="E1431" s="3" t="str">
        <f>IFERROR(__xludf.DUMMYFUNCTION("""COMPUTED_VALUE"""),"Y")</f>
        <v>Y</v>
      </c>
      <c r="F1431" s="3" t="str">
        <f>IFERROR(__xludf.DUMMYFUNCTION("""COMPUTED_VALUE"""),"Y")</f>
        <v>Y</v>
      </c>
      <c r="G1431" s="3"/>
      <c r="H1431" s="3"/>
      <c r="I1431" s="3" t="str">
        <f>IFERROR(__xludf.DUMMYFUNCTION("""COMPUTED_VALUE""")," ")</f>
        <v> </v>
      </c>
      <c r="J1431" s="3" t="str">
        <f>IFERROR(__xludf.DUMMYFUNCTION("""COMPUTED_VALUE""")," ")</f>
        <v> </v>
      </c>
      <c r="K1431" s="3" t="str">
        <f>IFERROR(__xludf.DUMMYFUNCTION("""COMPUTED_VALUE"""),"Y")</f>
        <v>Y</v>
      </c>
      <c r="L1431" s="3" t="str">
        <f>IFERROR(__xludf.DUMMYFUNCTION("""COMPUTED_VALUE"""),"Group 8")</f>
        <v>Group 8</v>
      </c>
      <c r="M1431" s="3"/>
      <c r="N1431" s="5" t="str">
        <f>IFERROR(__xludf.DUMMYFUNCTION("""COMPUTED_VALUE""")," ")</f>
        <v> </v>
      </c>
      <c r="O1431" s="5"/>
    </row>
    <row r="1432">
      <c r="A1432" s="2" t="str">
        <f>IFERROR(__xludf.DUMMYFUNCTION("""COMPUTED_VALUE"""),"2180")</f>
        <v>2180</v>
      </c>
      <c r="B1432" s="2" t="str">
        <f>IFERROR(__xludf.DUMMYFUNCTION("""COMPUTED_VALUE"""),"MONTROSE COUNTY RE-1J")</f>
        <v>MONTROSE COUNTY RE-1J</v>
      </c>
      <c r="C1432" s="2" t="str">
        <f>IFERROR(__xludf.DUMMYFUNCTION("""COMPUTED_VALUE"""),"09149")</f>
        <v>09149</v>
      </c>
      <c r="D1432" s="2" t="str">
        <f>IFERROR(__xludf.DUMMYFUNCTION("""COMPUTED_VALUE"""),"Vista Charter School")</f>
        <v>Vista Charter School</v>
      </c>
      <c r="E1432" s="3" t="str">
        <f>IFERROR(__xludf.DUMMYFUNCTION("""COMPUTED_VALUE"""),"Y")</f>
        <v>Y</v>
      </c>
      <c r="F1432" s="3" t="str">
        <f>IFERROR(__xludf.DUMMYFUNCTION("""COMPUTED_VALUE"""),"Y")</f>
        <v>Y</v>
      </c>
      <c r="G1432" s="3"/>
      <c r="H1432" s="3"/>
      <c r="I1432" s="3" t="str">
        <f>IFERROR(__xludf.DUMMYFUNCTION("""COMPUTED_VALUE""")," ")</f>
        <v> </v>
      </c>
      <c r="J1432" s="3" t="str">
        <f>IFERROR(__xludf.DUMMYFUNCTION("""COMPUTED_VALUE"""),"Y")</f>
        <v>Y</v>
      </c>
      <c r="K1432" s="3" t="str">
        <f>IFERROR(__xludf.DUMMYFUNCTION("""COMPUTED_VALUE"""),"Y")</f>
        <v>Y</v>
      </c>
      <c r="L1432" s="3" t="str">
        <f>IFERROR(__xludf.DUMMYFUNCTION("""COMPUTED_VALUE"""),"Group 4")</f>
        <v>Group 4</v>
      </c>
      <c r="M1432" s="3"/>
      <c r="N1432" s="5" t="str">
        <f>IFERROR(__xludf.DUMMYFUNCTION("""COMPUTED_VALUE""")," ")</f>
        <v> </v>
      </c>
      <c r="O1432" s="5"/>
    </row>
    <row r="1433">
      <c r="A1433" s="2" t="str">
        <f>IFERROR(__xludf.DUMMYFUNCTION("""COMPUTED_VALUE"""),"2190")</f>
        <v>2190</v>
      </c>
      <c r="B1433" s="2" t="str">
        <f>IFERROR(__xludf.DUMMYFUNCTION("""COMPUTED_VALUE"""),"WEST END RE-2")</f>
        <v>WEST END RE-2</v>
      </c>
      <c r="C1433" s="2" t="str">
        <f>IFERROR(__xludf.DUMMYFUNCTION("""COMPUTED_VALUE"""),"06196")</f>
        <v>06196</v>
      </c>
      <c r="D1433" s="2" t="str">
        <f>IFERROR(__xludf.DUMMYFUNCTION("""COMPUTED_VALUE"""),"NUCLA ELEMENTARY SCHOOL")</f>
        <v>NUCLA ELEMENTARY SCHOOL</v>
      </c>
      <c r="E1433" s="3" t="str">
        <f>IFERROR(__xludf.DUMMYFUNCTION("""COMPUTED_VALUE"""),"Y")</f>
        <v>Y</v>
      </c>
      <c r="F1433" s="3" t="str">
        <f>IFERROR(__xludf.DUMMYFUNCTION("""COMPUTED_VALUE"""),"Y")</f>
        <v>Y</v>
      </c>
      <c r="G1433" s="3"/>
      <c r="H1433" s="3"/>
      <c r="I1433" s="3" t="str">
        <f>IFERROR(__xludf.DUMMYFUNCTION("""COMPUTED_VALUE""")," ")</f>
        <v> </v>
      </c>
      <c r="J1433" s="3" t="str">
        <f>IFERROR(__xludf.DUMMYFUNCTION("""COMPUTED_VALUE""")," ")</f>
        <v> </v>
      </c>
      <c r="K1433" s="3" t="str">
        <f>IFERROR(__xludf.DUMMYFUNCTION("""COMPUTED_VALUE"""),"Y")</f>
        <v>Y</v>
      </c>
      <c r="L1433" s="3" t="str">
        <f>IFERROR(__xludf.DUMMYFUNCTION("""COMPUTED_VALUE"""),"Group 1")</f>
        <v>Group 1</v>
      </c>
      <c r="M1433" s="3"/>
      <c r="N1433" s="5" t="str">
        <f>IFERROR(__xludf.DUMMYFUNCTION("""COMPUTED_VALUE""")," ")</f>
        <v> </v>
      </c>
      <c r="O1433" s="5"/>
    </row>
    <row r="1434">
      <c r="A1434" s="2" t="str">
        <f>IFERROR(__xludf.DUMMYFUNCTION("""COMPUTED_VALUE"""),"2190")</f>
        <v>2190</v>
      </c>
      <c r="B1434" s="2" t="str">
        <f>IFERROR(__xludf.DUMMYFUNCTION("""COMPUTED_VALUE"""),"WEST END RE-2")</f>
        <v>WEST END RE-2</v>
      </c>
      <c r="C1434" s="2" t="str">
        <f>IFERROR(__xludf.DUMMYFUNCTION("""COMPUTED_VALUE"""),"06307")</f>
        <v>06307</v>
      </c>
      <c r="D1434" s="2" t="str">
        <f>IFERROR(__xludf.DUMMYFUNCTION("""COMPUTED_VALUE"""),"NUCLA MIDDLE SCHOOL")</f>
        <v>NUCLA MIDDLE SCHOOL</v>
      </c>
      <c r="E1434" s="3" t="str">
        <f>IFERROR(__xludf.DUMMYFUNCTION("""COMPUTED_VALUE"""),"Y")</f>
        <v>Y</v>
      </c>
      <c r="F1434" s="3" t="str">
        <f>IFERROR(__xludf.DUMMYFUNCTION("""COMPUTED_VALUE"""),"Y")</f>
        <v>Y</v>
      </c>
      <c r="G1434" s="3"/>
      <c r="H1434" s="3"/>
      <c r="I1434" s="3" t="str">
        <f>IFERROR(__xludf.DUMMYFUNCTION("""COMPUTED_VALUE""")," ")</f>
        <v> </v>
      </c>
      <c r="J1434" s="3" t="str">
        <f>IFERROR(__xludf.DUMMYFUNCTION("""COMPUTED_VALUE""")," ")</f>
        <v> </v>
      </c>
      <c r="K1434" s="3" t="str">
        <f>IFERROR(__xludf.DUMMYFUNCTION("""COMPUTED_VALUE"""),"Y")</f>
        <v>Y</v>
      </c>
      <c r="L1434" s="3" t="str">
        <f>IFERROR(__xludf.DUMMYFUNCTION("""COMPUTED_VALUE"""),"Group 1")</f>
        <v>Group 1</v>
      </c>
      <c r="M1434" s="3"/>
      <c r="N1434" s="5" t="str">
        <f>IFERROR(__xludf.DUMMYFUNCTION("""COMPUTED_VALUE""")," ")</f>
        <v> </v>
      </c>
      <c r="O1434" s="5"/>
    </row>
    <row r="1435">
      <c r="A1435" s="2" t="str">
        <f>IFERROR(__xludf.DUMMYFUNCTION("""COMPUTED_VALUE"""),"2190")</f>
        <v>2190</v>
      </c>
      <c r="B1435" s="2" t="str">
        <f>IFERROR(__xludf.DUMMYFUNCTION("""COMPUTED_VALUE"""),"WEST END RE-2")</f>
        <v>WEST END RE-2</v>
      </c>
      <c r="C1435" s="2" t="str">
        <f>IFERROR(__xludf.DUMMYFUNCTION("""COMPUTED_VALUE"""),"06436")</f>
        <v>06436</v>
      </c>
      <c r="D1435" s="2" t="str">
        <f>IFERROR(__xludf.DUMMYFUNCTION("""COMPUTED_VALUE"""),"NUCLA HIGH SCHOOL")</f>
        <v>NUCLA HIGH SCHOOL</v>
      </c>
      <c r="E1435" s="3" t="str">
        <f>IFERROR(__xludf.DUMMYFUNCTION("""COMPUTED_VALUE"""),"Y")</f>
        <v>Y</v>
      </c>
      <c r="F1435" s="3" t="str">
        <f>IFERROR(__xludf.DUMMYFUNCTION("""COMPUTED_VALUE"""),"Y")</f>
        <v>Y</v>
      </c>
      <c r="G1435" s="3"/>
      <c r="H1435" s="3"/>
      <c r="I1435" s="3" t="str">
        <f>IFERROR(__xludf.DUMMYFUNCTION("""COMPUTED_VALUE""")," ")</f>
        <v> </v>
      </c>
      <c r="J1435" s="3" t="str">
        <f>IFERROR(__xludf.DUMMYFUNCTION("""COMPUTED_VALUE""")," ")</f>
        <v> </v>
      </c>
      <c r="K1435" s="3" t="str">
        <f>IFERROR(__xludf.DUMMYFUNCTION("""COMPUTED_VALUE"""),"Y")</f>
        <v>Y</v>
      </c>
      <c r="L1435" s="3" t="str">
        <f>IFERROR(__xludf.DUMMYFUNCTION("""COMPUTED_VALUE"""),"Group 1")</f>
        <v>Group 1</v>
      </c>
      <c r="M1435" s="3"/>
      <c r="N1435" s="5" t="str">
        <f>IFERROR(__xludf.DUMMYFUNCTION("""COMPUTED_VALUE""")," ")</f>
        <v> </v>
      </c>
      <c r="O1435" s="5"/>
    </row>
    <row r="1436">
      <c r="A1436" s="2" t="str">
        <f>IFERROR(__xludf.DUMMYFUNCTION("""COMPUTED_VALUE"""),"2395")</f>
        <v>2395</v>
      </c>
      <c r="B1436" s="2" t="str">
        <f>IFERROR(__xludf.DUMMYFUNCTION("""COMPUTED_VALUE"""),"BRUSH RE-2(J)")</f>
        <v>BRUSH RE-2(J)</v>
      </c>
      <c r="C1436" s="2" t="str">
        <f>IFERROR(__xludf.DUMMYFUNCTION("""COMPUTED_VALUE"""),"01094")</f>
        <v>01094</v>
      </c>
      <c r="D1436" s="2" t="str">
        <f>IFERROR(__xludf.DUMMYFUNCTION("""COMPUTED_VALUE"""),"BRUSH MIDDLE SCHOOL")</f>
        <v>BRUSH MIDDLE SCHOOL</v>
      </c>
      <c r="E1436" s="3" t="str">
        <f>IFERROR(__xludf.DUMMYFUNCTION("""COMPUTED_VALUE"""),"Y")</f>
        <v>Y</v>
      </c>
      <c r="F1436" s="3" t="str">
        <f>IFERROR(__xludf.DUMMYFUNCTION("""COMPUTED_VALUE"""),"Y")</f>
        <v>Y</v>
      </c>
      <c r="G1436" s="3"/>
      <c r="H1436" s="3"/>
      <c r="I1436" s="3" t="str">
        <f>IFERROR(__xludf.DUMMYFUNCTION("""COMPUTED_VALUE""")," ")</f>
        <v> </v>
      </c>
      <c r="J1436" s="3" t="str">
        <f>IFERROR(__xludf.DUMMYFUNCTION("""COMPUTED_VALUE""")," ")</f>
        <v> </v>
      </c>
      <c r="K1436" s="3" t="str">
        <f>IFERROR(__xludf.DUMMYFUNCTION("""COMPUTED_VALUE"""),"Y")</f>
        <v>Y</v>
      </c>
      <c r="L1436" s="3" t="str">
        <f>IFERROR(__xludf.DUMMYFUNCTION("""COMPUTED_VALUE"""),"Group 1")</f>
        <v>Group 1</v>
      </c>
      <c r="M1436" s="3"/>
      <c r="N1436" s="5" t="str">
        <f>IFERROR(__xludf.DUMMYFUNCTION("""COMPUTED_VALUE""")," ")</f>
        <v> </v>
      </c>
      <c r="O1436" s="5"/>
    </row>
    <row r="1437">
      <c r="A1437" s="2" t="str">
        <f>IFERROR(__xludf.DUMMYFUNCTION("""COMPUTED_VALUE"""),"2395")</f>
        <v>2395</v>
      </c>
      <c r="B1437" s="2" t="str">
        <f>IFERROR(__xludf.DUMMYFUNCTION("""COMPUTED_VALUE"""),"BRUSH RE-2(J)")</f>
        <v>BRUSH RE-2(J)</v>
      </c>
      <c r="C1437" s="2" t="str">
        <f>IFERROR(__xludf.DUMMYFUNCTION("""COMPUTED_VALUE"""),"01096")</f>
        <v>01096</v>
      </c>
      <c r="D1437" s="2" t="str">
        <f>IFERROR(__xludf.DUMMYFUNCTION("""COMPUTED_VALUE"""),"BRUSH HIGH SCHOOL")</f>
        <v>BRUSH HIGH SCHOOL</v>
      </c>
      <c r="E1437" s="3" t="str">
        <f>IFERROR(__xludf.DUMMYFUNCTION("""COMPUTED_VALUE"""),"Y")</f>
        <v>Y</v>
      </c>
      <c r="F1437" s="3" t="str">
        <f>IFERROR(__xludf.DUMMYFUNCTION("""COMPUTED_VALUE"""),"Y")</f>
        <v>Y</v>
      </c>
      <c r="G1437" s="3"/>
      <c r="H1437" s="3"/>
      <c r="I1437" s="3" t="str">
        <f>IFERROR(__xludf.DUMMYFUNCTION("""COMPUTED_VALUE""")," ")</f>
        <v> </v>
      </c>
      <c r="J1437" s="3" t="str">
        <f>IFERROR(__xludf.DUMMYFUNCTION("""COMPUTED_VALUE""")," ")</f>
        <v> </v>
      </c>
      <c r="K1437" s="3" t="str">
        <f>IFERROR(__xludf.DUMMYFUNCTION("""COMPUTED_VALUE"""),"Y")</f>
        <v>Y</v>
      </c>
      <c r="L1437" s="3" t="str">
        <f>IFERROR(__xludf.DUMMYFUNCTION("""COMPUTED_VALUE"""),"Group 2")</f>
        <v>Group 2</v>
      </c>
      <c r="M1437" s="3"/>
      <c r="N1437" s="5" t="str">
        <f>IFERROR(__xludf.DUMMYFUNCTION("""COMPUTED_VALUE"""),"Y")</f>
        <v>Y</v>
      </c>
      <c r="O1437" s="5"/>
    </row>
    <row r="1438">
      <c r="A1438" s="2" t="str">
        <f>IFERROR(__xludf.DUMMYFUNCTION("""COMPUTED_VALUE"""),"2395")</f>
        <v>2395</v>
      </c>
      <c r="B1438" s="2" t="str">
        <f>IFERROR(__xludf.DUMMYFUNCTION("""COMPUTED_VALUE"""),"BRUSH RE-2(J)")</f>
        <v>BRUSH RE-2(J)</v>
      </c>
      <c r="C1438" s="2" t="str">
        <f>IFERROR(__xludf.DUMMYFUNCTION("""COMPUTED_VALUE"""),"01438")</f>
        <v>01438</v>
      </c>
      <c r="D1438" s="2" t="str">
        <f>IFERROR(__xludf.DUMMYFUNCTION("""COMPUTED_VALUE"""),"BEAVER VALLEY ELEMENTARY SCHOOL")</f>
        <v>BEAVER VALLEY ELEMENTARY SCHOOL</v>
      </c>
      <c r="E1438" s="3" t="str">
        <f>IFERROR(__xludf.DUMMYFUNCTION("""COMPUTED_VALUE"""),"Y")</f>
        <v>Y</v>
      </c>
      <c r="F1438" s="3" t="str">
        <f>IFERROR(__xludf.DUMMYFUNCTION("""COMPUTED_VALUE"""),"Y")</f>
        <v>Y</v>
      </c>
      <c r="G1438" s="3" t="str">
        <f>IFERROR(__xludf.DUMMYFUNCTION("""COMPUTED_VALUE"""),"Y")</f>
        <v>Y</v>
      </c>
      <c r="H1438" s="3"/>
      <c r="I1438" s="3" t="str">
        <f>IFERROR(__xludf.DUMMYFUNCTION("""COMPUTED_VALUE""")," ")</f>
        <v> </v>
      </c>
      <c r="J1438" s="3" t="str">
        <f>IFERROR(__xludf.DUMMYFUNCTION("""COMPUTED_VALUE""")," ")</f>
        <v> </v>
      </c>
      <c r="K1438" s="3" t="str">
        <f>IFERROR(__xludf.DUMMYFUNCTION("""COMPUTED_VALUE"""),"Y")</f>
        <v>Y</v>
      </c>
      <c r="L1438" s="3" t="str">
        <f>IFERROR(__xludf.DUMMYFUNCTION("""COMPUTED_VALUE"""),"Group 3")</f>
        <v>Group 3</v>
      </c>
      <c r="M1438" s="3"/>
      <c r="N1438" s="5"/>
      <c r="O1438" s="5"/>
    </row>
    <row r="1439">
      <c r="A1439" s="2" t="str">
        <f>IFERROR(__xludf.DUMMYFUNCTION("""COMPUTED_VALUE"""),"2395")</f>
        <v>2395</v>
      </c>
      <c r="B1439" s="2" t="str">
        <f>IFERROR(__xludf.DUMMYFUNCTION("""COMPUTED_VALUE"""),"BRUSH RE-2(J)")</f>
        <v>BRUSH RE-2(J)</v>
      </c>
      <c r="C1439" s="2" t="str">
        <f>IFERROR(__xludf.DUMMYFUNCTION("""COMPUTED_VALUE"""),"08832")</f>
        <v>08832</v>
      </c>
      <c r="D1439" s="2" t="str">
        <f>IFERROR(__xludf.DUMMYFUNCTION("""COMPUTED_VALUE"""),"THOMSON PRIMARY SCHOOL")</f>
        <v>THOMSON PRIMARY SCHOOL</v>
      </c>
      <c r="E1439" s="3" t="str">
        <f>IFERROR(__xludf.DUMMYFUNCTION("""COMPUTED_VALUE"""),"Y")</f>
        <v>Y</v>
      </c>
      <c r="F1439" s="3" t="str">
        <f>IFERROR(__xludf.DUMMYFUNCTION("""COMPUTED_VALUE"""),"Y")</f>
        <v>Y</v>
      </c>
      <c r="G1439" s="3" t="str">
        <f>IFERROR(__xludf.DUMMYFUNCTION("""COMPUTED_VALUE"""),"Y")</f>
        <v>Y</v>
      </c>
      <c r="H1439" s="3"/>
      <c r="I1439" s="3" t="str">
        <f>IFERROR(__xludf.DUMMYFUNCTION("""COMPUTED_VALUE""")," ")</f>
        <v> </v>
      </c>
      <c r="J1439" s="3" t="str">
        <f>IFERROR(__xludf.DUMMYFUNCTION("""COMPUTED_VALUE""")," ")</f>
        <v> </v>
      </c>
      <c r="K1439" s="3" t="str">
        <f>IFERROR(__xludf.DUMMYFUNCTION("""COMPUTED_VALUE"""),"Y")</f>
        <v>Y</v>
      </c>
      <c r="L1439" s="3" t="str">
        <f>IFERROR(__xludf.DUMMYFUNCTION("""COMPUTED_VALUE"""),"Group 1")</f>
        <v>Group 1</v>
      </c>
      <c r="M1439" s="3"/>
      <c r="N1439" s="5"/>
      <c r="O1439" s="5"/>
    </row>
    <row r="1440">
      <c r="A1440" s="2" t="str">
        <f>IFERROR(__xludf.DUMMYFUNCTION("""COMPUTED_VALUE"""),"2405")</f>
        <v>2405</v>
      </c>
      <c r="B1440" s="2" t="str">
        <f>IFERROR(__xludf.DUMMYFUNCTION("""COMPUTED_VALUE"""),"FORT MORGAN RE-3")</f>
        <v>FORT MORGAN RE-3</v>
      </c>
      <c r="C1440" s="2" t="str">
        <f>IFERROR(__xludf.DUMMYFUNCTION("""COMPUTED_VALUE"""),"01009")</f>
        <v>01009</v>
      </c>
      <c r="D1440" s="2" t="str">
        <f>IFERROR(__xludf.DUMMYFUNCTION("""COMPUTED_VALUE"""),"Baker Elementary School")</f>
        <v>Baker Elementary School</v>
      </c>
      <c r="E1440" s="3" t="str">
        <f>IFERROR(__xludf.DUMMYFUNCTION("""COMPUTED_VALUE"""),"Y")</f>
        <v>Y</v>
      </c>
      <c r="F1440" s="3" t="str">
        <f>IFERROR(__xludf.DUMMYFUNCTION("""COMPUTED_VALUE"""),"Y")</f>
        <v>Y</v>
      </c>
      <c r="G1440" s="3" t="str">
        <f>IFERROR(__xludf.DUMMYFUNCTION("""COMPUTED_VALUE"""),"Y")</f>
        <v>Y</v>
      </c>
      <c r="H1440" s="3"/>
      <c r="I1440" s="3" t="str">
        <f>IFERROR(__xludf.DUMMYFUNCTION("""COMPUTED_VALUE"""),"Y")</f>
        <v>Y</v>
      </c>
      <c r="J1440" s="3" t="str">
        <f>IFERROR(__xludf.DUMMYFUNCTION("""COMPUTED_VALUE""")," ")</f>
        <v> </v>
      </c>
      <c r="K1440" s="3" t="str">
        <f>IFERROR(__xludf.DUMMYFUNCTION("""COMPUTED_VALUE"""),"Y")</f>
        <v>Y</v>
      </c>
      <c r="L1440" s="3" t="str">
        <f>IFERROR(__xludf.DUMMYFUNCTION("""COMPUTED_VALUE"""),"Group 3")</f>
        <v>Group 3</v>
      </c>
      <c r="M1440" s="3"/>
      <c r="N1440" s="5" t="str">
        <f>IFERROR(__xludf.DUMMYFUNCTION("""COMPUTED_VALUE"""),"Y")</f>
        <v>Y</v>
      </c>
      <c r="O1440" s="5"/>
    </row>
    <row r="1441">
      <c r="A1441" s="2" t="str">
        <f>IFERROR(__xludf.DUMMYFUNCTION("""COMPUTED_VALUE"""),"2405")</f>
        <v>2405</v>
      </c>
      <c r="B1441" s="2" t="str">
        <f>IFERROR(__xludf.DUMMYFUNCTION("""COMPUTED_VALUE"""),"FORT MORGAN RE-3")</f>
        <v>FORT MORGAN RE-3</v>
      </c>
      <c r="C1441" s="2" t="str">
        <f>IFERROR(__xludf.DUMMYFUNCTION("""COMPUTED_VALUE"""),"01850")</f>
        <v>01850</v>
      </c>
      <c r="D1441" s="2" t="str">
        <f>IFERROR(__xludf.DUMMYFUNCTION("""COMPUTED_VALUE"""),"COLUMBINE ELEMENTARY SCHOOL")</f>
        <v>COLUMBINE ELEMENTARY SCHOOL</v>
      </c>
      <c r="E1441" s="3" t="str">
        <f>IFERROR(__xludf.DUMMYFUNCTION("""COMPUTED_VALUE"""),"Y")</f>
        <v>Y</v>
      </c>
      <c r="F1441" s="3" t="str">
        <f>IFERROR(__xludf.DUMMYFUNCTION("""COMPUTED_VALUE"""),"Y")</f>
        <v>Y</v>
      </c>
      <c r="G1441" s="3" t="str">
        <f>IFERROR(__xludf.DUMMYFUNCTION("""COMPUTED_VALUE"""),"Y")</f>
        <v>Y</v>
      </c>
      <c r="H1441" s="3"/>
      <c r="I1441" s="3" t="str">
        <f>IFERROR(__xludf.DUMMYFUNCTION("""COMPUTED_VALUE"""),"Y")</f>
        <v>Y</v>
      </c>
      <c r="J1441" s="3" t="str">
        <f>IFERROR(__xludf.DUMMYFUNCTION("""COMPUTED_VALUE""")," ")</f>
        <v> </v>
      </c>
      <c r="K1441" s="3" t="str">
        <f>IFERROR(__xludf.DUMMYFUNCTION("""COMPUTED_VALUE"""),"Y")</f>
        <v>Y</v>
      </c>
      <c r="L1441" s="3" t="str">
        <f>IFERROR(__xludf.DUMMYFUNCTION("""COMPUTED_VALUE"""),"Group 4")</f>
        <v>Group 4</v>
      </c>
      <c r="M1441" s="3"/>
      <c r="N1441" s="5" t="str">
        <f>IFERROR(__xludf.DUMMYFUNCTION("""COMPUTED_VALUE"""),"Y")</f>
        <v>Y</v>
      </c>
      <c r="O1441" s="5"/>
    </row>
    <row r="1442">
      <c r="A1442" s="2" t="str">
        <f>IFERROR(__xludf.DUMMYFUNCTION("""COMPUTED_VALUE"""),"2405")</f>
        <v>2405</v>
      </c>
      <c r="B1442" s="2" t="str">
        <f>IFERROR(__xludf.DUMMYFUNCTION("""COMPUTED_VALUE"""),"FORT MORGAN RE-3")</f>
        <v>FORT MORGAN RE-3</v>
      </c>
      <c r="C1442" s="2" t="str">
        <f>IFERROR(__xludf.DUMMYFUNCTION("""COMPUTED_VALUE"""),"03074")</f>
        <v>03074</v>
      </c>
      <c r="D1442" s="2" t="str">
        <f>IFERROR(__xludf.DUMMYFUNCTION("""COMPUTED_VALUE"""),"FORT MORGAN MIDDLE SCHOOL")</f>
        <v>FORT MORGAN MIDDLE SCHOOL</v>
      </c>
      <c r="E1442" s="3" t="str">
        <f>IFERROR(__xludf.DUMMYFUNCTION("""COMPUTED_VALUE"""),"Y")</f>
        <v>Y</v>
      </c>
      <c r="F1442" s="3" t="str">
        <f>IFERROR(__xludf.DUMMYFUNCTION("""COMPUTED_VALUE"""),"Y")</f>
        <v>Y</v>
      </c>
      <c r="G1442" s="3" t="str">
        <f>IFERROR(__xludf.DUMMYFUNCTION("""COMPUTED_VALUE"""),"Y")</f>
        <v>Y</v>
      </c>
      <c r="H1442" s="3"/>
      <c r="I1442" s="3" t="str">
        <f>IFERROR(__xludf.DUMMYFUNCTION("""COMPUTED_VALUE""")," ")</f>
        <v> </v>
      </c>
      <c r="J1442" s="3" t="str">
        <f>IFERROR(__xludf.DUMMYFUNCTION("""COMPUTED_VALUE"""),"Y")</f>
        <v>Y</v>
      </c>
      <c r="K1442" s="3" t="str">
        <f>IFERROR(__xludf.DUMMYFUNCTION("""COMPUTED_VALUE"""),"Y")</f>
        <v>Y</v>
      </c>
      <c r="L1442" s="3" t="str">
        <f>IFERROR(__xludf.DUMMYFUNCTION("""COMPUTED_VALUE"""),"Group 4")</f>
        <v>Group 4</v>
      </c>
      <c r="M1442" s="3"/>
      <c r="N1442" s="5" t="str">
        <f>IFERROR(__xludf.DUMMYFUNCTION("""COMPUTED_VALUE"""),"Y")</f>
        <v>Y</v>
      </c>
      <c r="O1442" s="5"/>
    </row>
    <row r="1443">
      <c r="A1443" s="2" t="str">
        <f>IFERROR(__xludf.DUMMYFUNCTION("""COMPUTED_VALUE"""),"2405")</f>
        <v>2405</v>
      </c>
      <c r="B1443" s="2" t="str">
        <f>IFERROR(__xludf.DUMMYFUNCTION("""COMPUTED_VALUE"""),"FORT MORGAN RE-3")</f>
        <v>FORT MORGAN RE-3</v>
      </c>
      <c r="C1443" s="2" t="str">
        <f>IFERROR(__xludf.DUMMYFUNCTION("""COMPUTED_VALUE"""),"03078")</f>
        <v>03078</v>
      </c>
      <c r="D1443" s="2" t="str">
        <f>IFERROR(__xludf.DUMMYFUNCTION("""COMPUTED_VALUE"""),"FORT MORGAN HIGH SCHOOL")</f>
        <v>FORT MORGAN HIGH SCHOOL</v>
      </c>
      <c r="E1443" s="3" t="str">
        <f>IFERROR(__xludf.DUMMYFUNCTION("""COMPUTED_VALUE"""),"Y")</f>
        <v>Y</v>
      </c>
      <c r="F1443" s="3" t="str">
        <f>IFERROR(__xludf.DUMMYFUNCTION("""COMPUTED_VALUE"""),"Y")</f>
        <v>Y</v>
      </c>
      <c r="G1443" s="3" t="str">
        <f>IFERROR(__xludf.DUMMYFUNCTION("""COMPUTED_VALUE"""),"Y")</f>
        <v>Y</v>
      </c>
      <c r="H1443" s="3"/>
      <c r="I1443" s="3" t="str">
        <f>IFERROR(__xludf.DUMMYFUNCTION("""COMPUTED_VALUE""")," ")</f>
        <v> </v>
      </c>
      <c r="J1443" s="3" t="str">
        <f>IFERROR(__xludf.DUMMYFUNCTION("""COMPUTED_VALUE""")," ")</f>
        <v> </v>
      </c>
      <c r="K1443" s="3" t="str">
        <f>IFERROR(__xludf.DUMMYFUNCTION("""COMPUTED_VALUE"""),"Y")</f>
        <v>Y</v>
      </c>
      <c r="L1443" s="3" t="str">
        <f>IFERROR(__xludf.DUMMYFUNCTION("""COMPUTED_VALUE"""),"Group 2")</f>
        <v>Group 2</v>
      </c>
      <c r="M1443" s="3"/>
      <c r="N1443" s="5" t="str">
        <f>IFERROR(__xludf.DUMMYFUNCTION("""COMPUTED_VALUE""")," ")</f>
        <v> </v>
      </c>
      <c r="O1443" s="5"/>
    </row>
    <row r="1444">
      <c r="A1444" s="2" t="str">
        <f>IFERROR(__xludf.DUMMYFUNCTION("""COMPUTED_VALUE"""),"2405")</f>
        <v>2405</v>
      </c>
      <c r="B1444" s="2" t="str">
        <f>IFERROR(__xludf.DUMMYFUNCTION("""COMPUTED_VALUE"""),"FORT MORGAN RE-3")</f>
        <v>FORT MORGAN RE-3</v>
      </c>
      <c r="C1444" s="2" t="str">
        <f>IFERROR(__xludf.DUMMYFUNCTION("""COMPUTED_VALUE"""),"03620")</f>
        <v>03620</v>
      </c>
      <c r="D1444" s="2" t="str">
        <f>IFERROR(__xludf.DUMMYFUNCTION("""COMPUTED_VALUE"""),"GREEN ACRES ELEMENTARY SCHOOL")</f>
        <v>GREEN ACRES ELEMENTARY SCHOOL</v>
      </c>
      <c r="E1444" s="3" t="str">
        <f>IFERROR(__xludf.DUMMYFUNCTION("""COMPUTED_VALUE"""),"Y")</f>
        <v>Y</v>
      </c>
      <c r="F1444" s="3" t="str">
        <f>IFERROR(__xludf.DUMMYFUNCTION("""COMPUTED_VALUE"""),"Y")</f>
        <v>Y</v>
      </c>
      <c r="G1444" s="3" t="str">
        <f>IFERROR(__xludf.DUMMYFUNCTION("""COMPUTED_VALUE"""),"Y")</f>
        <v>Y</v>
      </c>
      <c r="H1444" s="3"/>
      <c r="I1444" s="3" t="str">
        <f>IFERROR(__xludf.DUMMYFUNCTION("""COMPUTED_VALUE"""),"Y")</f>
        <v>Y</v>
      </c>
      <c r="J1444" s="3" t="str">
        <f>IFERROR(__xludf.DUMMYFUNCTION("""COMPUTED_VALUE""")," ")</f>
        <v> </v>
      </c>
      <c r="K1444" s="3" t="str">
        <f>IFERROR(__xludf.DUMMYFUNCTION("""COMPUTED_VALUE"""),"Y")</f>
        <v>Y</v>
      </c>
      <c r="L1444" s="3" t="str">
        <f>IFERROR(__xludf.DUMMYFUNCTION("""COMPUTED_VALUE"""),"Group 1")</f>
        <v>Group 1</v>
      </c>
      <c r="M1444" s="3"/>
      <c r="N1444" s="5" t="str">
        <f>IFERROR(__xludf.DUMMYFUNCTION("""COMPUTED_VALUE"""),"Y")</f>
        <v>Y</v>
      </c>
      <c r="O1444" s="5"/>
    </row>
    <row r="1445">
      <c r="A1445" s="2" t="str">
        <f>IFERROR(__xludf.DUMMYFUNCTION("""COMPUTED_VALUE"""),"2405")</f>
        <v>2405</v>
      </c>
      <c r="B1445" s="2" t="str">
        <f>IFERROR(__xludf.DUMMYFUNCTION("""COMPUTED_VALUE"""),"FORT MORGAN RE-3")</f>
        <v>FORT MORGAN RE-3</v>
      </c>
      <c r="C1445" s="2" t="str">
        <f>IFERROR(__xludf.DUMMYFUNCTION("""COMPUTED_VALUE"""),"05180")</f>
        <v>05180</v>
      </c>
      <c r="D1445" s="2" t="str">
        <f>IFERROR(__xludf.DUMMYFUNCTION("""COMPUTED_VALUE"""),"LINCOLN HIGH SCHOOL")</f>
        <v>LINCOLN HIGH SCHOOL</v>
      </c>
      <c r="E1445" s="3" t="str">
        <f>IFERROR(__xludf.DUMMYFUNCTION("""COMPUTED_VALUE"""),"Y")</f>
        <v>Y</v>
      </c>
      <c r="F1445" s="3" t="str">
        <f>IFERROR(__xludf.DUMMYFUNCTION("""COMPUTED_VALUE"""),"Y")</f>
        <v>Y</v>
      </c>
      <c r="G1445" s="3" t="str">
        <f>IFERROR(__xludf.DUMMYFUNCTION("""COMPUTED_VALUE"""),"Y")</f>
        <v>Y</v>
      </c>
      <c r="H1445" s="3"/>
      <c r="I1445" s="3" t="str">
        <f>IFERROR(__xludf.DUMMYFUNCTION("""COMPUTED_VALUE""")," ")</f>
        <v> </v>
      </c>
      <c r="J1445" s="3" t="str">
        <f>IFERROR(__xludf.DUMMYFUNCTION("""COMPUTED_VALUE""")," ")</f>
        <v> </v>
      </c>
      <c r="K1445" s="3" t="str">
        <f>IFERROR(__xludf.DUMMYFUNCTION("""COMPUTED_VALUE"""),"Y")</f>
        <v>Y</v>
      </c>
      <c r="L1445" s="3" t="str">
        <f>IFERROR(__xludf.DUMMYFUNCTION("""COMPUTED_VALUE"""),"Group 1")</f>
        <v>Group 1</v>
      </c>
      <c r="M1445" s="3"/>
      <c r="N1445" s="5" t="str">
        <f>IFERROR(__xludf.DUMMYFUNCTION("""COMPUTED_VALUE""")," ")</f>
        <v> </v>
      </c>
      <c r="O1445" s="5"/>
    </row>
    <row r="1446">
      <c r="A1446" s="2" t="str">
        <f>IFERROR(__xludf.DUMMYFUNCTION("""COMPUTED_VALUE"""),"2405")</f>
        <v>2405</v>
      </c>
      <c r="B1446" s="2" t="str">
        <f>IFERROR(__xludf.DUMMYFUNCTION("""COMPUTED_VALUE"""),"FORT MORGAN RE-3")</f>
        <v>FORT MORGAN RE-3</v>
      </c>
      <c r="C1446" s="2" t="str">
        <f>IFERROR(__xludf.DUMMYFUNCTION("""COMPUTED_VALUE"""),"06954")</f>
        <v>06954</v>
      </c>
      <c r="D1446" s="2" t="str">
        <f>IFERROR(__xludf.DUMMYFUNCTION("""COMPUTED_VALUE"""),"PIONEER ELEMENTARY SCHOOL")</f>
        <v>PIONEER ELEMENTARY SCHOOL</v>
      </c>
      <c r="E1446" s="3" t="str">
        <f>IFERROR(__xludf.DUMMYFUNCTION("""COMPUTED_VALUE"""),"Y")</f>
        <v>Y</v>
      </c>
      <c r="F1446" s="3" t="str">
        <f>IFERROR(__xludf.DUMMYFUNCTION("""COMPUTED_VALUE"""),"Y")</f>
        <v>Y</v>
      </c>
      <c r="G1446" s="3" t="str">
        <f>IFERROR(__xludf.DUMMYFUNCTION("""COMPUTED_VALUE"""),"Y")</f>
        <v>Y</v>
      </c>
      <c r="H1446" s="3"/>
      <c r="I1446" s="3" t="str">
        <f>IFERROR(__xludf.DUMMYFUNCTION("""COMPUTED_VALUE"""),"Y")</f>
        <v>Y</v>
      </c>
      <c r="J1446" s="3" t="str">
        <f>IFERROR(__xludf.DUMMYFUNCTION("""COMPUTED_VALUE"""),"Y")</f>
        <v>Y</v>
      </c>
      <c r="K1446" s="3" t="str">
        <f>IFERROR(__xludf.DUMMYFUNCTION("""COMPUTED_VALUE"""),"Y")</f>
        <v>Y</v>
      </c>
      <c r="L1446" s="3" t="str">
        <f>IFERROR(__xludf.DUMMYFUNCTION("""COMPUTED_VALUE"""),"Group 3")</f>
        <v>Group 3</v>
      </c>
      <c r="M1446" s="3"/>
      <c r="N1446" s="5" t="str">
        <f>IFERROR(__xludf.DUMMYFUNCTION("""COMPUTED_VALUE""")," ")</f>
        <v> </v>
      </c>
      <c r="O1446" s="5"/>
    </row>
    <row r="1447">
      <c r="A1447" s="2" t="str">
        <f>IFERROR(__xludf.DUMMYFUNCTION("""COMPUTED_VALUE"""),"2405")</f>
        <v>2405</v>
      </c>
      <c r="B1447" s="2" t="str">
        <f>IFERROR(__xludf.DUMMYFUNCTION("""COMPUTED_VALUE"""),"FORT MORGAN RE-3")</f>
        <v>FORT MORGAN RE-3</v>
      </c>
      <c r="C1447" s="2" t="str">
        <f>IFERROR(__xludf.DUMMYFUNCTION("""COMPUTED_VALUE"""),"07856")</f>
        <v>07856</v>
      </c>
      <c r="D1447" s="2" t="str">
        <f>IFERROR(__xludf.DUMMYFUNCTION("""COMPUTED_VALUE"""),"SHERMAN EARLY CHILDHOOD CENTER")</f>
        <v>SHERMAN EARLY CHILDHOOD CENTER</v>
      </c>
      <c r="E1447" s="3" t="str">
        <f>IFERROR(__xludf.DUMMYFUNCTION("""COMPUTED_VALUE"""),"Y")</f>
        <v>Y</v>
      </c>
      <c r="F1447" s="3" t="str">
        <f>IFERROR(__xludf.DUMMYFUNCTION("""COMPUTED_VALUE"""),"Y")</f>
        <v>Y</v>
      </c>
      <c r="G1447" s="3" t="str">
        <f>IFERROR(__xludf.DUMMYFUNCTION("""COMPUTED_VALUE"""),"Y")</f>
        <v>Y</v>
      </c>
      <c r="H1447" s="3"/>
      <c r="I1447" s="3" t="str">
        <f>IFERROR(__xludf.DUMMYFUNCTION("""COMPUTED_VALUE"""),"Y")</f>
        <v>Y</v>
      </c>
      <c r="J1447" s="3" t="str">
        <f>IFERROR(__xludf.DUMMYFUNCTION("""COMPUTED_VALUE""")," ")</f>
        <v> </v>
      </c>
      <c r="K1447" s="3" t="str">
        <f>IFERROR(__xludf.DUMMYFUNCTION("""COMPUTED_VALUE"""),"Y")</f>
        <v>Y</v>
      </c>
      <c r="L1447" s="3" t="str">
        <f>IFERROR(__xludf.DUMMYFUNCTION("""COMPUTED_VALUE"""),"Group 2")</f>
        <v>Group 2</v>
      </c>
      <c r="M1447" s="3"/>
      <c r="N1447" s="5" t="str">
        <f>IFERROR(__xludf.DUMMYFUNCTION("""COMPUTED_VALUE"""),"Y")</f>
        <v>Y</v>
      </c>
      <c r="O1447" s="5"/>
    </row>
    <row r="1448">
      <c r="A1448" s="2" t="str">
        <f>IFERROR(__xludf.DUMMYFUNCTION("""COMPUTED_VALUE"""),"2505")</f>
        <v>2505</v>
      </c>
      <c r="B1448" s="2" t="str">
        <f>IFERROR(__xludf.DUMMYFUNCTION("""COMPUTED_VALUE"""),"WELDON VALLEY       RE-20(J)")</f>
        <v>WELDON VALLEY       RE-20(J)</v>
      </c>
      <c r="C1448" s="2" t="str">
        <f>IFERROR(__xludf.DUMMYFUNCTION("""COMPUTED_VALUE"""),"09352")</f>
        <v>09352</v>
      </c>
      <c r="D1448" s="2" t="str">
        <f>IFERROR(__xludf.DUMMYFUNCTION("""COMPUTED_VALUE"""),"WELDON VALLEY ELEMENTARY SCHOOL")</f>
        <v>WELDON VALLEY ELEMENTARY SCHOOL</v>
      </c>
      <c r="E1448" s="3" t="str">
        <f>IFERROR(__xludf.DUMMYFUNCTION("""COMPUTED_VALUE"""),"Y")</f>
        <v>Y</v>
      </c>
      <c r="F1448" s="3" t="str">
        <f>IFERROR(__xludf.DUMMYFUNCTION("""COMPUTED_VALUE"""),"Y")</f>
        <v>Y</v>
      </c>
      <c r="G1448" s="3"/>
      <c r="H1448" s="3"/>
      <c r="I1448" s="3" t="str">
        <f>IFERROR(__xludf.DUMMYFUNCTION("""COMPUTED_VALUE""")," ")</f>
        <v> </v>
      </c>
      <c r="J1448" s="3" t="str">
        <f>IFERROR(__xludf.DUMMYFUNCTION("""COMPUTED_VALUE""")," ")</f>
        <v> </v>
      </c>
      <c r="K1448" s="3" t="str">
        <f>IFERROR(__xludf.DUMMYFUNCTION("""COMPUTED_VALUE"""),"Y")</f>
        <v>Y</v>
      </c>
      <c r="L1448" s="3" t="str">
        <f>IFERROR(__xludf.DUMMYFUNCTION("""COMPUTED_VALUE""")," ")</f>
        <v> </v>
      </c>
      <c r="M1448" s="3"/>
      <c r="N1448" s="5" t="str">
        <f>IFERROR(__xludf.DUMMYFUNCTION("""COMPUTED_VALUE""")," ")</f>
        <v> </v>
      </c>
      <c r="O1448" s="5"/>
    </row>
    <row r="1449">
      <c r="A1449" s="2" t="str">
        <f>IFERROR(__xludf.DUMMYFUNCTION("""COMPUTED_VALUE"""),"2505")</f>
        <v>2505</v>
      </c>
      <c r="B1449" s="2" t="str">
        <f>IFERROR(__xludf.DUMMYFUNCTION("""COMPUTED_VALUE"""),"WELDON VALLEY       RE-20(J)")</f>
        <v>WELDON VALLEY       RE-20(J)</v>
      </c>
      <c r="C1449" s="2" t="str">
        <f>IFERROR(__xludf.DUMMYFUNCTION("""COMPUTED_VALUE"""),"09360")</f>
        <v>09360</v>
      </c>
      <c r="D1449" s="2" t="str">
        <f>IFERROR(__xludf.DUMMYFUNCTION("""COMPUTED_VALUE"""),"WELDON VALLEY JUNIOR SENIOR HIGH SCHOOL")</f>
        <v>WELDON VALLEY JUNIOR SENIOR HIGH SCHOOL</v>
      </c>
      <c r="E1449" s="3" t="str">
        <f>IFERROR(__xludf.DUMMYFUNCTION("""COMPUTED_VALUE"""),"Y")</f>
        <v>Y</v>
      </c>
      <c r="F1449" s="3" t="str">
        <f>IFERROR(__xludf.DUMMYFUNCTION("""COMPUTED_VALUE"""),"Y")</f>
        <v>Y</v>
      </c>
      <c r="G1449" s="3"/>
      <c r="H1449" s="3"/>
      <c r="I1449" s="3" t="str">
        <f>IFERROR(__xludf.DUMMYFUNCTION("""COMPUTED_VALUE""")," ")</f>
        <v> </v>
      </c>
      <c r="J1449" s="3" t="str">
        <f>IFERROR(__xludf.DUMMYFUNCTION("""COMPUTED_VALUE""")," ")</f>
        <v> </v>
      </c>
      <c r="K1449" s="3" t="str">
        <f>IFERROR(__xludf.DUMMYFUNCTION("""COMPUTED_VALUE"""),"Y")</f>
        <v>Y</v>
      </c>
      <c r="L1449" s="3" t="str">
        <f>IFERROR(__xludf.DUMMYFUNCTION("""COMPUTED_VALUE"""),"Group 1")</f>
        <v>Group 1</v>
      </c>
      <c r="M1449" s="3"/>
      <c r="N1449" s="5" t="str">
        <f>IFERROR(__xludf.DUMMYFUNCTION("""COMPUTED_VALUE""")," ")</f>
        <v> </v>
      </c>
      <c r="O1449" s="5"/>
    </row>
    <row r="1450">
      <c r="A1450" s="2" t="str">
        <f>IFERROR(__xludf.DUMMYFUNCTION("""COMPUTED_VALUE"""),"2515")</f>
        <v>2515</v>
      </c>
      <c r="B1450" s="2" t="str">
        <f>IFERROR(__xludf.DUMMYFUNCTION("""COMPUTED_VALUE"""),"WIGGINS RE-50(J)")</f>
        <v>WIGGINS RE-50(J)</v>
      </c>
      <c r="C1450" s="2" t="str">
        <f>IFERROR(__xludf.DUMMYFUNCTION("""COMPUTED_VALUE"""),"09263")</f>
        <v>09263</v>
      </c>
      <c r="D1450" s="2" t="str">
        <f>IFERROR(__xludf.DUMMYFUNCTION("""COMPUTED_VALUE"""),"Wiggins Middle School")</f>
        <v>Wiggins Middle School</v>
      </c>
      <c r="E1450" s="3" t="str">
        <f>IFERROR(__xludf.DUMMYFUNCTION("""COMPUTED_VALUE"""),"Y")</f>
        <v>Y</v>
      </c>
      <c r="F1450" s="3" t="str">
        <f>IFERROR(__xludf.DUMMYFUNCTION("""COMPUTED_VALUE"""),"Y")</f>
        <v>Y</v>
      </c>
      <c r="G1450" s="3"/>
      <c r="H1450" s="3"/>
      <c r="I1450" s="3" t="str">
        <f>IFERROR(__xludf.DUMMYFUNCTION("""COMPUTED_VALUE""")," ")</f>
        <v> </v>
      </c>
      <c r="J1450" s="3" t="str">
        <f>IFERROR(__xludf.DUMMYFUNCTION("""COMPUTED_VALUE""")," ")</f>
        <v> </v>
      </c>
      <c r="K1450" s="3" t="str">
        <f>IFERROR(__xludf.DUMMYFUNCTION("""COMPUTED_VALUE"""),"Y")</f>
        <v>Y</v>
      </c>
      <c r="L1450" s="3" t="str">
        <f>IFERROR(__xludf.DUMMYFUNCTION("""COMPUTED_VALUE"""),"Group 2")</f>
        <v>Group 2</v>
      </c>
      <c r="M1450" s="3"/>
      <c r="N1450" s="5" t="str">
        <f>IFERROR(__xludf.DUMMYFUNCTION("""COMPUTED_VALUE""")," ")</f>
        <v> </v>
      </c>
      <c r="O1450" s="5"/>
    </row>
    <row r="1451">
      <c r="A1451" s="2" t="str">
        <f>IFERROR(__xludf.DUMMYFUNCTION("""COMPUTED_VALUE"""),"2515")</f>
        <v>2515</v>
      </c>
      <c r="B1451" s="2" t="str">
        <f>IFERROR(__xludf.DUMMYFUNCTION("""COMPUTED_VALUE"""),"WIGGINS RE-50(J)")</f>
        <v>WIGGINS RE-50(J)</v>
      </c>
      <c r="C1451" s="2" t="str">
        <f>IFERROR(__xludf.DUMMYFUNCTION("""COMPUTED_VALUE"""),"09575")</f>
        <v>09575</v>
      </c>
      <c r="D1451" s="2" t="str">
        <f>IFERROR(__xludf.DUMMYFUNCTION("""COMPUTED_VALUE"""),"Wiggins Primary School")</f>
        <v>Wiggins Primary School</v>
      </c>
      <c r="E1451" s="3" t="str">
        <f>IFERROR(__xludf.DUMMYFUNCTION("""COMPUTED_VALUE"""),"Y")</f>
        <v>Y</v>
      </c>
      <c r="F1451" s="3" t="str">
        <f>IFERROR(__xludf.DUMMYFUNCTION("""COMPUTED_VALUE"""),"Y")</f>
        <v>Y</v>
      </c>
      <c r="G1451" s="3"/>
      <c r="H1451" s="3"/>
      <c r="I1451" s="3" t="str">
        <f>IFERROR(__xludf.DUMMYFUNCTION("""COMPUTED_VALUE""")," ")</f>
        <v> </v>
      </c>
      <c r="J1451" s="3" t="str">
        <f>IFERROR(__xludf.DUMMYFUNCTION("""COMPUTED_VALUE""")," ")</f>
        <v> </v>
      </c>
      <c r="K1451" s="3" t="str">
        <f>IFERROR(__xludf.DUMMYFUNCTION("""COMPUTED_VALUE"""),"Y")</f>
        <v>Y</v>
      </c>
      <c r="L1451" s="3" t="str">
        <f>IFERROR(__xludf.DUMMYFUNCTION("""COMPUTED_VALUE"""),"Group 1")</f>
        <v>Group 1</v>
      </c>
      <c r="M1451" s="3"/>
      <c r="N1451" s="5" t="str">
        <f>IFERROR(__xludf.DUMMYFUNCTION("""COMPUTED_VALUE""")," ")</f>
        <v> </v>
      </c>
      <c r="O1451" s="5"/>
    </row>
    <row r="1452">
      <c r="A1452" s="2" t="str">
        <f>IFERROR(__xludf.DUMMYFUNCTION("""COMPUTED_VALUE"""),"2515")</f>
        <v>2515</v>
      </c>
      <c r="B1452" s="2" t="str">
        <f>IFERROR(__xludf.DUMMYFUNCTION("""COMPUTED_VALUE"""),"WIGGINS RE-50(J)")</f>
        <v>WIGGINS RE-50(J)</v>
      </c>
      <c r="C1452" s="2" t="str">
        <f>IFERROR(__xludf.DUMMYFUNCTION("""COMPUTED_VALUE"""),"09576")</f>
        <v>09576</v>
      </c>
      <c r="D1452" s="2" t="str">
        <f>IFERROR(__xludf.DUMMYFUNCTION("""COMPUTED_VALUE"""),"WIGGINS ELEMENTARY SCHOOL")</f>
        <v>WIGGINS ELEMENTARY SCHOOL</v>
      </c>
      <c r="E1452" s="3" t="str">
        <f>IFERROR(__xludf.DUMMYFUNCTION("""COMPUTED_VALUE"""),"Y")</f>
        <v>Y</v>
      </c>
      <c r="F1452" s="3" t="str">
        <f>IFERROR(__xludf.DUMMYFUNCTION("""COMPUTED_VALUE"""),"Y")</f>
        <v>Y</v>
      </c>
      <c r="G1452" s="3"/>
      <c r="H1452" s="3"/>
      <c r="I1452" s="3" t="str">
        <f>IFERROR(__xludf.DUMMYFUNCTION("""COMPUTED_VALUE""")," ")</f>
        <v> </v>
      </c>
      <c r="J1452" s="3" t="str">
        <f>IFERROR(__xludf.DUMMYFUNCTION("""COMPUTED_VALUE""")," ")</f>
        <v> </v>
      </c>
      <c r="K1452" s="3" t="str">
        <f>IFERROR(__xludf.DUMMYFUNCTION("""COMPUTED_VALUE"""),"Y")</f>
        <v>Y</v>
      </c>
      <c r="L1452" s="3" t="str">
        <f>IFERROR(__xludf.DUMMYFUNCTION("""COMPUTED_VALUE"""),"Group 1")</f>
        <v>Group 1</v>
      </c>
      <c r="M1452" s="3"/>
      <c r="N1452" s="5" t="str">
        <f>IFERROR(__xludf.DUMMYFUNCTION("""COMPUTED_VALUE""")," ")</f>
        <v> </v>
      </c>
      <c r="O1452" s="5"/>
    </row>
    <row r="1453">
      <c r="A1453" s="2" t="str">
        <f>IFERROR(__xludf.DUMMYFUNCTION("""COMPUTED_VALUE"""),"2515")</f>
        <v>2515</v>
      </c>
      <c r="B1453" s="2" t="str">
        <f>IFERROR(__xludf.DUMMYFUNCTION("""COMPUTED_VALUE"""),"WIGGINS RE-50(J)")</f>
        <v>WIGGINS RE-50(J)</v>
      </c>
      <c r="C1453" s="2" t="str">
        <f>IFERROR(__xludf.DUMMYFUNCTION("""COMPUTED_VALUE"""),"09582")</f>
        <v>09582</v>
      </c>
      <c r="D1453" s="2" t="str">
        <f>IFERROR(__xludf.DUMMYFUNCTION("""COMPUTED_VALUE"""),"WIGGINS HIGH SCHOOL")</f>
        <v>WIGGINS HIGH SCHOOL</v>
      </c>
      <c r="E1453" s="3" t="str">
        <f>IFERROR(__xludf.DUMMYFUNCTION("""COMPUTED_VALUE"""),"Y")</f>
        <v>Y</v>
      </c>
      <c r="F1453" s="3" t="str">
        <f>IFERROR(__xludf.DUMMYFUNCTION("""COMPUTED_VALUE"""),"Y")</f>
        <v>Y</v>
      </c>
      <c r="G1453" s="3"/>
      <c r="H1453" s="3"/>
      <c r="I1453" s="3" t="str">
        <f>IFERROR(__xludf.DUMMYFUNCTION("""COMPUTED_VALUE""")," ")</f>
        <v> </v>
      </c>
      <c r="J1453" s="3" t="str">
        <f>IFERROR(__xludf.DUMMYFUNCTION("""COMPUTED_VALUE""")," ")</f>
        <v> </v>
      </c>
      <c r="K1453" s="3" t="str">
        <f>IFERROR(__xludf.DUMMYFUNCTION("""COMPUTED_VALUE"""),"Y")</f>
        <v>Y</v>
      </c>
      <c r="L1453" s="3" t="str">
        <f>IFERROR(__xludf.DUMMYFUNCTION("""COMPUTED_VALUE"""),"Group 2")</f>
        <v>Group 2</v>
      </c>
      <c r="M1453" s="3"/>
      <c r="N1453" s="5" t="str">
        <f>IFERROR(__xludf.DUMMYFUNCTION("""COMPUTED_VALUE""")," ")</f>
        <v> </v>
      </c>
      <c r="O1453" s="5"/>
    </row>
    <row r="1454">
      <c r="A1454" s="2" t="str">
        <f>IFERROR(__xludf.DUMMYFUNCTION("""COMPUTED_VALUE"""),"2520")</f>
        <v>2520</v>
      </c>
      <c r="B1454" s="2" t="str">
        <f>IFERROR(__xludf.DUMMYFUNCTION("""COMPUTED_VALUE"""),"East Otero School District R-1")</f>
        <v>East Otero School District R-1</v>
      </c>
      <c r="C1454" s="2" t="str">
        <f>IFERROR(__xludf.DUMMYFUNCTION("""COMPUTED_VALUE"""),"04841")</f>
        <v>04841</v>
      </c>
      <c r="D1454" s="2" t="str">
        <f>IFERROR(__xludf.DUMMYFUNCTION("""COMPUTED_VALUE"""),"LA JUNTA INTERMEDIATE SCHOOL")</f>
        <v>LA JUNTA INTERMEDIATE SCHOOL</v>
      </c>
      <c r="E1454" s="3" t="str">
        <f>IFERROR(__xludf.DUMMYFUNCTION("""COMPUTED_VALUE"""),"Y")</f>
        <v>Y</v>
      </c>
      <c r="F1454" s="3" t="str">
        <f>IFERROR(__xludf.DUMMYFUNCTION("""COMPUTED_VALUE"""),"Y")</f>
        <v>Y</v>
      </c>
      <c r="G1454" s="3" t="str">
        <f>IFERROR(__xludf.DUMMYFUNCTION("""COMPUTED_VALUE"""),"Y")</f>
        <v>Y</v>
      </c>
      <c r="H1454" s="3"/>
      <c r="I1454" s="3" t="str">
        <f>IFERROR(__xludf.DUMMYFUNCTION("""COMPUTED_VALUE"""),"Y")</f>
        <v>Y</v>
      </c>
      <c r="J1454" s="3" t="str">
        <f>IFERROR(__xludf.DUMMYFUNCTION("""COMPUTED_VALUE"""),"Y")</f>
        <v>Y</v>
      </c>
      <c r="K1454" s="3" t="str">
        <f>IFERROR(__xludf.DUMMYFUNCTION("""COMPUTED_VALUE"""),"Y")</f>
        <v>Y</v>
      </c>
      <c r="L1454" s="3" t="str">
        <f>IFERROR(__xludf.DUMMYFUNCTION("""COMPUTED_VALUE"""),"Group 1")</f>
        <v>Group 1</v>
      </c>
      <c r="M1454" s="3"/>
      <c r="N1454" s="5" t="str">
        <f>IFERROR(__xludf.DUMMYFUNCTION("""COMPUTED_VALUE"""),"Y")</f>
        <v>Y</v>
      </c>
      <c r="O1454" s="5"/>
    </row>
    <row r="1455">
      <c r="A1455" s="2" t="str">
        <f>IFERROR(__xludf.DUMMYFUNCTION("""COMPUTED_VALUE"""),"2520")</f>
        <v>2520</v>
      </c>
      <c r="B1455" s="2" t="str">
        <f>IFERROR(__xludf.DUMMYFUNCTION("""COMPUTED_VALUE"""),"East Otero School District R-1")</f>
        <v>East Otero School District R-1</v>
      </c>
      <c r="C1455" s="2" t="str">
        <f>IFERROR(__xludf.DUMMYFUNCTION("""COMPUTED_VALUE"""),"04843")</f>
        <v>04843</v>
      </c>
      <c r="D1455" s="2" t="str">
        <f>IFERROR(__xludf.DUMMYFUNCTION("""COMPUTED_VALUE"""),"LA JUNTA PRIMARY SCHOOL")</f>
        <v>LA JUNTA PRIMARY SCHOOL</v>
      </c>
      <c r="E1455" s="3" t="str">
        <f>IFERROR(__xludf.DUMMYFUNCTION("""COMPUTED_VALUE"""),"Y")</f>
        <v>Y</v>
      </c>
      <c r="F1455" s="3" t="str">
        <f>IFERROR(__xludf.DUMMYFUNCTION("""COMPUTED_VALUE"""),"Y")</f>
        <v>Y</v>
      </c>
      <c r="G1455" s="3" t="str">
        <f>IFERROR(__xludf.DUMMYFUNCTION("""COMPUTED_VALUE"""),"Y")</f>
        <v>Y</v>
      </c>
      <c r="H1455" s="3"/>
      <c r="I1455" s="3" t="str">
        <f>IFERROR(__xludf.DUMMYFUNCTION("""COMPUTED_VALUE"""),"Y")</f>
        <v>Y</v>
      </c>
      <c r="J1455" s="3" t="str">
        <f>IFERROR(__xludf.DUMMYFUNCTION("""COMPUTED_VALUE"""),"Y")</f>
        <v>Y</v>
      </c>
      <c r="K1455" s="3" t="str">
        <f>IFERROR(__xludf.DUMMYFUNCTION("""COMPUTED_VALUE"""),"Y")</f>
        <v>Y</v>
      </c>
      <c r="L1455" s="3" t="str">
        <f>IFERROR(__xludf.DUMMYFUNCTION("""COMPUTED_VALUE"""),"Group 2")</f>
        <v>Group 2</v>
      </c>
      <c r="M1455" s="3"/>
      <c r="N1455" s="5" t="str">
        <f>IFERROR(__xludf.DUMMYFUNCTION("""COMPUTED_VALUE"""),"Y")</f>
        <v>Y</v>
      </c>
      <c r="O1455" s="5"/>
    </row>
    <row r="1456">
      <c r="A1456" s="2" t="str">
        <f>IFERROR(__xludf.DUMMYFUNCTION("""COMPUTED_VALUE"""),"2520")</f>
        <v>2520</v>
      </c>
      <c r="B1456" s="2" t="str">
        <f>IFERROR(__xludf.DUMMYFUNCTION("""COMPUTED_VALUE"""),"East Otero School District R-1")</f>
        <v>East Otero School District R-1</v>
      </c>
      <c r="C1456" s="2" t="str">
        <f>IFERROR(__xludf.DUMMYFUNCTION("""COMPUTED_VALUE"""),"05015")</f>
        <v>05015</v>
      </c>
      <c r="D1456" s="2" t="str">
        <f>IFERROR(__xludf.DUMMYFUNCTION("""COMPUTED_VALUE"""),"LA JUNTA JUNIOR/SENIOR HIGH SCHOOL")</f>
        <v>LA JUNTA JUNIOR/SENIOR HIGH SCHOOL</v>
      </c>
      <c r="E1456" s="3" t="str">
        <f>IFERROR(__xludf.DUMMYFUNCTION("""COMPUTED_VALUE"""),"Y")</f>
        <v>Y</v>
      </c>
      <c r="F1456" s="3" t="str">
        <f>IFERROR(__xludf.DUMMYFUNCTION("""COMPUTED_VALUE"""),"Y")</f>
        <v>Y</v>
      </c>
      <c r="G1456" s="3" t="str">
        <f>IFERROR(__xludf.DUMMYFUNCTION("""COMPUTED_VALUE"""),"Y")</f>
        <v>Y</v>
      </c>
      <c r="H1456" s="3"/>
      <c r="I1456" s="3" t="str">
        <f>IFERROR(__xludf.DUMMYFUNCTION("""COMPUTED_VALUE""")," ")</f>
        <v> </v>
      </c>
      <c r="J1456" s="3" t="str">
        <f>IFERROR(__xludf.DUMMYFUNCTION("""COMPUTED_VALUE"""),"Y")</f>
        <v>Y</v>
      </c>
      <c r="K1456" s="3" t="str">
        <f>IFERROR(__xludf.DUMMYFUNCTION("""COMPUTED_VALUE"""),"Y")</f>
        <v>Y</v>
      </c>
      <c r="L1456" s="3" t="str">
        <f>IFERROR(__xludf.DUMMYFUNCTION("""COMPUTED_VALUE"""),"Group 2")</f>
        <v>Group 2</v>
      </c>
      <c r="M1456" s="3"/>
      <c r="N1456" s="5" t="str">
        <f>IFERROR(__xludf.DUMMYFUNCTION("""COMPUTED_VALUE"""),"Y")</f>
        <v>Y</v>
      </c>
      <c r="O1456" s="5"/>
    </row>
    <row r="1457">
      <c r="A1457" s="2" t="str">
        <f>IFERROR(__xludf.DUMMYFUNCTION("""COMPUTED_VALUE"""),"2520")</f>
        <v>2520</v>
      </c>
      <c r="B1457" s="2" t="str">
        <f>IFERROR(__xludf.DUMMYFUNCTION("""COMPUTED_VALUE"""),"East Otero School District R-1")</f>
        <v>East Otero School District R-1</v>
      </c>
      <c r="C1457" s="2" t="str">
        <f>IFERROR(__xludf.DUMMYFUNCTION("""COMPUTED_VALUE"""),"05455")</f>
        <v>05455</v>
      </c>
      <c r="D1457" s="2" t="str">
        <f>IFERROR(__xludf.DUMMYFUNCTION("""COMPUTED_VALUE"""),"Tiger Trades Academy")</f>
        <v>Tiger Trades Academy</v>
      </c>
      <c r="E1457" s="3" t="str">
        <f>IFERROR(__xludf.DUMMYFUNCTION("""COMPUTED_VALUE"""),"Y")</f>
        <v>Y</v>
      </c>
      <c r="F1457" s="3" t="str">
        <f>IFERROR(__xludf.DUMMYFUNCTION("""COMPUTED_VALUE"""),"Y")</f>
        <v>Y</v>
      </c>
      <c r="G1457" s="3" t="str">
        <f>IFERROR(__xludf.DUMMYFUNCTION("""COMPUTED_VALUE"""),"Y")</f>
        <v>Y</v>
      </c>
      <c r="H1457" s="3"/>
      <c r="I1457" s="3" t="str">
        <f>IFERROR(__xludf.DUMMYFUNCTION("""COMPUTED_VALUE""")," ")</f>
        <v> </v>
      </c>
      <c r="J1457" s="3" t="str">
        <f>IFERROR(__xludf.DUMMYFUNCTION("""COMPUTED_VALUE"""),"Y")</f>
        <v>Y</v>
      </c>
      <c r="K1457" s="3" t="str">
        <f>IFERROR(__xludf.DUMMYFUNCTION("""COMPUTED_VALUE"""),"Y")</f>
        <v>Y</v>
      </c>
      <c r="L1457" s="3" t="str">
        <f>IFERROR(__xludf.DUMMYFUNCTION("""COMPUTED_VALUE"""),"Group 2")</f>
        <v>Group 2</v>
      </c>
      <c r="M1457" s="3"/>
      <c r="N1457" s="5" t="str">
        <f>IFERROR(__xludf.DUMMYFUNCTION("""COMPUTED_VALUE""")," ")</f>
        <v> </v>
      </c>
      <c r="O1457" s="5"/>
    </row>
    <row r="1458">
      <c r="A1458" s="2" t="str">
        <f>IFERROR(__xludf.DUMMYFUNCTION("""COMPUTED_VALUE"""),"2530")</f>
        <v>2530</v>
      </c>
      <c r="B1458" s="2" t="str">
        <f>IFERROR(__xludf.DUMMYFUNCTION("""COMPUTED_VALUE"""),"ROCKY FORD R-2")</f>
        <v>ROCKY FORD R-2</v>
      </c>
      <c r="C1458" s="2" t="str">
        <f>IFERROR(__xludf.DUMMYFUNCTION("""COMPUTED_VALUE"""),"05114")</f>
        <v>05114</v>
      </c>
      <c r="D1458" s="2" t="str">
        <f>IFERROR(__xludf.DUMMYFUNCTION("""COMPUTED_VALUE"""),"Rocky Ford Elementary School")</f>
        <v>Rocky Ford Elementary School</v>
      </c>
      <c r="E1458" s="3" t="str">
        <f>IFERROR(__xludf.DUMMYFUNCTION("""COMPUTED_VALUE"""),"Y")</f>
        <v>Y</v>
      </c>
      <c r="F1458" s="3" t="str">
        <f>IFERROR(__xludf.DUMMYFUNCTION("""COMPUTED_VALUE"""),"Y")</f>
        <v>Y</v>
      </c>
      <c r="G1458" s="3"/>
      <c r="H1458" s="3"/>
      <c r="I1458" s="3" t="str">
        <f>IFERROR(__xludf.DUMMYFUNCTION("""COMPUTED_VALUE"""),"Y")</f>
        <v>Y</v>
      </c>
      <c r="J1458" s="3" t="str">
        <f>IFERROR(__xludf.DUMMYFUNCTION("""COMPUTED_VALUE""")," ")</f>
        <v> </v>
      </c>
      <c r="K1458" s="3" t="str">
        <f>IFERROR(__xludf.DUMMYFUNCTION("""COMPUTED_VALUE"""),"Y")</f>
        <v>Y</v>
      </c>
      <c r="L1458" s="3" t="str">
        <f>IFERROR(__xludf.DUMMYFUNCTION("""COMPUTED_VALUE"""),"Group 1")</f>
        <v>Group 1</v>
      </c>
      <c r="M1458" s="3"/>
      <c r="N1458" s="5" t="str">
        <f>IFERROR(__xludf.DUMMYFUNCTION("""COMPUTED_VALUE""")," ")</f>
        <v> </v>
      </c>
      <c r="O1458" s="5"/>
    </row>
    <row r="1459">
      <c r="A1459" s="2" t="str">
        <f>IFERROR(__xludf.DUMMYFUNCTION("""COMPUTED_VALUE"""),"2530")</f>
        <v>2530</v>
      </c>
      <c r="B1459" s="2" t="str">
        <f>IFERROR(__xludf.DUMMYFUNCTION("""COMPUTED_VALUE"""),"ROCKY FORD R-2")</f>
        <v>ROCKY FORD R-2</v>
      </c>
      <c r="C1459" s="2" t="str">
        <f>IFERROR(__xludf.DUMMYFUNCTION("""COMPUTED_VALUE"""),"07442")</f>
        <v>07442</v>
      </c>
      <c r="D1459" s="2" t="str">
        <f>IFERROR(__xludf.DUMMYFUNCTION("""COMPUTED_VALUE"""),"ROCKY FORD JR/SR HIGH SCHOOL")</f>
        <v>ROCKY FORD JR/SR HIGH SCHOOL</v>
      </c>
      <c r="E1459" s="3" t="str">
        <f>IFERROR(__xludf.DUMMYFUNCTION("""COMPUTED_VALUE"""),"Y")</f>
        <v>Y</v>
      </c>
      <c r="F1459" s="3" t="str">
        <f>IFERROR(__xludf.DUMMYFUNCTION("""COMPUTED_VALUE"""),"Y")</f>
        <v>Y</v>
      </c>
      <c r="G1459" s="3"/>
      <c r="H1459" s="3"/>
      <c r="I1459" s="3" t="str">
        <f>IFERROR(__xludf.DUMMYFUNCTION("""COMPUTED_VALUE""")," ")</f>
        <v> </v>
      </c>
      <c r="J1459" s="3" t="str">
        <f>IFERROR(__xludf.DUMMYFUNCTION("""COMPUTED_VALUE""")," ")</f>
        <v> </v>
      </c>
      <c r="K1459" s="3" t="str">
        <f>IFERROR(__xludf.DUMMYFUNCTION("""COMPUTED_VALUE"""),"Y")</f>
        <v>Y</v>
      </c>
      <c r="L1459" s="3" t="str">
        <f>IFERROR(__xludf.DUMMYFUNCTION("""COMPUTED_VALUE"""),"Group 1")</f>
        <v>Group 1</v>
      </c>
      <c r="M1459" s="3"/>
      <c r="N1459" s="5" t="str">
        <f>IFERROR(__xludf.DUMMYFUNCTION("""COMPUTED_VALUE""")," ")</f>
        <v> </v>
      </c>
      <c r="O1459" s="5"/>
    </row>
    <row r="1460">
      <c r="A1460" s="2" t="str">
        <f>IFERROR(__xludf.DUMMYFUNCTION("""COMPUTED_VALUE"""),"2535")</f>
        <v>2535</v>
      </c>
      <c r="B1460" s="2" t="str">
        <f>IFERROR(__xludf.DUMMYFUNCTION("""COMPUTED_VALUE"""),"MANZANOLA           3J")</f>
        <v>MANZANOLA           3J</v>
      </c>
      <c r="C1460" s="2" t="str">
        <f>IFERROR(__xludf.DUMMYFUNCTION("""COMPUTED_VALUE"""),"05498")</f>
        <v>05498</v>
      </c>
      <c r="D1460" s="2" t="str">
        <f>IFERROR(__xludf.DUMMYFUNCTION("""COMPUTED_VALUE"""),"MANZANOLA ELEMENTARY SCHOOL")</f>
        <v>MANZANOLA ELEMENTARY SCHOOL</v>
      </c>
      <c r="E1460" s="3" t="str">
        <f>IFERROR(__xludf.DUMMYFUNCTION("""COMPUTED_VALUE"""),"Y")</f>
        <v>Y</v>
      </c>
      <c r="F1460" s="3" t="str">
        <f>IFERROR(__xludf.DUMMYFUNCTION("""COMPUTED_VALUE"""),"Y")</f>
        <v>Y</v>
      </c>
      <c r="G1460" s="3" t="str">
        <f>IFERROR(__xludf.DUMMYFUNCTION("""COMPUTED_VALUE"""),"Y")</f>
        <v>Y</v>
      </c>
      <c r="H1460" s="3"/>
      <c r="I1460" s="3" t="str">
        <f>IFERROR(__xludf.DUMMYFUNCTION("""COMPUTED_VALUE""")," ")</f>
        <v> </v>
      </c>
      <c r="J1460" s="3" t="str">
        <f>IFERROR(__xludf.DUMMYFUNCTION("""COMPUTED_VALUE""")," ")</f>
        <v> </v>
      </c>
      <c r="K1460" s="3" t="str">
        <f>IFERROR(__xludf.DUMMYFUNCTION("""COMPUTED_VALUE"""),"Y")</f>
        <v>Y</v>
      </c>
      <c r="L1460" s="3" t="str">
        <f>IFERROR(__xludf.DUMMYFUNCTION("""COMPUTED_VALUE"""),"Group 2")</f>
        <v>Group 2</v>
      </c>
      <c r="M1460" s="3"/>
      <c r="N1460" s="5" t="str">
        <f>IFERROR(__xludf.DUMMYFUNCTION("""COMPUTED_VALUE""")," ")</f>
        <v> </v>
      </c>
      <c r="O1460" s="5"/>
    </row>
    <row r="1461">
      <c r="A1461" s="2" t="str">
        <f>IFERROR(__xludf.DUMMYFUNCTION("""COMPUTED_VALUE"""),"2535")</f>
        <v>2535</v>
      </c>
      <c r="B1461" s="2" t="str">
        <f>IFERROR(__xludf.DUMMYFUNCTION("""COMPUTED_VALUE"""),"MANZANOLA           3J")</f>
        <v>MANZANOLA           3J</v>
      </c>
      <c r="C1461" s="2" t="str">
        <f>IFERROR(__xludf.DUMMYFUNCTION("""COMPUTED_VALUE"""),"05506")</f>
        <v>05506</v>
      </c>
      <c r="D1461" s="2" t="str">
        <f>IFERROR(__xludf.DUMMYFUNCTION("""COMPUTED_VALUE"""),"MANZANOLA JUNIOR-SENIOR HIGH SCHOOL")</f>
        <v>MANZANOLA JUNIOR-SENIOR HIGH SCHOOL</v>
      </c>
      <c r="E1461" s="3" t="str">
        <f>IFERROR(__xludf.DUMMYFUNCTION("""COMPUTED_VALUE"""),"Y")</f>
        <v>Y</v>
      </c>
      <c r="F1461" s="3" t="str">
        <f>IFERROR(__xludf.DUMMYFUNCTION("""COMPUTED_VALUE"""),"Y")</f>
        <v>Y</v>
      </c>
      <c r="G1461" s="3" t="str">
        <f>IFERROR(__xludf.DUMMYFUNCTION("""COMPUTED_VALUE"""),"Y")</f>
        <v>Y</v>
      </c>
      <c r="H1461" s="3"/>
      <c r="I1461" s="3" t="str">
        <f>IFERROR(__xludf.DUMMYFUNCTION("""COMPUTED_VALUE""")," ")</f>
        <v> </v>
      </c>
      <c r="J1461" s="3" t="str">
        <f>IFERROR(__xludf.DUMMYFUNCTION("""COMPUTED_VALUE""")," ")</f>
        <v> </v>
      </c>
      <c r="K1461" s="3" t="str">
        <f>IFERROR(__xludf.DUMMYFUNCTION("""COMPUTED_VALUE"""),"Y")</f>
        <v>Y</v>
      </c>
      <c r="L1461" s="3" t="str">
        <f>IFERROR(__xludf.DUMMYFUNCTION("""COMPUTED_VALUE"""),"Group 1")</f>
        <v>Group 1</v>
      </c>
      <c r="M1461" s="3"/>
      <c r="N1461" s="5" t="str">
        <f>IFERROR(__xludf.DUMMYFUNCTION("""COMPUTED_VALUE""")," ")</f>
        <v> </v>
      </c>
      <c r="O1461" s="5"/>
    </row>
    <row r="1462">
      <c r="A1462" s="2" t="str">
        <f>IFERROR(__xludf.DUMMYFUNCTION("""COMPUTED_VALUE"""),"2540")</f>
        <v>2540</v>
      </c>
      <c r="B1462" s="2" t="str">
        <f>IFERROR(__xludf.DUMMYFUNCTION("""COMPUTED_VALUE"""),"Fowler R-4J")</f>
        <v>Fowler R-4J</v>
      </c>
      <c r="C1462" s="2" t="str">
        <f>IFERROR(__xludf.DUMMYFUNCTION("""COMPUTED_VALUE"""),"00056")</f>
        <v>00056</v>
      </c>
      <c r="D1462" s="2" t="str">
        <f>IFERROR(__xludf.DUMMYFUNCTION("""COMPUTED_VALUE"""),"FOWLER ELEMENTARY")</f>
        <v>FOWLER ELEMENTARY</v>
      </c>
      <c r="E1462" s="3" t="str">
        <f>IFERROR(__xludf.DUMMYFUNCTION("""COMPUTED_VALUE"""),"Y")</f>
        <v>Y</v>
      </c>
      <c r="F1462" s="3" t="str">
        <f>IFERROR(__xludf.DUMMYFUNCTION("""COMPUTED_VALUE"""),"Y")</f>
        <v>Y</v>
      </c>
      <c r="G1462" s="3" t="str">
        <f>IFERROR(__xludf.DUMMYFUNCTION("""COMPUTED_VALUE"""),"Y")</f>
        <v>Y</v>
      </c>
      <c r="H1462" s="3"/>
      <c r="I1462" s="3" t="str">
        <f>IFERROR(__xludf.DUMMYFUNCTION("""COMPUTED_VALUE""")," ")</f>
        <v> </v>
      </c>
      <c r="J1462" s="3" t="str">
        <f>IFERROR(__xludf.DUMMYFUNCTION("""COMPUTED_VALUE""")," ")</f>
        <v> </v>
      </c>
      <c r="K1462" s="3" t="str">
        <f>IFERROR(__xludf.DUMMYFUNCTION("""COMPUTED_VALUE"""),"Y")</f>
        <v>Y</v>
      </c>
      <c r="L1462" s="3" t="str">
        <f>IFERROR(__xludf.DUMMYFUNCTION("""COMPUTED_VALUE"""),"Group 2")</f>
        <v>Group 2</v>
      </c>
      <c r="M1462" s="3"/>
      <c r="N1462" s="5" t="str">
        <f>IFERROR(__xludf.DUMMYFUNCTION("""COMPUTED_VALUE""")," ")</f>
        <v> </v>
      </c>
      <c r="O1462" s="5"/>
    </row>
    <row r="1463">
      <c r="A1463" s="2" t="str">
        <f>IFERROR(__xludf.DUMMYFUNCTION("""COMPUTED_VALUE"""),"2540")</f>
        <v>2540</v>
      </c>
      <c r="B1463" s="2" t="str">
        <f>IFERROR(__xludf.DUMMYFUNCTION("""COMPUTED_VALUE"""),"Fowler R-4J")</f>
        <v>Fowler R-4J</v>
      </c>
      <c r="C1463" s="2" t="str">
        <f>IFERROR(__xludf.DUMMYFUNCTION("""COMPUTED_VALUE"""),"03130")</f>
        <v>03130</v>
      </c>
      <c r="D1463" s="2" t="str">
        <f>IFERROR(__xludf.DUMMYFUNCTION("""COMPUTED_VALUE"""),"FOWLER JUNIOR HIGH SCHOOL")</f>
        <v>FOWLER JUNIOR HIGH SCHOOL</v>
      </c>
      <c r="E1463" s="3" t="str">
        <f>IFERROR(__xludf.DUMMYFUNCTION("""COMPUTED_VALUE"""),"Y")</f>
        <v>Y</v>
      </c>
      <c r="F1463" s="3" t="str">
        <f>IFERROR(__xludf.DUMMYFUNCTION("""COMPUTED_VALUE"""),"Y")</f>
        <v>Y</v>
      </c>
      <c r="G1463" s="3" t="str">
        <f>IFERROR(__xludf.DUMMYFUNCTION("""COMPUTED_VALUE"""),"Y")</f>
        <v>Y</v>
      </c>
      <c r="H1463" s="3"/>
      <c r="I1463" s="3" t="str">
        <f>IFERROR(__xludf.DUMMYFUNCTION("""COMPUTED_VALUE""")," ")</f>
        <v> </v>
      </c>
      <c r="J1463" s="3" t="str">
        <f>IFERROR(__xludf.DUMMYFUNCTION("""COMPUTED_VALUE""")," ")</f>
        <v> </v>
      </c>
      <c r="K1463" s="3" t="str">
        <f>IFERROR(__xludf.DUMMYFUNCTION("""COMPUTED_VALUE"""),"Y")</f>
        <v>Y</v>
      </c>
      <c r="L1463" s="3" t="str">
        <f>IFERROR(__xludf.DUMMYFUNCTION("""COMPUTED_VALUE"""),"Group 2")</f>
        <v>Group 2</v>
      </c>
      <c r="M1463" s="3"/>
      <c r="N1463" s="5" t="str">
        <f>IFERROR(__xludf.DUMMYFUNCTION("""COMPUTED_VALUE""")," ")</f>
        <v> </v>
      </c>
      <c r="O1463" s="5"/>
    </row>
    <row r="1464">
      <c r="A1464" s="2" t="str">
        <f>IFERROR(__xludf.DUMMYFUNCTION("""COMPUTED_VALUE"""),"2540")</f>
        <v>2540</v>
      </c>
      <c r="B1464" s="2" t="str">
        <f>IFERROR(__xludf.DUMMYFUNCTION("""COMPUTED_VALUE"""),"Fowler R-4J")</f>
        <v>Fowler R-4J</v>
      </c>
      <c r="C1464" s="2" t="str">
        <f>IFERROR(__xludf.DUMMYFUNCTION("""COMPUTED_VALUE"""),"03134")</f>
        <v>03134</v>
      </c>
      <c r="D1464" s="2" t="str">
        <f>IFERROR(__xludf.DUMMYFUNCTION("""COMPUTED_VALUE"""),"FOWLER HIGH SCHOOL")</f>
        <v>FOWLER HIGH SCHOOL</v>
      </c>
      <c r="E1464" s="3" t="str">
        <f>IFERROR(__xludf.DUMMYFUNCTION("""COMPUTED_VALUE"""),"Y")</f>
        <v>Y</v>
      </c>
      <c r="F1464" s="3" t="str">
        <f>IFERROR(__xludf.DUMMYFUNCTION("""COMPUTED_VALUE"""),"Y")</f>
        <v>Y</v>
      </c>
      <c r="G1464" s="3" t="str">
        <f>IFERROR(__xludf.DUMMYFUNCTION("""COMPUTED_VALUE"""),"Y")</f>
        <v>Y</v>
      </c>
      <c r="H1464" s="3"/>
      <c r="I1464" s="3" t="str">
        <f>IFERROR(__xludf.DUMMYFUNCTION("""COMPUTED_VALUE""")," ")</f>
        <v> </v>
      </c>
      <c r="J1464" s="3" t="str">
        <f>IFERROR(__xludf.DUMMYFUNCTION("""COMPUTED_VALUE""")," ")</f>
        <v> </v>
      </c>
      <c r="K1464" s="3" t="str">
        <f>IFERROR(__xludf.DUMMYFUNCTION("""COMPUTED_VALUE"""),"Y")</f>
        <v>Y</v>
      </c>
      <c r="L1464" s="3" t="str">
        <f>IFERROR(__xludf.DUMMYFUNCTION("""COMPUTED_VALUE"""),"Group 1")</f>
        <v>Group 1</v>
      </c>
      <c r="M1464" s="3"/>
      <c r="N1464" s="5" t="str">
        <f>IFERROR(__xludf.DUMMYFUNCTION("""COMPUTED_VALUE"""),"Y")</f>
        <v>Y</v>
      </c>
      <c r="O1464" s="5"/>
    </row>
    <row r="1465">
      <c r="A1465" s="2" t="str">
        <f>IFERROR(__xludf.DUMMYFUNCTION("""COMPUTED_VALUE"""),"2560")</f>
        <v>2560</v>
      </c>
      <c r="B1465" s="2" t="str">
        <f>IFERROR(__xludf.DUMMYFUNCTION("""COMPUTED_VALUE"""),"CHERAW              31")</f>
        <v>CHERAW              31</v>
      </c>
      <c r="C1465" s="2" t="str">
        <f>IFERROR(__xludf.DUMMYFUNCTION("""COMPUTED_VALUE"""),"01546")</f>
        <v>01546</v>
      </c>
      <c r="D1465" s="2" t="str">
        <f>IFERROR(__xludf.DUMMYFUNCTION("""COMPUTED_VALUE"""),"CHERAW SCHOOL")</f>
        <v>CHERAW SCHOOL</v>
      </c>
      <c r="E1465" s="3" t="str">
        <f>IFERROR(__xludf.DUMMYFUNCTION("""COMPUTED_VALUE"""),"Y")</f>
        <v>Y</v>
      </c>
      <c r="F1465" s="3" t="str">
        <f>IFERROR(__xludf.DUMMYFUNCTION("""COMPUTED_VALUE"""),"Y")</f>
        <v>Y</v>
      </c>
      <c r="G1465" s="3"/>
      <c r="H1465" s="3"/>
      <c r="I1465" s="3" t="str">
        <f>IFERROR(__xludf.DUMMYFUNCTION("""COMPUTED_VALUE""")," ")</f>
        <v> </v>
      </c>
      <c r="J1465" s="3" t="str">
        <f>IFERROR(__xludf.DUMMYFUNCTION("""COMPUTED_VALUE""")," ")</f>
        <v> </v>
      </c>
      <c r="K1465" s="3" t="str">
        <f>IFERROR(__xludf.DUMMYFUNCTION("""COMPUTED_VALUE"""),"Y")</f>
        <v>Y</v>
      </c>
      <c r="L1465" s="3" t="str">
        <f>IFERROR(__xludf.DUMMYFUNCTION("""COMPUTED_VALUE""")," ")</f>
        <v> </v>
      </c>
      <c r="M1465" s="3"/>
      <c r="N1465" s="5" t="str">
        <f>IFERROR(__xludf.DUMMYFUNCTION("""COMPUTED_VALUE"""),"Y")</f>
        <v>Y</v>
      </c>
      <c r="O1465" s="5"/>
    </row>
    <row r="1466">
      <c r="A1466" s="2" t="str">
        <f>IFERROR(__xludf.DUMMYFUNCTION("""COMPUTED_VALUE"""),"2570")</f>
        <v>2570</v>
      </c>
      <c r="B1466" s="2" t="str">
        <f>IFERROR(__xludf.DUMMYFUNCTION("""COMPUTED_VALUE"""),"SWINK               33")</f>
        <v>SWINK               33</v>
      </c>
      <c r="C1466" s="2" t="str">
        <f>IFERROR(__xludf.DUMMYFUNCTION("""COMPUTED_VALUE"""),"08452")</f>
        <v>08452</v>
      </c>
      <c r="D1466" s="2" t="str">
        <f>IFERROR(__xludf.DUMMYFUNCTION("""COMPUTED_VALUE"""),"SWINK ELEMENTARY SCHOOL")</f>
        <v>SWINK ELEMENTARY SCHOOL</v>
      </c>
      <c r="E1466" s="3" t="str">
        <f>IFERROR(__xludf.DUMMYFUNCTION("""COMPUTED_VALUE"""),"Y")</f>
        <v>Y</v>
      </c>
      <c r="F1466" s="3" t="str">
        <f>IFERROR(__xludf.DUMMYFUNCTION("""COMPUTED_VALUE"""),"Y")</f>
        <v>Y</v>
      </c>
      <c r="G1466" s="3" t="str">
        <f>IFERROR(__xludf.DUMMYFUNCTION("""COMPUTED_VALUE"""),"Y")</f>
        <v>Y</v>
      </c>
      <c r="H1466" s="3"/>
      <c r="I1466" s="3" t="str">
        <f>IFERROR(__xludf.DUMMYFUNCTION("""COMPUTED_VALUE""")," ")</f>
        <v> </v>
      </c>
      <c r="J1466" s="3" t="str">
        <f>IFERROR(__xludf.DUMMYFUNCTION("""COMPUTED_VALUE""")," ")</f>
        <v> </v>
      </c>
      <c r="K1466" s="3" t="str">
        <f>IFERROR(__xludf.DUMMYFUNCTION("""COMPUTED_VALUE"""),"Y")</f>
        <v>Y</v>
      </c>
      <c r="L1466" s="3" t="str">
        <f>IFERROR(__xludf.DUMMYFUNCTION("""COMPUTED_VALUE"""),"Group 1")</f>
        <v>Group 1</v>
      </c>
      <c r="M1466" s="3"/>
      <c r="N1466" s="5" t="str">
        <f>IFERROR(__xludf.DUMMYFUNCTION("""COMPUTED_VALUE""")," ")</f>
        <v> </v>
      </c>
      <c r="O1466" s="5"/>
    </row>
    <row r="1467">
      <c r="A1467" s="2" t="str">
        <f>IFERROR(__xludf.DUMMYFUNCTION("""COMPUTED_VALUE"""),"2570")</f>
        <v>2570</v>
      </c>
      <c r="B1467" s="2" t="str">
        <f>IFERROR(__xludf.DUMMYFUNCTION("""COMPUTED_VALUE"""),"SWINK               33")</f>
        <v>SWINK               33</v>
      </c>
      <c r="C1467" s="2" t="str">
        <f>IFERROR(__xludf.DUMMYFUNCTION("""COMPUTED_VALUE"""),"08456")</f>
        <v>08456</v>
      </c>
      <c r="D1467" s="2" t="str">
        <f>IFERROR(__xludf.DUMMYFUNCTION("""COMPUTED_VALUE"""),"SWINK JUNIOR-SENIOR HIGH SCHOOL")</f>
        <v>SWINK JUNIOR-SENIOR HIGH SCHOOL</v>
      </c>
      <c r="E1467" s="3" t="str">
        <f>IFERROR(__xludf.DUMMYFUNCTION("""COMPUTED_VALUE"""),"Y")</f>
        <v>Y</v>
      </c>
      <c r="F1467" s="3" t="str">
        <f>IFERROR(__xludf.DUMMYFUNCTION("""COMPUTED_VALUE"""),"Y")</f>
        <v>Y</v>
      </c>
      <c r="G1467" s="3"/>
      <c r="H1467" s="3"/>
      <c r="I1467" s="3" t="str">
        <f>IFERROR(__xludf.DUMMYFUNCTION("""COMPUTED_VALUE""")," ")</f>
        <v> </v>
      </c>
      <c r="J1467" s="3" t="str">
        <f>IFERROR(__xludf.DUMMYFUNCTION("""COMPUTED_VALUE""")," ")</f>
        <v> </v>
      </c>
      <c r="K1467" s="3" t="str">
        <f>IFERROR(__xludf.DUMMYFUNCTION("""COMPUTED_VALUE"""),"Y")</f>
        <v>Y</v>
      </c>
      <c r="L1467" s="3" t="str">
        <f>IFERROR(__xludf.DUMMYFUNCTION("""COMPUTED_VALUE"""),"Group 2")</f>
        <v>Group 2</v>
      </c>
      <c r="M1467" s="3"/>
      <c r="N1467" s="5" t="str">
        <f>IFERROR(__xludf.DUMMYFUNCTION("""COMPUTED_VALUE""")," ")</f>
        <v> </v>
      </c>
      <c r="O1467" s="5"/>
    </row>
    <row r="1468">
      <c r="A1468" s="2" t="str">
        <f>IFERROR(__xludf.DUMMYFUNCTION("""COMPUTED_VALUE"""),"2580")</f>
        <v>2580</v>
      </c>
      <c r="B1468" s="2" t="str">
        <f>IFERROR(__xludf.DUMMYFUNCTION("""COMPUTED_VALUE"""),"OURAY               R-1")</f>
        <v>OURAY               R-1</v>
      </c>
      <c r="C1468" s="2" t="str">
        <f>IFERROR(__xludf.DUMMYFUNCTION("""COMPUTED_VALUE"""),"06596")</f>
        <v>06596</v>
      </c>
      <c r="D1468" s="2" t="str">
        <f>IFERROR(__xludf.DUMMYFUNCTION("""COMPUTED_VALUE"""),"OURAY ELEMENTARY SCHOOL")</f>
        <v>OURAY ELEMENTARY SCHOOL</v>
      </c>
      <c r="E1468" s="3" t="str">
        <f>IFERROR(__xludf.DUMMYFUNCTION("""COMPUTED_VALUE"""),"Y")</f>
        <v>Y</v>
      </c>
      <c r="F1468" s="3" t="str">
        <f>IFERROR(__xludf.DUMMYFUNCTION("""COMPUTED_VALUE"""),"Y")</f>
        <v>Y</v>
      </c>
      <c r="G1468" s="3"/>
      <c r="H1468" s="3"/>
      <c r="I1468" s="3" t="str">
        <f>IFERROR(__xludf.DUMMYFUNCTION("""COMPUTED_VALUE""")," ")</f>
        <v> </v>
      </c>
      <c r="J1468" s="3" t="str">
        <f>IFERROR(__xludf.DUMMYFUNCTION("""COMPUTED_VALUE""")," ")</f>
        <v> </v>
      </c>
      <c r="K1468" s="3" t="str">
        <f>IFERROR(__xludf.DUMMYFUNCTION("""COMPUTED_VALUE"""),"Y")</f>
        <v>Y</v>
      </c>
      <c r="L1468" s="3" t="str">
        <f>IFERROR(__xludf.DUMMYFUNCTION("""COMPUTED_VALUE"""),"Group 1")</f>
        <v>Group 1</v>
      </c>
      <c r="M1468" s="3"/>
      <c r="N1468" s="5" t="str">
        <f>IFERROR(__xludf.DUMMYFUNCTION("""COMPUTED_VALUE""")," ")</f>
        <v> </v>
      </c>
      <c r="O1468" s="5"/>
    </row>
    <row r="1469">
      <c r="A1469" s="2" t="str">
        <f>IFERROR(__xludf.DUMMYFUNCTION("""COMPUTED_VALUE"""),"2580")</f>
        <v>2580</v>
      </c>
      <c r="B1469" s="2" t="str">
        <f>IFERROR(__xludf.DUMMYFUNCTION("""COMPUTED_VALUE"""),"OURAY               R-1")</f>
        <v>OURAY               R-1</v>
      </c>
      <c r="C1469" s="2" t="str">
        <f>IFERROR(__xludf.DUMMYFUNCTION("""COMPUTED_VALUE"""),"06598")</f>
        <v>06598</v>
      </c>
      <c r="D1469" s="2" t="str">
        <f>IFERROR(__xludf.DUMMYFUNCTION("""COMPUTED_VALUE"""),"OURAY MIDDLE SCHOOL")</f>
        <v>OURAY MIDDLE SCHOOL</v>
      </c>
      <c r="E1469" s="3" t="str">
        <f>IFERROR(__xludf.DUMMYFUNCTION("""COMPUTED_VALUE"""),"Y")</f>
        <v>Y</v>
      </c>
      <c r="F1469" s="3" t="str">
        <f>IFERROR(__xludf.DUMMYFUNCTION("""COMPUTED_VALUE"""),"Y")</f>
        <v>Y</v>
      </c>
      <c r="G1469" s="3"/>
      <c r="H1469" s="3"/>
      <c r="I1469" s="3" t="str">
        <f>IFERROR(__xludf.DUMMYFUNCTION("""COMPUTED_VALUE""")," ")</f>
        <v> </v>
      </c>
      <c r="J1469" s="3" t="str">
        <f>IFERROR(__xludf.DUMMYFUNCTION("""COMPUTED_VALUE""")," ")</f>
        <v> </v>
      </c>
      <c r="K1469" s="3" t="str">
        <f>IFERROR(__xludf.DUMMYFUNCTION("""COMPUTED_VALUE"""),"Y")</f>
        <v>Y</v>
      </c>
      <c r="L1469" s="3" t="str">
        <f>IFERROR(__xludf.DUMMYFUNCTION("""COMPUTED_VALUE"""),"Group 2")</f>
        <v>Group 2</v>
      </c>
      <c r="M1469" s="3"/>
      <c r="N1469" s="5" t="str">
        <f>IFERROR(__xludf.DUMMYFUNCTION("""COMPUTED_VALUE""")," ")</f>
        <v> </v>
      </c>
      <c r="O1469" s="5"/>
    </row>
    <row r="1470">
      <c r="A1470" s="2" t="str">
        <f>IFERROR(__xludf.DUMMYFUNCTION("""COMPUTED_VALUE"""),"2580")</f>
        <v>2580</v>
      </c>
      <c r="B1470" s="2" t="str">
        <f>IFERROR(__xludf.DUMMYFUNCTION("""COMPUTED_VALUE"""),"OURAY               R-1")</f>
        <v>OURAY               R-1</v>
      </c>
      <c r="C1470" s="2" t="str">
        <f>IFERROR(__xludf.DUMMYFUNCTION("""COMPUTED_VALUE"""),"06600")</f>
        <v>06600</v>
      </c>
      <c r="D1470" s="2" t="str">
        <f>IFERROR(__xludf.DUMMYFUNCTION("""COMPUTED_VALUE"""),"OURAY SENIOR HIGH SCHOOL")</f>
        <v>OURAY SENIOR HIGH SCHOOL</v>
      </c>
      <c r="E1470" s="3" t="str">
        <f>IFERROR(__xludf.DUMMYFUNCTION("""COMPUTED_VALUE"""),"Y")</f>
        <v>Y</v>
      </c>
      <c r="F1470" s="3" t="str">
        <f>IFERROR(__xludf.DUMMYFUNCTION("""COMPUTED_VALUE"""),"Y")</f>
        <v>Y</v>
      </c>
      <c r="G1470" s="3"/>
      <c r="H1470" s="3"/>
      <c r="I1470" s="3" t="str">
        <f>IFERROR(__xludf.DUMMYFUNCTION("""COMPUTED_VALUE""")," ")</f>
        <v> </v>
      </c>
      <c r="J1470" s="3" t="str">
        <f>IFERROR(__xludf.DUMMYFUNCTION("""COMPUTED_VALUE""")," ")</f>
        <v> </v>
      </c>
      <c r="K1470" s="3" t="str">
        <f>IFERROR(__xludf.DUMMYFUNCTION("""COMPUTED_VALUE"""),"Y")</f>
        <v>Y</v>
      </c>
      <c r="L1470" s="3" t="str">
        <f>IFERROR(__xludf.DUMMYFUNCTION("""COMPUTED_VALUE"""),"Group 1")</f>
        <v>Group 1</v>
      </c>
      <c r="M1470" s="3"/>
      <c r="N1470" s="5" t="str">
        <f>IFERROR(__xludf.DUMMYFUNCTION("""COMPUTED_VALUE""")," ")</f>
        <v> </v>
      </c>
      <c r="O1470" s="5"/>
    </row>
    <row r="1471">
      <c r="A1471" s="2" t="str">
        <f>IFERROR(__xludf.DUMMYFUNCTION("""COMPUTED_VALUE"""),"2590")</f>
        <v>2590</v>
      </c>
      <c r="B1471" s="2" t="str">
        <f>IFERROR(__xludf.DUMMYFUNCTION("""COMPUTED_VALUE"""),"RIDGWAY             R-2")</f>
        <v>RIDGWAY             R-2</v>
      </c>
      <c r="C1471" s="2" t="str">
        <f>IFERROR(__xludf.DUMMYFUNCTION("""COMPUTED_VALUE"""),"07342")</f>
        <v>07342</v>
      </c>
      <c r="D1471" s="2" t="str">
        <f>IFERROR(__xludf.DUMMYFUNCTION("""COMPUTED_VALUE"""),"RIDGWAY ELEMENTARY SCHOOL")</f>
        <v>RIDGWAY ELEMENTARY SCHOOL</v>
      </c>
      <c r="E1471" s="3"/>
      <c r="F1471" s="3" t="str">
        <f>IFERROR(__xludf.DUMMYFUNCTION("""COMPUTED_VALUE"""),"Y")</f>
        <v>Y</v>
      </c>
      <c r="G1471" s="3"/>
      <c r="H1471" s="3"/>
      <c r="I1471" s="3" t="str">
        <f>IFERROR(__xludf.DUMMYFUNCTION("""COMPUTED_VALUE""")," ")</f>
        <v> </v>
      </c>
      <c r="J1471" s="3" t="str">
        <f>IFERROR(__xludf.DUMMYFUNCTION("""COMPUTED_VALUE""")," ")</f>
        <v> </v>
      </c>
      <c r="K1471" s="3" t="str">
        <f>IFERROR(__xludf.DUMMYFUNCTION("""COMPUTED_VALUE"""),"Y")</f>
        <v>Y</v>
      </c>
      <c r="L1471" s="3" t="str">
        <f>IFERROR(__xludf.DUMMYFUNCTION("""COMPUTED_VALUE""")," ")</f>
        <v> </v>
      </c>
      <c r="M1471" s="3"/>
      <c r="N1471" s="5" t="str">
        <f>IFERROR(__xludf.DUMMYFUNCTION("""COMPUTED_VALUE""")," ")</f>
        <v> </v>
      </c>
      <c r="O1471" s="5"/>
    </row>
    <row r="1472">
      <c r="A1472" s="2" t="str">
        <f>IFERROR(__xludf.DUMMYFUNCTION("""COMPUTED_VALUE"""),"2590")</f>
        <v>2590</v>
      </c>
      <c r="B1472" s="2" t="str">
        <f>IFERROR(__xludf.DUMMYFUNCTION("""COMPUTED_VALUE"""),"RIDGWAY             R-2")</f>
        <v>RIDGWAY             R-2</v>
      </c>
      <c r="C1472" s="2" t="str">
        <f>IFERROR(__xludf.DUMMYFUNCTION("""COMPUTED_VALUE"""),"07344")</f>
        <v>07344</v>
      </c>
      <c r="D1472" s="2" t="str">
        <f>IFERROR(__xludf.DUMMYFUNCTION("""COMPUTED_VALUE"""),"RIDGWAY MIDDLE SCHOOL")</f>
        <v>RIDGWAY MIDDLE SCHOOL</v>
      </c>
      <c r="E1472" s="3"/>
      <c r="F1472" s="3" t="str">
        <f>IFERROR(__xludf.DUMMYFUNCTION("""COMPUTED_VALUE"""),"Y")</f>
        <v>Y</v>
      </c>
      <c r="G1472" s="3"/>
      <c r="H1472" s="3"/>
      <c r="I1472" s="3" t="str">
        <f>IFERROR(__xludf.DUMMYFUNCTION("""COMPUTED_VALUE""")," ")</f>
        <v> </v>
      </c>
      <c r="J1472" s="3" t="str">
        <f>IFERROR(__xludf.DUMMYFUNCTION("""COMPUTED_VALUE""")," ")</f>
        <v> </v>
      </c>
      <c r="K1472" s="3" t="str">
        <f>IFERROR(__xludf.DUMMYFUNCTION("""COMPUTED_VALUE"""),"Y")</f>
        <v>Y</v>
      </c>
      <c r="L1472" s="3" t="str">
        <f>IFERROR(__xludf.DUMMYFUNCTION("""COMPUTED_VALUE""")," ")</f>
        <v> </v>
      </c>
      <c r="M1472" s="3"/>
      <c r="N1472" s="5" t="str">
        <f>IFERROR(__xludf.DUMMYFUNCTION("""COMPUTED_VALUE""")," ")</f>
        <v> </v>
      </c>
      <c r="O1472" s="5"/>
    </row>
    <row r="1473">
      <c r="A1473" s="2" t="str">
        <f>IFERROR(__xludf.DUMMYFUNCTION("""COMPUTED_VALUE"""),"2590")</f>
        <v>2590</v>
      </c>
      <c r="B1473" s="2" t="str">
        <f>IFERROR(__xludf.DUMMYFUNCTION("""COMPUTED_VALUE"""),"RIDGWAY             R-2")</f>
        <v>RIDGWAY             R-2</v>
      </c>
      <c r="C1473" s="2" t="str">
        <f>IFERROR(__xludf.DUMMYFUNCTION("""COMPUTED_VALUE"""),"07346")</f>
        <v>07346</v>
      </c>
      <c r="D1473" s="2" t="str">
        <f>IFERROR(__xludf.DUMMYFUNCTION("""COMPUTED_VALUE"""),"RIDGWAY HIGH SCHOOL")</f>
        <v>RIDGWAY HIGH SCHOOL</v>
      </c>
      <c r="E1473" s="3"/>
      <c r="F1473" s="3" t="str">
        <f>IFERROR(__xludf.DUMMYFUNCTION("""COMPUTED_VALUE"""),"Y")</f>
        <v>Y</v>
      </c>
      <c r="G1473" s="3"/>
      <c r="H1473" s="3"/>
      <c r="I1473" s="3" t="str">
        <f>IFERROR(__xludf.DUMMYFUNCTION("""COMPUTED_VALUE""")," ")</f>
        <v> </v>
      </c>
      <c r="J1473" s="3" t="str">
        <f>IFERROR(__xludf.DUMMYFUNCTION("""COMPUTED_VALUE""")," ")</f>
        <v> </v>
      </c>
      <c r="K1473" s="3" t="str">
        <f>IFERROR(__xludf.DUMMYFUNCTION("""COMPUTED_VALUE"""),"Y")</f>
        <v>Y</v>
      </c>
      <c r="L1473" s="3" t="str">
        <f>IFERROR(__xludf.DUMMYFUNCTION("""COMPUTED_VALUE""")," ")</f>
        <v> </v>
      </c>
      <c r="M1473" s="3"/>
      <c r="N1473" s="5" t="str">
        <f>IFERROR(__xludf.DUMMYFUNCTION("""COMPUTED_VALUE""")," ")</f>
        <v> </v>
      </c>
      <c r="O1473" s="5"/>
    </row>
    <row r="1474">
      <c r="A1474" s="2" t="str">
        <f>IFERROR(__xludf.DUMMYFUNCTION("""COMPUTED_VALUE"""),"2600")</f>
        <v>2600</v>
      </c>
      <c r="B1474" s="2" t="str">
        <f>IFERROR(__xludf.DUMMYFUNCTION("""COMPUTED_VALUE"""),"PLATTE CANYON       1")</f>
        <v>PLATTE CANYON       1</v>
      </c>
      <c r="C1474" s="2" t="str">
        <f>IFERROR(__xludf.DUMMYFUNCTION("""COMPUTED_VALUE"""),"07042")</f>
        <v>07042</v>
      </c>
      <c r="D1474" s="2" t="str">
        <f>IFERROR(__xludf.DUMMYFUNCTION("""COMPUTED_VALUE"""),"DEER CREEK ELEMENTARY SCHOOL")</f>
        <v>DEER CREEK ELEMENTARY SCHOOL</v>
      </c>
      <c r="E1474" s="3" t="str">
        <f>IFERROR(__xludf.DUMMYFUNCTION("""COMPUTED_VALUE"""),"Y")</f>
        <v>Y</v>
      </c>
      <c r="F1474" s="3" t="str">
        <f>IFERROR(__xludf.DUMMYFUNCTION("""COMPUTED_VALUE"""),"Y")</f>
        <v>Y</v>
      </c>
      <c r="G1474" s="3"/>
      <c r="H1474" s="3"/>
      <c r="I1474" s="3" t="str">
        <f>IFERROR(__xludf.DUMMYFUNCTION("""COMPUTED_VALUE""")," ")</f>
        <v> </v>
      </c>
      <c r="J1474" s="3" t="str">
        <f>IFERROR(__xludf.DUMMYFUNCTION("""COMPUTED_VALUE""")," ")</f>
        <v> </v>
      </c>
      <c r="K1474" s="3" t="str">
        <f>IFERROR(__xludf.DUMMYFUNCTION("""COMPUTED_VALUE"""),"Y")</f>
        <v>Y</v>
      </c>
      <c r="L1474" s="3" t="str">
        <f>IFERROR(__xludf.DUMMYFUNCTION("""COMPUTED_VALUE"""),"Group 1")</f>
        <v>Group 1</v>
      </c>
      <c r="M1474" s="3"/>
      <c r="N1474" s="5" t="str">
        <f>IFERROR(__xludf.DUMMYFUNCTION("""COMPUTED_VALUE""")," ")</f>
        <v> </v>
      </c>
      <c r="O1474" s="5"/>
    </row>
    <row r="1475">
      <c r="A1475" s="2" t="str">
        <f>IFERROR(__xludf.DUMMYFUNCTION("""COMPUTED_VALUE"""),"2600")</f>
        <v>2600</v>
      </c>
      <c r="B1475" s="2" t="str">
        <f>IFERROR(__xludf.DUMMYFUNCTION("""COMPUTED_VALUE"""),"PLATTE CANYON       1")</f>
        <v>PLATTE CANYON       1</v>
      </c>
      <c r="C1475" s="2" t="str">
        <f>IFERROR(__xludf.DUMMYFUNCTION("""COMPUTED_VALUE"""),"07046")</f>
        <v>07046</v>
      </c>
      <c r="D1475" s="2" t="str">
        <f>IFERROR(__xludf.DUMMYFUNCTION("""COMPUTED_VALUE"""),"PLATTE CANYON HIGH SCHOOL")</f>
        <v>PLATTE CANYON HIGH SCHOOL</v>
      </c>
      <c r="E1475" s="3" t="str">
        <f>IFERROR(__xludf.DUMMYFUNCTION("""COMPUTED_VALUE"""),"Y")</f>
        <v>Y</v>
      </c>
      <c r="F1475" s="3" t="str">
        <f>IFERROR(__xludf.DUMMYFUNCTION("""COMPUTED_VALUE"""),"Y")</f>
        <v>Y</v>
      </c>
      <c r="G1475" s="3"/>
      <c r="H1475" s="3"/>
      <c r="I1475" s="3" t="str">
        <f>IFERROR(__xludf.DUMMYFUNCTION("""COMPUTED_VALUE""")," ")</f>
        <v> </v>
      </c>
      <c r="J1475" s="3" t="str">
        <f>IFERROR(__xludf.DUMMYFUNCTION("""COMPUTED_VALUE""")," ")</f>
        <v> </v>
      </c>
      <c r="K1475" s="3" t="str">
        <f>IFERROR(__xludf.DUMMYFUNCTION("""COMPUTED_VALUE"""),"Y")</f>
        <v>Y</v>
      </c>
      <c r="L1475" s="3" t="str">
        <f>IFERROR(__xludf.DUMMYFUNCTION("""COMPUTED_VALUE""")," ")</f>
        <v> </v>
      </c>
      <c r="M1475" s="3"/>
      <c r="N1475" s="5" t="str">
        <f>IFERROR(__xludf.DUMMYFUNCTION("""COMPUTED_VALUE""")," ")</f>
        <v> </v>
      </c>
      <c r="O1475" s="5"/>
    </row>
    <row r="1476">
      <c r="A1476" s="2" t="str">
        <f>IFERROR(__xludf.DUMMYFUNCTION("""COMPUTED_VALUE"""),"2600")</f>
        <v>2600</v>
      </c>
      <c r="B1476" s="2" t="str">
        <f>IFERROR(__xludf.DUMMYFUNCTION("""COMPUTED_VALUE"""),"PLATTE CANYON       1")</f>
        <v>PLATTE CANYON       1</v>
      </c>
      <c r="C1476" s="2" t="str">
        <f>IFERROR(__xludf.DUMMYFUNCTION("""COMPUTED_VALUE"""),"07048")</f>
        <v>07048</v>
      </c>
      <c r="D1476" s="2" t="str">
        <f>IFERROR(__xludf.DUMMYFUNCTION("""COMPUTED_VALUE"""),"FITZSIMMONS MIDDLE SCHOOL")</f>
        <v>FITZSIMMONS MIDDLE SCHOOL</v>
      </c>
      <c r="E1476" s="3" t="str">
        <f>IFERROR(__xludf.DUMMYFUNCTION("""COMPUTED_VALUE"""),"Y")</f>
        <v>Y</v>
      </c>
      <c r="F1476" s="3" t="str">
        <f>IFERROR(__xludf.DUMMYFUNCTION("""COMPUTED_VALUE"""),"Y")</f>
        <v>Y</v>
      </c>
      <c r="G1476" s="3"/>
      <c r="H1476" s="3"/>
      <c r="I1476" s="3" t="str">
        <f>IFERROR(__xludf.DUMMYFUNCTION("""COMPUTED_VALUE""")," ")</f>
        <v> </v>
      </c>
      <c r="J1476" s="3" t="str">
        <f>IFERROR(__xludf.DUMMYFUNCTION("""COMPUTED_VALUE""")," ")</f>
        <v> </v>
      </c>
      <c r="K1476" s="3" t="str">
        <f>IFERROR(__xludf.DUMMYFUNCTION("""COMPUTED_VALUE"""),"Y")</f>
        <v>Y</v>
      </c>
      <c r="L1476" s="3" t="str">
        <f>IFERROR(__xludf.DUMMYFUNCTION("""COMPUTED_VALUE"""),"Group 1")</f>
        <v>Group 1</v>
      </c>
      <c r="M1476" s="3"/>
      <c r="N1476" s="5" t="str">
        <f>IFERROR(__xludf.DUMMYFUNCTION("""COMPUTED_VALUE""")," ")</f>
        <v> </v>
      </c>
      <c r="O1476" s="5"/>
    </row>
    <row r="1477">
      <c r="A1477" s="2" t="str">
        <f>IFERROR(__xludf.DUMMYFUNCTION("""COMPUTED_VALUE"""),"2610")</f>
        <v>2610</v>
      </c>
      <c r="B1477" s="2" t="str">
        <f>IFERROR(__xludf.DUMMYFUNCTION("""COMPUTED_VALUE"""),"PARK COUNTY         RE-2")</f>
        <v>PARK COUNTY         RE-2</v>
      </c>
      <c r="C1477" s="2" t="str">
        <f>IFERROR(__xludf.DUMMYFUNCTION("""COMPUTED_VALUE"""),"04908")</f>
        <v>04908</v>
      </c>
      <c r="D1477" s="2" t="str">
        <f>IFERROR(__xludf.DUMMYFUNCTION("""COMPUTED_VALUE"""),"LAKE GEORGE CHARTER SCHOOL")</f>
        <v>LAKE GEORGE CHARTER SCHOOL</v>
      </c>
      <c r="E1477" s="3" t="str">
        <f>IFERROR(__xludf.DUMMYFUNCTION("""COMPUTED_VALUE"""),"Y")</f>
        <v>Y</v>
      </c>
      <c r="F1477" s="3" t="str">
        <f>IFERROR(__xludf.DUMMYFUNCTION("""COMPUTED_VALUE"""),"Y")</f>
        <v>Y</v>
      </c>
      <c r="G1477" s="3"/>
      <c r="H1477" s="3"/>
      <c r="I1477" s="3" t="str">
        <f>IFERROR(__xludf.DUMMYFUNCTION("""COMPUTED_VALUE""")," ")</f>
        <v> </v>
      </c>
      <c r="J1477" s="3" t="str">
        <f>IFERROR(__xludf.DUMMYFUNCTION("""COMPUTED_VALUE""")," ")</f>
        <v> </v>
      </c>
      <c r="K1477" s="3" t="str">
        <f>IFERROR(__xludf.DUMMYFUNCTION("""COMPUTED_VALUE"""),"Y")</f>
        <v>Y</v>
      </c>
      <c r="L1477" s="3" t="str">
        <f>IFERROR(__xludf.DUMMYFUNCTION("""COMPUTED_VALUE""")," ")</f>
        <v> </v>
      </c>
      <c r="M1477" s="3"/>
      <c r="N1477" s="5" t="str">
        <f>IFERROR(__xludf.DUMMYFUNCTION("""COMPUTED_VALUE""")," ")</f>
        <v> </v>
      </c>
      <c r="O1477" s="5"/>
    </row>
    <row r="1478">
      <c r="A1478" s="2" t="str">
        <f>IFERROR(__xludf.DUMMYFUNCTION("""COMPUTED_VALUE"""),"2610")</f>
        <v>2610</v>
      </c>
      <c r="B1478" s="2" t="str">
        <f>IFERROR(__xludf.DUMMYFUNCTION("""COMPUTED_VALUE"""),"PARK COUNTY         RE-2")</f>
        <v>PARK COUNTY         RE-2</v>
      </c>
      <c r="C1478" s="2" t="str">
        <f>IFERROR(__xludf.DUMMYFUNCTION("""COMPUTED_VALUE"""),"07891")</f>
        <v>07891</v>
      </c>
      <c r="D1478" s="2" t="str">
        <f>IFERROR(__xludf.DUMMYFUNCTION("""COMPUTED_VALUE"""),"SOUTH PARK MIDDLE SCHOOL")</f>
        <v>SOUTH PARK MIDDLE SCHOOL</v>
      </c>
      <c r="E1478" s="3" t="str">
        <f>IFERROR(__xludf.DUMMYFUNCTION("""COMPUTED_VALUE"""),"Y")</f>
        <v>Y</v>
      </c>
      <c r="F1478" s="3" t="str">
        <f>IFERROR(__xludf.DUMMYFUNCTION("""COMPUTED_VALUE"""),"Y")</f>
        <v>Y</v>
      </c>
      <c r="G1478" s="3"/>
      <c r="H1478" s="3"/>
      <c r="I1478" s="3" t="str">
        <f>IFERROR(__xludf.DUMMYFUNCTION("""COMPUTED_VALUE""")," ")</f>
        <v> </v>
      </c>
      <c r="J1478" s="3" t="str">
        <f>IFERROR(__xludf.DUMMYFUNCTION("""COMPUTED_VALUE""")," ")</f>
        <v> </v>
      </c>
      <c r="K1478" s="3" t="str">
        <f>IFERROR(__xludf.DUMMYFUNCTION("""COMPUTED_VALUE"""),"Y")</f>
        <v>Y</v>
      </c>
      <c r="L1478" s="3" t="str">
        <f>IFERROR(__xludf.DUMMYFUNCTION("""COMPUTED_VALUE""")," ")</f>
        <v> </v>
      </c>
      <c r="M1478" s="3"/>
      <c r="N1478" s="5" t="str">
        <f>IFERROR(__xludf.DUMMYFUNCTION("""COMPUTED_VALUE""")," ")</f>
        <v> </v>
      </c>
      <c r="O1478" s="5"/>
    </row>
    <row r="1479">
      <c r="A1479" s="2" t="str">
        <f>IFERROR(__xludf.DUMMYFUNCTION("""COMPUTED_VALUE"""),"2610")</f>
        <v>2610</v>
      </c>
      <c r="B1479" s="2" t="str">
        <f>IFERROR(__xludf.DUMMYFUNCTION("""COMPUTED_VALUE"""),"PARK COUNTY         RE-2")</f>
        <v>PARK COUNTY         RE-2</v>
      </c>
      <c r="C1479" s="2" t="str">
        <f>IFERROR(__xludf.DUMMYFUNCTION("""COMPUTED_VALUE"""),"08114")</f>
        <v>08114</v>
      </c>
      <c r="D1479" s="2" t="str">
        <f>IFERROR(__xludf.DUMMYFUNCTION("""COMPUTED_VALUE"""),"EDITH TETER ELEMENTARY SCHOOL")</f>
        <v>EDITH TETER ELEMENTARY SCHOOL</v>
      </c>
      <c r="E1479" s="3" t="str">
        <f>IFERROR(__xludf.DUMMYFUNCTION("""COMPUTED_VALUE"""),"Y")</f>
        <v>Y</v>
      </c>
      <c r="F1479" s="3" t="str">
        <f>IFERROR(__xludf.DUMMYFUNCTION("""COMPUTED_VALUE"""),"Y")</f>
        <v>Y</v>
      </c>
      <c r="G1479" s="3"/>
      <c r="H1479" s="3"/>
      <c r="I1479" s="3" t="str">
        <f>IFERROR(__xludf.DUMMYFUNCTION("""COMPUTED_VALUE""")," ")</f>
        <v> </v>
      </c>
      <c r="J1479" s="3" t="str">
        <f>IFERROR(__xludf.DUMMYFUNCTION("""COMPUTED_VALUE""")," ")</f>
        <v> </v>
      </c>
      <c r="K1479" s="3" t="str">
        <f>IFERROR(__xludf.DUMMYFUNCTION("""COMPUTED_VALUE"""),"Y")</f>
        <v>Y</v>
      </c>
      <c r="L1479" s="3" t="str">
        <f>IFERROR(__xludf.DUMMYFUNCTION("""COMPUTED_VALUE""")," ")</f>
        <v> </v>
      </c>
      <c r="M1479" s="3"/>
      <c r="N1479" s="5" t="str">
        <f>IFERROR(__xludf.DUMMYFUNCTION("""COMPUTED_VALUE""")," ")</f>
        <v> </v>
      </c>
      <c r="O1479" s="5"/>
    </row>
    <row r="1480">
      <c r="A1480" s="2" t="str">
        <f>IFERROR(__xludf.DUMMYFUNCTION("""COMPUTED_VALUE"""),"2610")</f>
        <v>2610</v>
      </c>
      <c r="B1480" s="2" t="str">
        <f>IFERROR(__xludf.DUMMYFUNCTION("""COMPUTED_VALUE"""),"PARK COUNTY         RE-2")</f>
        <v>PARK COUNTY         RE-2</v>
      </c>
      <c r="C1480" s="2" t="str">
        <f>IFERROR(__xludf.DUMMYFUNCTION("""COMPUTED_VALUE"""),"08118")</f>
        <v>08118</v>
      </c>
      <c r="D1480" s="2" t="str">
        <f>IFERROR(__xludf.DUMMYFUNCTION("""COMPUTED_VALUE"""),"SOUTH PARK HIGH SCHOOL")</f>
        <v>SOUTH PARK HIGH SCHOOL</v>
      </c>
      <c r="E1480" s="3" t="str">
        <f>IFERROR(__xludf.DUMMYFUNCTION("""COMPUTED_VALUE"""),"Y")</f>
        <v>Y</v>
      </c>
      <c r="F1480" s="3" t="str">
        <f>IFERROR(__xludf.DUMMYFUNCTION("""COMPUTED_VALUE"""),"Y")</f>
        <v>Y</v>
      </c>
      <c r="G1480" s="3"/>
      <c r="H1480" s="3"/>
      <c r="I1480" s="3" t="str">
        <f>IFERROR(__xludf.DUMMYFUNCTION("""COMPUTED_VALUE""")," ")</f>
        <v> </v>
      </c>
      <c r="J1480" s="3" t="str">
        <f>IFERROR(__xludf.DUMMYFUNCTION("""COMPUTED_VALUE""")," ")</f>
        <v> </v>
      </c>
      <c r="K1480" s="3" t="str">
        <f>IFERROR(__xludf.DUMMYFUNCTION("""COMPUTED_VALUE"""),"Y")</f>
        <v>Y</v>
      </c>
      <c r="L1480" s="3" t="str">
        <f>IFERROR(__xludf.DUMMYFUNCTION("""COMPUTED_VALUE""")," ")</f>
        <v> </v>
      </c>
      <c r="M1480" s="3"/>
      <c r="N1480" s="5" t="str">
        <f>IFERROR(__xludf.DUMMYFUNCTION("""COMPUTED_VALUE""")," ")</f>
        <v> </v>
      </c>
      <c r="O1480" s="5"/>
    </row>
    <row r="1481">
      <c r="A1481" s="2" t="str">
        <f>IFERROR(__xludf.DUMMYFUNCTION("""COMPUTED_VALUE"""),"2620")</f>
        <v>2620</v>
      </c>
      <c r="B1481" s="2" t="str">
        <f>IFERROR(__xludf.DUMMYFUNCTION("""COMPUTED_VALUE"""),"HOLYOKE             RE-1J")</f>
        <v>HOLYOKE             RE-1J</v>
      </c>
      <c r="C1481" s="2" t="str">
        <f>IFERROR(__xludf.DUMMYFUNCTION("""COMPUTED_VALUE"""),"04076")</f>
        <v>04076</v>
      </c>
      <c r="D1481" s="2" t="str">
        <f>IFERROR(__xludf.DUMMYFUNCTION("""COMPUTED_VALUE"""),"HOLYOKE ELEMENTARY SCHOOL")</f>
        <v>HOLYOKE ELEMENTARY SCHOOL</v>
      </c>
      <c r="E1481" s="3" t="str">
        <f>IFERROR(__xludf.DUMMYFUNCTION("""COMPUTED_VALUE"""),"Y")</f>
        <v>Y</v>
      </c>
      <c r="F1481" s="3" t="str">
        <f>IFERROR(__xludf.DUMMYFUNCTION("""COMPUTED_VALUE"""),"Y")</f>
        <v>Y</v>
      </c>
      <c r="G1481" s="3"/>
      <c r="H1481" s="3"/>
      <c r="I1481" s="3" t="str">
        <f>IFERROR(__xludf.DUMMYFUNCTION("""COMPUTED_VALUE"""),"Y")</f>
        <v>Y</v>
      </c>
      <c r="J1481" s="3" t="str">
        <f>IFERROR(__xludf.DUMMYFUNCTION("""COMPUTED_VALUE""")," ")</f>
        <v> </v>
      </c>
      <c r="K1481" s="3" t="str">
        <f>IFERROR(__xludf.DUMMYFUNCTION("""COMPUTED_VALUE"""),"Y")</f>
        <v>Y</v>
      </c>
      <c r="L1481" s="3" t="str">
        <f>IFERROR(__xludf.DUMMYFUNCTION("""COMPUTED_VALUE"""),"Group 2")</f>
        <v>Group 2</v>
      </c>
      <c r="M1481" s="3"/>
      <c r="N1481" s="5" t="str">
        <f>IFERROR(__xludf.DUMMYFUNCTION("""COMPUTED_VALUE"""),"Y")</f>
        <v>Y</v>
      </c>
      <c r="O1481" s="5"/>
    </row>
    <row r="1482">
      <c r="A1482" s="2" t="str">
        <f>IFERROR(__xludf.DUMMYFUNCTION("""COMPUTED_VALUE"""),"2620")</f>
        <v>2620</v>
      </c>
      <c r="B1482" s="2" t="str">
        <f>IFERROR(__xludf.DUMMYFUNCTION("""COMPUTED_VALUE"""),"HOLYOKE             RE-1J")</f>
        <v>HOLYOKE             RE-1J</v>
      </c>
      <c r="C1482" s="2" t="str">
        <f>IFERROR(__xludf.DUMMYFUNCTION("""COMPUTED_VALUE"""),"04080")</f>
        <v>04080</v>
      </c>
      <c r="D1482" s="2" t="str">
        <f>IFERROR(__xludf.DUMMYFUNCTION("""COMPUTED_VALUE"""),"HOLYOKE JUNIOR-SENIOR HIGH SCHOOL")</f>
        <v>HOLYOKE JUNIOR-SENIOR HIGH SCHOOL</v>
      </c>
      <c r="E1482" s="3" t="str">
        <f>IFERROR(__xludf.DUMMYFUNCTION("""COMPUTED_VALUE"""),"Y")</f>
        <v>Y</v>
      </c>
      <c r="F1482" s="3" t="str">
        <f>IFERROR(__xludf.DUMMYFUNCTION("""COMPUTED_VALUE"""),"Y")</f>
        <v>Y</v>
      </c>
      <c r="G1482" s="3"/>
      <c r="H1482" s="3"/>
      <c r="I1482" s="3" t="str">
        <f>IFERROR(__xludf.DUMMYFUNCTION("""COMPUTED_VALUE""")," ")</f>
        <v> </v>
      </c>
      <c r="J1482" s="3" t="str">
        <f>IFERROR(__xludf.DUMMYFUNCTION("""COMPUTED_VALUE""")," ")</f>
        <v> </v>
      </c>
      <c r="K1482" s="3" t="str">
        <f>IFERROR(__xludf.DUMMYFUNCTION("""COMPUTED_VALUE"""),"Y")</f>
        <v>Y</v>
      </c>
      <c r="L1482" s="3" t="str">
        <f>IFERROR(__xludf.DUMMYFUNCTION("""COMPUTED_VALUE"""),"Group 1")</f>
        <v>Group 1</v>
      </c>
      <c r="M1482" s="3"/>
      <c r="N1482" s="5" t="str">
        <f>IFERROR(__xludf.DUMMYFUNCTION("""COMPUTED_VALUE""")," ")</f>
        <v> </v>
      </c>
      <c r="O1482" s="5"/>
    </row>
    <row r="1483">
      <c r="A1483" s="2" t="str">
        <f>IFERROR(__xludf.DUMMYFUNCTION("""COMPUTED_VALUE"""),"2630")</f>
        <v>2630</v>
      </c>
      <c r="B1483" s="2" t="str">
        <f>IFERROR(__xludf.DUMMYFUNCTION("""COMPUTED_VALUE"""),"HAXTUN              RE-2J")</f>
        <v>HAXTUN              RE-2J</v>
      </c>
      <c r="C1483" s="2" t="str">
        <f>IFERROR(__xludf.DUMMYFUNCTION("""COMPUTED_VALUE"""),"03846")</f>
        <v>03846</v>
      </c>
      <c r="D1483" s="2" t="str">
        <f>IFERROR(__xludf.DUMMYFUNCTION("""COMPUTED_VALUE"""),"HAXTUN ELEMENTARY SCHOOL")</f>
        <v>HAXTUN ELEMENTARY SCHOOL</v>
      </c>
      <c r="E1483" s="3" t="str">
        <f>IFERROR(__xludf.DUMMYFUNCTION("""COMPUTED_VALUE"""),"Y")</f>
        <v>Y</v>
      </c>
      <c r="F1483" s="3" t="str">
        <f>IFERROR(__xludf.DUMMYFUNCTION("""COMPUTED_VALUE"""),"Y")</f>
        <v>Y</v>
      </c>
      <c r="G1483" s="3"/>
      <c r="H1483" s="3"/>
      <c r="I1483" s="3" t="str">
        <f>IFERROR(__xludf.DUMMYFUNCTION("""COMPUTED_VALUE""")," ")</f>
        <v> </v>
      </c>
      <c r="J1483" s="3" t="str">
        <f>IFERROR(__xludf.DUMMYFUNCTION("""COMPUTED_VALUE""")," ")</f>
        <v> </v>
      </c>
      <c r="K1483" s="3" t="str">
        <f>IFERROR(__xludf.DUMMYFUNCTION("""COMPUTED_VALUE"""),"Y")</f>
        <v>Y</v>
      </c>
      <c r="L1483" s="3" t="str">
        <f>IFERROR(__xludf.DUMMYFUNCTION("""COMPUTED_VALUE""")," ")</f>
        <v> </v>
      </c>
      <c r="M1483" s="3"/>
      <c r="N1483" s="5" t="str">
        <f>IFERROR(__xludf.DUMMYFUNCTION("""COMPUTED_VALUE""")," ")</f>
        <v> </v>
      </c>
      <c r="O1483" s="5"/>
    </row>
    <row r="1484">
      <c r="A1484" s="2" t="str">
        <f>IFERROR(__xludf.DUMMYFUNCTION("""COMPUTED_VALUE"""),"2630")</f>
        <v>2630</v>
      </c>
      <c r="B1484" s="2" t="str">
        <f>IFERROR(__xludf.DUMMYFUNCTION("""COMPUTED_VALUE"""),"HAXTUN              RE-2J")</f>
        <v>HAXTUN              RE-2J</v>
      </c>
      <c r="C1484" s="2" t="str">
        <f>IFERROR(__xludf.DUMMYFUNCTION("""COMPUTED_VALUE"""),"03850")</f>
        <v>03850</v>
      </c>
      <c r="D1484" s="2" t="str">
        <f>IFERROR(__xludf.DUMMYFUNCTION("""COMPUTED_VALUE"""),"HAXTUN JR/SR HIGH SCHOOL")</f>
        <v>HAXTUN JR/SR HIGH SCHOOL</v>
      </c>
      <c r="E1484" s="3" t="str">
        <f>IFERROR(__xludf.DUMMYFUNCTION("""COMPUTED_VALUE"""),"Y")</f>
        <v>Y</v>
      </c>
      <c r="F1484" s="3" t="str">
        <f>IFERROR(__xludf.DUMMYFUNCTION("""COMPUTED_VALUE"""),"Y")</f>
        <v>Y</v>
      </c>
      <c r="G1484" s="3"/>
      <c r="H1484" s="3"/>
      <c r="I1484" s="3" t="str">
        <f>IFERROR(__xludf.DUMMYFUNCTION("""COMPUTED_VALUE""")," ")</f>
        <v> </v>
      </c>
      <c r="J1484" s="3" t="str">
        <f>IFERROR(__xludf.DUMMYFUNCTION("""COMPUTED_VALUE""")," ")</f>
        <v> </v>
      </c>
      <c r="K1484" s="3" t="str">
        <f>IFERROR(__xludf.DUMMYFUNCTION("""COMPUTED_VALUE"""),"Y")</f>
        <v>Y</v>
      </c>
      <c r="L1484" s="3" t="str">
        <f>IFERROR(__xludf.DUMMYFUNCTION("""COMPUTED_VALUE""")," ")</f>
        <v> </v>
      </c>
      <c r="M1484" s="3"/>
      <c r="N1484" s="5" t="str">
        <f>IFERROR(__xludf.DUMMYFUNCTION("""COMPUTED_VALUE""")," ")</f>
        <v> </v>
      </c>
      <c r="O1484" s="5"/>
    </row>
    <row r="1485">
      <c r="A1485" s="2" t="str">
        <f>IFERROR(__xludf.DUMMYFUNCTION("""COMPUTED_VALUE"""),"2650")</f>
        <v>2650</v>
      </c>
      <c r="B1485" s="2" t="str">
        <f>IFERROR(__xludf.DUMMYFUNCTION("""COMPUTED_VALUE"""),"GRANADA             RE-1")</f>
        <v>GRANADA             RE-1</v>
      </c>
      <c r="C1485" s="2" t="str">
        <f>IFERROR(__xludf.DUMMYFUNCTION("""COMPUTED_VALUE"""),"03542")</f>
        <v>03542</v>
      </c>
      <c r="D1485" s="2" t="str">
        <f>IFERROR(__xludf.DUMMYFUNCTION("""COMPUTED_VALUE"""),"GRANADA ELEMENTARY SCHOOL")</f>
        <v>GRANADA ELEMENTARY SCHOOL</v>
      </c>
      <c r="E1485" s="3" t="str">
        <f>IFERROR(__xludf.DUMMYFUNCTION("""COMPUTED_VALUE"""),"Y")</f>
        <v>Y</v>
      </c>
      <c r="F1485" s="3" t="str">
        <f>IFERROR(__xludf.DUMMYFUNCTION("""COMPUTED_VALUE"""),"Y")</f>
        <v>Y</v>
      </c>
      <c r="G1485" s="3"/>
      <c r="H1485" s="3"/>
      <c r="I1485" s="3" t="str">
        <f>IFERROR(__xludf.DUMMYFUNCTION("""COMPUTED_VALUE""")," ")</f>
        <v> </v>
      </c>
      <c r="J1485" s="3" t="str">
        <f>IFERROR(__xludf.DUMMYFUNCTION("""COMPUTED_VALUE""")," ")</f>
        <v> </v>
      </c>
      <c r="K1485" s="3" t="str">
        <f>IFERROR(__xludf.DUMMYFUNCTION("""COMPUTED_VALUE"""),"Y")</f>
        <v>Y</v>
      </c>
      <c r="L1485" s="3" t="str">
        <f>IFERROR(__xludf.DUMMYFUNCTION("""COMPUTED_VALUE"""),"Group 1")</f>
        <v>Group 1</v>
      </c>
      <c r="M1485" s="3"/>
      <c r="N1485" s="5" t="str">
        <f>IFERROR(__xludf.DUMMYFUNCTION("""COMPUTED_VALUE""")," ")</f>
        <v> </v>
      </c>
      <c r="O1485" s="5"/>
    </row>
    <row r="1486">
      <c r="A1486" s="2" t="str">
        <f>IFERROR(__xludf.DUMMYFUNCTION("""COMPUTED_VALUE"""),"2650")</f>
        <v>2650</v>
      </c>
      <c r="B1486" s="2" t="str">
        <f>IFERROR(__xludf.DUMMYFUNCTION("""COMPUTED_VALUE"""),"GRANADA             RE-1")</f>
        <v>GRANADA             RE-1</v>
      </c>
      <c r="C1486" s="2" t="str">
        <f>IFERROR(__xludf.DUMMYFUNCTION("""COMPUTED_VALUE"""),"03546")</f>
        <v>03546</v>
      </c>
      <c r="D1486" s="2" t="str">
        <f>IFERROR(__xludf.DUMMYFUNCTION("""COMPUTED_VALUE"""),"GRANADA UNDIVIDED HIGH SCHOOL")</f>
        <v>GRANADA UNDIVIDED HIGH SCHOOL</v>
      </c>
      <c r="E1486" s="3" t="str">
        <f>IFERROR(__xludf.DUMMYFUNCTION("""COMPUTED_VALUE"""),"Y")</f>
        <v>Y</v>
      </c>
      <c r="F1486" s="3" t="str">
        <f>IFERROR(__xludf.DUMMYFUNCTION("""COMPUTED_VALUE"""),"Y")</f>
        <v>Y</v>
      </c>
      <c r="G1486" s="3"/>
      <c r="H1486" s="3"/>
      <c r="I1486" s="3" t="str">
        <f>IFERROR(__xludf.DUMMYFUNCTION("""COMPUTED_VALUE""")," ")</f>
        <v> </v>
      </c>
      <c r="J1486" s="3" t="str">
        <f>IFERROR(__xludf.DUMMYFUNCTION("""COMPUTED_VALUE""")," ")</f>
        <v> </v>
      </c>
      <c r="K1486" s="3" t="str">
        <f>IFERROR(__xludf.DUMMYFUNCTION("""COMPUTED_VALUE"""),"Y")</f>
        <v>Y</v>
      </c>
      <c r="L1486" s="3" t="str">
        <f>IFERROR(__xludf.DUMMYFUNCTION("""COMPUTED_VALUE"""),"Group 1")</f>
        <v>Group 1</v>
      </c>
      <c r="M1486" s="3"/>
      <c r="N1486" s="5" t="str">
        <f>IFERROR(__xludf.DUMMYFUNCTION("""COMPUTED_VALUE""")," ")</f>
        <v> </v>
      </c>
      <c r="O1486" s="5"/>
    </row>
    <row r="1487">
      <c r="A1487" s="2" t="str">
        <f>IFERROR(__xludf.DUMMYFUNCTION("""COMPUTED_VALUE"""),"2660")</f>
        <v>2660</v>
      </c>
      <c r="B1487" s="2" t="str">
        <f>IFERROR(__xludf.DUMMYFUNCTION("""COMPUTED_VALUE"""),"LAMAR RE-2")</f>
        <v>LAMAR RE-2</v>
      </c>
      <c r="C1487" s="2" t="str">
        <f>IFERROR(__xludf.DUMMYFUNCTION("""COMPUTED_VALUE"""),"00200")</f>
        <v>00200</v>
      </c>
      <c r="D1487" s="2" t="str">
        <f>IFERROR(__xludf.DUMMYFUNCTION("""COMPUTED_VALUE"""),"ALTA VISTA CHARTER SCHOOL")</f>
        <v>ALTA VISTA CHARTER SCHOOL</v>
      </c>
      <c r="E1487" s="3" t="str">
        <f>IFERROR(__xludf.DUMMYFUNCTION("""COMPUTED_VALUE"""),"Y")</f>
        <v>Y</v>
      </c>
      <c r="F1487" s="3" t="str">
        <f>IFERROR(__xludf.DUMMYFUNCTION("""COMPUTED_VALUE"""),"Y")</f>
        <v>Y</v>
      </c>
      <c r="G1487" s="3" t="str">
        <f>IFERROR(__xludf.DUMMYFUNCTION("""COMPUTED_VALUE"""),"Y")</f>
        <v>Y</v>
      </c>
      <c r="H1487" s="3"/>
      <c r="I1487" s="3" t="str">
        <f>IFERROR(__xludf.DUMMYFUNCTION("""COMPUTED_VALUE""")," ")</f>
        <v> </v>
      </c>
      <c r="J1487" s="3" t="str">
        <f>IFERROR(__xludf.DUMMYFUNCTION("""COMPUTED_VALUE""")," ")</f>
        <v> </v>
      </c>
      <c r="K1487" s="3" t="str">
        <f>IFERROR(__xludf.DUMMYFUNCTION("""COMPUTED_VALUE"""),"Y")</f>
        <v>Y</v>
      </c>
      <c r="L1487" s="3" t="str">
        <f>IFERROR(__xludf.DUMMYFUNCTION("""COMPUTED_VALUE"""),"Group 2")</f>
        <v>Group 2</v>
      </c>
      <c r="M1487" s="3"/>
      <c r="N1487" s="5" t="str">
        <f>IFERROR(__xludf.DUMMYFUNCTION("""COMPUTED_VALUE""")," ")</f>
        <v> </v>
      </c>
      <c r="O1487" s="5"/>
    </row>
    <row r="1488">
      <c r="A1488" s="2" t="str">
        <f>IFERROR(__xludf.DUMMYFUNCTION("""COMPUTED_VALUE"""),"2660")</f>
        <v>2660</v>
      </c>
      <c r="B1488" s="2" t="str">
        <f>IFERROR(__xludf.DUMMYFUNCTION("""COMPUTED_VALUE"""),"LAMAR RE-2")</f>
        <v>LAMAR RE-2</v>
      </c>
      <c r="C1488" s="2" t="str">
        <f>IFERROR(__xludf.DUMMYFUNCTION("""COMPUTED_VALUE"""),"04956")</f>
        <v>04956</v>
      </c>
      <c r="D1488" s="2" t="str">
        <f>IFERROR(__xludf.DUMMYFUNCTION("""COMPUTED_VALUE"""),"LAMAR MIDDLE SCHOOL")</f>
        <v>LAMAR MIDDLE SCHOOL</v>
      </c>
      <c r="E1488" s="3" t="str">
        <f>IFERROR(__xludf.DUMMYFUNCTION("""COMPUTED_VALUE"""),"Y")</f>
        <v>Y</v>
      </c>
      <c r="F1488" s="3" t="str">
        <f>IFERROR(__xludf.DUMMYFUNCTION("""COMPUTED_VALUE"""),"Y")</f>
        <v>Y</v>
      </c>
      <c r="G1488" s="3"/>
      <c r="H1488" s="3"/>
      <c r="I1488" s="3" t="str">
        <f>IFERROR(__xludf.DUMMYFUNCTION("""COMPUTED_VALUE""")," ")</f>
        <v> </v>
      </c>
      <c r="J1488" s="3" t="str">
        <f>IFERROR(__xludf.DUMMYFUNCTION("""COMPUTED_VALUE"""),"Y")</f>
        <v>Y</v>
      </c>
      <c r="K1488" s="3" t="str">
        <f>IFERROR(__xludf.DUMMYFUNCTION("""COMPUTED_VALUE"""),"Y")</f>
        <v>Y</v>
      </c>
      <c r="L1488" s="3" t="str">
        <f>IFERROR(__xludf.DUMMYFUNCTION("""COMPUTED_VALUE"""),"Group 2")</f>
        <v>Group 2</v>
      </c>
      <c r="M1488" s="3"/>
      <c r="N1488" s="5" t="str">
        <f>IFERROR(__xludf.DUMMYFUNCTION("""COMPUTED_VALUE""")," ")</f>
        <v> </v>
      </c>
      <c r="O1488" s="5"/>
    </row>
    <row r="1489">
      <c r="A1489" s="2" t="str">
        <f>IFERROR(__xludf.DUMMYFUNCTION("""COMPUTED_VALUE"""),"2660")</f>
        <v>2660</v>
      </c>
      <c r="B1489" s="2" t="str">
        <f>IFERROR(__xludf.DUMMYFUNCTION("""COMPUTED_VALUE"""),"LAMAR RE-2")</f>
        <v>LAMAR RE-2</v>
      </c>
      <c r="C1489" s="2" t="str">
        <f>IFERROR(__xludf.DUMMYFUNCTION("""COMPUTED_VALUE"""),"04960")</f>
        <v>04960</v>
      </c>
      <c r="D1489" s="2" t="str">
        <f>IFERROR(__xludf.DUMMYFUNCTION("""COMPUTED_VALUE"""),"LAMAR HIGH SCHOOL")</f>
        <v>LAMAR HIGH SCHOOL</v>
      </c>
      <c r="E1489" s="3" t="str">
        <f>IFERROR(__xludf.DUMMYFUNCTION("""COMPUTED_VALUE"""),"Y")</f>
        <v>Y</v>
      </c>
      <c r="F1489" s="3" t="str">
        <f>IFERROR(__xludf.DUMMYFUNCTION("""COMPUTED_VALUE"""),"Y")</f>
        <v>Y</v>
      </c>
      <c r="G1489" s="3"/>
      <c r="H1489" s="3"/>
      <c r="I1489" s="3" t="str">
        <f>IFERROR(__xludf.DUMMYFUNCTION("""COMPUTED_VALUE""")," ")</f>
        <v> </v>
      </c>
      <c r="J1489" s="3" t="str">
        <f>IFERROR(__xludf.DUMMYFUNCTION("""COMPUTED_VALUE"""),"Y")</f>
        <v>Y</v>
      </c>
      <c r="K1489" s="3" t="str">
        <f>IFERROR(__xludf.DUMMYFUNCTION("""COMPUTED_VALUE"""),"Y")</f>
        <v>Y</v>
      </c>
      <c r="L1489" s="3" t="str">
        <f>IFERROR(__xludf.DUMMYFUNCTION("""COMPUTED_VALUE"""),"Group 3")</f>
        <v>Group 3</v>
      </c>
      <c r="M1489" s="3"/>
      <c r="N1489" s="5" t="str">
        <f>IFERROR(__xludf.DUMMYFUNCTION("""COMPUTED_VALUE""")," ")</f>
        <v> </v>
      </c>
      <c r="O1489" s="5"/>
    </row>
    <row r="1490">
      <c r="A1490" s="2" t="str">
        <f>IFERROR(__xludf.DUMMYFUNCTION("""COMPUTED_VALUE"""),"2660")</f>
        <v>2660</v>
      </c>
      <c r="B1490" s="2" t="str">
        <f>IFERROR(__xludf.DUMMYFUNCTION("""COMPUTED_VALUE"""),"LAMAR RE-2")</f>
        <v>LAMAR RE-2</v>
      </c>
      <c r="C1490" s="2" t="str">
        <f>IFERROR(__xludf.DUMMYFUNCTION("""COMPUTED_VALUE"""),"05777")</f>
        <v>05777</v>
      </c>
      <c r="D1490" s="2" t="str">
        <f>IFERROR(__xludf.DUMMYFUNCTION("""COMPUTED_VALUE"""),"Melvin Hendrickson Development Center")</f>
        <v>Melvin Hendrickson Development Center</v>
      </c>
      <c r="E1490" s="3" t="str">
        <f>IFERROR(__xludf.DUMMYFUNCTION("""COMPUTED_VALUE"""),"Y")</f>
        <v>Y</v>
      </c>
      <c r="F1490" s="3" t="str">
        <f>IFERROR(__xludf.DUMMYFUNCTION("""COMPUTED_VALUE"""),"Y")</f>
        <v>Y</v>
      </c>
      <c r="G1490" s="3"/>
      <c r="H1490" s="3"/>
      <c r="I1490" s="3" t="str">
        <f>IFERROR(__xludf.DUMMYFUNCTION("""COMPUTED_VALUE"""),"Y")</f>
        <v>Y</v>
      </c>
      <c r="J1490" s="3" t="str">
        <f>IFERROR(__xludf.DUMMYFUNCTION("""COMPUTED_VALUE"""),"Y")</f>
        <v>Y</v>
      </c>
      <c r="K1490" s="3" t="str">
        <f>IFERROR(__xludf.DUMMYFUNCTION("""COMPUTED_VALUE"""),"Y")</f>
        <v>Y</v>
      </c>
      <c r="L1490" s="3" t="str">
        <f>IFERROR(__xludf.DUMMYFUNCTION("""COMPUTED_VALUE"""),"Group 3")</f>
        <v>Group 3</v>
      </c>
      <c r="M1490" s="3"/>
      <c r="N1490" s="5" t="str">
        <f>IFERROR(__xludf.DUMMYFUNCTION("""COMPUTED_VALUE""")," ")</f>
        <v> </v>
      </c>
      <c r="O1490" s="5"/>
    </row>
    <row r="1491">
      <c r="A1491" s="2" t="str">
        <f>IFERROR(__xludf.DUMMYFUNCTION("""COMPUTED_VALUE"""),"2660")</f>
        <v>2660</v>
      </c>
      <c r="B1491" s="2" t="str">
        <f>IFERROR(__xludf.DUMMYFUNCTION("""COMPUTED_VALUE"""),"LAMAR RE-2")</f>
        <v>LAMAR RE-2</v>
      </c>
      <c r="C1491" s="2" t="str">
        <f>IFERROR(__xludf.DUMMYFUNCTION("""COMPUTED_VALUE"""),"06794")</f>
        <v>06794</v>
      </c>
      <c r="D1491" s="2" t="str">
        <f>IFERROR(__xludf.DUMMYFUNCTION("""COMPUTED_VALUE"""),"PARKVIEW ELEMENTARY SCHOOL")</f>
        <v>PARKVIEW ELEMENTARY SCHOOL</v>
      </c>
      <c r="E1491" s="3" t="str">
        <f>IFERROR(__xludf.DUMMYFUNCTION("""COMPUTED_VALUE"""),"Y")</f>
        <v>Y</v>
      </c>
      <c r="F1491" s="3" t="str">
        <f>IFERROR(__xludf.DUMMYFUNCTION("""COMPUTED_VALUE"""),"Y")</f>
        <v>Y</v>
      </c>
      <c r="G1491" s="3" t="str">
        <f>IFERROR(__xludf.DUMMYFUNCTION("""COMPUTED_VALUE"""),"Y")</f>
        <v>Y</v>
      </c>
      <c r="H1491" s="3"/>
      <c r="I1491" s="3" t="str">
        <f>IFERROR(__xludf.DUMMYFUNCTION("""COMPUTED_VALUE"""),"Y")</f>
        <v>Y</v>
      </c>
      <c r="J1491" s="3" t="str">
        <f>IFERROR(__xludf.DUMMYFUNCTION("""COMPUTED_VALUE"""),"Y")</f>
        <v>Y</v>
      </c>
      <c r="K1491" s="3" t="str">
        <f>IFERROR(__xludf.DUMMYFUNCTION("""COMPUTED_VALUE"""),"Y")</f>
        <v>Y</v>
      </c>
      <c r="L1491" s="3" t="str">
        <f>IFERROR(__xludf.DUMMYFUNCTION("""COMPUTED_VALUE"""),"Group 1")</f>
        <v>Group 1</v>
      </c>
      <c r="M1491" s="3"/>
      <c r="N1491" s="5" t="str">
        <f>IFERROR(__xludf.DUMMYFUNCTION("""COMPUTED_VALUE""")," ")</f>
        <v> </v>
      </c>
      <c r="O1491" s="5"/>
    </row>
    <row r="1492">
      <c r="A1492" s="2" t="str">
        <f>IFERROR(__xludf.DUMMYFUNCTION("""COMPUTED_VALUE"""),"2660")</f>
        <v>2660</v>
      </c>
      <c r="B1492" s="2" t="str">
        <f>IFERROR(__xludf.DUMMYFUNCTION("""COMPUTED_VALUE"""),"LAMAR RE-2")</f>
        <v>LAMAR RE-2</v>
      </c>
      <c r="C1492" s="2" t="str">
        <f>IFERROR(__xludf.DUMMYFUNCTION("""COMPUTED_VALUE"""),"09268")</f>
        <v>09268</v>
      </c>
      <c r="D1492" s="2" t="str">
        <f>IFERROR(__xludf.DUMMYFUNCTION("""COMPUTED_VALUE"""),"WASHINGTON ELEMENTARY SCHOOL")</f>
        <v>WASHINGTON ELEMENTARY SCHOOL</v>
      </c>
      <c r="E1492" s="3" t="str">
        <f>IFERROR(__xludf.DUMMYFUNCTION("""COMPUTED_VALUE"""),"Y")</f>
        <v>Y</v>
      </c>
      <c r="F1492" s="3" t="str">
        <f>IFERROR(__xludf.DUMMYFUNCTION("""COMPUTED_VALUE"""),"Y")</f>
        <v>Y</v>
      </c>
      <c r="G1492" s="3" t="str">
        <f>IFERROR(__xludf.DUMMYFUNCTION("""COMPUTED_VALUE"""),"Y")</f>
        <v>Y</v>
      </c>
      <c r="H1492" s="3"/>
      <c r="I1492" s="3" t="str">
        <f>IFERROR(__xludf.DUMMYFUNCTION("""COMPUTED_VALUE"""),"Y")</f>
        <v>Y</v>
      </c>
      <c r="J1492" s="3" t="str">
        <f>IFERROR(__xludf.DUMMYFUNCTION("""COMPUTED_VALUE"""),"Y")</f>
        <v>Y</v>
      </c>
      <c r="K1492" s="3" t="str">
        <f>IFERROR(__xludf.DUMMYFUNCTION("""COMPUTED_VALUE"""),"Y")</f>
        <v>Y</v>
      </c>
      <c r="L1492" s="3" t="str">
        <f>IFERROR(__xludf.DUMMYFUNCTION("""COMPUTED_VALUE"""),"Group 2")</f>
        <v>Group 2</v>
      </c>
      <c r="M1492" s="3"/>
      <c r="N1492" s="5" t="str">
        <f>IFERROR(__xludf.DUMMYFUNCTION("""COMPUTED_VALUE"""),"Y")</f>
        <v>Y</v>
      </c>
      <c r="O1492" s="5"/>
    </row>
    <row r="1493">
      <c r="A1493" s="2" t="str">
        <f>IFERROR(__xludf.DUMMYFUNCTION("""COMPUTED_VALUE"""),"2670")</f>
        <v>2670</v>
      </c>
      <c r="B1493" s="2" t="str">
        <f>IFERROR(__xludf.DUMMYFUNCTION("""COMPUTED_VALUE"""),"HOLLY               RE-3")</f>
        <v>HOLLY               RE-3</v>
      </c>
      <c r="C1493" s="2" t="str">
        <f>IFERROR(__xludf.DUMMYFUNCTION("""COMPUTED_VALUE"""),"04058")</f>
        <v>04058</v>
      </c>
      <c r="D1493" s="2" t="str">
        <f>IFERROR(__xludf.DUMMYFUNCTION("""COMPUTED_VALUE"""),"HOLLY SCHOOL")</f>
        <v>HOLLY SCHOOL</v>
      </c>
      <c r="E1493" s="3" t="str">
        <f>IFERROR(__xludf.DUMMYFUNCTION("""COMPUTED_VALUE"""),"Y")</f>
        <v>Y</v>
      </c>
      <c r="F1493" s="3" t="str">
        <f>IFERROR(__xludf.DUMMYFUNCTION("""COMPUTED_VALUE"""),"Y")</f>
        <v>Y</v>
      </c>
      <c r="G1493" s="3"/>
      <c r="H1493" s="3"/>
      <c r="I1493" s="3" t="str">
        <f>IFERROR(__xludf.DUMMYFUNCTION("""COMPUTED_VALUE""")," ")</f>
        <v> </v>
      </c>
      <c r="J1493" s="3" t="str">
        <f>IFERROR(__xludf.DUMMYFUNCTION("""COMPUTED_VALUE""")," ")</f>
        <v> </v>
      </c>
      <c r="K1493" s="3" t="str">
        <f>IFERROR(__xludf.DUMMYFUNCTION("""COMPUTED_VALUE"""),"Y")</f>
        <v>Y</v>
      </c>
      <c r="L1493" s="3" t="str">
        <f>IFERROR(__xludf.DUMMYFUNCTION("""COMPUTED_VALUE"""),"Group 1")</f>
        <v>Group 1</v>
      </c>
      <c r="M1493" s="3"/>
      <c r="N1493" s="5" t="str">
        <f>IFERROR(__xludf.DUMMYFUNCTION("""COMPUTED_VALUE""")," ")</f>
        <v> </v>
      </c>
      <c r="O1493" s="5"/>
    </row>
    <row r="1494">
      <c r="A1494" s="2" t="str">
        <f>IFERROR(__xludf.DUMMYFUNCTION("""COMPUTED_VALUE"""),"2680")</f>
        <v>2680</v>
      </c>
      <c r="B1494" s="2" t="str">
        <f>IFERROR(__xludf.DUMMYFUNCTION("""COMPUTED_VALUE"""),"WILEY RE-13 JT")</f>
        <v>WILEY RE-13 JT</v>
      </c>
      <c r="C1494" s="2" t="str">
        <f>IFERROR(__xludf.DUMMYFUNCTION("""COMPUTED_VALUE"""),"09604")</f>
        <v>09604</v>
      </c>
      <c r="D1494" s="2" t="str">
        <f>IFERROR(__xludf.DUMMYFUNCTION("""COMPUTED_VALUE"""),"WILEY ELEMENTARY SCHOOL")</f>
        <v>WILEY ELEMENTARY SCHOOL</v>
      </c>
      <c r="E1494" s="3" t="str">
        <f>IFERROR(__xludf.DUMMYFUNCTION("""COMPUTED_VALUE"""),"Y")</f>
        <v>Y</v>
      </c>
      <c r="F1494" s="3" t="str">
        <f>IFERROR(__xludf.DUMMYFUNCTION("""COMPUTED_VALUE"""),"Y")</f>
        <v>Y</v>
      </c>
      <c r="G1494" s="3"/>
      <c r="H1494" s="3"/>
      <c r="I1494" s="3" t="str">
        <f>IFERROR(__xludf.DUMMYFUNCTION("""COMPUTED_VALUE""")," ")</f>
        <v> </v>
      </c>
      <c r="J1494" s="3" t="str">
        <f>IFERROR(__xludf.DUMMYFUNCTION("""COMPUTED_VALUE""")," ")</f>
        <v> </v>
      </c>
      <c r="K1494" s="3" t="str">
        <f>IFERROR(__xludf.DUMMYFUNCTION("""COMPUTED_VALUE"""),"Y")</f>
        <v>Y</v>
      </c>
      <c r="L1494" s="3" t="str">
        <f>IFERROR(__xludf.DUMMYFUNCTION("""COMPUTED_VALUE""")," ")</f>
        <v> </v>
      </c>
      <c r="M1494" s="3"/>
      <c r="N1494" s="5" t="str">
        <f>IFERROR(__xludf.DUMMYFUNCTION("""COMPUTED_VALUE""")," ")</f>
        <v> </v>
      </c>
      <c r="O1494" s="5"/>
    </row>
    <row r="1495">
      <c r="A1495" s="2" t="str">
        <f>IFERROR(__xludf.DUMMYFUNCTION("""COMPUTED_VALUE"""),"2680")</f>
        <v>2680</v>
      </c>
      <c r="B1495" s="2" t="str">
        <f>IFERROR(__xludf.DUMMYFUNCTION("""COMPUTED_VALUE"""),"WILEY RE-13 JT")</f>
        <v>WILEY RE-13 JT</v>
      </c>
      <c r="C1495" s="2" t="str">
        <f>IFERROR(__xludf.DUMMYFUNCTION("""COMPUTED_VALUE"""),"09608")</f>
        <v>09608</v>
      </c>
      <c r="D1495" s="2" t="str">
        <f>IFERROR(__xludf.DUMMYFUNCTION("""COMPUTED_VALUE"""),"WILEY JUNIOR-SENIOR HIGH SCHOOL")</f>
        <v>WILEY JUNIOR-SENIOR HIGH SCHOOL</v>
      </c>
      <c r="E1495" s="3" t="str">
        <f>IFERROR(__xludf.DUMMYFUNCTION("""COMPUTED_VALUE"""),"Y")</f>
        <v>Y</v>
      </c>
      <c r="F1495" s="3" t="str">
        <f>IFERROR(__xludf.DUMMYFUNCTION("""COMPUTED_VALUE"""),"Y")</f>
        <v>Y</v>
      </c>
      <c r="G1495" s="3"/>
      <c r="H1495" s="3"/>
      <c r="I1495" s="3" t="str">
        <f>IFERROR(__xludf.DUMMYFUNCTION("""COMPUTED_VALUE""")," ")</f>
        <v> </v>
      </c>
      <c r="J1495" s="3" t="str">
        <f>IFERROR(__xludf.DUMMYFUNCTION("""COMPUTED_VALUE""")," ")</f>
        <v> </v>
      </c>
      <c r="K1495" s="3" t="str">
        <f>IFERROR(__xludf.DUMMYFUNCTION("""COMPUTED_VALUE"""),"Y")</f>
        <v>Y</v>
      </c>
      <c r="L1495" s="3" t="str">
        <f>IFERROR(__xludf.DUMMYFUNCTION("""COMPUTED_VALUE"""),"Group 1")</f>
        <v>Group 1</v>
      </c>
      <c r="M1495" s="3"/>
      <c r="N1495" s="5" t="str">
        <f>IFERROR(__xludf.DUMMYFUNCTION("""COMPUTED_VALUE""")," ")</f>
        <v> </v>
      </c>
      <c r="O1495" s="5"/>
    </row>
    <row r="1496">
      <c r="A1496" s="2" t="str">
        <f>IFERROR(__xludf.DUMMYFUNCTION("""COMPUTED_VALUE"""),"2690")</f>
        <v>2690</v>
      </c>
      <c r="B1496" s="2" t="str">
        <f>IFERROR(__xludf.DUMMYFUNCTION("""COMPUTED_VALUE"""),"Pueblo City 60")</f>
        <v>Pueblo City 60</v>
      </c>
      <c r="C1496" s="2" t="str">
        <f>IFERROR(__xludf.DUMMYFUNCTION("""COMPUTED_VALUE"""),"00738")</f>
        <v>00738</v>
      </c>
      <c r="D1496" s="2" t="str">
        <f>IFERROR(__xludf.DUMMYFUNCTION("""COMPUTED_VALUE"""),"BELMONT ELEMENTARY SCHOOL")</f>
        <v>BELMONT ELEMENTARY SCHOOL</v>
      </c>
      <c r="E1496" s="3" t="str">
        <f>IFERROR(__xludf.DUMMYFUNCTION("""COMPUTED_VALUE"""),"Y")</f>
        <v>Y</v>
      </c>
      <c r="F1496" s="3" t="str">
        <f>IFERROR(__xludf.DUMMYFUNCTION("""COMPUTED_VALUE"""),"Y")</f>
        <v>Y</v>
      </c>
      <c r="G1496" s="3"/>
      <c r="H1496" s="3"/>
      <c r="I1496" s="3" t="str">
        <f>IFERROR(__xludf.DUMMYFUNCTION("""COMPUTED_VALUE"""),"Y")</f>
        <v>Y</v>
      </c>
      <c r="J1496" s="3" t="str">
        <f>IFERROR(__xludf.DUMMYFUNCTION("""COMPUTED_VALUE"""),"Y")</f>
        <v>Y</v>
      </c>
      <c r="K1496" s="3" t="str">
        <f>IFERROR(__xludf.DUMMYFUNCTION("""COMPUTED_VALUE"""),"Y")</f>
        <v>Y</v>
      </c>
      <c r="L1496" s="3" t="str">
        <f>IFERROR(__xludf.DUMMYFUNCTION("""COMPUTED_VALUE"""),"Group 1")</f>
        <v>Group 1</v>
      </c>
      <c r="M1496" s="3"/>
      <c r="N1496" s="5" t="str">
        <f>IFERROR(__xludf.DUMMYFUNCTION("""COMPUTED_VALUE"""),"Y")</f>
        <v>Y</v>
      </c>
      <c r="O1496" s="5"/>
    </row>
    <row r="1497">
      <c r="A1497" s="2" t="str">
        <f>IFERROR(__xludf.DUMMYFUNCTION("""COMPUTED_VALUE"""),"2690")</f>
        <v>2690</v>
      </c>
      <c r="B1497" s="2" t="str">
        <f>IFERROR(__xludf.DUMMYFUNCTION("""COMPUTED_VALUE"""),"Pueblo City 60")</f>
        <v>Pueblo City 60</v>
      </c>
      <c r="C1497" s="2" t="str">
        <f>IFERROR(__xludf.DUMMYFUNCTION("""COMPUTED_VALUE"""),"00756")</f>
        <v>00756</v>
      </c>
      <c r="D1497" s="2" t="str">
        <f>IFERROR(__xludf.DUMMYFUNCTION("""COMPUTED_VALUE"""),"BENJAMIN FRANKLIN ELEMENTARY SCHOOL")</f>
        <v>BENJAMIN FRANKLIN ELEMENTARY SCHOOL</v>
      </c>
      <c r="E1497" s="3" t="str">
        <f>IFERROR(__xludf.DUMMYFUNCTION("""COMPUTED_VALUE"""),"Y")</f>
        <v>Y</v>
      </c>
      <c r="F1497" s="3" t="str">
        <f>IFERROR(__xludf.DUMMYFUNCTION("""COMPUTED_VALUE"""),"Y")</f>
        <v>Y</v>
      </c>
      <c r="G1497" s="3"/>
      <c r="H1497" s="3"/>
      <c r="I1497" s="3" t="str">
        <f>IFERROR(__xludf.DUMMYFUNCTION("""COMPUTED_VALUE"""),"Y")</f>
        <v>Y</v>
      </c>
      <c r="J1497" s="3" t="str">
        <f>IFERROR(__xludf.DUMMYFUNCTION("""COMPUTED_VALUE"""),"Y")</f>
        <v>Y</v>
      </c>
      <c r="K1497" s="3" t="str">
        <f>IFERROR(__xludf.DUMMYFUNCTION("""COMPUTED_VALUE"""),"Y")</f>
        <v>Y</v>
      </c>
      <c r="L1497" s="3" t="str">
        <f>IFERROR(__xludf.DUMMYFUNCTION("""COMPUTED_VALUE"""),"Group 5")</f>
        <v>Group 5</v>
      </c>
      <c r="M1497" s="3"/>
      <c r="N1497" s="5" t="str">
        <f>IFERROR(__xludf.DUMMYFUNCTION("""COMPUTED_VALUE"""),"Y")</f>
        <v>Y</v>
      </c>
      <c r="O1497" s="5"/>
    </row>
    <row r="1498">
      <c r="A1498" s="2" t="str">
        <f>IFERROR(__xludf.DUMMYFUNCTION("""COMPUTED_VALUE"""),"2690")</f>
        <v>2690</v>
      </c>
      <c r="B1498" s="2" t="str">
        <f>IFERROR(__xludf.DUMMYFUNCTION("""COMPUTED_VALUE"""),"Pueblo City 60")</f>
        <v>Pueblo City 60</v>
      </c>
      <c r="C1498" s="2" t="str">
        <f>IFERROR(__xludf.DUMMYFUNCTION("""COMPUTED_VALUE"""),"00822")</f>
        <v>00822</v>
      </c>
      <c r="D1498" s="2" t="str">
        <f>IFERROR(__xludf.DUMMYFUNCTION("""COMPUTED_VALUE"""),"BESSEMER ELEMENTARY SCHOOL")</f>
        <v>BESSEMER ELEMENTARY SCHOOL</v>
      </c>
      <c r="E1498" s="3" t="str">
        <f>IFERROR(__xludf.DUMMYFUNCTION("""COMPUTED_VALUE"""),"Y")</f>
        <v>Y</v>
      </c>
      <c r="F1498" s="3" t="str">
        <f>IFERROR(__xludf.DUMMYFUNCTION("""COMPUTED_VALUE"""),"Y")</f>
        <v>Y</v>
      </c>
      <c r="G1498" s="3"/>
      <c r="H1498" s="3"/>
      <c r="I1498" s="3" t="str">
        <f>IFERROR(__xludf.DUMMYFUNCTION("""COMPUTED_VALUE"""),"Y")</f>
        <v>Y</v>
      </c>
      <c r="J1498" s="3" t="str">
        <f>IFERROR(__xludf.DUMMYFUNCTION("""COMPUTED_VALUE"""),"Y")</f>
        <v>Y</v>
      </c>
      <c r="K1498" s="3" t="str">
        <f>IFERROR(__xludf.DUMMYFUNCTION("""COMPUTED_VALUE"""),"Y")</f>
        <v>Y</v>
      </c>
      <c r="L1498" s="3" t="str">
        <f>IFERROR(__xludf.DUMMYFUNCTION("""COMPUTED_VALUE"""),"Group 1")</f>
        <v>Group 1</v>
      </c>
      <c r="M1498" s="3"/>
      <c r="N1498" s="5" t="str">
        <f>IFERROR(__xludf.DUMMYFUNCTION("""COMPUTED_VALUE"""),"Y")</f>
        <v>Y</v>
      </c>
      <c r="O1498" s="5"/>
    </row>
    <row r="1499">
      <c r="A1499" s="2" t="str">
        <f>IFERROR(__xludf.DUMMYFUNCTION("""COMPUTED_VALUE"""),"2690")</f>
        <v>2690</v>
      </c>
      <c r="B1499" s="2" t="str">
        <f>IFERROR(__xludf.DUMMYFUNCTION("""COMPUTED_VALUE"""),"Pueblo City 60")</f>
        <v>Pueblo City 60</v>
      </c>
      <c r="C1499" s="2" t="str">
        <f>IFERROR(__xludf.DUMMYFUNCTION("""COMPUTED_VALUE"""),"00860")</f>
        <v>00860</v>
      </c>
      <c r="D1499" s="2" t="str">
        <f>IFERROR(__xludf.DUMMYFUNCTION("""COMPUTED_VALUE"""),"BEULAH HEIGHTS ELEMENTARY SCHOOL")</f>
        <v>BEULAH HEIGHTS ELEMENTARY SCHOOL</v>
      </c>
      <c r="E1499" s="3" t="str">
        <f>IFERROR(__xludf.DUMMYFUNCTION("""COMPUTED_VALUE"""),"Y")</f>
        <v>Y</v>
      </c>
      <c r="F1499" s="3" t="str">
        <f>IFERROR(__xludf.DUMMYFUNCTION("""COMPUTED_VALUE"""),"Y")</f>
        <v>Y</v>
      </c>
      <c r="G1499" s="3"/>
      <c r="H1499" s="3"/>
      <c r="I1499" s="3" t="str">
        <f>IFERROR(__xludf.DUMMYFUNCTION("""COMPUTED_VALUE"""),"Y")</f>
        <v>Y</v>
      </c>
      <c r="J1499" s="3" t="str">
        <f>IFERROR(__xludf.DUMMYFUNCTION("""COMPUTED_VALUE"""),"Y")</f>
        <v>Y</v>
      </c>
      <c r="K1499" s="3" t="str">
        <f>IFERROR(__xludf.DUMMYFUNCTION("""COMPUTED_VALUE"""),"Y")</f>
        <v>Y</v>
      </c>
      <c r="L1499" s="3" t="str">
        <f>IFERROR(__xludf.DUMMYFUNCTION("""COMPUTED_VALUE"""),"Group 1")</f>
        <v>Group 1</v>
      </c>
      <c r="M1499" s="3"/>
      <c r="N1499" s="5" t="str">
        <f>IFERROR(__xludf.DUMMYFUNCTION("""COMPUTED_VALUE"""),"Y")</f>
        <v>Y</v>
      </c>
      <c r="O1499" s="5"/>
    </row>
    <row r="1500">
      <c r="A1500" s="2" t="str">
        <f>IFERROR(__xludf.DUMMYFUNCTION("""COMPUTED_VALUE"""),"2690")</f>
        <v>2690</v>
      </c>
      <c r="B1500" s="2" t="str">
        <f>IFERROR(__xludf.DUMMYFUNCTION("""COMPUTED_VALUE"""),"Pueblo City 60")</f>
        <v>Pueblo City 60</v>
      </c>
      <c r="C1500" s="2" t="str">
        <f>IFERROR(__xludf.DUMMYFUNCTION("""COMPUTED_VALUE"""),"00954")</f>
        <v>00954</v>
      </c>
      <c r="D1500" s="2" t="str">
        <f>IFERROR(__xludf.DUMMYFUNCTION("""COMPUTED_VALUE"""),"BRADFORD ELEMENTARY SCHOOL")</f>
        <v>BRADFORD ELEMENTARY SCHOOL</v>
      </c>
      <c r="E1500" s="3" t="str">
        <f>IFERROR(__xludf.DUMMYFUNCTION("""COMPUTED_VALUE"""),"Y")</f>
        <v>Y</v>
      </c>
      <c r="F1500" s="3" t="str">
        <f>IFERROR(__xludf.DUMMYFUNCTION("""COMPUTED_VALUE"""),"Y")</f>
        <v>Y</v>
      </c>
      <c r="G1500" s="3"/>
      <c r="H1500" s="3"/>
      <c r="I1500" s="3" t="str">
        <f>IFERROR(__xludf.DUMMYFUNCTION("""COMPUTED_VALUE"""),"Y")</f>
        <v>Y</v>
      </c>
      <c r="J1500" s="3" t="str">
        <f>IFERROR(__xludf.DUMMYFUNCTION("""COMPUTED_VALUE"""),"Y")</f>
        <v>Y</v>
      </c>
      <c r="K1500" s="3" t="str">
        <f>IFERROR(__xludf.DUMMYFUNCTION("""COMPUTED_VALUE"""),"Y")</f>
        <v>Y</v>
      </c>
      <c r="L1500" s="3" t="str">
        <f>IFERROR(__xludf.DUMMYFUNCTION("""COMPUTED_VALUE"""),"Group 12")</f>
        <v>Group 12</v>
      </c>
      <c r="M1500" s="3"/>
      <c r="N1500" s="5" t="str">
        <f>IFERROR(__xludf.DUMMYFUNCTION("""COMPUTED_VALUE"""),"Y")</f>
        <v>Y</v>
      </c>
      <c r="O1500" s="5"/>
    </row>
    <row r="1501">
      <c r="A1501" s="2" t="str">
        <f>IFERROR(__xludf.DUMMYFUNCTION("""COMPUTED_VALUE"""),"2690")</f>
        <v>2690</v>
      </c>
      <c r="B1501" s="2" t="str">
        <f>IFERROR(__xludf.DUMMYFUNCTION("""COMPUTED_VALUE"""),"Pueblo City 60")</f>
        <v>Pueblo City 60</v>
      </c>
      <c r="C1501" s="2" t="str">
        <f>IFERROR(__xludf.DUMMYFUNCTION("""COMPUTED_VALUE"""),"01402")</f>
        <v>01402</v>
      </c>
      <c r="D1501" s="2" t="str">
        <f>IFERROR(__xludf.DUMMYFUNCTION("""COMPUTED_VALUE"""),"CENTENNIAL HIGH SCHOOL")</f>
        <v>CENTENNIAL HIGH SCHOOL</v>
      </c>
      <c r="E1501" s="3" t="str">
        <f>IFERROR(__xludf.DUMMYFUNCTION("""COMPUTED_VALUE"""),"Y")</f>
        <v>Y</v>
      </c>
      <c r="F1501" s="3" t="str">
        <f>IFERROR(__xludf.DUMMYFUNCTION("""COMPUTED_VALUE"""),"Y")</f>
        <v>Y</v>
      </c>
      <c r="G1501" s="3"/>
      <c r="H1501" s="3"/>
      <c r="I1501" s="3" t="str">
        <f>IFERROR(__xludf.DUMMYFUNCTION("""COMPUTED_VALUE""")," ")</f>
        <v> </v>
      </c>
      <c r="J1501" s="3" t="str">
        <f>IFERROR(__xludf.DUMMYFUNCTION("""COMPUTED_VALUE"""),"Y")</f>
        <v>Y</v>
      </c>
      <c r="K1501" s="3" t="str">
        <f>IFERROR(__xludf.DUMMYFUNCTION("""COMPUTED_VALUE"""),"Y")</f>
        <v>Y</v>
      </c>
      <c r="L1501" s="3" t="str">
        <f>IFERROR(__xludf.DUMMYFUNCTION("""COMPUTED_VALUE"""),"Group 1")</f>
        <v>Group 1</v>
      </c>
      <c r="M1501" s="3"/>
      <c r="N1501" s="5" t="str">
        <f>IFERROR(__xludf.DUMMYFUNCTION("""COMPUTED_VALUE""")," ")</f>
        <v> </v>
      </c>
      <c r="O1501" s="5"/>
    </row>
    <row r="1502">
      <c r="A1502" s="2" t="str">
        <f>IFERROR(__xludf.DUMMYFUNCTION("""COMPUTED_VALUE"""),"2690")</f>
        <v>2690</v>
      </c>
      <c r="B1502" s="2" t="str">
        <f>IFERROR(__xludf.DUMMYFUNCTION("""COMPUTED_VALUE"""),"Pueblo City 60")</f>
        <v>Pueblo City 60</v>
      </c>
      <c r="C1502" s="2" t="str">
        <f>IFERROR(__xludf.DUMMYFUNCTION("""COMPUTED_VALUE"""),"01454")</f>
        <v>01454</v>
      </c>
      <c r="D1502" s="2" t="str">
        <f>IFERROR(__xludf.DUMMYFUNCTION("""COMPUTED_VALUE"""),"CENTRAL HIGH SCHOOL")</f>
        <v>CENTRAL HIGH SCHOOL</v>
      </c>
      <c r="E1502" s="3" t="str">
        <f>IFERROR(__xludf.DUMMYFUNCTION("""COMPUTED_VALUE"""),"Y")</f>
        <v>Y</v>
      </c>
      <c r="F1502" s="3" t="str">
        <f>IFERROR(__xludf.DUMMYFUNCTION("""COMPUTED_VALUE"""),"Y")</f>
        <v>Y</v>
      </c>
      <c r="G1502" s="3"/>
      <c r="H1502" s="3"/>
      <c r="I1502" s="3" t="str">
        <f>IFERROR(__xludf.DUMMYFUNCTION("""COMPUTED_VALUE""")," ")</f>
        <v> </v>
      </c>
      <c r="J1502" s="3" t="str">
        <f>IFERROR(__xludf.DUMMYFUNCTION("""COMPUTED_VALUE"""),"Y")</f>
        <v>Y</v>
      </c>
      <c r="K1502" s="3" t="str">
        <f>IFERROR(__xludf.DUMMYFUNCTION("""COMPUTED_VALUE"""),"Y")</f>
        <v>Y</v>
      </c>
      <c r="L1502" s="3" t="str">
        <f>IFERROR(__xludf.DUMMYFUNCTION("""COMPUTED_VALUE"""),"Group 9")</f>
        <v>Group 9</v>
      </c>
      <c r="M1502" s="3"/>
      <c r="N1502" s="5" t="str">
        <f>IFERROR(__xludf.DUMMYFUNCTION("""COMPUTED_VALUE""")," ")</f>
        <v> </v>
      </c>
      <c r="O1502" s="5"/>
    </row>
    <row r="1503">
      <c r="A1503" s="2" t="str">
        <f>IFERROR(__xludf.DUMMYFUNCTION("""COMPUTED_VALUE"""),"2690")</f>
        <v>2690</v>
      </c>
      <c r="B1503" s="2" t="str">
        <f>IFERROR(__xludf.DUMMYFUNCTION("""COMPUTED_VALUE"""),"Pueblo City 60")</f>
        <v>Pueblo City 60</v>
      </c>
      <c r="C1503" s="2" t="str">
        <f>IFERROR(__xludf.DUMMYFUNCTION("""COMPUTED_VALUE"""),"01488")</f>
        <v>01488</v>
      </c>
      <c r="D1503" s="2" t="str">
        <f>IFERROR(__xludf.DUMMYFUNCTION("""COMPUTED_VALUE"""),"CHAVEZ/HUERTA K-12 PREPARATORY ACADEMY")</f>
        <v>CHAVEZ/HUERTA K-12 PREPARATORY ACADEMY</v>
      </c>
      <c r="E1503" s="3" t="str">
        <f>IFERROR(__xludf.DUMMYFUNCTION("""COMPUTED_VALUE"""),"Y")</f>
        <v>Y</v>
      </c>
      <c r="F1503" s="3" t="str">
        <f>IFERROR(__xludf.DUMMYFUNCTION("""COMPUTED_VALUE"""),"Y")</f>
        <v>Y</v>
      </c>
      <c r="G1503" s="3"/>
      <c r="H1503" s="3"/>
      <c r="I1503" s="3" t="str">
        <f>IFERROR(__xludf.DUMMYFUNCTION("""COMPUTED_VALUE"""),"Y")</f>
        <v>Y</v>
      </c>
      <c r="J1503" s="3" t="str">
        <f>IFERROR(__xludf.DUMMYFUNCTION("""COMPUTED_VALUE"""),"Y")</f>
        <v>Y</v>
      </c>
      <c r="K1503" s="3" t="str">
        <f>IFERROR(__xludf.DUMMYFUNCTION("""COMPUTED_VALUE"""),"Y")</f>
        <v>Y</v>
      </c>
      <c r="L1503" s="3" t="str">
        <f>IFERROR(__xludf.DUMMYFUNCTION("""COMPUTED_VALUE"""),"Group 2")</f>
        <v>Group 2</v>
      </c>
      <c r="M1503" s="3"/>
      <c r="N1503" s="5" t="str">
        <f>IFERROR(__xludf.DUMMYFUNCTION("""COMPUTED_VALUE"""),"Y")</f>
        <v>Y</v>
      </c>
      <c r="O1503" s="5"/>
    </row>
    <row r="1504">
      <c r="A1504" s="2" t="str">
        <f>IFERROR(__xludf.DUMMYFUNCTION("""COMPUTED_VALUE"""),"2690")</f>
        <v>2690</v>
      </c>
      <c r="B1504" s="2" t="str">
        <f>IFERROR(__xludf.DUMMYFUNCTION("""COMPUTED_VALUE"""),"Pueblo City 60")</f>
        <v>Pueblo City 60</v>
      </c>
      <c r="C1504" s="2" t="str">
        <f>IFERROR(__xludf.DUMMYFUNCTION("""COMPUTED_VALUE"""),"01504")</f>
        <v>01504</v>
      </c>
      <c r="D1504" s="2" t="str">
        <f>IFERROR(__xludf.DUMMYFUNCTION("""COMPUTED_VALUE"""),"GOODNIGHT ELEMENTARY SCHOOL")</f>
        <v>GOODNIGHT ELEMENTARY SCHOOL</v>
      </c>
      <c r="E1504" s="3" t="str">
        <f>IFERROR(__xludf.DUMMYFUNCTION("""COMPUTED_VALUE"""),"Y")</f>
        <v>Y</v>
      </c>
      <c r="F1504" s="3" t="str">
        <f>IFERROR(__xludf.DUMMYFUNCTION("""COMPUTED_VALUE"""),"Y")</f>
        <v>Y</v>
      </c>
      <c r="G1504" s="3"/>
      <c r="H1504" s="3"/>
      <c r="I1504" s="3" t="str">
        <f>IFERROR(__xludf.DUMMYFUNCTION("""COMPUTED_VALUE"""),"Y")</f>
        <v>Y</v>
      </c>
      <c r="J1504" s="3" t="str">
        <f>IFERROR(__xludf.DUMMYFUNCTION("""COMPUTED_VALUE"""),"Y")</f>
        <v>Y</v>
      </c>
      <c r="K1504" s="3" t="str">
        <f>IFERROR(__xludf.DUMMYFUNCTION("""COMPUTED_VALUE"""),"Y")</f>
        <v>Y</v>
      </c>
      <c r="L1504" s="3" t="str">
        <f>IFERROR(__xludf.DUMMYFUNCTION("""COMPUTED_VALUE"""),"Group 1")</f>
        <v>Group 1</v>
      </c>
      <c r="M1504" s="3"/>
      <c r="N1504" s="5" t="str">
        <f>IFERROR(__xludf.DUMMYFUNCTION("""COMPUTED_VALUE"""),"Y")</f>
        <v>Y</v>
      </c>
      <c r="O1504" s="5"/>
    </row>
    <row r="1505">
      <c r="A1505" s="2" t="str">
        <f>IFERROR(__xludf.DUMMYFUNCTION("""COMPUTED_VALUE"""),"2690")</f>
        <v>2690</v>
      </c>
      <c r="B1505" s="2" t="str">
        <f>IFERROR(__xludf.DUMMYFUNCTION("""COMPUTED_VALUE"""),"Pueblo City 60")</f>
        <v>Pueblo City 60</v>
      </c>
      <c r="C1505" s="2" t="str">
        <f>IFERROR(__xludf.DUMMYFUNCTION("""COMPUTED_VALUE"""),"01828")</f>
        <v>01828</v>
      </c>
      <c r="D1505" s="2" t="str">
        <f>IFERROR(__xludf.DUMMYFUNCTION("""COMPUTED_VALUE"""),"COLUMBIAN ELEMENTARY SCHOOL")</f>
        <v>COLUMBIAN ELEMENTARY SCHOOL</v>
      </c>
      <c r="E1505" s="3" t="str">
        <f>IFERROR(__xludf.DUMMYFUNCTION("""COMPUTED_VALUE"""),"Y")</f>
        <v>Y</v>
      </c>
      <c r="F1505" s="3" t="str">
        <f>IFERROR(__xludf.DUMMYFUNCTION("""COMPUTED_VALUE"""),"Y")</f>
        <v>Y</v>
      </c>
      <c r="G1505" s="3"/>
      <c r="H1505" s="3"/>
      <c r="I1505" s="3" t="str">
        <f>IFERROR(__xludf.DUMMYFUNCTION("""COMPUTED_VALUE"""),"Y")</f>
        <v>Y</v>
      </c>
      <c r="J1505" s="3" t="str">
        <f>IFERROR(__xludf.DUMMYFUNCTION("""COMPUTED_VALUE"""),"Y")</f>
        <v>Y</v>
      </c>
      <c r="K1505" s="3" t="str">
        <f>IFERROR(__xludf.DUMMYFUNCTION("""COMPUTED_VALUE"""),"Y")</f>
        <v>Y</v>
      </c>
      <c r="L1505" s="3" t="str">
        <f>IFERROR(__xludf.DUMMYFUNCTION("""COMPUTED_VALUE"""),"Group 10")</f>
        <v>Group 10</v>
      </c>
      <c r="M1505" s="3"/>
      <c r="N1505" s="5" t="str">
        <f>IFERROR(__xludf.DUMMYFUNCTION("""COMPUTED_VALUE"""),"Y")</f>
        <v>Y</v>
      </c>
      <c r="O1505" s="5"/>
    </row>
    <row r="1506">
      <c r="A1506" s="2" t="str">
        <f>IFERROR(__xludf.DUMMYFUNCTION("""COMPUTED_VALUE"""),"2690")</f>
        <v>2690</v>
      </c>
      <c r="B1506" s="2" t="str">
        <f>IFERROR(__xludf.DUMMYFUNCTION("""COMPUTED_VALUE"""),"Pueblo City 60")</f>
        <v>Pueblo City 60</v>
      </c>
      <c r="C1506" s="2" t="str">
        <f>IFERROR(__xludf.DUMMYFUNCTION("""COMPUTED_VALUE"""),"02096")</f>
        <v>02096</v>
      </c>
      <c r="D1506" s="2" t="str">
        <f>IFERROR(__xludf.DUMMYFUNCTION("""COMPUTED_VALUE"""),"CORWIN INTERNATIONAL MAGNET SCHOOL")</f>
        <v>CORWIN INTERNATIONAL MAGNET SCHOOL</v>
      </c>
      <c r="E1506" s="3" t="str">
        <f>IFERROR(__xludf.DUMMYFUNCTION("""COMPUTED_VALUE"""),"Y")</f>
        <v>Y</v>
      </c>
      <c r="F1506" s="3" t="str">
        <f>IFERROR(__xludf.DUMMYFUNCTION("""COMPUTED_VALUE"""),"Y")</f>
        <v>Y</v>
      </c>
      <c r="G1506" s="3"/>
      <c r="H1506" s="3"/>
      <c r="I1506" s="3" t="str">
        <f>IFERROR(__xludf.DUMMYFUNCTION("""COMPUTED_VALUE""")," ")</f>
        <v> </v>
      </c>
      <c r="J1506" s="3" t="str">
        <f>IFERROR(__xludf.DUMMYFUNCTION("""COMPUTED_VALUE""")," ")</f>
        <v> </v>
      </c>
      <c r="K1506" s="3" t="str">
        <f>IFERROR(__xludf.DUMMYFUNCTION("""COMPUTED_VALUE"""),"Y")</f>
        <v>Y</v>
      </c>
      <c r="L1506" s="3" t="str">
        <f>IFERROR(__xludf.DUMMYFUNCTION("""COMPUTED_VALUE"""),"Group 6")</f>
        <v>Group 6</v>
      </c>
      <c r="M1506" s="3"/>
      <c r="N1506" s="5" t="str">
        <f>IFERROR(__xludf.DUMMYFUNCTION("""COMPUTED_VALUE""")," ")</f>
        <v> </v>
      </c>
      <c r="O1506" s="5"/>
    </row>
    <row r="1507">
      <c r="A1507" s="2" t="str">
        <f>IFERROR(__xludf.DUMMYFUNCTION("""COMPUTED_VALUE"""),"2690")</f>
        <v>2690</v>
      </c>
      <c r="B1507" s="2" t="str">
        <f>IFERROR(__xludf.DUMMYFUNCTION("""COMPUTED_VALUE"""),"Pueblo City 60")</f>
        <v>Pueblo City 60</v>
      </c>
      <c r="C1507" s="2" t="str">
        <f>IFERROR(__xludf.DUMMYFUNCTION("""COMPUTED_VALUE"""),"02394")</f>
        <v>02394</v>
      </c>
      <c r="D1507" s="2" t="str">
        <f>IFERROR(__xludf.DUMMYFUNCTION("""COMPUTED_VALUE"""),"EAST HIGH SCHOOL")</f>
        <v>EAST HIGH SCHOOL</v>
      </c>
      <c r="E1507" s="3" t="str">
        <f>IFERROR(__xludf.DUMMYFUNCTION("""COMPUTED_VALUE"""),"Y")</f>
        <v>Y</v>
      </c>
      <c r="F1507" s="3" t="str">
        <f>IFERROR(__xludf.DUMMYFUNCTION("""COMPUTED_VALUE"""),"Y")</f>
        <v>Y</v>
      </c>
      <c r="G1507" s="3"/>
      <c r="H1507" s="3"/>
      <c r="I1507" s="3" t="str">
        <f>IFERROR(__xludf.DUMMYFUNCTION("""COMPUTED_VALUE""")," ")</f>
        <v> </v>
      </c>
      <c r="J1507" s="3" t="str">
        <f>IFERROR(__xludf.DUMMYFUNCTION("""COMPUTED_VALUE"""),"Y")</f>
        <v>Y</v>
      </c>
      <c r="K1507" s="3" t="str">
        <f>IFERROR(__xludf.DUMMYFUNCTION("""COMPUTED_VALUE"""),"Y")</f>
        <v>Y</v>
      </c>
      <c r="L1507" s="3" t="str">
        <f>IFERROR(__xludf.DUMMYFUNCTION("""COMPUTED_VALUE"""),"Group 15")</f>
        <v>Group 15</v>
      </c>
      <c r="M1507" s="3"/>
      <c r="N1507" s="5" t="str">
        <f>IFERROR(__xludf.DUMMYFUNCTION("""COMPUTED_VALUE"""),"Y")</f>
        <v>Y</v>
      </c>
      <c r="O1507" s="5"/>
    </row>
    <row r="1508">
      <c r="A1508" s="2" t="str">
        <f>IFERROR(__xludf.DUMMYFUNCTION("""COMPUTED_VALUE"""),"2690")</f>
        <v>2690</v>
      </c>
      <c r="B1508" s="2" t="str">
        <f>IFERROR(__xludf.DUMMYFUNCTION("""COMPUTED_VALUE"""),"Pueblo City 60")</f>
        <v>Pueblo City 60</v>
      </c>
      <c r="C1508" s="2" t="str">
        <f>IFERROR(__xludf.DUMMYFUNCTION("""COMPUTED_VALUE"""),"02438")</f>
        <v>02438</v>
      </c>
      <c r="D1508" s="2" t="str">
        <f>IFERROR(__xludf.DUMMYFUNCTION("""COMPUTED_VALUE"""),"EVA R BACA ELEMENTARY SCHOOL")</f>
        <v>EVA R BACA ELEMENTARY SCHOOL</v>
      </c>
      <c r="E1508" s="3" t="str">
        <f>IFERROR(__xludf.DUMMYFUNCTION("""COMPUTED_VALUE"""),"Y")</f>
        <v>Y</v>
      </c>
      <c r="F1508" s="3" t="str">
        <f>IFERROR(__xludf.DUMMYFUNCTION("""COMPUTED_VALUE"""),"Y")</f>
        <v>Y</v>
      </c>
      <c r="G1508" s="3"/>
      <c r="H1508" s="3"/>
      <c r="I1508" s="3" t="str">
        <f>IFERROR(__xludf.DUMMYFUNCTION("""COMPUTED_VALUE"""),"Y")</f>
        <v>Y</v>
      </c>
      <c r="J1508" s="3" t="str">
        <f>IFERROR(__xludf.DUMMYFUNCTION("""COMPUTED_VALUE"""),"Y")</f>
        <v>Y</v>
      </c>
      <c r="K1508" s="3" t="str">
        <f>IFERROR(__xludf.DUMMYFUNCTION("""COMPUTED_VALUE"""),"Y")</f>
        <v>Y</v>
      </c>
      <c r="L1508" s="3" t="str">
        <f>IFERROR(__xludf.DUMMYFUNCTION("""COMPUTED_VALUE"""),"Group 14")</f>
        <v>Group 14</v>
      </c>
      <c r="M1508" s="3"/>
      <c r="N1508" s="5" t="str">
        <f>IFERROR(__xludf.DUMMYFUNCTION("""COMPUTED_VALUE"""),"Y")</f>
        <v>Y</v>
      </c>
      <c r="O1508" s="5"/>
    </row>
    <row r="1509">
      <c r="A1509" s="2" t="str">
        <f>IFERROR(__xludf.DUMMYFUNCTION("""COMPUTED_VALUE"""),"2690")</f>
        <v>2690</v>
      </c>
      <c r="B1509" s="2" t="str">
        <f>IFERROR(__xludf.DUMMYFUNCTION("""COMPUTED_VALUE"""),"Pueblo City 60")</f>
        <v>Pueblo City 60</v>
      </c>
      <c r="C1509" s="2" t="str">
        <f>IFERROR(__xludf.DUMMYFUNCTION("""COMPUTED_VALUE"""),"02620")</f>
        <v>02620</v>
      </c>
      <c r="D1509" s="2" t="str">
        <f>IFERROR(__xludf.DUMMYFUNCTION("""COMPUTED_VALUE"""),"FOUNTAIN INTERNATIONAL MAGNET SCHOOL")</f>
        <v>FOUNTAIN INTERNATIONAL MAGNET SCHOOL</v>
      </c>
      <c r="E1509" s="3" t="str">
        <f>IFERROR(__xludf.DUMMYFUNCTION("""COMPUTED_VALUE"""),"Y")</f>
        <v>Y</v>
      </c>
      <c r="F1509" s="3" t="str">
        <f>IFERROR(__xludf.DUMMYFUNCTION("""COMPUTED_VALUE"""),"Y")</f>
        <v>Y</v>
      </c>
      <c r="G1509" s="3"/>
      <c r="H1509" s="3"/>
      <c r="I1509" s="3" t="str">
        <f>IFERROR(__xludf.DUMMYFUNCTION("""COMPUTED_VALUE""")," ")</f>
        <v> </v>
      </c>
      <c r="J1509" s="3" t="str">
        <f>IFERROR(__xludf.DUMMYFUNCTION("""COMPUTED_VALUE""")," ")</f>
        <v> </v>
      </c>
      <c r="K1509" s="3" t="str">
        <f>IFERROR(__xludf.DUMMYFUNCTION("""COMPUTED_VALUE"""),"Y")</f>
        <v>Y</v>
      </c>
      <c r="L1509" s="3" t="str">
        <f>IFERROR(__xludf.DUMMYFUNCTION("""COMPUTED_VALUE"""),"Group 1")</f>
        <v>Group 1</v>
      </c>
      <c r="M1509" s="3"/>
      <c r="N1509" s="5" t="str">
        <f>IFERROR(__xludf.DUMMYFUNCTION("""COMPUTED_VALUE""")," ")</f>
        <v> </v>
      </c>
      <c r="O1509" s="5"/>
    </row>
    <row r="1510">
      <c r="A1510" s="2" t="str">
        <f>IFERROR(__xludf.DUMMYFUNCTION("""COMPUTED_VALUE"""),"2690")</f>
        <v>2690</v>
      </c>
      <c r="B1510" s="2" t="str">
        <f>IFERROR(__xludf.DUMMYFUNCTION("""COMPUTED_VALUE"""),"Pueblo City 60")</f>
        <v>Pueblo City 60</v>
      </c>
      <c r="C1510" s="2" t="str">
        <f>IFERROR(__xludf.DUMMYFUNCTION("""COMPUTED_VALUE"""),"03724")</f>
        <v>03724</v>
      </c>
      <c r="D1510" s="2" t="str">
        <f>IFERROR(__xludf.DUMMYFUNCTION("""COMPUTED_VALUE"""),"HAAFF ELEMENTARY SCHOOL")</f>
        <v>HAAFF ELEMENTARY SCHOOL</v>
      </c>
      <c r="E1510" s="3" t="str">
        <f>IFERROR(__xludf.DUMMYFUNCTION("""COMPUTED_VALUE"""),"Y")</f>
        <v>Y</v>
      </c>
      <c r="F1510" s="3" t="str">
        <f>IFERROR(__xludf.DUMMYFUNCTION("""COMPUTED_VALUE"""),"Y")</f>
        <v>Y</v>
      </c>
      <c r="G1510" s="3"/>
      <c r="H1510" s="3"/>
      <c r="I1510" s="3" t="str">
        <f>IFERROR(__xludf.DUMMYFUNCTION("""COMPUTED_VALUE"""),"Y")</f>
        <v>Y</v>
      </c>
      <c r="J1510" s="3" t="str">
        <f>IFERROR(__xludf.DUMMYFUNCTION("""COMPUTED_VALUE"""),"Y")</f>
        <v>Y</v>
      </c>
      <c r="K1510" s="3" t="str">
        <f>IFERROR(__xludf.DUMMYFUNCTION("""COMPUTED_VALUE"""),"Y")</f>
        <v>Y</v>
      </c>
      <c r="L1510" s="3" t="str">
        <f>IFERROR(__xludf.DUMMYFUNCTION("""COMPUTED_VALUE"""),"Group 15")</f>
        <v>Group 15</v>
      </c>
      <c r="M1510" s="3"/>
      <c r="N1510" s="5" t="str">
        <f>IFERROR(__xludf.DUMMYFUNCTION("""COMPUTED_VALUE"""),"Y")</f>
        <v>Y</v>
      </c>
      <c r="O1510" s="5"/>
    </row>
    <row r="1511">
      <c r="A1511" s="2" t="str">
        <f>IFERROR(__xludf.DUMMYFUNCTION("""COMPUTED_VALUE"""),"2690")</f>
        <v>2690</v>
      </c>
      <c r="B1511" s="2" t="str">
        <f>IFERROR(__xludf.DUMMYFUNCTION("""COMPUTED_VALUE"""),"Pueblo City 60")</f>
        <v>Pueblo City 60</v>
      </c>
      <c r="C1511" s="2" t="str">
        <f>IFERROR(__xludf.DUMMYFUNCTION("""COMPUTED_VALUE"""),"03924")</f>
        <v>03924</v>
      </c>
      <c r="D1511" s="2" t="str">
        <f>IFERROR(__xludf.DUMMYFUNCTION("""COMPUTED_VALUE"""),"HERITAGE ELEMENTARY SCHOOL")</f>
        <v>HERITAGE ELEMENTARY SCHOOL</v>
      </c>
      <c r="E1511" s="3" t="str">
        <f>IFERROR(__xludf.DUMMYFUNCTION("""COMPUTED_VALUE"""),"Y")</f>
        <v>Y</v>
      </c>
      <c r="F1511" s="3" t="str">
        <f>IFERROR(__xludf.DUMMYFUNCTION("""COMPUTED_VALUE"""),"Y")</f>
        <v>Y</v>
      </c>
      <c r="G1511" s="3"/>
      <c r="H1511" s="3"/>
      <c r="I1511" s="3" t="str">
        <f>IFERROR(__xludf.DUMMYFUNCTION("""COMPUTED_VALUE"""),"Y")</f>
        <v>Y</v>
      </c>
      <c r="J1511" s="3" t="str">
        <f>IFERROR(__xludf.DUMMYFUNCTION("""COMPUTED_VALUE"""),"Y")</f>
        <v>Y</v>
      </c>
      <c r="K1511" s="3" t="str">
        <f>IFERROR(__xludf.DUMMYFUNCTION("""COMPUTED_VALUE"""),"Y")</f>
        <v>Y</v>
      </c>
      <c r="L1511" s="3" t="str">
        <f>IFERROR(__xludf.DUMMYFUNCTION("""COMPUTED_VALUE"""),"Group 5")</f>
        <v>Group 5</v>
      </c>
      <c r="M1511" s="3"/>
      <c r="N1511" s="5" t="str">
        <f>IFERROR(__xludf.DUMMYFUNCTION("""COMPUTED_VALUE"""),"Y")</f>
        <v>Y</v>
      </c>
      <c r="O1511" s="5"/>
    </row>
    <row r="1512">
      <c r="A1512" s="2" t="str">
        <f>IFERROR(__xludf.DUMMYFUNCTION("""COMPUTED_VALUE"""),"2690")</f>
        <v>2690</v>
      </c>
      <c r="B1512" s="2" t="str">
        <f>IFERROR(__xludf.DUMMYFUNCTION("""COMPUTED_VALUE"""),"Pueblo City 60")</f>
        <v>Pueblo City 60</v>
      </c>
      <c r="C1512" s="2" t="str">
        <f>IFERROR(__xludf.DUMMYFUNCTION("""COMPUTED_VALUE"""),"03976")</f>
        <v>03976</v>
      </c>
      <c r="D1512" s="2" t="str">
        <f>IFERROR(__xludf.DUMMYFUNCTION("""COMPUTED_VALUE"""),"HIGHLAND PARK ELEMENTARY SCHOOL")</f>
        <v>HIGHLAND PARK ELEMENTARY SCHOOL</v>
      </c>
      <c r="E1512" s="3" t="str">
        <f>IFERROR(__xludf.DUMMYFUNCTION("""COMPUTED_VALUE"""),"Y")</f>
        <v>Y</v>
      </c>
      <c r="F1512" s="3" t="str">
        <f>IFERROR(__xludf.DUMMYFUNCTION("""COMPUTED_VALUE"""),"Y")</f>
        <v>Y</v>
      </c>
      <c r="G1512" s="3"/>
      <c r="H1512" s="3"/>
      <c r="I1512" s="3" t="str">
        <f>IFERROR(__xludf.DUMMYFUNCTION("""COMPUTED_VALUE"""),"Y")</f>
        <v>Y</v>
      </c>
      <c r="J1512" s="3" t="str">
        <f>IFERROR(__xludf.DUMMYFUNCTION("""COMPUTED_VALUE"""),"Y")</f>
        <v>Y</v>
      </c>
      <c r="K1512" s="3" t="str">
        <f>IFERROR(__xludf.DUMMYFUNCTION("""COMPUTED_VALUE"""),"Y")</f>
        <v>Y</v>
      </c>
      <c r="L1512" s="3" t="str">
        <f>IFERROR(__xludf.DUMMYFUNCTION("""COMPUTED_VALUE"""),"Group 13")</f>
        <v>Group 13</v>
      </c>
      <c r="M1512" s="3"/>
      <c r="N1512" s="5" t="str">
        <f>IFERROR(__xludf.DUMMYFUNCTION("""COMPUTED_VALUE"""),"Y")</f>
        <v>Y</v>
      </c>
      <c r="O1512" s="5"/>
    </row>
    <row r="1513">
      <c r="A1513" s="2" t="str">
        <f>IFERROR(__xludf.DUMMYFUNCTION("""COMPUTED_VALUE"""),"2690")</f>
        <v>2690</v>
      </c>
      <c r="B1513" s="2" t="str">
        <f>IFERROR(__xludf.DUMMYFUNCTION("""COMPUTED_VALUE"""),"Pueblo City 60")</f>
        <v>Pueblo City 60</v>
      </c>
      <c r="C1513" s="2" t="str">
        <f>IFERROR(__xludf.DUMMYFUNCTION("""COMPUTED_VALUE"""),"04302")</f>
        <v>04302</v>
      </c>
      <c r="D1513" s="2" t="str">
        <f>IFERROR(__xludf.DUMMYFUNCTION("""COMPUTED_VALUE"""),"IRVING ELEMENTARY SCHOOL")</f>
        <v>IRVING ELEMENTARY SCHOOL</v>
      </c>
      <c r="E1513" s="3" t="str">
        <f>IFERROR(__xludf.DUMMYFUNCTION("""COMPUTED_VALUE"""),"Y")</f>
        <v>Y</v>
      </c>
      <c r="F1513" s="3" t="str">
        <f>IFERROR(__xludf.DUMMYFUNCTION("""COMPUTED_VALUE"""),"Y")</f>
        <v>Y</v>
      </c>
      <c r="G1513" s="3"/>
      <c r="H1513" s="3"/>
      <c r="I1513" s="3" t="str">
        <f>IFERROR(__xludf.DUMMYFUNCTION("""COMPUTED_VALUE"""),"Y")</f>
        <v>Y</v>
      </c>
      <c r="J1513" s="3" t="str">
        <f>IFERROR(__xludf.DUMMYFUNCTION("""COMPUTED_VALUE"""),"Y")</f>
        <v>Y</v>
      </c>
      <c r="K1513" s="3" t="str">
        <f>IFERROR(__xludf.DUMMYFUNCTION("""COMPUTED_VALUE"""),"Y")</f>
        <v>Y</v>
      </c>
      <c r="L1513" s="3" t="str">
        <f>IFERROR(__xludf.DUMMYFUNCTION("""COMPUTED_VALUE"""),"Group 15")</f>
        <v>Group 15</v>
      </c>
      <c r="M1513" s="3"/>
      <c r="N1513" s="5" t="str">
        <f>IFERROR(__xludf.DUMMYFUNCTION("""COMPUTED_VALUE"""),"Y")</f>
        <v>Y</v>
      </c>
      <c r="O1513" s="5"/>
    </row>
    <row r="1514">
      <c r="A1514" s="2" t="str">
        <f>IFERROR(__xludf.DUMMYFUNCTION("""COMPUTED_VALUE"""),"2690")</f>
        <v>2690</v>
      </c>
      <c r="B1514" s="2" t="str">
        <f>IFERROR(__xludf.DUMMYFUNCTION("""COMPUTED_VALUE"""),"Pueblo City 60")</f>
        <v>Pueblo City 60</v>
      </c>
      <c r="C1514" s="2" t="str">
        <f>IFERROR(__xludf.DUMMYFUNCTION("""COMPUTED_VALUE"""),"04376")</f>
        <v>04376</v>
      </c>
      <c r="D1514" s="2" t="str">
        <f>IFERROR(__xludf.DUMMYFUNCTION("""COMPUTED_VALUE"""),"RISLEY INTERNATIONAL ACADEMY OF INNOVATION")</f>
        <v>RISLEY INTERNATIONAL ACADEMY OF INNOVATION</v>
      </c>
      <c r="E1514" s="3" t="str">
        <f>IFERROR(__xludf.DUMMYFUNCTION("""COMPUTED_VALUE"""),"Y")</f>
        <v>Y</v>
      </c>
      <c r="F1514" s="3" t="str">
        <f>IFERROR(__xludf.DUMMYFUNCTION("""COMPUTED_VALUE"""),"Y")</f>
        <v>Y</v>
      </c>
      <c r="G1514" s="3"/>
      <c r="H1514" s="3"/>
      <c r="I1514" s="3" t="str">
        <f>IFERROR(__xludf.DUMMYFUNCTION("""COMPUTED_VALUE""")," ")</f>
        <v> </v>
      </c>
      <c r="J1514" s="3" t="str">
        <f>IFERROR(__xludf.DUMMYFUNCTION("""COMPUTED_VALUE"""),"Y")</f>
        <v>Y</v>
      </c>
      <c r="K1514" s="3" t="str">
        <f>IFERROR(__xludf.DUMMYFUNCTION("""COMPUTED_VALUE"""),"Y")</f>
        <v>Y</v>
      </c>
      <c r="L1514" s="3" t="str">
        <f>IFERROR(__xludf.DUMMYFUNCTION("""COMPUTED_VALUE"""),"Group 7")</f>
        <v>Group 7</v>
      </c>
      <c r="M1514" s="3"/>
      <c r="N1514" s="5" t="str">
        <f>IFERROR(__xludf.DUMMYFUNCTION("""COMPUTED_VALUE"""),"Y")</f>
        <v>Y</v>
      </c>
      <c r="O1514" s="5"/>
    </row>
    <row r="1515">
      <c r="A1515" s="2" t="str">
        <f>IFERROR(__xludf.DUMMYFUNCTION("""COMPUTED_VALUE"""),"2690")</f>
        <v>2690</v>
      </c>
      <c r="B1515" s="2" t="str">
        <f>IFERROR(__xludf.DUMMYFUNCTION("""COMPUTED_VALUE"""),"Pueblo City 60")</f>
        <v>Pueblo City 60</v>
      </c>
      <c r="C1515" s="2" t="str">
        <f>IFERROR(__xludf.DUMMYFUNCTION("""COMPUTED_VALUE"""),"05048")</f>
        <v>05048</v>
      </c>
      <c r="D1515" s="2" t="str">
        <f>IFERROR(__xludf.DUMMYFUNCTION("""COMPUTED_VALUE"""),"PUEBLO ACADEMY OF ARTS")</f>
        <v>PUEBLO ACADEMY OF ARTS</v>
      </c>
      <c r="E1515" s="3" t="str">
        <f>IFERROR(__xludf.DUMMYFUNCTION("""COMPUTED_VALUE"""),"Y")</f>
        <v>Y</v>
      </c>
      <c r="F1515" s="3" t="str">
        <f>IFERROR(__xludf.DUMMYFUNCTION("""COMPUTED_VALUE"""),"Y")</f>
        <v>Y</v>
      </c>
      <c r="G1515" s="3"/>
      <c r="H1515" s="3"/>
      <c r="I1515" s="3" t="str">
        <f>IFERROR(__xludf.DUMMYFUNCTION("""COMPUTED_VALUE""")," ")</f>
        <v> </v>
      </c>
      <c r="J1515" s="3" t="str">
        <f>IFERROR(__xludf.DUMMYFUNCTION("""COMPUTED_VALUE"""),"Y")</f>
        <v>Y</v>
      </c>
      <c r="K1515" s="3" t="str">
        <f>IFERROR(__xludf.DUMMYFUNCTION("""COMPUTED_VALUE"""),"Y")</f>
        <v>Y</v>
      </c>
      <c r="L1515" s="3" t="str">
        <f>IFERROR(__xludf.DUMMYFUNCTION("""COMPUTED_VALUE"""),"Group 4")</f>
        <v>Group 4</v>
      </c>
      <c r="M1515" s="3"/>
      <c r="N1515" s="5" t="str">
        <f>IFERROR(__xludf.DUMMYFUNCTION("""COMPUTED_VALUE"""),"Y")</f>
        <v>Y</v>
      </c>
      <c r="O1515" s="5"/>
    </row>
    <row r="1516">
      <c r="A1516" s="2" t="str">
        <f>IFERROR(__xludf.DUMMYFUNCTION("""COMPUTED_VALUE"""),"2690")</f>
        <v>2690</v>
      </c>
      <c r="B1516" s="2" t="str">
        <f>IFERROR(__xludf.DUMMYFUNCTION("""COMPUTED_VALUE"""),"Pueblo City 60")</f>
        <v>Pueblo City 60</v>
      </c>
      <c r="C1516" s="2" t="str">
        <f>IFERROR(__xludf.DUMMYFUNCTION("""COMPUTED_VALUE"""),"05916")</f>
        <v>05916</v>
      </c>
      <c r="D1516" s="2" t="str">
        <f>IFERROR(__xludf.DUMMYFUNCTION("""COMPUTED_VALUE"""),"MINNEQUA ELEMENTARY SCHOOL")</f>
        <v>MINNEQUA ELEMENTARY SCHOOL</v>
      </c>
      <c r="E1516" s="3" t="str">
        <f>IFERROR(__xludf.DUMMYFUNCTION("""COMPUTED_VALUE"""),"Y")</f>
        <v>Y</v>
      </c>
      <c r="F1516" s="3" t="str">
        <f>IFERROR(__xludf.DUMMYFUNCTION("""COMPUTED_VALUE"""),"Y")</f>
        <v>Y</v>
      </c>
      <c r="G1516" s="3"/>
      <c r="H1516" s="3"/>
      <c r="I1516" s="3" t="str">
        <f>IFERROR(__xludf.DUMMYFUNCTION("""COMPUTED_VALUE"""),"Y")</f>
        <v>Y</v>
      </c>
      <c r="J1516" s="3" t="str">
        <f>IFERROR(__xludf.DUMMYFUNCTION("""COMPUTED_VALUE"""),"Y")</f>
        <v>Y</v>
      </c>
      <c r="K1516" s="3" t="str">
        <f>IFERROR(__xludf.DUMMYFUNCTION("""COMPUTED_VALUE"""),"Y")</f>
        <v>Y</v>
      </c>
      <c r="L1516" s="3" t="str">
        <f>IFERROR(__xludf.DUMMYFUNCTION("""COMPUTED_VALUE"""),"Group 2")</f>
        <v>Group 2</v>
      </c>
      <c r="M1516" s="3"/>
      <c r="N1516" s="5" t="str">
        <f>IFERROR(__xludf.DUMMYFUNCTION("""COMPUTED_VALUE"""),"Y")</f>
        <v>Y</v>
      </c>
      <c r="O1516" s="5"/>
    </row>
    <row r="1517">
      <c r="A1517" s="2" t="str">
        <f>IFERROR(__xludf.DUMMYFUNCTION("""COMPUTED_VALUE"""),"2690")</f>
        <v>2690</v>
      </c>
      <c r="B1517" s="2" t="str">
        <f>IFERROR(__xludf.DUMMYFUNCTION("""COMPUTED_VALUE"""),"Pueblo City 60")</f>
        <v>Pueblo City 60</v>
      </c>
      <c r="C1517" s="2" t="str">
        <f>IFERROR(__xludf.DUMMYFUNCTION("""COMPUTED_VALUE"""),"06132")</f>
        <v>06132</v>
      </c>
      <c r="D1517" s="2" t="str">
        <f>IFERROR(__xludf.DUMMYFUNCTION("""COMPUTED_VALUE"""),"MORTON ELEMENTARY SCHOOL")</f>
        <v>MORTON ELEMENTARY SCHOOL</v>
      </c>
      <c r="E1517" s="3" t="str">
        <f>IFERROR(__xludf.DUMMYFUNCTION("""COMPUTED_VALUE"""),"Y")</f>
        <v>Y</v>
      </c>
      <c r="F1517" s="3" t="str">
        <f>IFERROR(__xludf.DUMMYFUNCTION("""COMPUTED_VALUE"""),"Y")</f>
        <v>Y</v>
      </c>
      <c r="G1517" s="3"/>
      <c r="H1517" s="3"/>
      <c r="I1517" s="3" t="str">
        <f>IFERROR(__xludf.DUMMYFUNCTION("""COMPUTED_VALUE"""),"Y")</f>
        <v>Y</v>
      </c>
      <c r="J1517" s="3" t="str">
        <f>IFERROR(__xludf.DUMMYFUNCTION("""COMPUTED_VALUE"""),"Y")</f>
        <v>Y</v>
      </c>
      <c r="K1517" s="3" t="str">
        <f>IFERROR(__xludf.DUMMYFUNCTION("""COMPUTED_VALUE"""),"Y")</f>
        <v>Y</v>
      </c>
      <c r="L1517" s="3" t="str">
        <f>IFERROR(__xludf.DUMMYFUNCTION("""COMPUTED_VALUE"""),"Group 6")</f>
        <v>Group 6</v>
      </c>
      <c r="M1517" s="3"/>
      <c r="N1517" s="5" t="str">
        <f>IFERROR(__xludf.DUMMYFUNCTION("""COMPUTED_VALUE"""),"Y")</f>
        <v>Y</v>
      </c>
      <c r="O1517" s="5"/>
    </row>
    <row r="1518">
      <c r="A1518" s="2" t="str">
        <f>IFERROR(__xludf.DUMMYFUNCTION("""COMPUTED_VALUE"""),"2690")</f>
        <v>2690</v>
      </c>
      <c r="B1518" s="2" t="str">
        <f>IFERROR(__xludf.DUMMYFUNCTION("""COMPUTED_VALUE"""),"Pueblo City 60")</f>
        <v>Pueblo City 60</v>
      </c>
      <c r="C1518" s="2" t="str">
        <f>IFERROR(__xludf.DUMMYFUNCTION("""COMPUTED_VALUE"""),"06770")</f>
        <v>06770</v>
      </c>
      <c r="D1518" s="2" t="str">
        <f>IFERROR(__xludf.DUMMYFUNCTION("""COMPUTED_VALUE"""),"PARK VIEW ELEMENTARY SCHOOL")</f>
        <v>PARK VIEW ELEMENTARY SCHOOL</v>
      </c>
      <c r="E1518" s="3" t="str">
        <f>IFERROR(__xludf.DUMMYFUNCTION("""COMPUTED_VALUE"""),"Y")</f>
        <v>Y</v>
      </c>
      <c r="F1518" s="3" t="str">
        <f>IFERROR(__xludf.DUMMYFUNCTION("""COMPUTED_VALUE"""),"Y")</f>
        <v>Y</v>
      </c>
      <c r="G1518" s="3"/>
      <c r="H1518" s="3"/>
      <c r="I1518" s="3" t="str">
        <f>IFERROR(__xludf.DUMMYFUNCTION("""COMPUTED_VALUE"""),"Y")</f>
        <v>Y</v>
      </c>
      <c r="J1518" s="3" t="str">
        <f>IFERROR(__xludf.DUMMYFUNCTION("""COMPUTED_VALUE"""),"Y")</f>
        <v>Y</v>
      </c>
      <c r="K1518" s="3" t="str">
        <f>IFERROR(__xludf.DUMMYFUNCTION("""COMPUTED_VALUE"""),"Y")</f>
        <v>Y</v>
      </c>
      <c r="L1518" s="3" t="str">
        <f>IFERROR(__xludf.DUMMYFUNCTION("""COMPUTED_VALUE"""),"Group 9")</f>
        <v>Group 9</v>
      </c>
      <c r="M1518" s="3"/>
      <c r="N1518" s="5" t="str">
        <f>IFERROR(__xludf.DUMMYFUNCTION("""COMPUTED_VALUE"""),"Y")</f>
        <v>Y</v>
      </c>
      <c r="O1518" s="5"/>
    </row>
    <row r="1519">
      <c r="A1519" s="2" t="str">
        <f>IFERROR(__xludf.DUMMYFUNCTION("""COMPUTED_VALUE"""),"2690")</f>
        <v>2690</v>
      </c>
      <c r="B1519" s="2" t="str">
        <f>IFERROR(__xludf.DUMMYFUNCTION("""COMPUTED_VALUE"""),"Pueblo City 60")</f>
        <v>Pueblo City 60</v>
      </c>
      <c r="C1519" s="2" t="str">
        <f>IFERROR(__xludf.DUMMYFUNCTION("""COMPUTED_VALUE"""),"06775")</f>
        <v>06775</v>
      </c>
      <c r="D1519" s="2" t="str">
        <f>IFERROR(__xludf.DUMMYFUNCTION("""COMPUTED_VALUE"""),"Pueblo School for Arts &amp; Sciences at Fulton Heights")</f>
        <v>Pueblo School for Arts &amp; Sciences at Fulton Heights</v>
      </c>
      <c r="E1519" s="3" t="str">
        <f>IFERROR(__xludf.DUMMYFUNCTION("""COMPUTED_VALUE"""),"Y")</f>
        <v>Y</v>
      </c>
      <c r="F1519" s="3" t="str">
        <f>IFERROR(__xludf.DUMMYFUNCTION("""COMPUTED_VALUE"""),"Y")</f>
        <v>Y</v>
      </c>
      <c r="G1519" s="3"/>
      <c r="H1519" s="3"/>
      <c r="I1519" s="3" t="str">
        <f>IFERROR(__xludf.DUMMYFUNCTION("""COMPUTED_VALUE""")," ")</f>
        <v> </v>
      </c>
      <c r="J1519" s="3" t="str">
        <f>IFERROR(__xludf.DUMMYFUNCTION("""COMPUTED_VALUE"""),"Y")</f>
        <v>Y</v>
      </c>
      <c r="K1519" s="3" t="str">
        <f>IFERROR(__xludf.DUMMYFUNCTION("""COMPUTED_VALUE"""),"Y")</f>
        <v>Y</v>
      </c>
      <c r="L1519" s="3" t="str">
        <f>IFERROR(__xludf.DUMMYFUNCTION("""COMPUTED_VALUE"""),"Group 3")</f>
        <v>Group 3</v>
      </c>
      <c r="M1519" s="3"/>
      <c r="N1519" s="5" t="str">
        <f>IFERROR(__xludf.DUMMYFUNCTION("""COMPUTED_VALUE""")," ")</f>
        <v> </v>
      </c>
      <c r="O1519" s="5"/>
    </row>
    <row r="1520">
      <c r="A1520" s="2" t="str">
        <f>IFERROR(__xludf.DUMMYFUNCTION("""COMPUTED_VALUE"""),"2690")</f>
        <v>2690</v>
      </c>
      <c r="B1520" s="2" t="str">
        <f>IFERROR(__xludf.DUMMYFUNCTION("""COMPUTED_VALUE"""),"Pueblo City 60")</f>
        <v>Pueblo City 60</v>
      </c>
      <c r="C1520" s="2" t="str">
        <f>IFERROR(__xludf.DUMMYFUNCTION("""COMPUTED_VALUE"""),"07209")</f>
        <v>07209</v>
      </c>
      <c r="D1520" s="2" t="str">
        <f>IFERROR(__xludf.DUMMYFUNCTION("""COMPUTED_VALUE"""),"PUEBLO CHARTER SCHOOL FOR THE ARTS &amp; SCIENCES")</f>
        <v>PUEBLO CHARTER SCHOOL FOR THE ARTS &amp; SCIENCES</v>
      </c>
      <c r="E1520" s="3" t="str">
        <f>IFERROR(__xludf.DUMMYFUNCTION("""COMPUTED_VALUE"""),"Y")</f>
        <v>Y</v>
      </c>
      <c r="F1520" s="3" t="str">
        <f>IFERROR(__xludf.DUMMYFUNCTION("""COMPUTED_VALUE"""),"Y")</f>
        <v>Y</v>
      </c>
      <c r="G1520" s="3"/>
      <c r="H1520" s="3"/>
      <c r="I1520" s="3" t="str">
        <f>IFERROR(__xludf.DUMMYFUNCTION("""COMPUTED_VALUE""")," ")</f>
        <v> </v>
      </c>
      <c r="J1520" s="3" t="str">
        <f>IFERROR(__xludf.DUMMYFUNCTION("""COMPUTED_VALUE"""),"Y")</f>
        <v>Y</v>
      </c>
      <c r="K1520" s="3" t="str">
        <f>IFERROR(__xludf.DUMMYFUNCTION("""COMPUTED_VALUE"""),"Y")</f>
        <v>Y</v>
      </c>
      <c r="L1520" s="3" t="str">
        <f>IFERROR(__xludf.DUMMYFUNCTION("""COMPUTED_VALUE"""),"Group 8")</f>
        <v>Group 8</v>
      </c>
      <c r="M1520" s="3"/>
      <c r="N1520" s="5" t="str">
        <f>IFERROR(__xludf.DUMMYFUNCTION("""COMPUTED_VALUE""")," ")</f>
        <v> </v>
      </c>
      <c r="O1520" s="5"/>
    </row>
    <row r="1521">
      <c r="A1521" s="2" t="str">
        <f>IFERROR(__xludf.DUMMYFUNCTION("""COMPUTED_VALUE"""),"2690")</f>
        <v>2690</v>
      </c>
      <c r="B1521" s="2" t="str">
        <f>IFERROR(__xludf.DUMMYFUNCTION("""COMPUTED_VALUE"""),"Pueblo City 60")</f>
        <v>Pueblo City 60</v>
      </c>
      <c r="C1521" s="2" t="str">
        <f>IFERROR(__xludf.DUMMYFUNCTION("""COMPUTED_VALUE"""),"07217")</f>
        <v>07217</v>
      </c>
      <c r="D1521" s="2" t="str">
        <f>IFERROR(__xludf.DUMMYFUNCTION("""COMPUTED_VALUE"""),"Nettie S. Freed K-8 Expeditionary School")</f>
        <v>Nettie S. Freed K-8 Expeditionary School</v>
      </c>
      <c r="E1521" s="3" t="str">
        <f>IFERROR(__xludf.DUMMYFUNCTION("""COMPUTED_VALUE"""),"Y")</f>
        <v>Y</v>
      </c>
      <c r="F1521" s="3" t="str">
        <f>IFERROR(__xludf.DUMMYFUNCTION("""COMPUTED_VALUE"""),"Y")</f>
        <v>Y</v>
      </c>
      <c r="G1521" s="3"/>
      <c r="H1521" s="3"/>
      <c r="I1521" s="3" t="str">
        <f>IFERROR(__xludf.DUMMYFUNCTION("""COMPUTED_VALUE""")," ")</f>
        <v> </v>
      </c>
      <c r="J1521" s="3" t="str">
        <f>IFERROR(__xludf.DUMMYFUNCTION("""COMPUTED_VALUE"""),"Y")</f>
        <v>Y</v>
      </c>
      <c r="K1521" s="3" t="str">
        <f>IFERROR(__xludf.DUMMYFUNCTION("""COMPUTED_VALUE"""),"Y")</f>
        <v>Y</v>
      </c>
      <c r="L1521" s="3" t="str">
        <f>IFERROR(__xludf.DUMMYFUNCTION("""COMPUTED_VALUE"""),"Group 15")</f>
        <v>Group 15</v>
      </c>
      <c r="M1521" s="3"/>
      <c r="N1521" s="5" t="str">
        <f>IFERROR(__xludf.DUMMYFUNCTION("""COMPUTED_VALUE"""),"Y")</f>
        <v>Y</v>
      </c>
      <c r="O1521" s="5"/>
    </row>
    <row r="1522">
      <c r="A1522" s="2" t="str">
        <f>IFERROR(__xludf.DUMMYFUNCTION("""COMPUTED_VALUE"""),"2690")</f>
        <v>2690</v>
      </c>
      <c r="B1522" s="2" t="str">
        <f>IFERROR(__xludf.DUMMYFUNCTION("""COMPUTED_VALUE"""),"Pueblo City 60")</f>
        <v>Pueblo City 60</v>
      </c>
      <c r="C1522" s="2" t="str">
        <f>IFERROR(__xludf.DUMMYFUNCTION("""COMPUTED_VALUE"""),"08082")</f>
        <v>08082</v>
      </c>
      <c r="D1522" s="2" t="str">
        <f>IFERROR(__xludf.DUMMYFUNCTION("""COMPUTED_VALUE"""),"SOUTH HIGH SCHOOL")</f>
        <v>SOUTH HIGH SCHOOL</v>
      </c>
      <c r="E1522" s="3" t="str">
        <f>IFERROR(__xludf.DUMMYFUNCTION("""COMPUTED_VALUE"""),"Y")</f>
        <v>Y</v>
      </c>
      <c r="F1522" s="3" t="str">
        <f>IFERROR(__xludf.DUMMYFUNCTION("""COMPUTED_VALUE"""),"Y")</f>
        <v>Y</v>
      </c>
      <c r="G1522" s="3"/>
      <c r="H1522" s="3"/>
      <c r="I1522" s="3" t="str">
        <f>IFERROR(__xludf.DUMMYFUNCTION("""COMPUTED_VALUE""")," ")</f>
        <v> </v>
      </c>
      <c r="J1522" s="3" t="str">
        <f>IFERROR(__xludf.DUMMYFUNCTION("""COMPUTED_VALUE"""),"Y")</f>
        <v>Y</v>
      </c>
      <c r="K1522" s="3" t="str">
        <f>IFERROR(__xludf.DUMMYFUNCTION("""COMPUTED_VALUE"""),"Y")</f>
        <v>Y</v>
      </c>
      <c r="L1522" s="3" t="str">
        <f>IFERROR(__xludf.DUMMYFUNCTION("""COMPUTED_VALUE"""),"Group 3")</f>
        <v>Group 3</v>
      </c>
      <c r="M1522" s="3"/>
      <c r="N1522" s="5" t="str">
        <f>IFERROR(__xludf.DUMMYFUNCTION("""COMPUTED_VALUE""")," ")</f>
        <v> </v>
      </c>
      <c r="O1522" s="5"/>
    </row>
    <row r="1523">
      <c r="A1523" s="2" t="str">
        <f>IFERROR(__xludf.DUMMYFUNCTION("""COMPUTED_VALUE"""),"2690")</f>
        <v>2690</v>
      </c>
      <c r="B1523" s="2" t="str">
        <f>IFERROR(__xludf.DUMMYFUNCTION("""COMPUTED_VALUE"""),"Pueblo City 60")</f>
        <v>Pueblo City 60</v>
      </c>
      <c r="C1523" s="2" t="str">
        <f>IFERROR(__xludf.DUMMYFUNCTION("""COMPUTED_VALUE"""),"08116")</f>
        <v>08116</v>
      </c>
      <c r="D1523" s="2" t="str">
        <f>IFERROR(__xludf.DUMMYFUNCTION("""COMPUTED_VALUE"""),"SOUTH PARK ELEMENTARY SCHOOL")</f>
        <v>SOUTH PARK ELEMENTARY SCHOOL</v>
      </c>
      <c r="E1523" s="3" t="str">
        <f>IFERROR(__xludf.DUMMYFUNCTION("""COMPUTED_VALUE"""),"Y")</f>
        <v>Y</v>
      </c>
      <c r="F1523" s="3" t="str">
        <f>IFERROR(__xludf.DUMMYFUNCTION("""COMPUTED_VALUE"""),"Y")</f>
        <v>Y</v>
      </c>
      <c r="G1523" s="3"/>
      <c r="H1523" s="3"/>
      <c r="I1523" s="3" t="str">
        <f>IFERROR(__xludf.DUMMYFUNCTION("""COMPUTED_VALUE"""),"Y")</f>
        <v>Y</v>
      </c>
      <c r="J1523" s="3" t="str">
        <f>IFERROR(__xludf.DUMMYFUNCTION("""COMPUTED_VALUE"""),"Y")</f>
        <v>Y</v>
      </c>
      <c r="K1523" s="3" t="str">
        <f>IFERROR(__xludf.DUMMYFUNCTION("""COMPUTED_VALUE"""),"Y")</f>
        <v>Y</v>
      </c>
      <c r="L1523" s="3" t="str">
        <f>IFERROR(__xludf.DUMMYFUNCTION("""COMPUTED_VALUE"""),"Group 15")</f>
        <v>Group 15</v>
      </c>
      <c r="M1523" s="3"/>
      <c r="N1523" s="5" t="str">
        <f>IFERROR(__xludf.DUMMYFUNCTION("""COMPUTED_VALUE"""),"Y")</f>
        <v>Y</v>
      </c>
      <c r="O1523" s="5"/>
    </row>
    <row r="1524">
      <c r="A1524" s="2" t="str">
        <f>IFERROR(__xludf.DUMMYFUNCTION("""COMPUTED_VALUE"""),"2690")</f>
        <v>2690</v>
      </c>
      <c r="B1524" s="2" t="str">
        <f>IFERROR(__xludf.DUMMYFUNCTION("""COMPUTED_VALUE"""),"Pueblo City 60")</f>
        <v>Pueblo City 60</v>
      </c>
      <c r="C1524" s="2" t="str">
        <f>IFERROR(__xludf.DUMMYFUNCTION("""COMPUTED_VALUE"""),"08402")</f>
        <v>08402</v>
      </c>
      <c r="D1524" s="2" t="str">
        <f>IFERROR(__xludf.DUMMYFUNCTION("""COMPUTED_VALUE"""),"SUNSET PARK ELEMENTARY SCHOOL")</f>
        <v>SUNSET PARK ELEMENTARY SCHOOL</v>
      </c>
      <c r="E1524" s="3" t="str">
        <f>IFERROR(__xludf.DUMMYFUNCTION("""COMPUTED_VALUE"""),"Y")</f>
        <v>Y</v>
      </c>
      <c r="F1524" s="3" t="str">
        <f>IFERROR(__xludf.DUMMYFUNCTION("""COMPUTED_VALUE"""),"Y")</f>
        <v>Y</v>
      </c>
      <c r="G1524" s="3"/>
      <c r="H1524" s="3"/>
      <c r="I1524" s="3" t="str">
        <f>IFERROR(__xludf.DUMMYFUNCTION("""COMPUTED_VALUE"""),"Y")</f>
        <v>Y</v>
      </c>
      <c r="J1524" s="3" t="str">
        <f>IFERROR(__xludf.DUMMYFUNCTION("""COMPUTED_VALUE"""),"Y")</f>
        <v>Y</v>
      </c>
      <c r="K1524" s="3" t="str">
        <f>IFERROR(__xludf.DUMMYFUNCTION("""COMPUTED_VALUE"""),"Y")</f>
        <v>Y</v>
      </c>
      <c r="L1524" s="3" t="str">
        <f>IFERROR(__xludf.DUMMYFUNCTION("""COMPUTED_VALUE"""),"Group 3")</f>
        <v>Group 3</v>
      </c>
      <c r="M1524" s="3"/>
      <c r="N1524" s="5" t="str">
        <f>IFERROR(__xludf.DUMMYFUNCTION("""COMPUTED_VALUE"""),"Y")</f>
        <v>Y</v>
      </c>
      <c r="O1524" s="5"/>
    </row>
    <row r="1525">
      <c r="A1525" s="2" t="str">
        <f>IFERROR(__xludf.DUMMYFUNCTION("""COMPUTED_VALUE"""),"2690")</f>
        <v>2690</v>
      </c>
      <c r="B1525" s="2" t="str">
        <f>IFERROR(__xludf.DUMMYFUNCTION("""COMPUTED_VALUE"""),"Pueblo City 60")</f>
        <v>Pueblo City 60</v>
      </c>
      <c r="C1525" s="2" t="str">
        <f>IFERROR(__xludf.DUMMYFUNCTION("""COMPUTED_VALUE"""),"09188")</f>
        <v>09188</v>
      </c>
      <c r="D1525" s="2" t="str">
        <f>IFERROR(__xludf.DUMMYFUNCTION("""COMPUTED_VALUE"""),"W H HEATON MIDDLE SCHOOL")</f>
        <v>W H HEATON MIDDLE SCHOOL</v>
      </c>
      <c r="E1525" s="3" t="str">
        <f>IFERROR(__xludf.DUMMYFUNCTION("""COMPUTED_VALUE"""),"Y")</f>
        <v>Y</v>
      </c>
      <c r="F1525" s="3" t="str">
        <f>IFERROR(__xludf.DUMMYFUNCTION("""COMPUTED_VALUE"""),"Y")</f>
        <v>Y</v>
      </c>
      <c r="G1525" s="3"/>
      <c r="H1525" s="3"/>
      <c r="I1525" s="3" t="str">
        <f>IFERROR(__xludf.DUMMYFUNCTION("""COMPUTED_VALUE""")," ")</f>
        <v> </v>
      </c>
      <c r="J1525" s="3" t="str">
        <f>IFERROR(__xludf.DUMMYFUNCTION("""COMPUTED_VALUE"""),"Y")</f>
        <v>Y</v>
      </c>
      <c r="K1525" s="3" t="str">
        <f>IFERROR(__xludf.DUMMYFUNCTION("""COMPUTED_VALUE"""),"Y")</f>
        <v>Y</v>
      </c>
      <c r="L1525" s="3" t="str">
        <f>IFERROR(__xludf.DUMMYFUNCTION("""COMPUTED_VALUE"""),"Group 11")</f>
        <v>Group 11</v>
      </c>
      <c r="M1525" s="3"/>
      <c r="N1525" s="5" t="str">
        <f>IFERROR(__xludf.DUMMYFUNCTION("""COMPUTED_VALUE""")," ")</f>
        <v> </v>
      </c>
      <c r="O1525" s="5"/>
    </row>
    <row r="1526">
      <c r="A1526" s="2" t="str">
        <f>IFERROR(__xludf.DUMMYFUNCTION("""COMPUTED_VALUE"""),"2700")</f>
        <v>2700</v>
      </c>
      <c r="B1526" s="2" t="str">
        <f>IFERROR(__xludf.DUMMYFUNCTION("""COMPUTED_VALUE"""),"Pueblo County School District 70")</f>
        <v>Pueblo County School District 70</v>
      </c>
      <c r="C1526" s="2" t="str">
        <f>IFERROR(__xludf.DUMMYFUNCTION("""COMPUTED_VALUE"""),"00025")</f>
        <v>00025</v>
      </c>
      <c r="D1526" s="2" t="str">
        <f>IFERROR(__xludf.DUMMYFUNCTION("""COMPUTED_VALUE"""),"SKY VIEW MIDDLE SCHOOL")</f>
        <v>SKY VIEW MIDDLE SCHOOL</v>
      </c>
      <c r="E1526" s="3" t="str">
        <f>IFERROR(__xludf.DUMMYFUNCTION("""COMPUTED_VALUE"""),"Y")</f>
        <v>Y</v>
      </c>
      <c r="F1526" s="3" t="str">
        <f>IFERROR(__xludf.DUMMYFUNCTION("""COMPUTED_VALUE"""),"Y")</f>
        <v>Y</v>
      </c>
      <c r="G1526" s="3"/>
      <c r="H1526" s="3"/>
      <c r="I1526" s="3" t="str">
        <f>IFERROR(__xludf.DUMMYFUNCTION("""COMPUTED_VALUE""")," ")</f>
        <v> </v>
      </c>
      <c r="J1526" s="3" t="str">
        <f>IFERROR(__xludf.DUMMYFUNCTION("""COMPUTED_VALUE""")," ")</f>
        <v> </v>
      </c>
      <c r="K1526" s="3" t="str">
        <f>IFERROR(__xludf.DUMMYFUNCTION("""COMPUTED_VALUE"""),"Y")</f>
        <v>Y</v>
      </c>
      <c r="L1526" s="3" t="str">
        <f>IFERROR(__xludf.DUMMYFUNCTION("""COMPUTED_VALUE"""),"Group 3")</f>
        <v>Group 3</v>
      </c>
      <c r="M1526" s="3"/>
      <c r="N1526" s="5" t="str">
        <f>IFERROR(__xludf.DUMMYFUNCTION("""COMPUTED_VALUE""")," ")</f>
        <v> </v>
      </c>
      <c r="O1526" s="5"/>
    </row>
    <row r="1527">
      <c r="A1527" s="2" t="str">
        <f>IFERROR(__xludf.DUMMYFUNCTION("""COMPUTED_VALUE"""),"2700")</f>
        <v>2700</v>
      </c>
      <c r="B1527" s="2" t="str">
        <f>IFERROR(__xludf.DUMMYFUNCTION("""COMPUTED_VALUE"""),"Pueblo County School District 70")</f>
        <v>Pueblo County School District 70</v>
      </c>
      <c r="C1527" s="2" t="str">
        <f>IFERROR(__xludf.DUMMYFUNCTION("""COMPUTED_VALUE"""),"00026")</f>
        <v>00026</v>
      </c>
      <c r="D1527" s="2" t="str">
        <f>IFERROR(__xludf.DUMMYFUNCTION("""COMPUTED_VALUE"""),"DESERT SAGE ELEMENTARY SCHOOL")</f>
        <v>DESERT SAGE ELEMENTARY SCHOOL</v>
      </c>
      <c r="E1527" s="3" t="str">
        <f>IFERROR(__xludf.DUMMYFUNCTION("""COMPUTED_VALUE"""),"Y")</f>
        <v>Y</v>
      </c>
      <c r="F1527" s="3" t="str">
        <f>IFERROR(__xludf.DUMMYFUNCTION("""COMPUTED_VALUE"""),"Y")</f>
        <v>Y</v>
      </c>
      <c r="G1527" s="3"/>
      <c r="H1527" s="3"/>
      <c r="I1527" s="3" t="str">
        <f>IFERROR(__xludf.DUMMYFUNCTION("""COMPUTED_VALUE""")," ")</f>
        <v> </v>
      </c>
      <c r="J1527" s="3" t="str">
        <f>IFERROR(__xludf.DUMMYFUNCTION("""COMPUTED_VALUE""")," ")</f>
        <v> </v>
      </c>
      <c r="K1527" s="3" t="str">
        <f>IFERROR(__xludf.DUMMYFUNCTION("""COMPUTED_VALUE"""),"Y")</f>
        <v>Y</v>
      </c>
      <c r="L1527" s="3" t="str">
        <f>IFERROR(__xludf.DUMMYFUNCTION("""COMPUTED_VALUE"""),"Group 6")</f>
        <v>Group 6</v>
      </c>
      <c r="M1527" s="3"/>
      <c r="N1527" s="5" t="str">
        <f>IFERROR(__xludf.DUMMYFUNCTION("""COMPUTED_VALUE""")," ")</f>
        <v> </v>
      </c>
      <c r="O1527" s="5"/>
    </row>
    <row r="1528">
      <c r="A1528" s="2" t="str">
        <f>IFERROR(__xludf.DUMMYFUNCTION("""COMPUTED_VALUE"""),"2700")</f>
        <v>2700</v>
      </c>
      <c r="B1528" s="2" t="str">
        <f>IFERROR(__xludf.DUMMYFUNCTION("""COMPUTED_VALUE"""),"Pueblo County School District 70")</f>
        <v>Pueblo County School District 70</v>
      </c>
      <c r="C1528" s="2" t="str">
        <f>IFERROR(__xludf.DUMMYFUNCTION("""COMPUTED_VALUE"""),"00472")</f>
        <v>00472</v>
      </c>
      <c r="D1528" s="2" t="str">
        <f>IFERROR(__xludf.DUMMYFUNCTION("""COMPUTED_VALUE"""),"AVONDALE ELEMENTARY SCHOOL")</f>
        <v>AVONDALE ELEMENTARY SCHOOL</v>
      </c>
      <c r="E1528" s="3" t="str">
        <f>IFERROR(__xludf.DUMMYFUNCTION("""COMPUTED_VALUE"""),"Y")</f>
        <v>Y</v>
      </c>
      <c r="F1528" s="3" t="str">
        <f>IFERROR(__xludf.DUMMYFUNCTION("""COMPUTED_VALUE"""),"Y")</f>
        <v>Y</v>
      </c>
      <c r="G1528" s="3"/>
      <c r="H1528" s="3"/>
      <c r="I1528" s="3" t="str">
        <f>IFERROR(__xludf.DUMMYFUNCTION("""COMPUTED_VALUE""")," ")</f>
        <v> </v>
      </c>
      <c r="J1528" s="3" t="str">
        <f>IFERROR(__xludf.DUMMYFUNCTION("""COMPUTED_VALUE"""),"Y")</f>
        <v>Y</v>
      </c>
      <c r="K1528" s="3" t="str">
        <f>IFERROR(__xludf.DUMMYFUNCTION("""COMPUTED_VALUE"""),"Y")</f>
        <v>Y</v>
      </c>
      <c r="L1528" s="3" t="str">
        <f>IFERROR(__xludf.DUMMYFUNCTION("""COMPUTED_VALUE"""),"Group 5")</f>
        <v>Group 5</v>
      </c>
      <c r="M1528" s="3"/>
      <c r="N1528" s="5" t="str">
        <f>IFERROR(__xludf.DUMMYFUNCTION("""COMPUTED_VALUE"""),"Y")</f>
        <v>Y</v>
      </c>
      <c r="O1528" s="5"/>
    </row>
    <row r="1529">
      <c r="A1529" s="2" t="str">
        <f>IFERROR(__xludf.DUMMYFUNCTION("""COMPUTED_VALUE"""),"2700")</f>
        <v>2700</v>
      </c>
      <c r="B1529" s="2" t="str">
        <f>IFERROR(__xludf.DUMMYFUNCTION("""COMPUTED_VALUE"""),"Pueblo County School District 70")</f>
        <v>Pueblo County School District 70</v>
      </c>
      <c r="C1529" s="2" t="str">
        <f>IFERROR(__xludf.DUMMYFUNCTION("""COMPUTED_VALUE"""),"00852")</f>
        <v>00852</v>
      </c>
      <c r="D1529" s="2" t="str">
        <f>IFERROR(__xludf.DUMMYFUNCTION("""COMPUTED_VALUE"""),"BEULAH ELEMENTARY SCHOOL")</f>
        <v>BEULAH ELEMENTARY SCHOOL</v>
      </c>
      <c r="E1529" s="3" t="str">
        <f>IFERROR(__xludf.DUMMYFUNCTION("""COMPUTED_VALUE"""),"Y")</f>
        <v>Y</v>
      </c>
      <c r="F1529" s="3" t="str">
        <f>IFERROR(__xludf.DUMMYFUNCTION("""COMPUTED_VALUE"""),"Y")</f>
        <v>Y</v>
      </c>
      <c r="G1529" s="3"/>
      <c r="H1529" s="3"/>
      <c r="I1529" s="3" t="str">
        <f>IFERROR(__xludf.DUMMYFUNCTION("""COMPUTED_VALUE""")," ")</f>
        <v> </v>
      </c>
      <c r="J1529" s="3" t="str">
        <f>IFERROR(__xludf.DUMMYFUNCTION("""COMPUTED_VALUE""")," ")</f>
        <v> </v>
      </c>
      <c r="K1529" s="3" t="str">
        <f>IFERROR(__xludf.DUMMYFUNCTION("""COMPUTED_VALUE"""),"Y")</f>
        <v>Y</v>
      </c>
      <c r="L1529" s="3" t="str">
        <f>IFERROR(__xludf.DUMMYFUNCTION("""COMPUTED_VALUE"""),"Group 11")</f>
        <v>Group 11</v>
      </c>
      <c r="M1529" s="3"/>
      <c r="N1529" s="5" t="str">
        <f>IFERROR(__xludf.DUMMYFUNCTION("""COMPUTED_VALUE""")," ")</f>
        <v> </v>
      </c>
      <c r="O1529" s="5"/>
    </row>
    <row r="1530">
      <c r="A1530" s="2" t="str">
        <f>IFERROR(__xludf.DUMMYFUNCTION("""COMPUTED_VALUE"""),"2700")</f>
        <v>2700</v>
      </c>
      <c r="B1530" s="2" t="str">
        <f>IFERROR(__xludf.DUMMYFUNCTION("""COMPUTED_VALUE"""),"Pueblo County School District 70")</f>
        <v>Pueblo County School District 70</v>
      </c>
      <c r="C1530" s="2" t="str">
        <f>IFERROR(__xludf.DUMMYFUNCTION("""COMPUTED_VALUE"""),"00856")</f>
        <v>00856</v>
      </c>
      <c r="D1530" s="2" t="str">
        <f>IFERROR(__xludf.DUMMYFUNCTION("""COMPUTED_VALUE"""),"BEULAH MIDDLE SCHOOL")</f>
        <v>BEULAH MIDDLE SCHOOL</v>
      </c>
      <c r="E1530" s="3" t="str">
        <f>IFERROR(__xludf.DUMMYFUNCTION("""COMPUTED_VALUE"""),"Y")</f>
        <v>Y</v>
      </c>
      <c r="F1530" s="3" t="str">
        <f>IFERROR(__xludf.DUMMYFUNCTION("""COMPUTED_VALUE"""),"Y")</f>
        <v>Y</v>
      </c>
      <c r="G1530" s="3"/>
      <c r="H1530" s="3"/>
      <c r="I1530" s="3" t="str">
        <f>IFERROR(__xludf.DUMMYFUNCTION("""COMPUTED_VALUE""")," ")</f>
        <v> </v>
      </c>
      <c r="J1530" s="3" t="str">
        <f>IFERROR(__xludf.DUMMYFUNCTION("""COMPUTED_VALUE""")," ")</f>
        <v> </v>
      </c>
      <c r="K1530" s="3" t="str">
        <f>IFERROR(__xludf.DUMMYFUNCTION("""COMPUTED_VALUE"""),"Y")</f>
        <v>Y</v>
      </c>
      <c r="L1530" s="3" t="str">
        <f>IFERROR(__xludf.DUMMYFUNCTION("""COMPUTED_VALUE"""),"Group 8")</f>
        <v>Group 8</v>
      </c>
      <c r="M1530" s="3"/>
      <c r="N1530" s="5" t="str">
        <f>IFERROR(__xludf.DUMMYFUNCTION("""COMPUTED_VALUE""")," ")</f>
        <v> </v>
      </c>
      <c r="O1530" s="5"/>
    </row>
    <row r="1531">
      <c r="A1531" s="2" t="str">
        <f>IFERROR(__xludf.DUMMYFUNCTION("""COMPUTED_VALUE"""),"2700")</f>
        <v>2700</v>
      </c>
      <c r="B1531" s="2" t="str">
        <f>IFERROR(__xludf.DUMMYFUNCTION("""COMPUTED_VALUE"""),"Pueblo County School District 70")</f>
        <v>Pueblo County School District 70</v>
      </c>
      <c r="C1531" s="2" t="str">
        <f>IFERROR(__xludf.DUMMYFUNCTION("""COMPUTED_VALUE"""),"01377")</f>
        <v>01377</v>
      </c>
      <c r="D1531" s="2" t="str">
        <f>IFERROR(__xludf.DUMMYFUNCTION("""COMPUTED_VALUE"""),"CEDAR RIDGE ELEMENTARY")</f>
        <v>CEDAR RIDGE ELEMENTARY</v>
      </c>
      <c r="E1531" s="3" t="str">
        <f>IFERROR(__xludf.DUMMYFUNCTION("""COMPUTED_VALUE"""),"Y")</f>
        <v>Y</v>
      </c>
      <c r="F1531" s="3" t="str">
        <f>IFERROR(__xludf.DUMMYFUNCTION("""COMPUTED_VALUE"""),"Y")</f>
        <v>Y</v>
      </c>
      <c r="G1531" s="3"/>
      <c r="H1531" s="3"/>
      <c r="I1531" s="3" t="str">
        <f>IFERROR(__xludf.DUMMYFUNCTION("""COMPUTED_VALUE""")," ")</f>
        <v> </v>
      </c>
      <c r="J1531" s="3" t="str">
        <f>IFERROR(__xludf.DUMMYFUNCTION("""COMPUTED_VALUE""")," ")</f>
        <v> </v>
      </c>
      <c r="K1531" s="3" t="str">
        <f>IFERROR(__xludf.DUMMYFUNCTION("""COMPUTED_VALUE"""),"Y")</f>
        <v>Y</v>
      </c>
      <c r="L1531" s="3" t="str">
        <f>IFERROR(__xludf.DUMMYFUNCTION("""COMPUTED_VALUE"""),"Group 9")</f>
        <v>Group 9</v>
      </c>
      <c r="M1531" s="3"/>
      <c r="N1531" s="5" t="str">
        <f>IFERROR(__xludf.DUMMYFUNCTION("""COMPUTED_VALUE""")," ")</f>
        <v> </v>
      </c>
      <c r="O1531" s="5"/>
    </row>
    <row r="1532">
      <c r="A1532" s="2" t="str">
        <f>IFERROR(__xludf.DUMMYFUNCTION("""COMPUTED_VALUE"""),"2700")</f>
        <v>2700</v>
      </c>
      <c r="B1532" s="2" t="str">
        <f>IFERROR(__xludf.DUMMYFUNCTION("""COMPUTED_VALUE"""),"Pueblo County School District 70")</f>
        <v>Pueblo County School District 70</v>
      </c>
      <c r="C1532" s="2" t="str">
        <f>IFERROR(__xludf.DUMMYFUNCTION("""COMPUTED_VALUE"""),"05903")</f>
        <v>05903</v>
      </c>
      <c r="D1532" s="2" t="str">
        <f>IFERROR(__xludf.DUMMYFUNCTION("""COMPUTED_VALUE"""),"VILLA BELLA MIDDLE SCHOOL")</f>
        <v>VILLA BELLA MIDDLE SCHOOL</v>
      </c>
      <c r="E1532" s="3" t="str">
        <f>IFERROR(__xludf.DUMMYFUNCTION("""COMPUTED_VALUE"""),"Y")</f>
        <v>Y</v>
      </c>
      <c r="F1532" s="3" t="str">
        <f>IFERROR(__xludf.DUMMYFUNCTION("""COMPUTED_VALUE"""),"Y")</f>
        <v>Y</v>
      </c>
      <c r="G1532" s="3"/>
      <c r="H1532" s="3"/>
      <c r="I1532" s="3" t="str">
        <f>IFERROR(__xludf.DUMMYFUNCTION("""COMPUTED_VALUE""")," ")</f>
        <v> </v>
      </c>
      <c r="J1532" s="3" t="str">
        <f>IFERROR(__xludf.DUMMYFUNCTION("""COMPUTED_VALUE""")," ")</f>
        <v> </v>
      </c>
      <c r="K1532" s="3" t="str">
        <f>IFERROR(__xludf.DUMMYFUNCTION("""COMPUTED_VALUE"""),"Y")</f>
        <v>Y</v>
      </c>
      <c r="L1532" s="3" t="str">
        <f>IFERROR(__xludf.DUMMYFUNCTION("""COMPUTED_VALUE""")," ")</f>
        <v> </v>
      </c>
      <c r="M1532" s="3"/>
      <c r="N1532" s="5" t="str">
        <f>IFERROR(__xludf.DUMMYFUNCTION("""COMPUTED_VALUE""")," ")</f>
        <v> </v>
      </c>
      <c r="O1532" s="5"/>
    </row>
    <row r="1533">
      <c r="A1533" s="2" t="str">
        <f>IFERROR(__xludf.DUMMYFUNCTION("""COMPUTED_VALUE"""),"2700")</f>
        <v>2700</v>
      </c>
      <c r="B1533" s="2" t="str">
        <f>IFERROR(__xludf.DUMMYFUNCTION("""COMPUTED_VALUE"""),"Pueblo County School District 70")</f>
        <v>Pueblo County School District 70</v>
      </c>
      <c r="C1533" s="2" t="str">
        <f>IFERROR(__xludf.DUMMYFUNCTION("""COMPUTED_VALUE"""),"05990")</f>
        <v>05990</v>
      </c>
      <c r="D1533" s="2" t="str">
        <f>IFERROR(__xludf.DUMMYFUNCTION("""COMPUTED_VALUE"""),"D70 Online")</f>
        <v>D70 Online</v>
      </c>
      <c r="E1533" s="3" t="str">
        <f>IFERROR(__xludf.DUMMYFUNCTION("""COMPUTED_VALUE"""),"Y")</f>
        <v>Y</v>
      </c>
      <c r="F1533" s="3" t="str">
        <f>IFERROR(__xludf.DUMMYFUNCTION("""COMPUTED_VALUE"""),"Y")</f>
        <v>Y</v>
      </c>
      <c r="G1533" s="3"/>
      <c r="H1533" s="3"/>
      <c r="I1533" s="3" t="str">
        <f>IFERROR(__xludf.DUMMYFUNCTION("""COMPUTED_VALUE""")," ")</f>
        <v> </v>
      </c>
      <c r="J1533" s="3" t="str">
        <f>IFERROR(__xludf.DUMMYFUNCTION("""COMPUTED_VALUE""")," ")</f>
        <v> </v>
      </c>
      <c r="K1533" s="3" t="str">
        <f>IFERROR(__xludf.DUMMYFUNCTION("""COMPUTED_VALUE"""),"Y")</f>
        <v>Y</v>
      </c>
      <c r="L1533" s="3" t="str">
        <f>IFERROR(__xludf.DUMMYFUNCTION("""COMPUTED_VALUE""")," ")</f>
        <v> </v>
      </c>
      <c r="M1533" s="3"/>
      <c r="N1533" s="5" t="str">
        <f>IFERROR(__xludf.DUMMYFUNCTION("""COMPUTED_VALUE""")," ")</f>
        <v> </v>
      </c>
      <c r="O1533" s="5"/>
    </row>
    <row r="1534">
      <c r="A1534" s="2" t="str">
        <f>IFERROR(__xludf.DUMMYFUNCTION("""COMPUTED_VALUE"""),"2700")</f>
        <v>2700</v>
      </c>
      <c r="B1534" s="2" t="str">
        <f>IFERROR(__xludf.DUMMYFUNCTION("""COMPUTED_VALUE"""),"Pueblo County School District 70")</f>
        <v>Pueblo County School District 70</v>
      </c>
      <c r="C1534" s="2" t="str">
        <f>IFERROR(__xludf.DUMMYFUNCTION("""COMPUTED_VALUE"""),"06354")</f>
        <v>06354</v>
      </c>
      <c r="D1534" s="2" t="str">
        <f>IFERROR(__xludf.DUMMYFUNCTION("""COMPUTED_VALUE"""),"NORTH MESA ELEMENTARY SCHOOL")</f>
        <v>NORTH MESA ELEMENTARY SCHOOL</v>
      </c>
      <c r="E1534" s="3" t="str">
        <f>IFERROR(__xludf.DUMMYFUNCTION("""COMPUTED_VALUE"""),"Y")</f>
        <v>Y</v>
      </c>
      <c r="F1534" s="3" t="str">
        <f>IFERROR(__xludf.DUMMYFUNCTION("""COMPUTED_VALUE"""),"Y")</f>
        <v>Y</v>
      </c>
      <c r="G1534" s="3"/>
      <c r="H1534" s="3"/>
      <c r="I1534" s="3" t="str">
        <f>IFERROR(__xludf.DUMMYFUNCTION("""COMPUTED_VALUE""")," ")</f>
        <v> </v>
      </c>
      <c r="J1534" s="3" t="str">
        <f>IFERROR(__xludf.DUMMYFUNCTION("""COMPUTED_VALUE""")," ")</f>
        <v> </v>
      </c>
      <c r="K1534" s="3" t="str">
        <f>IFERROR(__xludf.DUMMYFUNCTION("""COMPUTED_VALUE"""),"Y")</f>
        <v>Y</v>
      </c>
      <c r="L1534" s="3" t="str">
        <f>IFERROR(__xludf.DUMMYFUNCTION("""COMPUTED_VALUE"""),"Group 11")</f>
        <v>Group 11</v>
      </c>
      <c r="M1534" s="3"/>
      <c r="N1534" s="5" t="str">
        <f>IFERROR(__xludf.DUMMYFUNCTION("""COMPUTED_VALUE""")," ")</f>
        <v> </v>
      </c>
      <c r="O1534" s="5"/>
    </row>
    <row r="1535">
      <c r="A1535" s="2" t="str">
        <f>IFERROR(__xludf.DUMMYFUNCTION("""COMPUTED_VALUE"""),"2700")</f>
        <v>2700</v>
      </c>
      <c r="B1535" s="2" t="str">
        <f>IFERROR(__xludf.DUMMYFUNCTION("""COMPUTED_VALUE"""),"Pueblo County School District 70")</f>
        <v>Pueblo County School District 70</v>
      </c>
      <c r="C1535" s="2" t="str">
        <f>IFERROR(__xludf.DUMMYFUNCTION("""COMPUTED_VALUE"""),"07086")</f>
        <v>07086</v>
      </c>
      <c r="D1535" s="2" t="str">
        <f>IFERROR(__xludf.DUMMYFUNCTION("""COMPUTED_VALUE"""),"PLEASANT VIEW MIDDLE SCHOOL")</f>
        <v>PLEASANT VIEW MIDDLE SCHOOL</v>
      </c>
      <c r="E1535" s="3" t="str">
        <f>IFERROR(__xludf.DUMMYFUNCTION("""COMPUTED_VALUE"""),"Y")</f>
        <v>Y</v>
      </c>
      <c r="F1535" s="3" t="str">
        <f>IFERROR(__xludf.DUMMYFUNCTION("""COMPUTED_VALUE"""),"Y")</f>
        <v>Y</v>
      </c>
      <c r="G1535" s="3"/>
      <c r="H1535" s="3"/>
      <c r="I1535" s="3" t="str">
        <f>IFERROR(__xludf.DUMMYFUNCTION("""COMPUTED_VALUE""")," ")</f>
        <v> </v>
      </c>
      <c r="J1535" s="3" t="str">
        <f>IFERROR(__xludf.DUMMYFUNCTION("""COMPUTED_VALUE""")," ")</f>
        <v> </v>
      </c>
      <c r="K1535" s="3" t="str">
        <f>IFERROR(__xludf.DUMMYFUNCTION("""COMPUTED_VALUE"""),"Y")</f>
        <v>Y</v>
      </c>
      <c r="L1535" s="3" t="str">
        <f>IFERROR(__xludf.DUMMYFUNCTION("""COMPUTED_VALUE"""),"Group 8")</f>
        <v>Group 8</v>
      </c>
      <c r="M1535" s="3"/>
      <c r="N1535" s="5" t="str">
        <f>IFERROR(__xludf.DUMMYFUNCTION("""COMPUTED_VALUE""")," ")</f>
        <v> </v>
      </c>
      <c r="O1535" s="5"/>
    </row>
    <row r="1536">
      <c r="A1536" s="2" t="str">
        <f>IFERROR(__xludf.DUMMYFUNCTION("""COMPUTED_VALUE"""),"2700")</f>
        <v>2700</v>
      </c>
      <c r="B1536" s="2" t="str">
        <f>IFERROR(__xludf.DUMMYFUNCTION("""COMPUTED_VALUE"""),"Pueblo County School District 70")</f>
        <v>Pueblo County School District 70</v>
      </c>
      <c r="C1536" s="2" t="str">
        <f>IFERROR(__xludf.DUMMYFUNCTION("""COMPUTED_VALUE"""),"07153")</f>
        <v>07153</v>
      </c>
      <c r="D1536" s="2" t="str">
        <f>IFERROR(__xludf.DUMMYFUNCTION("""COMPUTED_VALUE"""),"PRAIRIE WINDS ELEMENTARY")</f>
        <v>PRAIRIE WINDS ELEMENTARY</v>
      </c>
      <c r="E1536" s="3" t="str">
        <f>IFERROR(__xludf.DUMMYFUNCTION("""COMPUTED_VALUE"""),"Y")</f>
        <v>Y</v>
      </c>
      <c r="F1536" s="3" t="str">
        <f>IFERROR(__xludf.DUMMYFUNCTION("""COMPUTED_VALUE"""),"Y")</f>
        <v>Y</v>
      </c>
      <c r="G1536" s="3"/>
      <c r="H1536" s="3"/>
      <c r="I1536" s="3" t="str">
        <f>IFERROR(__xludf.DUMMYFUNCTION("""COMPUTED_VALUE""")," ")</f>
        <v> </v>
      </c>
      <c r="J1536" s="3" t="str">
        <f>IFERROR(__xludf.DUMMYFUNCTION("""COMPUTED_VALUE""")," ")</f>
        <v> </v>
      </c>
      <c r="K1536" s="3" t="str">
        <f>IFERROR(__xludf.DUMMYFUNCTION("""COMPUTED_VALUE"""),"Y")</f>
        <v>Y</v>
      </c>
      <c r="L1536" s="3" t="str">
        <f>IFERROR(__xludf.DUMMYFUNCTION("""COMPUTED_VALUE"""),"Group 1")</f>
        <v>Group 1</v>
      </c>
      <c r="M1536" s="3"/>
      <c r="N1536" s="5" t="str">
        <f>IFERROR(__xludf.DUMMYFUNCTION("""COMPUTED_VALUE"""),"Y")</f>
        <v>Y</v>
      </c>
      <c r="O1536" s="5"/>
    </row>
    <row r="1537">
      <c r="A1537" s="2" t="str">
        <f>IFERROR(__xludf.DUMMYFUNCTION("""COMPUTED_VALUE"""),"2700")</f>
        <v>2700</v>
      </c>
      <c r="B1537" s="2" t="str">
        <f>IFERROR(__xludf.DUMMYFUNCTION("""COMPUTED_VALUE"""),"Pueblo County School District 70")</f>
        <v>Pueblo County School District 70</v>
      </c>
      <c r="C1537" s="2" t="str">
        <f>IFERROR(__xludf.DUMMYFUNCTION("""COMPUTED_VALUE"""),"07208")</f>
        <v>07208</v>
      </c>
      <c r="D1537" s="2" t="str">
        <f>IFERROR(__xludf.DUMMYFUNCTION("""COMPUTED_VALUE"""),"PUEBLO COUNTY HIGH SCHOOL")</f>
        <v>PUEBLO COUNTY HIGH SCHOOL</v>
      </c>
      <c r="E1537" s="3" t="str">
        <f>IFERROR(__xludf.DUMMYFUNCTION("""COMPUTED_VALUE"""),"Y")</f>
        <v>Y</v>
      </c>
      <c r="F1537" s="3" t="str">
        <f>IFERROR(__xludf.DUMMYFUNCTION("""COMPUTED_VALUE"""),"Y")</f>
        <v>Y</v>
      </c>
      <c r="G1537" s="3"/>
      <c r="H1537" s="3"/>
      <c r="I1537" s="3" t="str">
        <f>IFERROR(__xludf.DUMMYFUNCTION("""COMPUTED_VALUE""")," ")</f>
        <v> </v>
      </c>
      <c r="J1537" s="3" t="str">
        <f>IFERROR(__xludf.DUMMYFUNCTION("""COMPUTED_VALUE""")," ")</f>
        <v> </v>
      </c>
      <c r="K1537" s="3" t="str">
        <f>IFERROR(__xludf.DUMMYFUNCTION("""COMPUTED_VALUE"""),"Y")</f>
        <v>Y</v>
      </c>
      <c r="L1537" s="3" t="str">
        <f>IFERROR(__xludf.DUMMYFUNCTION("""COMPUTED_VALUE"""),"Group 9")</f>
        <v>Group 9</v>
      </c>
      <c r="M1537" s="3"/>
      <c r="N1537" s="5" t="str">
        <f>IFERROR(__xludf.DUMMYFUNCTION("""COMPUTED_VALUE""")," ")</f>
        <v> </v>
      </c>
      <c r="O1537" s="5"/>
    </row>
    <row r="1538">
      <c r="A1538" s="2" t="str">
        <f>IFERROR(__xludf.DUMMYFUNCTION("""COMPUTED_VALUE"""),"2700")</f>
        <v>2700</v>
      </c>
      <c r="B1538" s="2" t="str">
        <f>IFERROR(__xludf.DUMMYFUNCTION("""COMPUTED_VALUE"""),"Pueblo County School District 70")</f>
        <v>Pueblo County School District 70</v>
      </c>
      <c r="C1538" s="2" t="str">
        <f>IFERROR(__xludf.DUMMYFUNCTION("""COMPUTED_VALUE"""),"07210")</f>
        <v>07210</v>
      </c>
      <c r="D1538" s="2" t="str">
        <f>IFERROR(__xludf.DUMMYFUNCTION("""COMPUTED_VALUE"""),"LIBERTY POINT ELEMENTARY SCHOOL")</f>
        <v>LIBERTY POINT ELEMENTARY SCHOOL</v>
      </c>
      <c r="E1538" s="3" t="str">
        <f>IFERROR(__xludf.DUMMYFUNCTION("""COMPUTED_VALUE"""),"Y")</f>
        <v>Y</v>
      </c>
      <c r="F1538" s="3" t="str">
        <f>IFERROR(__xludf.DUMMYFUNCTION("""COMPUTED_VALUE"""),"Y")</f>
        <v>Y</v>
      </c>
      <c r="G1538" s="3"/>
      <c r="H1538" s="3"/>
      <c r="I1538" s="3" t="str">
        <f>IFERROR(__xludf.DUMMYFUNCTION("""COMPUTED_VALUE""")," ")</f>
        <v> </v>
      </c>
      <c r="J1538" s="3" t="str">
        <f>IFERROR(__xludf.DUMMYFUNCTION("""COMPUTED_VALUE"""),"Y")</f>
        <v>Y</v>
      </c>
      <c r="K1538" s="3" t="str">
        <f>IFERROR(__xludf.DUMMYFUNCTION("""COMPUTED_VALUE"""),"Y")</f>
        <v>Y</v>
      </c>
      <c r="L1538" s="3" t="str">
        <f>IFERROR(__xludf.DUMMYFUNCTION("""COMPUTED_VALUE"""),"Group 5")</f>
        <v>Group 5</v>
      </c>
      <c r="M1538" s="3"/>
      <c r="N1538" s="5" t="str">
        <f>IFERROR(__xludf.DUMMYFUNCTION("""COMPUTED_VALUE""")," ")</f>
        <v> </v>
      </c>
      <c r="O1538" s="5"/>
    </row>
    <row r="1539">
      <c r="A1539" s="2" t="str">
        <f>IFERROR(__xludf.DUMMYFUNCTION("""COMPUTED_VALUE"""),"2700")</f>
        <v>2700</v>
      </c>
      <c r="B1539" s="2" t="str">
        <f>IFERROR(__xludf.DUMMYFUNCTION("""COMPUTED_VALUE"""),"Pueblo County School District 70")</f>
        <v>Pueblo County School District 70</v>
      </c>
      <c r="C1539" s="2" t="str">
        <f>IFERROR(__xludf.DUMMYFUNCTION("""COMPUTED_VALUE"""),"07212")</f>
        <v>07212</v>
      </c>
      <c r="D1539" s="2" t="str">
        <f>IFERROR(__xludf.DUMMYFUNCTION("""COMPUTED_VALUE"""),"LIBERTY POINT INTERNATIONAL SCHOOL")</f>
        <v>LIBERTY POINT INTERNATIONAL SCHOOL</v>
      </c>
      <c r="E1539" s="3" t="str">
        <f>IFERROR(__xludf.DUMMYFUNCTION("""COMPUTED_VALUE"""),"Y")</f>
        <v>Y</v>
      </c>
      <c r="F1539" s="3" t="str">
        <f>IFERROR(__xludf.DUMMYFUNCTION("""COMPUTED_VALUE"""),"Y")</f>
        <v>Y</v>
      </c>
      <c r="G1539" s="3"/>
      <c r="H1539" s="3"/>
      <c r="I1539" s="3" t="str">
        <f>IFERROR(__xludf.DUMMYFUNCTION("""COMPUTED_VALUE""")," ")</f>
        <v> </v>
      </c>
      <c r="J1539" s="3" t="str">
        <f>IFERROR(__xludf.DUMMYFUNCTION("""COMPUTED_VALUE""")," ")</f>
        <v> </v>
      </c>
      <c r="K1539" s="3" t="str">
        <f>IFERROR(__xludf.DUMMYFUNCTION("""COMPUTED_VALUE"""),"Y")</f>
        <v>Y</v>
      </c>
      <c r="L1539" s="3" t="str">
        <f>IFERROR(__xludf.DUMMYFUNCTION("""COMPUTED_VALUE"""),"Group 6")</f>
        <v>Group 6</v>
      </c>
      <c r="M1539" s="3"/>
      <c r="N1539" s="5" t="str">
        <f>IFERROR(__xludf.DUMMYFUNCTION("""COMPUTED_VALUE"""),"Y")</f>
        <v>Y</v>
      </c>
      <c r="O1539" s="5"/>
    </row>
    <row r="1540">
      <c r="A1540" s="2" t="str">
        <f>IFERROR(__xludf.DUMMYFUNCTION("""COMPUTED_VALUE"""),"2700")</f>
        <v>2700</v>
      </c>
      <c r="B1540" s="2" t="str">
        <f>IFERROR(__xludf.DUMMYFUNCTION("""COMPUTED_VALUE"""),"Pueblo County School District 70")</f>
        <v>Pueblo County School District 70</v>
      </c>
      <c r="C1540" s="2" t="str">
        <f>IFERROR(__xludf.DUMMYFUNCTION("""COMPUTED_VALUE"""),"07214")</f>
        <v>07214</v>
      </c>
      <c r="D1540" s="2" t="str">
        <f>IFERROR(__xludf.DUMMYFUNCTION("""COMPUTED_VALUE"""),"PUEBLO WEST HIGH SCHOOL")</f>
        <v>PUEBLO WEST HIGH SCHOOL</v>
      </c>
      <c r="E1540" s="3" t="str">
        <f>IFERROR(__xludf.DUMMYFUNCTION("""COMPUTED_VALUE"""),"Y")</f>
        <v>Y</v>
      </c>
      <c r="F1540" s="3" t="str">
        <f>IFERROR(__xludf.DUMMYFUNCTION("""COMPUTED_VALUE"""),"Y")</f>
        <v>Y</v>
      </c>
      <c r="G1540" s="3"/>
      <c r="H1540" s="3"/>
      <c r="I1540" s="3" t="str">
        <f>IFERROR(__xludf.DUMMYFUNCTION("""COMPUTED_VALUE""")," ")</f>
        <v> </v>
      </c>
      <c r="J1540" s="3" t="str">
        <f>IFERROR(__xludf.DUMMYFUNCTION("""COMPUTED_VALUE""")," ")</f>
        <v> </v>
      </c>
      <c r="K1540" s="3" t="str">
        <f>IFERROR(__xludf.DUMMYFUNCTION("""COMPUTED_VALUE"""),"Y")</f>
        <v>Y</v>
      </c>
      <c r="L1540" s="3" t="str">
        <f>IFERROR(__xludf.DUMMYFUNCTION("""COMPUTED_VALUE"""),"Group 10")</f>
        <v>Group 10</v>
      </c>
      <c r="M1540" s="3"/>
      <c r="N1540" s="5" t="str">
        <f>IFERROR(__xludf.DUMMYFUNCTION("""COMPUTED_VALUE""")," ")</f>
        <v> </v>
      </c>
      <c r="O1540" s="5"/>
    </row>
    <row r="1541">
      <c r="A1541" s="2" t="str">
        <f>IFERROR(__xludf.DUMMYFUNCTION("""COMPUTED_VALUE"""),"2700")</f>
        <v>2700</v>
      </c>
      <c r="B1541" s="2" t="str">
        <f>IFERROR(__xludf.DUMMYFUNCTION("""COMPUTED_VALUE"""),"Pueblo County School District 70")</f>
        <v>Pueblo County School District 70</v>
      </c>
      <c r="C1541" s="2" t="str">
        <f>IFERROR(__xludf.DUMMYFUNCTION("""COMPUTED_VALUE"""),"07530")</f>
        <v>07530</v>
      </c>
      <c r="D1541" s="2" t="str">
        <f>IFERROR(__xludf.DUMMYFUNCTION("""COMPUTED_VALUE"""),"RYE ELEMENTARY SCHOOL")</f>
        <v>RYE ELEMENTARY SCHOOL</v>
      </c>
      <c r="E1541" s="3" t="str">
        <f>IFERROR(__xludf.DUMMYFUNCTION("""COMPUTED_VALUE"""),"Y")</f>
        <v>Y</v>
      </c>
      <c r="F1541" s="3" t="str">
        <f>IFERROR(__xludf.DUMMYFUNCTION("""COMPUTED_VALUE"""),"Y")</f>
        <v>Y</v>
      </c>
      <c r="G1541" s="3"/>
      <c r="H1541" s="3"/>
      <c r="I1541" s="3" t="str">
        <f>IFERROR(__xludf.DUMMYFUNCTION("""COMPUTED_VALUE""")," ")</f>
        <v> </v>
      </c>
      <c r="J1541" s="3" t="str">
        <f>IFERROR(__xludf.DUMMYFUNCTION("""COMPUTED_VALUE""")," ")</f>
        <v> </v>
      </c>
      <c r="K1541" s="3" t="str">
        <f>IFERROR(__xludf.DUMMYFUNCTION("""COMPUTED_VALUE"""),"Y")</f>
        <v>Y</v>
      </c>
      <c r="L1541" s="3" t="str">
        <f>IFERROR(__xludf.DUMMYFUNCTION("""COMPUTED_VALUE"""),"Group 4")</f>
        <v>Group 4</v>
      </c>
      <c r="M1541" s="3"/>
      <c r="N1541" s="5" t="str">
        <f>IFERROR(__xludf.DUMMYFUNCTION("""COMPUTED_VALUE""")," ")</f>
        <v> </v>
      </c>
      <c r="O1541" s="5"/>
    </row>
    <row r="1542">
      <c r="A1542" s="2" t="str">
        <f>IFERROR(__xludf.DUMMYFUNCTION("""COMPUTED_VALUE"""),"2700")</f>
        <v>2700</v>
      </c>
      <c r="B1542" s="2" t="str">
        <f>IFERROR(__xludf.DUMMYFUNCTION("""COMPUTED_VALUE"""),"Pueblo County School District 70")</f>
        <v>Pueblo County School District 70</v>
      </c>
      <c r="C1542" s="2" t="str">
        <f>IFERROR(__xludf.DUMMYFUNCTION("""COMPUTED_VALUE"""),"07532")</f>
        <v>07532</v>
      </c>
      <c r="D1542" s="2" t="str">
        <f>IFERROR(__xludf.DUMMYFUNCTION("""COMPUTED_VALUE"""),"CRAVER MIDDLE SCHOOL")</f>
        <v>CRAVER MIDDLE SCHOOL</v>
      </c>
      <c r="E1542" s="3" t="str">
        <f>IFERROR(__xludf.DUMMYFUNCTION("""COMPUTED_VALUE"""),"Y")</f>
        <v>Y</v>
      </c>
      <c r="F1542" s="3" t="str">
        <f>IFERROR(__xludf.DUMMYFUNCTION("""COMPUTED_VALUE"""),"Y")</f>
        <v>Y</v>
      </c>
      <c r="G1542" s="3"/>
      <c r="H1542" s="3"/>
      <c r="I1542" s="3" t="str">
        <f>IFERROR(__xludf.DUMMYFUNCTION("""COMPUTED_VALUE""")," ")</f>
        <v> </v>
      </c>
      <c r="J1542" s="3" t="str">
        <f>IFERROR(__xludf.DUMMYFUNCTION("""COMPUTED_VALUE""")," ")</f>
        <v> </v>
      </c>
      <c r="K1542" s="3" t="str">
        <f>IFERROR(__xludf.DUMMYFUNCTION("""COMPUTED_VALUE"""),"Y")</f>
        <v>Y</v>
      </c>
      <c r="L1542" s="3" t="str">
        <f>IFERROR(__xludf.DUMMYFUNCTION("""COMPUTED_VALUE"""),"Group 2")</f>
        <v>Group 2</v>
      </c>
      <c r="M1542" s="3"/>
      <c r="N1542" s="5" t="str">
        <f>IFERROR(__xludf.DUMMYFUNCTION("""COMPUTED_VALUE"""),"Y")</f>
        <v>Y</v>
      </c>
      <c r="O1542" s="5"/>
    </row>
    <row r="1543">
      <c r="A1543" s="2" t="str">
        <f>IFERROR(__xludf.DUMMYFUNCTION("""COMPUTED_VALUE"""),"2700")</f>
        <v>2700</v>
      </c>
      <c r="B1543" s="2" t="str">
        <f>IFERROR(__xludf.DUMMYFUNCTION("""COMPUTED_VALUE"""),"Pueblo County School District 70")</f>
        <v>Pueblo County School District 70</v>
      </c>
      <c r="C1543" s="2" t="str">
        <f>IFERROR(__xludf.DUMMYFUNCTION("""COMPUTED_VALUE"""),"07534")</f>
        <v>07534</v>
      </c>
      <c r="D1543" s="2" t="str">
        <f>IFERROR(__xludf.DUMMYFUNCTION("""COMPUTED_VALUE"""),"RYE HIGH SCHOOL")</f>
        <v>RYE HIGH SCHOOL</v>
      </c>
      <c r="E1543" s="3" t="str">
        <f>IFERROR(__xludf.DUMMYFUNCTION("""COMPUTED_VALUE"""),"Y")</f>
        <v>Y</v>
      </c>
      <c r="F1543" s="3" t="str">
        <f>IFERROR(__xludf.DUMMYFUNCTION("""COMPUTED_VALUE"""),"Y")</f>
        <v>Y</v>
      </c>
      <c r="G1543" s="3"/>
      <c r="H1543" s="3"/>
      <c r="I1543" s="3" t="str">
        <f>IFERROR(__xludf.DUMMYFUNCTION("""COMPUTED_VALUE""")," ")</f>
        <v> </v>
      </c>
      <c r="J1543" s="3" t="str">
        <f>IFERROR(__xludf.DUMMYFUNCTION("""COMPUTED_VALUE""")," ")</f>
        <v> </v>
      </c>
      <c r="K1543" s="3" t="str">
        <f>IFERROR(__xludf.DUMMYFUNCTION("""COMPUTED_VALUE"""),"Y")</f>
        <v>Y</v>
      </c>
      <c r="L1543" s="3" t="str">
        <f>IFERROR(__xludf.DUMMYFUNCTION("""COMPUTED_VALUE"""),"Group 10")</f>
        <v>Group 10</v>
      </c>
      <c r="M1543" s="3"/>
      <c r="N1543" s="5" t="str">
        <f>IFERROR(__xludf.DUMMYFUNCTION("""COMPUTED_VALUE""")," ")</f>
        <v> </v>
      </c>
      <c r="O1543" s="5"/>
    </row>
    <row r="1544">
      <c r="A1544" s="2" t="str">
        <f>IFERROR(__xludf.DUMMYFUNCTION("""COMPUTED_VALUE"""),"2700")</f>
        <v>2700</v>
      </c>
      <c r="B1544" s="2" t="str">
        <f>IFERROR(__xludf.DUMMYFUNCTION("""COMPUTED_VALUE"""),"Pueblo County School District 70")</f>
        <v>Pueblo County School District 70</v>
      </c>
      <c r="C1544" s="2" t="str">
        <f>IFERROR(__xludf.DUMMYFUNCTION("""COMPUTED_VALUE"""),"07886")</f>
        <v>07886</v>
      </c>
      <c r="D1544" s="2" t="str">
        <f>IFERROR(__xludf.DUMMYFUNCTION("""COMPUTED_VALUE"""),"SIERRA VISTA ELEMENTARY SCHOOL")</f>
        <v>SIERRA VISTA ELEMENTARY SCHOOL</v>
      </c>
      <c r="E1544" s="3" t="str">
        <f>IFERROR(__xludf.DUMMYFUNCTION("""COMPUTED_VALUE"""),"Y")</f>
        <v>Y</v>
      </c>
      <c r="F1544" s="3" t="str">
        <f>IFERROR(__xludf.DUMMYFUNCTION("""COMPUTED_VALUE"""),"Y")</f>
        <v>Y</v>
      </c>
      <c r="G1544" s="3"/>
      <c r="H1544" s="3"/>
      <c r="I1544" s="3" t="str">
        <f>IFERROR(__xludf.DUMMYFUNCTION("""COMPUTED_VALUE""")," ")</f>
        <v> </v>
      </c>
      <c r="J1544" s="3" t="str">
        <f>IFERROR(__xludf.DUMMYFUNCTION("""COMPUTED_VALUE""")," ")</f>
        <v> </v>
      </c>
      <c r="K1544" s="3" t="str">
        <f>IFERROR(__xludf.DUMMYFUNCTION("""COMPUTED_VALUE"""),"Y")</f>
        <v>Y</v>
      </c>
      <c r="L1544" s="3" t="str">
        <f>IFERROR(__xludf.DUMMYFUNCTION("""COMPUTED_VALUE"""),"Group 7")</f>
        <v>Group 7</v>
      </c>
      <c r="M1544" s="3"/>
      <c r="N1544" s="5" t="str">
        <f>IFERROR(__xludf.DUMMYFUNCTION("""COMPUTED_VALUE""")," ")</f>
        <v> </v>
      </c>
      <c r="O1544" s="5"/>
    </row>
    <row r="1545">
      <c r="A1545" s="2" t="str">
        <f>IFERROR(__xludf.DUMMYFUNCTION("""COMPUTED_VALUE"""),"2700")</f>
        <v>2700</v>
      </c>
      <c r="B1545" s="2" t="str">
        <f>IFERROR(__xludf.DUMMYFUNCTION("""COMPUTED_VALUE"""),"Pueblo County School District 70")</f>
        <v>Pueblo County School District 70</v>
      </c>
      <c r="C1545" s="2" t="str">
        <f>IFERROR(__xludf.DUMMYFUNCTION("""COMPUTED_VALUE"""),"08110")</f>
        <v>08110</v>
      </c>
      <c r="D1545" s="2" t="str">
        <f>IFERROR(__xludf.DUMMYFUNCTION("""COMPUTED_VALUE"""),"SOUTH MESA ELEMENTARY SCHOOL")</f>
        <v>SOUTH MESA ELEMENTARY SCHOOL</v>
      </c>
      <c r="E1545" s="3" t="str">
        <f>IFERROR(__xludf.DUMMYFUNCTION("""COMPUTED_VALUE"""),"Y")</f>
        <v>Y</v>
      </c>
      <c r="F1545" s="3" t="str">
        <f>IFERROR(__xludf.DUMMYFUNCTION("""COMPUTED_VALUE"""),"Y")</f>
        <v>Y</v>
      </c>
      <c r="G1545" s="3"/>
      <c r="H1545" s="3"/>
      <c r="I1545" s="3" t="str">
        <f>IFERROR(__xludf.DUMMYFUNCTION("""COMPUTED_VALUE""")," ")</f>
        <v> </v>
      </c>
      <c r="J1545" s="3" t="str">
        <f>IFERROR(__xludf.DUMMYFUNCTION("""COMPUTED_VALUE""")," ")</f>
        <v> </v>
      </c>
      <c r="K1545" s="3" t="str">
        <f>IFERROR(__xludf.DUMMYFUNCTION("""COMPUTED_VALUE"""),"Y")</f>
        <v>Y</v>
      </c>
      <c r="L1545" s="3" t="str">
        <f>IFERROR(__xludf.DUMMYFUNCTION("""COMPUTED_VALUE"""),"Group 9")</f>
        <v>Group 9</v>
      </c>
      <c r="M1545" s="3"/>
      <c r="N1545" s="5" t="str">
        <f>IFERROR(__xludf.DUMMYFUNCTION("""COMPUTED_VALUE""")," ")</f>
        <v> </v>
      </c>
      <c r="O1545" s="5"/>
    </row>
    <row r="1546">
      <c r="A1546" s="2" t="str">
        <f>IFERROR(__xludf.DUMMYFUNCTION("""COMPUTED_VALUE"""),"2700")</f>
        <v>2700</v>
      </c>
      <c r="B1546" s="2" t="str">
        <f>IFERROR(__xludf.DUMMYFUNCTION("""COMPUTED_VALUE"""),"Pueblo County School District 70")</f>
        <v>Pueblo County School District 70</v>
      </c>
      <c r="C1546" s="2" t="str">
        <f>IFERROR(__xludf.DUMMYFUNCTION("""COMPUTED_VALUE"""),"09084")</f>
        <v>09084</v>
      </c>
      <c r="D1546" s="2" t="str">
        <f>IFERROR(__xludf.DUMMYFUNCTION("""COMPUTED_VALUE"""),"Villa Bella Expeditionary School")</f>
        <v>Villa Bella Expeditionary School</v>
      </c>
      <c r="E1546" s="3" t="str">
        <f>IFERROR(__xludf.DUMMYFUNCTION("""COMPUTED_VALUE"""),"Y")</f>
        <v>Y</v>
      </c>
      <c r="F1546" s="3" t="str">
        <f>IFERROR(__xludf.DUMMYFUNCTION("""COMPUTED_VALUE"""),"Y")</f>
        <v>Y</v>
      </c>
      <c r="G1546" s="3"/>
      <c r="H1546" s="3"/>
      <c r="I1546" s="3" t="str">
        <f>IFERROR(__xludf.DUMMYFUNCTION("""COMPUTED_VALUE""")," ")</f>
        <v> </v>
      </c>
      <c r="J1546" s="3" t="str">
        <f>IFERROR(__xludf.DUMMYFUNCTION("""COMPUTED_VALUE""")," ")</f>
        <v> </v>
      </c>
      <c r="K1546" s="3" t="str">
        <f>IFERROR(__xludf.DUMMYFUNCTION("""COMPUTED_VALUE"""),"Y")</f>
        <v>Y</v>
      </c>
      <c r="L1546" s="3" t="str">
        <f>IFERROR(__xludf.DUMMYFUNCTION("""COMPUTED_VALUE"""),"Group 8")</f>
        <v>Group 8</v>
      </c>
      <c r="M1546" s="3"/>
      <c r="N1546" s="5" t="str">
        <f>IFERROR(__xludf.DUMMYFUNCTION("""COMPUTED_VALUE""")," ")</f>
        <v> </v>
      </c>
      <c r="O1546" s="5"/>
    </row>
    <row r="1547">
      <c r="A1547" s="2" t="str">
        <f>IFERROR(__xludf.DUMMYFUNCTION("""COMPUTED_VALUE"""),"2700")</f>
        <v>2700</v>
      </c>
      <c r="B1547" s="2" t="str">
        <f>IFERROR(__xludf.DUMMYFUNCTION("""COMPUTED_VALUE"""),"Pueblo County School District 70")</f>
        <v>Pueblo County School District 70</v>
      </c>
      <c r="C1547" s="2" t="str">
        <f>IFERROR(__xludf.DUMMYFUNCTION("""COMPUTED_VALUE"""),"09130")</f>
        <v>09130</v>
      </c>
      <c r="D1547" s="2" t="str">
        <f>IFERROR(__xludf.DUMMYFUNCTION("""COMPUTED_VALUE"""),"VINELAND ELEMENTARY SCHOOL")</f>
        <v>VINELAND ELEMENTARY SCHOOL</v>
      </c>
      <c r="E1547" s="3" t="str">
        <f>IFERROR(__xludf.DUMMYFUNCTION("""COMPUTED_VALUE"""),"Y")</f>
        <v>Y</v>
      </c>
      <c r="F1547" s="3" t="str">
        <f>IFERROR(__xludf.DUMMYFUNCTION("""COMPUTED_VALUE"""),"Y")</f>
        <v>Y</v>
      </c>
      <c r="G1547" s="3"/>
      <c r="H1547" s="3"/>
      <c r="I1547" s="3" t="str">
        <f>IFERROR(__xludf.DUMMYFUNCTION("""COMPUTED_VALUE""")," ")</f>
        <v> </v>
      </c>
      <c r="J1547" s="3" t="str">
        <f>IFERROR(__xludf.DUMMYFUNCTION("""COMPUTED_VALUE""")," ")</f>
        <v> </v>
      </c>
      <c r="K1547" s="3" t="str">
        <f>IFERROR(__xludf.DUMMYFUNCTION("""COMPUTED_VALUE"""),"Y")</f>
        <v>Y</v>
      </c>
      <c r="L1547" s="3" t="str">
        <f>IFERROR(__xludf.DUMMYFUNCTION("""COMPUTED_VALUE"""),"Group 1")</f>
        <v>Group 1</v>
      </c>
      <c r="M1547" s="3"/>
      <c r="N1547" s="5" t="str">
        <f>IFERROR(__xludf.DUMMYFUNCTION("""COMPUTED_VALUE""")," ")</f>
        <v> </v>
      </c>
      <c r="O1547" s="5"/>
    </row>
    <row r="1548">
      <c r="A1548" s="2" t="str">
        <f>IFERROR(__xludf.DUMMYFUNCTION("""COMPUTED_VALUE"""),"2700")</f>
        <v>2700</v>
      </c>
      <c r="B1548" s="2" t="str">
        <f>IFERROR(__xludf.DUMMYFUNCTION("""COMPUTED_VALUE"""),"Pueblo County School District 70")</f>
        <v>Pueblo County School District 70</v>
      </c>
      <c r="C1548" s="2" t="str">
        <f>IFERROR(__xludf.DUMMYFUNCTION("""COMPUTED_VALUE"""),"09134")</f>
        <v>09134</v>
      </c>
      <c r="D1548" s="2" t="str">
        <f>IFERROR(__xludf.DUMMYFUNCTION("""COMPUTED_VALUE"""),"VINELAND MIDDLE SCHOOL")</f>
        <v>VINELAND MIDDLE SCHOOL</v>
      </c>
      <c r="E1548" s="3" t="str">
        <f>IFERROR(__xludf.DUMMYFUNCTION("""COMPUTED_VALUE"""),"Y")</f>
        <v>Y</v>
      </c>
      <c r="F1548" s="3" t="str">
        <f>IFERROR(__xludf.DUMMYFUNCTION("""COMPUTED_VALUE"""),"Y")</f>
        <v>Y</v>
      </c>
      <c r="G1548" s="3"/>
      <c r="H1548" s="3"/>
      <c r="I1548" s="3" t="str">
        <f>IFERROR(__xludf.DUMMYFUNCTION("""COMPUTED_VALUE""")," ")</f>
        <v> </v>
      </c>
      <c r="J1548" s="3" t="str">
        <f>IFERROR(__xludf.DUMMYFUNCTION("""COMPUTED_VALUE""")," ")</f>
        <v> </v>
      </c>
      <c r="K1548" s="3" t="str">
        <f>IFERROR(__xludf.DUMMYFUNCTION("""COMPUTED_VALUE"""),"Y")</f>
        <v>Y</v>
      </c>
      <c r="L1548" s="3" t="str">
        <f>IFERROR(__xludf.DUMMYFUNCTION("""COMPUTED_VALUE"""),"Group 8")</f>
        <v>Group 8</v>
      </c>
      <c r="M1548" s="3"/>
      <c r="N1548" s="5" t="str">
        <f>IFERROR(__xludf.DUMMYFUNCTION("""COMPUTED_VALUE"""),"Y")</f>
        <v>Y</v>
      </c>
      <c r="O1548" s="5"/>
    </row>
    <row r="1549">
      <c r="A1549" s="2" t="str">
        <f>IFERROR(__xludf.DUMMYFUNCTION("""COMPUTED_VALUE"""),"2710")</f>
        <v>2710</v>
      </c>
      <c r="B1549" s="2" t="str">
        <f>IFERROR(__xludf.DUMMYFUNCTION("""COMPUTED_VALUE"""),"MEEKER              RE1")</f>
        <v>MEEKER              RE1</v>
      </c>
      <c r="C1549" s="2" t="str">
        <f>IFERROR(__xludf.DUMMYFUNCTION("""COMPUTED_VALUE"""),"05750")</f>
        <v>05750</v>
      </c>
      <c r="D1549" s="2" t="str">
        <f>IFERROR(__xludf.DUMMYFUNCTION("""COMPUTED_VALUE"""),"MEEKER ELEMENTARY SCHOOL")</f>
        <v>MEEKER ELEMENTARY SCHOOL</v>
      </c>
      <c r="E1549" s="3" t="str">
        <f>IFERROR(__xludf.DUMMYFUNCTION("""COMPUTED_VALUE"""),"Y")</f>
        <v>Y</v>
      </c>
      <c r="F1549" s="3" t="str">
        <f>IFERROR(__xludf.DUMMYFUNCTION("""COMPUTED_VALUE"""),"Y")</f>
        <v>Y</v>
      </c>
      <c r="G1549" s="3"/>
      <c r="H1549" s="3" t="str">
        <f>IFERROR(__xludf.DUMMYFUNCTION("""COMPUTED_VALUE"""),"Y")</f>
        <v>Y</v>
      </c>
      <c r="I1549" s="3" t="str">
        <f>IFERROR(__xludf.DUMMYFUNCTION("""COMPUTED_VALUE""")," ")</f>
        <v> </v>
      </c>
      <c r="J1549" s="3" t="str">
        <f>IFERROR(__xludf.DUMMYFUNCTION("""COMPUTED_VALUE""")," ")</f>
        <v> </v>
      </c>
      <c r="K1549" s="3" t="str">
        <f>IFERROR(__xludf.DUMMYFUNCTION("""COMPUTED_VALUE"""),"Y")</f>
        <v>Y</v>
      </c>
      <c r="L1549" s="3" t="str">
        <f>IFERROR(__xludf.DUMMYFUNCTION("""COMPUTED_VALUE"""),"Group 2")</f>
        <v>Group 2</v>
      </c>
      <c r="M1549" s="3"/>
      <c r="N1549" s="5" t="str">
        <f>IFERROR(__xludf.DUMMYFUNCTION("""COMPUTED_VALUE""")," ")</f>
        <v> </v>
      </c>
      <c r="O1549" s="5"/>
    </row>
    <row r="1550">
      <c r="A1550" s="2" t="str">
        <f>IFERROR(__xludf.DUMMYFUNCTION("""COMPUTED_VALUE"""),"2710")</f>
        <v>2710</v>
      </c>
      <c r="B1550" s="2" t="str">
        <f>IFERROR(__xludf.DUMMYFUNCTION("""COMPUTED_VALUE"""),"MEEKER              RE1")</f>
        <v>MEEKER              RE1</v>
      </c>
      <c r="C1550" s="2" t="str">
        <f>IFERROR(__xludf.DUMMYFUNCTION("""COMPUTED_VALUE"""),"05754")</f>
        <v>05754</v>
      </c>
      <c r="D1550" s="2" t="str">
        <f>IFERROR(__xludf.DUMMYFUNCTION("""COMPUTED_VALUE"""),"BARONE MIDDLE SCHOOL")</f>
        <v>BARONE MIDDLE SCHOOL</v>
      </c>
      <c r="E1550" s="3" t="str">
        <f>IFERROR(__xludf.DUMMYFUNCTION("""COMPUTED_VALUE"""),"Y")</f>
        <v>Y</v>
      </c>
      <c r="F1550" s="3" t="str">
        <f>IFERROR(__xludf.DUMMYFUNCTION("""COMPUTED_VALUE"""),"Y")</f>
        <v>Y</v>
      </c>
      <c r="G1550" s="3"/>
      <c r="H1550" s="3"/>
      <c r="I1550" s="3" t="str">
        <f>IFERROR(__xludf.DUMMYFUNCTION("""COMPUTED_VALUE""")," ")</f>
        <v> </v>
      </c>
      <c r="J1550" s="3" t="str">
        <f>IFERROR(__xludf.DUMMYFUNCTION("""COMPUTED_VALUE""")," ")</f>
        <v> </v>
      </c>
      <c r="K1550" s="3" t="str">
        <f>IFERROR(__xludf.DUMMYFUNCTION("""COMPUTED_VALUE"""),"Y")</f>
        <v>Y</v>
      </c>
      <c r="L1550" s="3" t="str">
        <f>IFERROR(__xludf.DUMMYFUNCTION("""COMPUTED_VALUE"""),"Group 1")</f>
        <v>Group 1</v>
      </c>
      <c r="M1550" s="3"/>
      <c r="N1550" s="5" t="str">
        <f>IFERROR(__xludf.DUMMYFUNCTION("""COMPUTED_VALUE""")," ")</f>
        <v> </v>
      </c>
      <c r="O1550" s="5"/>
    </row>
    <row r="1551">
      <c r="A1551" s="2" t="str">
        <f>IFERROR(__xludf.DUMMYFUNCTION("""COMPUTED_VALUE"""),"2710")</f>
        <v>2710</v>
      </c>
      <c r="B1551" s="2" t="str">
        <f>IFERROR(__xludf.DUMMYFUNCTION("""COMPUTED_VALUE"""),"MEEKER              RE1")</f>
        <v>MEEKER              RE1</v>
      </c>
      <c r="C1551" s="2" t="str">
        <f>IFERROR(__xludf.DUMMYFUNCTION("""COMPUTED_VALUE"""),"05762")</f>
        <v>05762</v>
      </c>
      <c r="D1551" s="2" t="str">
        <f>IFERROR(__xludf.DUMMYFUNCTION("""COMPUTED_VALUE"""),"MEEKER HIGH SCHOOL")</f>
        <v>MEEKER HIGH SCHOOL</v>
      </c>
      <c r="E1551" s="3" t="str">
        <f>IFERROR(__xludf.DUMMYFUNCTION("""COMPUTED_VALUE"""),"Y")</f>
        <v>Y</v>
      </c>
      <c r="F1551" s="3" t="str">
        <f>IFERROR(__xludf.DUMMYFUNCTION("""COMPUTED_VALUE"""),"Y")</f>
        <v>Y</v>
      </c>
      <c r="G1551" s="3"/>
      <c r="H1551" s="3"/>
      <c r="I1551" s="3" t="str">
        <f>IFERROR(__xludf.DUMMYFUNCTION("""COMPUTED_VALUE""")," ")</f>
        <v> </v>
      </c>
      <c r="J1551" s="3" t="str">
        <f>IFERROR(__xludf.DUMMYFUNCTION("""COMPUTED_VALUE""")," ")</f>
        <v> </v>
      </c>
      <c r="K1551" s="3" t="str">
        <f>IFERROR(__xludf.DUMMYFUNCTION("""COMPUTED_VALUE"""),"Y")</f>
        <v>Y</v>
      </c>
      <c r="L1551" s="3" t="str">
        <f>IFERROR(__xludf.DUMMYFUNCTION("""COMPUTED_VALUE"""),"Group 3")</f>
        <v>Group 3</v>
      </c>
      <c r="M1551" s="3"/>
      <c r="N1551" s="5" t="str">
        <f>IFERROR(__xludf.DUMMYFUNCTION("""COMPUTED_VALUE""")," ")</f>
        <v> </v>
      </c>
      <c r="O1551" s="5"/>
    </row>
    <row r="1552">
      <c r="A1552" s="2" t="str">
        <f>IFERROR(__xludf.DUMMYFUNCTION("""COMPUTED_VALUE"""),"2720")</f>
        <v>2720</v>
      </c>
      <c r="B1552" s="2" t="str">
        <f>IFERROR(__xludf.DUMMYFUNCTION("""COMPUTED_VALUE"""),"RANGELY             RE-4")</f>
        <v>RANGELY             RE-4</v>
      </c>
      <c r="C1552" s="2" t="str">
        <f>IFERROR(__xludf.DUMMYFUNCTION("""COMPUTED_VALUE"""),"07268")</f>
        <v>07268</v>
      </c>
      <c r="D1552" s="2" t="str">
        <f>IFERROR(__xludf.DUMMYFUNCTION("""COMPUTED_VALUE"""),"PARKVIEW ELEMENTARY SCHOOL")</f>
        <v>PARKVIEW ELEMENTARY SCHOOL</v>
      </c>
      <c r="E1552" s="3"/>
      <c r="F1552" s="3" t="str">
        <f>IFERROR(__xludf.DUMMYFUNCTION("""COMPUTED_VALUE"""),"Y")</f>
        <v>Y</v>
      </c>
      <c r="G1552" s="3"/>
      <c r="H1552" s="3" t="str">
        <f>IFERROR(__xludf.DUMMYFUNCTION("""COMPUTED_VALUE"""),"Y")</f>
        <v>Y</v>
      </c>
      <c r="I1552" s="3" t="str">
        <f>IFERROR(__xludf.DUMMYFUNCTION("""COMPUTED_VALUE""")," ")</f>
        <v> </v>
      </c>
      <c r="J1552" s="3" t="str">
        <f>IFERROR(__xludf.DUMMYFUNCTION("""COMPUTED_VALUE""")," ")</f>
        <v> </v>
      </c>
      <c r="K1552" s="3" t="str">
        <f>IFERROR(__xludf.DUMMYFUNCTION("""COMPUTED_VALUE"""),"Y")</f>
        <v>Y</v>
      </c>
      <c r="L1552" s="3" t="str">
        <f>IFERROR(__xludf.DUMMYFUNCTION("""COMPUTED_VALUE""")," ")</f>
        <v> </v>
      </c>
      <c r="M1552" s="3"/>
      <c r="N1552" s="5" t="str">
        <f>IFERROR(__xludf.DUMMYFUNCTION("""COMPUTED_VALUE""")," ")</f>
        <v> </v>
      </c>
      <c r="O1552" s="5"/>
    </row>
    <row r="1553">
      <c r="A1553" s="2" t="str">
        <f>IFERROR(__xludf.DUMMYFUNCTION("""COMPUTED_VALUE"""),"2720")</f>
        <v>2720</v>
      </c>
      <c r="B1553" s="2" t="str">
        <f>IFERROR(__xludf.DUMMYFUNCTION("""COMPUTED_VALUE"""),"RANGELY             RE-4")</f>
        <v>RANGELY             RE-4</v>
      </c>
      <c r="C1553" s="2" t="str">
        <f>IFERROR(__xludf.DUMMYFUNCTION("""COMPUTED_VALUE"""),"07276")</f>
        <v>07276</v>
      </c>
      <c r="D1553" s="2" t="str">
        <f>IFERROR(__xludf.DUMMYFUNCTION("""COMPUTED_VALUE"""),"RANGELY JR/SR HIGH SCHOOL")</f>
        <v>RANGELY JR/SR HIGH SCHOOL</v>
      </c>
      <c r="E1553" s="3"/>
      <c r="F1553" s="3" t="str">
        <f>IFERROR(__xludf.DUMMYFUNCTION("""COMPUTED_VALUE"""),"Y")</f>
        <v>Y</v>
      </c>
      <c r="G1553" s="3"/>
      <c r="H1553" s="3"/>
      <c r="I1553" s="3" t="str">
        <f>IFERROR(__xludf.DUMMYFUNCTION("""COMPUTED_VALUE""")," ")</f>
        <v> </v>
      </c>
      <c r="J1553" s="3" t="str">
        <f>IFERROR(__xludf.DUMMYFUNCTION("""COMPUTED_VALUE""")," ")</f>
        <v> </v>
      </c>
      <c r="K1553" s="3" t="str">
        <f>IFERROR(__xludf.DUMMYFUNCTION("""COMPUTED_VALUE"""),"Y")</f>
        <v>Y</v>
      </c>
      <c r="L1553" s="3" t="str">
        <f>IFERROR(__xludf.DUMMYFUNCTION("""COMPUTED_VALUE""")," ")</f>
        <v> </v>
      </c>
      <c r="M1553" s="3"/>
      <c r="N1553" s="5" t="str">
        <f>IFERROR(__xludf.DUMMYFUNCTION("""COMPUTED_VALUE""")," ")</f>
        <v> </v>
      </c>
      <c r="O1553" s="5"/>
    </row>
    <row r="1554">
      <c r="A1554" s="2" t="str">
        <f>IFERROR(__xludf.DUMMYFUNCTION("""COMPUTED_VALUE"""),"2730")</f>
        <v>2730</v>
      </c>
      <c r="B1554" s="2" t="str">
        <f>IFERROR(__xludf.DUMMYFUNCTION("""COMPUTED_VALUE"""),"DEL NORTE C-7")</f>
        <v>DEL NORTE C-7</v>
      </c>
      <c r="C1554" s="2" t="str">
        <f>IFERROR(__xludf.DUMMYFUNCTION("""COMPUTED_VALUE"""),"02148")</f>
        <v>02148</v>
      </c>
      <c r="D1554" s="2" t="str">
        <f>IFERROR(__xludf.DUMMYFUNCTION("""COMPUTED_VALUE"""),"Del Norte Elementary")</f>
        <v>Del Norte Elementary</v>
      </c>
      <c r="E1554" s="3" t="str">
        <f>IFERROR(__xludf.DUMMYFUNCTION("""COMPUTED_VALUE"""),"Y")</f>
        <v>Y</v>
      </c>
      <c r="F1554" s="3" t="str">
        <f>IFERROR(__xludf.DUMMYFUNCTION("""COMPUTED_VALUE"""),"Y")</f>
        <v>Y</v>
      </c>
      <c r="G1554" s="3"/>
      <c r="H1554" s="3"/>
      <c r="I1554" s="3" t="str">
        <f>IFERROR(__xludf.DUMMYFUNCTION("""COMPUTED_VALUE""")," ")</f>
        <v> </v>
      </c>
      <c r="J1554" s="3" t="str">
        <f>IFERROR(__xludf.DUMMYFUNCTION("""COMPUTED_VALUE""")," ")</f>
        <v> </v>
      </c>
      <c r="K1554" s="3" t="str">
        <f>IFERROR(__xludf.DUMMYFUNCTION("""COMPUTED_VALUE"""),"Y")</f>
        <v>Y</v>
      </c>
      <c r="L1554" s="3" t="str">
        <f>IFERROR(__xludf.DUMMYFUNCTION("""COMPUTED_VALUE"""),"Group 1")</f>
        <v>Group 1</v>
      </c>
      <c r="M1554" s="3"/>
      <c r="N1554" s="5" t="str">
        <f>IFERROR(__xludf.DUMMYFUNCTION("""COMPUTED_VALUE""")," ")</f>
        <v> </v>
      </c>
      <c r="O1554" s="5"/>
    </row>
    <row r="1555">
      <c r="A1555" s="2" t="str">
        <f>IFERROR(__xludf.DUMMYFUNCTION("""COMPUTED_VALUE"""),"2730")</f>
        <v>2730</v>
      </c>
      <c r="B1555" s="2" t="str">
        <f>IFERROR(__xludf.DUMMYFUNCTION("""COMPUTED_VALUE"""),"DEL NORTE C-7")</f>
        <v>DEL NORTE C-7</v>
      </c>
      <c r="C1555" s="2" t="str">
        <f>IFERROR(__xludf.DUMMYFUNCTION("""COMPUTED_VALUE"""),"02150")</f>
        <v>02150</v>
      </c>
      <c r="D1555" s="2" t="str">
        <f>IFERROR(__xludf.DUMMYFUNCTION("""COMPUTED_VALUE"""),"Del Norte JR/SR High School")</f>
        <v>Del Norte JR/SR High School</v>
      </c>
      <c r="E1555" s="3" t="str">
        <f>IFERROR(__xludf.DUMMYFUNCTION("""COMPUTED_VALUE"""),"Y")</f>
        <v>Y</v>
      </c>
      <c r="F1555" s="3" t="str">
        <f>IFERROR(__xludf.DUMMYFUNCTION("""COMPUTED_VALUE"""),"Y")</f>
        <v>Y</v>
      </c>
      <c r="G1555" s="3"/>
      <c r="H1555" s="3"/>
      <c r="I1555" s="3" t="str">
        <f>IFERROR(__xludf.DUMMYFUNCTION("""COMPUTED_VALUE""")," ")</f>
        <v> </v>
      </c>
      <c r="J1555" s="3" t="str">
        <f>IFERROR(__xludf.DUMMYFUNCTION("""COMPUTED_VALUE""")," ")</f>
        <v> </v>
      </c>
      <c r="K1555" s="3" t="str">
        <f>IFERROR(__xludf.DUMMYFUNCTION("""COMPUTED_VALUE"""),"Y")</f>
        <v>Y</v>
      </c>
      <c r="L1555" s="3" t="str">
        <f>IFERROR(__xludf.DUMMYFUNCTION("""COMPUTED_VALUE"""),"Group 2")</f>
        <v>Group 2</v>
      </c>
      <c r="M1555" s="3"/>
      <c r="N1555" s="5" t="str">
        <f>IFERROR(__xludf.DUMMYFUNCTION("""COMPUTED_VALUE""")," ")</f>
        <v> </v>
      </c>
      <c r="O1555" s="5"/>
    </row>
    <row r="1556">
      <c r="A1556" s="2" t="str">
        <f>IFERROR(__xludf.DUMMYFUNCTION("""COMPUTED_VALUE"""),"2740")</f>
        <v>2740</v>
      </c>
      <c r="B1556" s="2" t="str">
        <f>IFERROR(__xludf.DUMMYFUNCTION("""COMPUTED_VALUE"""),"MONTE VISTA         C-8")</f>
        <v>MONTE VISTA         C-8</v>
      </c>
      <c r="C1556" s="2" t="str">
        <f>IFERROR(__xludf.DUMMYFUNCTION("""COMPUTED_VALUE"""),"05579")</f>
        <v>05579</v>
      </c>
      <c r="D1556" s="2" t="str">
        <f>IFERROR(__xludf.DUMMYFUNCTION("""COMPUTED_VALUE"""),"MARSH ELEMENTARY SCHOOL")</f>
        <v>MARSH ELEMENTARY SCHOOL</v>
      </c>
      <c r="E1556" s="3" t="str">
        <f>IFERROR(__xludf.DUMMYFUNCTION("""COMPUTED_VALUE"""),"Y")</f>
        <v>Y</v>
      </c>
      <c r="F1556" s="3" t="str">
        <f>IFERROR(__xludf.DUMMYFUNCTION("""COMPUTED_VALUE"""),"Y")</f>
        <v>Y</v>
      </c>
      <c r="G1556" s="3"/>
      <c r="H1556" s="3"/>
      <c r="I1556" s="3" t="str">
        <f>IFERROR(__xludf.DUMMYFUNCTION("""COMPUTED_VALUE""")," ")</f>
        <v> </v>
      </c>
      <c r="J1556" s="3" t="str">
        <f>IFERROR(__xludf.DUMMYFUNCTION("""COMPUTED_VALUE""")," ")</f>
        <v> </v>
      </c>
      <c r="K1556" s="3" t="str">
        <f>IFERROR(__xludf.DUMMYFUNCTION("""COMPUTED_VALUE"""),"Y")</f>
        <v>Y</v>
      </c>
      <c r="L1556" s="3" t="str">
        <f>IFERROR(__xludf.DUMMYFUNCTION("""COMPUTED_VALUE"""),"Group 1")</f>
        <v>Group 1</v>
      </c>
      <c r="M1556" s="3"/>
      <c r="N1556" s="5" t="str">
        <f>IFERROR(__xludf.DUMMYFUNCTION("""COMPUTED_VALUE""")," ")</f>
        <v> </v>
      </c>
      <c r="O1556" s="5"/>
    </row>
    <row r="1557">
      <c r="A1557" s="2" t="str">
        <f>IFERROR(__xludf.DUMMYFUNCTION("""COMPUTED_VALUE"""),"2740")</f>
        <v>2740</v>
      </c>
      <c r="B1557" s="2" t="str">
        <f>IFERROR(__xludf.DUMMYFUNCTION("""COMPUTED_VALUE"""),"MONTE VISTA         C-8")</f>
        <v>MONTE VISTA         C-8</v>
      </c>
      <c r="C1557" s="2" t="str">
        <f>IFERROR(__xludf.DUMMYFUNCTION("""COMPUTED_VALUE"""),"06030")</f>
        <v>06030</v>
      </c>
      <c r="D1557" s="2" t="str">
        <f>IFERROR(__xludf.DUMMYFUNCTION("""COMPUTED_VALUE"""),"Byron Syring Delta Center")</f>
        <v>Byron Syring Delta Center</v>
      </c>
      <c r="E1557" s="3" t="str">
        <f>IFERROR(__xludf.DUMMYFUNCTION("""COMPUTED_VALUE"""),"Y")</f>
        <v>Y</v>
      </c>
      <c r="F1557" s="3" t="str">
        <f>IFERROR(__xludf.DUMMYFUNCTION("""COMPUTED_VALUE"""),"Y")</f>
        <v>Y</v>
      </c>
      <c r="G1557" s="3"/>
      <c r="H1557" s="3"/>
      <c r="I1557" s="3" t="str">
        <f>IFERROR(__xludf.DUMMYFUNCTION("""COMPUTED_VALUE""")," ")</f>
        <v> </v>
      </c>
      <c r="J1557" s="3" t="str">
        <f>IFERROR(__xludf.DUMMYFUNCTION("""COMPUTED_VALUE""")," ")</f>
        <v> </v>
      </c>
      <c r="K1557" s="3" t="str">
        <f>IFERROR(__xludf.DUMMYFUNCTION("""COMPUTED_VALUE"""),"Y")</f>
        <v>Y</v>
      </c>
      <c r="L1557" s="3" t="str">
        <f>IFERROR(__xludf.DUMMYFUNCTION("""COMPUTED_VALUE"""),"Group 1")</f>
        <v>Group 1</v>
      </c>
      <c r="M1557" s="3"/>
      <c r="N1557" s="5" t="str">
        <f>IFERROR(__xludf.DUMMYFUNCTION("""COMPUTED_VALUE""")," ")</f>
        <v> </v>
      </c>
      <c r="O1557" s="5"/>
    </row>
    <row r="1558">
      <c r="A1558" s="2" t="str">
        <f>IFERROR(__xludf.DUMMYFUNCTION("""COMPUTED_VALUE"""),"2740")</f>
        <v>2740</v>
      </c>
      <c r="B1558" s="2" t="str">
        <f>IFERROR(__xludf.DUMMYFUNCTION("""COMPUTED_VALUE"""),"MONTE VISTA         C-8")</f>
        <v>MONTE VISTA         C-8</v>
      </c>
      <c r="C1558" s="2" t="str">
        <f>IFERROR(__xludf.DUMMYFUNCTION("""COMPUTED_VALUE"""),"06036")</f>
        <v>06036</v>
      </c>
      <c r="D1558" s="2" t="str">
        <f>IFERROR(__xludf.DUMMYFUNCTION("""COMPUTED_VALUE"""),"BILL METZ ELEMENTARY SCHOOL")</f>
        <v>BILL METZ ELEMENTARY SCHOOL</v>
      </c>
      <c r="E1558" s="3" t="str">
        <f>IFERROR(__xludf.DUMMYFUNCTION("""COMPUTED_VALUE"""),"Y")</f>
        <v>Y</v>
      </c>
      <c r="F1558" s="3" t="str">
        <f>IFERROR(__xludf.DUMMYFUNCTION("""COMPUTED_VALUE"""),"Y")</f>
        <v>Y</v>
      </c>
      <c r="G1558" s="3"/>
      <c r="H1558" s="3"/>
      <c r="I1558" s="3" t="str">
        <f>IFERROR(__xludf.DUMMYFUNCTION("""COMPUTED_VALUE""")," ")</f>
        <v> </v>
      </c>
      <c r="J1558" s="3" t="str">
        <f>IFERROR(__xludf.DUMMYFUNCTION("""COMPUTED_VALUE""")," ")</f>
        <v> </v>
      </c>
      <c r="K1558" s="3" t="str">
        <f>IFERROR(__xludf.DUMMYFUNCTION("""COMPUTED_VALUE"""),"Y")</f>
        <v>Y</v>
      </c>
      <c r="L1558" s="3" t="str">
        <f>IFERROR(__xludf.DUMMYFUNCTION("""COMPUTED_VALUE"""),"Group 1")</f>
        <v>Group 1</v>
      </c>
      <c r="M1558" s="3"/>
      <c r="N1558" s="5" t="str">
        <f>IFERROR(__xludf.DUMMYFUNCTION("""COMPUTED_VALUE""")," ")</f>
        <v> </v>
      </c>
      <c r="O1558" s="5"/>
    </row>
    <row r="1559">
      <c r="A1559" s="2" t="str">
        <f>IFERROR(__xludf.DUMMYFUNCTION("""COMPUTED_VALUE"""),"2740")</f>
        <v>2740</v>
      </c>
      <c r="B1559" s="2" t="str">
        <f>IFERROR(__xludf.DUMMYFUNCTION("""COMPUTED_VALUE"""),"MONTE VISTA         C-8")</f>
        <v>MONTE VISTA         C-8</v>
      </c>
      <c r="C1559" s="2" t="str">
        <f>IFERROR(__xludf.DUMMYFUNCTION("""COMPUTED_VALUE"""),"06044")</f>
        <v>06044</v>
      </c>
      <c r="D1559" s="2" t="str">
        <f>IFERROR(__xludf.DUMMYFUNCTION("""COMPUTED_VALUE"""),"MONTE VISTA MIDDLE SCHOOL")</f>
        <v>MONTE VISTA MIDDLE SCHOOL</v>
      </c>
      <c r="E1559" s="3" t="str">
        <f>IFERROR(__xludf.DUMMYFUNCTION("""COMPUTED_VALUE"""),"Y")</f>
        <v>Y</v>
      </c>
      <c r="F1559" s="3" t="str">
        <f>IFERROR(__xludf.DUMMYFUNCTION("""COMPUTED_VALUE"""),"Y")</f>
        <v>Y</v>
      </c>
      <c r="G1559" s="3"/>
      <c r="H1559" s="3"/>
      <c r="I1559" s="3" t="str">
        <f>IFERROR(__xludf.DUMMYFUNCTION("""COMPUTED_VALUE""")," ")</f>
        <v> </v>
      </c>
      <c r="J1559" s="3" t="str">
        <f>IFERROR(__xludf.DUMMYFUNCTION("""COMPUTED_VALUE""")," ")</f>
        <v> </v>
      </c>
      <c r="K1559" s="3" t="str">
        <f>IFERROR(__xludf.DUMMYFUNCTION("""COMPUTED_VALUE"""),"Y")</f>
        <v>Y</v>
      </c>
      <c r="L1559" s="3" t="str">
        <f>IFERROR(__xludf.DUMMYFUNCTION("""COMPUTED_VALUE"""),"Group 1")</f>
        <v>Group 1</v>
      </c>
      <c r="M1559" s="3"/>
      <c r="N1559" s="5" t="str">
        <f>IFERROR(__xludf.DUMMYFUNCTION("""COMPUTED_VALUE""")," ")</f>
        <v> </v>
      </c>
      <c r="O1559" s="5"/>
    </row>
    <row r="1560">
      <c r="A1560" s="2" t="str">
        <f>IFERROR(__xludf.DUMMYFUNCTION("""COMPUTED_VALUE"""),"2740")</f>
        <v>2740</v>
      </c>
      <c r="B1560" s="2" t="str">
        <f>IFERROR(__xludf.DUMMYFUNCTION("""COMPUTED_VALUE"""),"MONTE VISTA         C-8")</f>
        <v>MONTE VISTA         C-8</v>
      </c>
      <c r="C1560" s="2" t="str">
        <f>IFERROR(__xludf.DUMMYFUNCTION("""COMPUTED_VALUE"""),"06046")</f>
        <v>06046</v>
      </c>
      <c r="D1560" s="2" t="str">
        <f>IFERROR(__xludf.DUMMYFUNCTION("""COMPUTED_VALUE"""),"MONTE VISTA SENIOR HIGH SCHOOL")</f>
        <v>MONTE VISTA SENIOR HIGH SCHOOL</v>
      </c>
      <c r="E1560" s="3" t="str">
        <f>IFERROR(__xludf.DUMMYFUNCTION("""COMPUTED_VALUE"""),"Y")</f>
        <v>Y</v>
      </c>
      <c r="F1560" s="3" t="str">
        <f>IFERROR(__xludf.DUMMYFUNCTION("""COMPUTED_VALUE"""),"Y")</f>
        <v>Y</v>
      </c>
      <c r="G1560" s="3"/>
      <c r="H1560" s="3"/>
      <c r="I1560" s="3" t="str">
        <f>IFERROR(__xludf.DUMMYFUNCTION("""COMPUTED_VALUE""")," ")</f>
        <v> </v>
      </c>
      <c r="J1560" s="3" t="str">
        <f>IFERROR(__xludf.DUMMYFUNCTION("""COMPUTED_VALUE""")," ")</f>
        <v> </v>
      </c>
      <c r="K1560" s="3" t="str">
        <f>IFERROR(__xludf.DUMMYFUNCTION("""COMPUTED_VALUE"""),"Y")</f>
        <v>Y</v>
      </c>
      <c r="L1560" s="3" t="str">
        <f>IFERROR(__xludf.DUMMYFUNCTION("""COMPUTED_VALUE"""),"Group 1")</f>
        <v>Group 1</v>
      </c>
      <c r="M1560" s="3"/>
      <c r="N1560" s="5" t="str">
        <f>IFERROR(__xludf.DUMMYFUNCTION("""COMPUTED_VALUE""")," ")</f>
        <v> </v>
      </c>
      <c r="O1560" s="5"/>
    </row>
    <row r="1561">
      <c r="A1561" s="2" t="str">
        <f>IFERROR(__xludf.DUMMYFUNCTION("""COMPUTED_VALUE"""),"2750")</f>
        <v>2750</v>
      </c>
      <c r="B1561" s="2" t="str">
        <f>IFERROR(__xludf.DUMMYFUNCTION("""COMPUTED_VALUE"""),"SARGENT             RE-33J")</f>
        <v>SARGENT             RE-33J</v>
      </c>
      <c r="C1561" s="2" t="str">
        <f>IFERROR(__xludf.DUMMYFUNCTION("""COMPUTED_VALUE"""),"04807")</f>
        <v>04807</v>
      </c>
      <c r="D1561" s="2" t="str">
        <f>IFERROR(__xludf.DUMMYFUNCTION("""COMPUTED_VALUE"""),"Sargent Early Learning Center")</f>
        <v>Sargent Early Learning Center</v>
      </c>
      <c r="E1561" s="3"/>
      <c r="F1561" s="3" t="str">
        <f>IFERROR(__xludf.DUMMYFUNCTION("""COMPUTED_VALUE"""),"Y")</f>
        <v>Y</v>
      </c>
      <c r="G1561" s="3"/>
      <c r="H1561" s="3"/>
      <c r="I1561" s="3" t="str">
        <f>IFERROR(__xludf.DUMMYFUNCTION("""COMPUTED_VALUE""")," ")</f>
        <v> </v>
      </c>
      <c r="J1561" s="3" t="str">
        <f>IFERROR(__xludf.DUMMYFUNCTION("""COMPUTED_VALUE""")," ")</f>
        <v> </v>
      </c>
      <c r="K1561" s="3" t="str">
        <f>IFERROR(__xludf.DUMMYFUNCTION("""COMPUTED_VALUE"""),"Y")</f>
        <v>Y</v>
      </c>
      <c r="L1561" s="3" t="str">
        <f>IFERROR(__xludf.DUMMYFUNCTION("""COMPUTED_VALUE""")," ")</f>
        <v> </v>
      </c>
      <c r="M1561" s="3"/>
      <c r="N1561" s="5" t="str">
        <f>IFERROR(__xludf.DUMMYFUNCTION("""COMPUTED_VALUE""")," ")</f>
        <v> </v>
      </c>
      <c r="O1561" s="5"/>
    </row>
    <row r="1562">
      <c r="A1562" s="2" t="str">
        <f>IFERROR(__xludf.DUMMYFUNCTION("""COMPUTED_VALUE"""),"2750")</f>
        <v>2750</v>
      </c>
      <c r="B1562" s="2" t="str">
        <f>IFERROR(__xludf.DUMMYFUNCTION("""COMPUTED_VALUE"""),"SARGENT             RE-33J")</f>
        <v>SARGENT             RE-33J</v>
      </c>
      <c r="C1562" s="2" t="str">
        <f>IFERROR(__xludf.DUMMYFUNCTION("""COMPUTED_VALUE"""),"07660")</f>
        <v>07660</v>
      </c>
      <c r="D1562" s="2" t="str">
        <f>IFERROR(__xludf.DUMMYFUNCTION("""COMPUTED_VALUE"""),"SARGENT ELEMENTARY SCHOOL")</f>
        <v>SARGENT ELEMENTARY SCHOOL</v>
      </c>
      <c r="E1562" s="3" t="str">
        <f>IFERROR(__xludf.DUMMYFUNCTION("""COMPUTED_VALUE"""),"Y")</f>
        <v>Y</v>
      </c>
      <c r="F1562" s="3" t="str">
        <f>IFERROR(__xludf.DUMMYFUNCTION("""COMPUTED_VALUE"""),"Y")</f>
        <v>Y</v>
      </c>
      <c r="G1562" s="3"/>
      <c r="H1562" s="3"/>
      <c r="I1562" s="3" t="str">
        <f>IFERROR(__xludf.DUMMYFUNCTION("""COMPUTED_VALUE""")," ")</f>
        <v> </v>
      </c>
      <c r="J1562" s="3" t="str">
        <f>IFERROR(__xludf.DUMMYFUNCTION("""COMPUTED_VALUE""")," ")</f>
        <v> </v>
      </c>
      <c r="K1562" s="3" t="str">
        <f>IFERROR(__xludf.DUMMYFUNCTION("""COMPUTED_VALUE"""),"Y")</f>
        <v>Y</v>
      </c>
      <c r="L1562" s="3" t="str">
        <f>IFERROR(__xludf.DUMMYFUNCTION("""COMPUTED_VALUE"""),"Group 1")</f>
        <v>Group 1</v>
      </c>
      <c r="M1562" s="3"/>
      <c r="N1562" s="5" t="str">
        <f>IFERROR(__xludf.DUMMYFUNCTION("""COMPUTED_VALUE""")," ")</f>
        <v> </v>
      </c>
      <c r="O1562" s="5"/>
    </row>
    <row r="1563">
      <c r="A1563" s="2" t="str">
        <f>IFERROR(__xludf.DUMMYFUNCTION("""COMPUTED_VALUE"""),"2750")</f>
        <v>2750</v>
      </c>
      <c r="B1563" s="2" t="str">
        <f>IFERROR(__xludf.DUMMYFUNCTION("""COMPUTED_VALUE"""),"SARGENT             RE-33J")</f>
        <v>SARGENT             RE-33J</v>
      </c>
      <c r="C1563" s="2" t="str">
        <f>IFERROR(__xludf.DUMMYFUNCTION("""COMPUTED_VALUE"""),"07664")</f>
        <v>07664</v>
      </c>
      <c r="D1563" s="2" t="str">
        <f>IFERROR(__xludf.DUMMYFUNCTION("""COMPUTED_VALUE"""),"SARGENT SENIOR HIGH SCHOOL")</f>
        <v>SARGENT SENIOR HIGH SCHOOL</v>
      </c>
      <c r="E1563" s="3" t="str">
        <f>IFERROR(__xludf.DUMMYFUNCTION("""COMPUTED_VALUE"""),"Y")</f>
        <v>Y</v>
      </c>
      <c r="F1563" s="3" t="str">
        <f>IFERROR(__xludf.DUMMYFUNCTION("""COMPUTED_VALUE"""),"Y")</f>
        <v>Y</v>
      </c>
      <c r="G1563" s="3"/>
      <c r="H1563" s="3"/>
      <c r="I1563" s="3" t="str">
        <f>IFERROR(__xludf.DUMMYFUNCTION("""COMPUTED_VALUE""")," ")</f>
        <v> </v>
      </c>
      <c r="J1563" s="3" t="str">
        <f>IFERROR(__xludf.DUMMYFUNCTION("""COMPUTED_VALUE""")," ")</f>
        <v> </v>
      </c>
      <c r="K1563" s="3" t="str">
        <f>IFERROR(__xludf.DUMMYFUNCTION("""COMPUTED_VALUE"""),"Y")</f>
        <v>Y</v>
      </c>
      <c r="L1563" s="3" t="str">
        <f>IFERROR(__xludf.DUMMYFUNCTION("""COMPUTED_VALUE"""),"Group 2")</f>
        <v>Group 2</v>
      </c>
      <c r="M1563" s="3"/>
      <c r="N1563" s="5" t="str">
        <f>IFERROR(__xludf.DUMMYFUNCTION("""COMPUTED_VALUE""")," ")</f>
        <v> </v>
      </c>
      <c r="O1563" s="5"/>
    </row>
    <row r="1564">
      <c r="A1564" s="2" t="str">
        <f>IFERROR(__xludf.DUMMYFUNCTION("""COMPUTED_VALUE"""),"2750")</f>
        <v>2750</v>
      </c>
      <c r="B1564" s="2" t="str">
        <f>IFERROR(__xludf.DUMMYFUNCTION("""COMPUTED_VALUE"""),"SARGENT             RE-33J")</f>
        <v>SARGENT             RE-33J</v>
      </c>
      <c r="C1564" s="2" t="str">
        <f>IFERROR(__xludf.DUMMYFUNCTION("""COMPUTED_VALUE"""),"07668")</f>
        <v>07668</v>
      </c>
      <c r="D1564" s="2" t="str">
        <f>IFERROR(__xludf.DUMMYFUNCTION("""COMPUTED_VALUE"""),"SARGENT MIDDLE SCHOOL")</f>
        <v>SARGENT MIDDLE SCHOOL</v>
      </c>
      <c r="E1564" s="3" t="str">
        <f>IFERROR(__xludf.DUMMYFUNCTION("""COMPUTED_VALUE"""),"Y")</f>
        <v>Y</v>
      </c>
      <c r="F1564" s="3" t="str">
        <f>IFERROR(__xludf.DUMMYFUNCTION("""COMPUTED_VALUE"""),"Y")</f>
        <v>Y</v>
      </c>
      <c r="G1564" s="3"/>
      <c r="H1564" s="3"/>
      <c r="I1564" s="3" t="str">
        <f>IFERROR(__xludf.DUMMYFUNCTION("""COMPUTED_VALUE""")," ")</f>
        <v> </v>
      </c>
      <c r="J1564" s="3" t="str">
        <f>IFERROR(__xludf.DUMMYFUNCTION("""COMPUTED_VALUE""")," ")</f>
        <v> </v>
      </c>
      <c r="K1564" s="3" t="str">
        <f>IFERROR(__xludf.DUMMYFUNCTION("""COMPUTED_VALUE"""),"Y")</f>
        <v>Y</v>
      </c>
      <c r="L1564" s="3" t="str">
        <f>IFERROR(__xludf.DUMMYFUNCTION("""COMPUTED_VALUE"""),"Group 1")</f>
        <v>Group 1</v>
      </c>
      <c r="M1564" s="3"/>
      <c r="N1564" s="5" t="str">
        <f>IFERROR(__xludf.DUMMYFUNCTION("""COMPUTED_VALUE""")," ")</f>
        <v> </v>
      </c>
      <c r="O1564" s="5"/>
    </row>
    <row r="1565">
      <c r="A1565" s="2" t="str">
        <f>IFERROR(__xludf.DUMMYFUNCTION("""COMPUTED_VALUE"""),"2760")</f>
        <v>2760</v>
      </c>
      <c r="B1565" s="2" t="str">
        <f>IFERROR(__xludf.DUMMYFUNCTION("""COMPUTED_VALUE"""),"HAYDEN              RE-1")</f>
        <v>HAYDEN              RE-1</v>
      </c>
      <c r="C1565" s="2" t="str">
        <f>IFERROR(__xludf.DUMMYFUNCTION("""COMPUTED_VALUE"""),"02522")</f>
        <v>02522</v>
      </c>
      <c r="D1565" s="2" t="str">
        <f>IFERROR(__xludf.DUMMYFUNCTION("""COMPUTED_VALUE"""),"HAYDEN VALLEY ELEMENTARY SCHOOL")</f>
        <v>HAYDEN VALLEY ELEMENTARY SCHOOL</v>
      </c>
      <c r="E1565" s="3"/>
      <c r="F1565" s="3" t="str">
        <f>IFERROR(__xludf.DUMMYFUNCTION("""COMPUTED_VALUE"""),"Y")</f>
        <v>Y</v>
      </c>
      <c r="G1565" s="3"/>
      <c r="H1565" s="3"/>
      <c r="I1565" s="3" t="str">
        <f>IFERROR(__xludf.DUMMYFUNCTION("""COMPUTED_VALUE""")," ")</f>
        <v> </v>
      </c>
      <c r="J1565" s="3" t="str">
        <f>IFERROR(__xludf.DUMMYFUNCTION("""COMPUTED_VALUE""")," ")</f>
        <v> </v>
      </c>
      <c r="K1565" s="3" t="str">
        <f>IFERROR(__xludf.DUMMYFUNCTION("""COMPUTED_VALUE"""),"Y")</f>
        <v>Y</v>
      </c>
      <c r="L1565" s="3" t="str">
        <f>IFERROR(__xludf.DUMMYFUNCTION("""COMPUTED_VALUE""")," ")</f>
        <v> </v>
      </c>
      <c r="M1565" s="3"/>
      <c r="N1565" s="5" t="str">
        <f>IFERROR(__xludf.DUMMYFUNCTION("""COMPUTED_VALUE""")," ")</f>
        <v> </v>
      </c>
      <c r="O1565" s="5"/>
    </row>
    <row r="1566">
      <c r="A1566" s="2" t="str">
        <f>IFERROR(__xludf.DUMMYFUNCTION("""COMPUTED_VALUE"""),"2760")</f>
        <v>2760</v>
      </c>
      <c r="B1566" s="2" t="str">
        <f>IFERROR(__xludf.DUMMYFUNCTION("""COMPUTED_VALUE"""),"HAYDEN              RE-1")</f>
        <v>HAYDEN              RE-1</v>
      </c>
      <c r="C1566" s="2" t="str">
        <f>IFERROR(__xludf.DUMMYFUNCTION("""COMPUTED_VALUE"""),"03860")</f>
        <v>03860</v>
      </c>
      <c r="D1566" s="2" t="str">
        <f>IFERROR(__xludf.DUMMYFUNCTION("""COMPUTED_VALUE"""),"HAYDEN MIDDLE SCHOOL")</f>
        <v>HAYDEN MIDDLE SCHOOL</v>
      </c>
      <c r="E1566" s="3"/>
      <c r="F1566" s="3" t="str">
        <f>IFERROR(__xludf.DUMMYFUNCTION("""COMPUTED_VALUE"""),"Y")</f>
        <v>Y</v>
      </c>
      <c r="G1566" s="3"/>
      <c r="H1566" s="3"/>
      <c r="I1566" s="3" t="str">
        <f>IFERROR(__xludf.DUMMYFUNCTION("""COMPUTED_VALUE""")," ")</f>
        <v> </v>
      </c>
      <c r="J1566" s="3" t="str">
        <f>IFERROR(__xludf.DUMMYFUNCTION("""COMPUTED_VALUE""")," ")</f>
        <v> </v>
      </c>
      <c r="K1566" s="3" t="str">
        <f>IFERROR(__xludf.DUMMYFUNCTION("""COMPUTED_VALUE"""),"Y")</f>
        <v>Y</v>
      </c>
      <c r="L1566" s="3" t="str">
        <f>IFERROR(__xludf.DUMMYFUNCTION("""COMPUTED_VALUE""")," ")</f>
        <v> </v>
      </c>
      <c r="M1566" s="3"/>
      <c r="N1566" s="5" t="str">
        <f>IFERROR(__xludf.DUMMYFUNCTION("""COMPUTED_VALUE""")," ")</f>
        <v> </v>
      </c>
      <c r="O1566" s="5"/>
    </row>
    <row r="1567">
      <c r="A1567" s="2" t="str">
        <f>IFERROR(__xludf.DUMMYFUNCTION("""COMPUTED_VALUE"""),"2760")</f>
        <v>2760</v>
      </c>
      <c r="B1567" s="2" t="str">
        <f>IFERROR(__xludf.DUMMYFUNCTION("""COMPUTED_VALUE"""),"HAYDEN              RE-1")</f>
        <v>HAYDEN              RE-1</v>
      </c>
      <c r="C1567" s="2" t="str">
        <f>IFERROR(__xludf.DUMMYFUNCTION("""COMPUTED_VALUE"""),"03862")</f>
        <v>03862</v>
      </c>
      <c r="D1567" s="2" t="str">
        <f>IFERROR(__xludf.DUMMYFUNCTION("""COMPUTED_VALUE"""),"HAYDEN HIGH SCHOOL")</f>
        <v>HAYDEN HIGH SCHOOL</v>
      </c>
      <c r="E1567" s="3"/>
      <c r="F1567" s="3" t="str">
        <f>IFERROR(__xludf.DUMMYFUNCTION("""COMPUTED_VALUE"""),"Y")</f>
        <v>Y</v>
      </c>
      <c r="G1567" s="3"/>
      <c r="H1567" s="3"/>
      <c r="I1567" s="3" t="str">
        <f>IFERROR(__xludf.DUMMYFUNCTION("""COMPUTED_VALUE""")," ")</f>
        <v> </v>
      </c>
      <c r="J1567" s="3" t="str">
        <f>IFERROR(__xludf.DUMMYFUNCTION("""COMPUTED_VALUE""")," ")</f>
        <v> </v>
      </c>
      <c r="K1567" s="3" t="str">
        <f>IFERROR(__xludf.DUMMYFUNCTION("""COMPUTED_VALUE"""),"Y")</f>
        <v>Y</v>
      </c>
      <c r="L1567" s="3" t="str">
        <f>IFERROR(__xludf.DUMMYFUNCTION("""COMPUTED_VALUE""")," ")</f>
        <v> </v>
      </c>
      <c r="M1567" s="3"/>
      <c r="N1567" s="5" t="str">
        <f>IFERROR(__xludf.DUMMYFUNCTION("""COMPUTED_VALUE""")," ")</f>
        <v> </v>
      </c>
      <c r="O1567" s="5"/>
    </row>
    <row r="1568">
      <c r="A1568" s="2" t="str">
        <f>IFERROR(__xludf.DUMMYFUNCTION("""COMPUTED_VALUE"""),"2770")</f>
        <v>2770</v>
      </c>
      <c r="B1568" s="2" t="str">
        <f>IFERROR(__xludf.DUMMYFUNCTION("""COMPUTED_VALUE"""),"STEAMBOAT SPRINGS   RE-2")</f>
        <v>STEAMBOAT SPRINGS   RE-2</v>
      </c>
      <c r="C1568" s="2" t="str">
        <f>IFERROR(__xludf.DUMMYFUNCTION("""COMPUTED_VALUE"""),"06277")</f>
        <v>06277</v>
      </c>
      <c r="D1568" s="2" t="str">
        <f>IFERROR(__xludf.DUMMYFUNCTION("""COMPUTED_VALUE"""),"SLEEPING GIANT SCHOOL")</f>
        <v>SLEEPING GIANT SCHOOL</v>
      </c>
      <c r="E1568" s="3"/>
      <c r="F1568" s="3" t="str">
        <f>IFERROR(__xludf.DUMMYFUNCTION("""COMPUTED_VALUE"""),"Y")</f>
        <v>Y</v>
      </c>
      <c r="G1568" s="3"/>
      <c r="H1568" s="3"/>
      <c r="I1568" s="3" t="str">
        <f>IFERROR(__xludf.DUMMYFUNCTION("""COMPUTED_VALUE""")," ")</f>
        <v> </v>
      </c>
      <c r="J1568" s="3" t="str">
        <f>IFERROR(__xludf.DUMMYFUNCTION("""COMPUTED_VALUE""")," ")</f>
        <v> </v>
      </c>
      <c r="K1568" s="3" t="str">
        <f>IFERROR(__xludf.DUMMYFUNCTION("""COMPUTED_VALUE"""),"Y")</f>
        <v>Y</v>
      </c>
      <c r="L1568" s="3" t="str">
        <f>IFERROR(__xludf.DUMMYFUNCTION("""COMPUTED_VALUE""")," ")</f>
        <v> </v>
      </c>
      <c r="M1568" s="3"/>
      <c r="N1568" s="5" t="str">
        <f>IFERROR(__xludf.DUMMYFUNCTION("""COMPUTED_VALUE""")," ")</f>
        <v> </v>
      </c>
      <c r="O1568" s="5"/>
    </row>
    <row r="1569">
      <c r="A1569" s="2" t="str">
        <f>IFERROR(__xludf.DUMMYFUNCTION("""COMPUTED_VALUE"""),"2770")</f>
        <v>2770</v>
      </c>
      <c r="B1569" s="2" t="str">
        <f>IFERROR(__xludf.DUMMYFUNCTION("""COMPUTED_VALUE"""),"STEAMBOAT SPRINGS   RE-2")</f>
        <v>STEAMBOAT SPRINGS   RE-2</v>
      </c>
      <c r="C1569" s="2" t="str">
        <f>IFERROR(__xludf.DUMMYFUNCTION("""COMPUTED_VALUE"""),"08208")</f>
        <v>08208</v>
      </c>
      <c r="D1569" s="2" t="str">
        <f>IFERROR(__xludf.DUMMYFUNCTION("""COMPUTED_VALUE"""),"SODA CREEK ELEMENTARY SCHOOL")</f>
        <v>SODA CREEK ELEMENTARY SCHOOL</v>
      </c>
      <c r="E1569" s="3"/>
      <c r="F1569" s="3" t="str">
        <f>IFERROR(__xludf.DUMMYFUNCTION("""COMPUTED_VALUE"""),"Y")</f>
        <v>Y</v>
      </c>
      <c r="G1569" s="3"/>
      <c r="H1569" s="3"/>
      <c r="I1569" s="3" t="str">
        <f>IFERROR(__xludf.DUMMYFUNCTION("""COMPUTED_VALUE""")," ")</f>
        <v> </v>
      </c>
      <c r="J1569" s="3" t="str">
        <f>IFERROR(__xludf.DUMMYFUNCTION("""COMPUTED_VALUE""")," ")</f>
        <v> </v>
      </c>
      <c r="K1569" s="3" t="str">
        <f>IFERROR(__xludf.DUMMYFUNCTION("""COMPUTED_VALUE"""),"Y")</f>
        <v>Y</v>
      </c>
      <c r="L1569" s="3" t="str">
        <f>IFERROR(__xludf.DUMMYFUNCTION("""COMPUTED_VALUE""")," ")</f>
        <v> </v>
      </c>
      <c r="M1569" s="3"/>
      <c r="N1569" s="5" t="str">
        <f>IFERROR(__xludf.DUMMYFUNCTION("""COMPUTED_VALUE""")," ")</f>
        <v> </v>
      </c>
      <c r="O1569" s="5"/>
    </row>
    <row r="1570">
      <c r="A1570" s="2" t="str">
        <f>IFERROR(__xludf.DUMMYFUNCTION("""COMPUTED_VALUE"""),"2770")</f>
        <v>2770</v>
      </c>
      <c r="B1570" s="2" t="str">
        <f>IFERROR(__xludf.DUMMYFUNCTION("""COMPUTED_VALUE"""),"STEAMBOAT SPRINGS   RE-2")</f>
        <v>STEAMBOAT SPRINGS   RE-2</v>
      </c>
      <c r="C1570" s="2" t="str">
        <f>IFERROR(__xludf.DUMMYFUNCTION("""COMPUTED_VALUE"""),"08210")</f>
        <v>08210</v>
      </c>
      <c r="D1570" s="2" t="str">
        <f>IFERROR(__xludf.DUMMYFUNCTION("""COMPUTED_VALUE"""),"STEAMBOAT SPRINGS MIDDLE SCHOOL")</f>
        <v>STEAMBOAT SPRINGS MIDDLE SCHOOL</v>
      </c>
      <c r="E1570" s="3"/>
      <c r="F1570" s="3" t="str">
        <f>IFERROR(__xludf.DUMMYFUNCTION("""COMPUTED_VALUE"""),"Y")</f>
        <v>Y</v>
      </c>
      <c r="G1570" s="3"/>
      <c r="H1570" s="3"/>
      <c r="I1570" s="3" t="str">
        <f>IFERROR(__xludf.DUMMYFUNCTION("""COMPUTED_VALUE""")," ")</f>
        <v> </v>
      </c>
      <c r="J1570" s="3" t="str">
        <f>IFERROR(__xludf.DUMMYFUNCTION("""COMPUTED_VALUE""")," ")</f>
        <v> </v>
      </c>
      <c r="K1570" s="3" t="str">
        <f>IFERROR(__xludf.DUMMYFUNCTION("""COMPUTED_VALUE"""),"Y")</f>
        <v>Y</v>
      </c>
      <c r="L1570" s="3" t="str">
        <f>IFERROR(__xludf.DUMMYFUNCTION("""COMPUTED_VALUE""")," ")</f>
        <v> </v>
      </c>
      <c r="M1570" s="3"/>
      <c r="N1570" s="5" t="str">
        <f>IFERROR(__xludf.DUMMYFUNCTION("""COMPUTED_VALUE""")," ")</f>
        <v> </v>
      </c>
      <c r="O1570" s="5"/>
    </row>
    <row r="1571">
      <c r="A1571" s="2" t="str">
        <f>IFERROR(__xludf.DUMMYFUNCTION("""COMPUTED_VALUE"""),"2770")</f>
        <v>2770</v>
      </c>
      <c r="B1571" s="2" t="str">
        <f>IFERROR(__xludf.DUMMYFUNCTION("""COMPUTED_VALUE"""),"STEAMBOAT SPRINGS   RE-2")</f>
        <v>STEAMBOAT SPRINGS   RE-2</v>
      </c>
      <c r="C1571" s="2" t="str">
        <f>IFERROR(__xludf.DUMMYFUNCTION("""COMPUTED_VALUE"""),"08212")</f>
        <v>08212</v>
      </c>
      <c r="D1571" s="2" t="str">
        <f>IFERROR(__xludf.DUMMYFUNCTION("""COMPUTED_VALUE"""),"STEAMBOAT SPRINGS HIGH SCHOOL")</f>
        <v>STEAMBOAT SPRINGS HIGH SCHOOL</v>
      </c>
      <c r="E1571" s="3"/>
      <c r="F1571" s="3" t="str">
        <f>IFERROR(__xludf.DUMMYFUNCTION("""COMPUTED_VALUE"""),"Y")</f>
        <v>Y</v>
      </c>
      <c r="G1571" s="3"/>
      <c r="H1571" s="3"/>
      <c r="I1571" s="3" t="str">
        <f>IFERROR(__xludf.DUMMYFUNCTION("""COMPUTED_VALUE""")," ")</f>
        <v> </v>
      </c>
      <c r="J1571" s="3" t="str">
        <f>IFERROR(__xludf.DUMMYFUNCTION("""COMPUTED_VALUE""")," ")</f>
        <v> </v>
      </c>
      <c r="K1571" s="3" t="str">
        <f>IFERROR(__xludf.DUMMYFUNCTION("""COMPUTED_VALUE"""),"Y")</f>
        <v>Y</v>
      </c>
      <c r="L1571" s="3" t="str">
        <f>IFERROR(__xludf.DUMMYFUNCTION("""COMPUTED_VALUE""")," ")</f>
        <v> </v>
      </c>
      <c r="M1571" s="3"/>
      <c r="N1571" s="5" t="str">
        <f>IFERROR(__xludf.DUMMYFUNCTION("""COMPUTED_VALUE""")," ")</f>
        <v> </v>
      </c>
      <c r="O1571" s="5"/>
    </row>
    <row r="1572">
      <c r="A1572" s="2" t="str">
        <f>IFERROR(__xludf.DUMMYFUNCTION("""COMPUTED_VALUE"""),"2770")</f>
        <v>2770</v>
      </c>
      <c r="B1572" s="2" t="str">
        <f>IFERROR(__xludf.DUMMYFUNCTION("""COMPUTED_VALUE"""),"STEAMBOAT SPRINGS   RE-2")</f>
        <v>STEAMBOAT SPRINGS   RE-2</v>
      </c>
      <c r="C1572" s="2" t="str">
        <f>IFERROR(__xludf.DUMMYFUNCTION("""COMPUTED_VALUE"""),"08358")</f>
        <v>08358</v>
      </c>
      <c r="D1572" s="2" t="str">
        <f>IFERROR(__xludf.DUMMYFUNCTION("""COMPUTED_VALUE"""),"STRAWBERRY PARK ELEMENTARY SCHOOL")</f>
        <v>STRAWBERRY PARK ELEMENTARY SCHOOL</v>
      </c>
      <c r="E1572" s="3"/>
      <c r="F1572" s="3" t="str">
        <f>IFERROR(__xludf.DUMMYFUNCTION("""COMPUTED_VALUE"""),"Y")</f>
        <v>Y</v>
      </c>
      <c r="G1572" s="3"/>
      <c r="H1572" s="3"/>
      <c r="I1572" s="3" t="str">
        <f>IFERROR(__xludf.DUMMYFUNCTION("""COMPUTED_VALUE""")," ")</f>
        <v> </v>
      </c>
      <c r="J1572" s="3" t="str">
        <f>IFERROR(__xludf.DUMMYFUNCTION("""COMPUTED_VALUE""")," ")</f>
        <v> </v>
      </c>
      <c r="K1572" s="3" t="str">
        <f>IFERROR(__xludf.DUMMYFUNCTION("""COMPUTED_VALUE"""),"Y")</f>
        <v>Y</v>
      </c>
      <c r="L1572" s="3" t="str">
        <f>IFERROR(__xludf.DUMMYFUNCTION("""COMPUTED_VALUE""")," ")</f>
        <v> </v>
      </c>
      <c r="M1572" s="3"/>
      <c r="N1572" s="5" t="str">
        <f>IFERROR(__xludf.DUMMYFUNCTION("""COMPUTED_VALUE""")," ")</f>
        <v> </v>
      </c>
      <c r="O1572" s="5"/>
    </row>
    <row r="1573">
      <c r="A1573" s="2" t="str">
        <f>IFERROR(__xludf.DUMMYFUNCTION("""COMPUTED_VALUE"""),"2780")</f>
        <v>2780</v>
      </c>
      <c r="B1573" s="2" t="str">
        <f>IFERROR(__xludf.DUMMYFUNCTION("""COMPUTED_VALUE"""),"SOUTH ROUTT         RE 3")</f>
        <v>SOUTH ROUTT         RE 3</v>
      </c>
      <c r="C1573" s="2" t="str">
        <f>IFERROR(__xludf.DUMMYFUNCTION("""COMPUTED_VALUE"""),"08048")</f>
        <v>08048</v>
      </c>
      <c r="D1573" s="2" t="str">
        <f>IFERROR(__xludf.DUMMYFUNCTION("""COMPUTED_VALUE"""),"SOROCO MIDDLE SCHOOL")</f>
        <v>SOROCO MIDDLE SCHOOL</v>
      </c>
      <c r="E1573" s="3" t="str">
        <f>IFERROR(__xludf.DUMMYFUNCTION("""COMPUTED_VALUE"""),"Y")</f>
        <v>Y</v>
      </c>
      <c r="F1573" s="3" t="str">
        <f>IFERROR(__xludf.DUMMYFUNCTION("""COMPUTED_VALUE"""),"Y")</f>
        <v>Y</v>
      </c>
      <c r="G1573" s="3"/>
      <c r="H1573" s="3"/>
      <c r="I1573" s="3" t="str">
        <f>IFERROR(__xludf.DUMMYFUNCTION("""COMPUTED_VALUE""")," ")</f>
        <v> </v>
      </c>
      <c r="J1573" s="3" t="str">
        <f>IFERROR(__xludf.DUMMYFUNCTION("""COMPUTED_VALUE""")," ")</f>
        <v> </v>
      </c>
      <c r="K1573" s="3" t="str">
        <f>IFERROR(__xludf.DUMMYFUNCTION("""COMPUTED_VALUE"""),"Y")</f>
        <v>Y</v>
      </c>
      <c r="L1573" s="3" t="str">
        <f>IFERROR(__xludf.DUMMYFUNCTION("""COMPUTED_VALUE""")," ")</f>
        <v> </v>
      </c>
      <c r="M1573" s="3"/>
      <c r="N1573" s="5" t="str">
        <f>IFERROR(__xludf.DUMMYFUNCTION("""COMPUTED_VALUE""")," ")</f>
        <v> </v>
      </c>
      <c r="O1573" s="5"/>
    </row>
    <row r="1574">
      <c r="A1574" s="2" t="str">
        <f>IFERROR(__xludf.DUMMYFUNCTION("""COMPUTED_VALUE"""),"2780")</f>
        <v>2780</v>
      </c>
      <c r="B1574" s="2" t="str">
        <f>IFERROR(__xludf.DUMMYFUNCTION("""COMPUTED_VALUE"""),"SOUTH ROUTT         RE 3")</f>
        <v>SOUTH ROUTT         RE 3</v>
      </c>
      <c r="C1574" s="2" t="str">
        <f>IFERROR(__xludf.DUMMYFUNCTION("""COMPUTED_VALUE"""),"08050")</f>
        <v>08050</v>
      </c>
      <c r="D1574" s="2" t="str">
        <f>IFERROR(__xludf.DUMMYFUNCTION("""COMPUTED_VALUE"""),"SOROCO HIGH SCHOOL")</f>
        <v>SOROCO HIGH SCHOOL</v>
      </c>
      <c r="E1574" s="3" t="str">
        <f>IFERROR(__xludf.DUMMYFUNCTION("""COMPUTED_VALUE"""),"Y")</f>
        <v>Y</v>
      </c>
      <c r="F1574" s="3" t="str">
        <f>IFERROR(__xludf.DUMMYFUNCTION("""COMPUTED_VALUE"""),"Y")</f>
        <v>Y</v>
      </c>
      <c r="G1574" s="3"/>
      <c r="H1574" s="3"/>
      <c r="I1574" s="3" t="str">
        <f>IFERROR(__xludf.DUMMYFUNCTION("""COMPUTED_VALUE""")," ")</f>
        <v> </v>
      </c>
      <c r="J1574" s="3" t="str">
        <f>IFERROR(__xludf.DUMMYFUNCTION("""COMPUTED_VALUE""")," ")</f>
        <v> </v>
      </c>
      <c r="K1574" s="3" t="str">
        <f>IFERROR(__xludf.DUMMYFUNCTION("""COMPUTED_VALUE"""),"Y")</f>
        <v>Y</v>
      </c>
      <c r="L1574" s="3" t="str">
        <f>IFERROR(__xludf.DUMMYFUNCTION("""COMPUTED_VALUE""")," ")</f>
        <v> </v>
      </c>
      <c r="M1574" s="3"/>
      <c r="N1574" s="5" t="str">
        <f>IFERROR(__xludf.DUMMYFUNCTION("""COMPUTED_VALUE""")," ")</f>
        <v> </v>
      </c>
      <c r="O1574" s="5"/>
    </row>
    <row r="1575">
      <c r="A1575" s="2" t="str">
        <f>IFERROR(__xludf.DUMMYFUNCTION("""COMPUTED_VALUE"""),"2780")</f>
        <v>2780</v>
      </c>
      <c r="B1575" s="2" t="str">
        <f>IFERROR(__xludf.DUMMYFUNCTION("""COMPUTED_VALUE"""),"SOUTH ROUTT         RE 3")</f>
        <v>SOUTH ROUTT         RE 3</v>
      </c>
      <c r="C1575" s="2" t="str">
        <f>IFERROR(__xludf.DUMMYFUNCTION("""COMPUTED_VALUE"""),"08119")</f>
        <v>08119</v>
      </c>
      <c r="D1575" s="2" t="str">
        <f>IFERROR(__xludf.DUMMYFUNCTION("""COMPUTED_VALUE"""),"Soroco Preschool at Yampa")</f>
        <v>Soroco Preschool at Yampa</v>
      </c>
      <c r="E1575" s="3"/>
      <c r="F1575" s="3" t="str">
        <f>IFERROR(__xludf.DUMMYFUNCTION("""COMPUTED_VALUE"""),"Y")</f>
        <v>Y</v>
      </c>
      <c r="G1575" s="3"/>
      <c r="H1575" s="3"/>
      <c r="I1575" s="3" t="str">
        <f>IFERROR(__xludf.DUMMYFUNCTION("""COMPUTED_VALUE""")," ")</f>
        <v> </v>
      </c>
      <c r="J1575" s="3" t="str">
        <f>IFERROR(__xludf.DUMMYFUNCTION("""COMPUTED_VALUE""")," ")</f>
        <v> </v>
      </c>
      <c r="K1575" s="3" t="str">
        <f>IFERROR(__xludf.DUMMYFUNCTION("""COMPUTED_VALUE"""),"Y")</f>
        <v>Y</v>
      </c>
      <c r="L1575" s="3" t="str">
        <f>IFERROR(__xludf.DUMMYFUNCTION("""COMPUTED_VALUE""")," ")</f>
        <v> </v>
      </c>
      <c r="M1575" s="3"/>
      <c r="N1575" s="5" t="str">
        <f>IFERROR(__xludf.DUMMYFUNCTION("""COMPUTED_VALUE""")," ")</f>
        <v> </v>
      </c>
      <c r="O1575" s="5"/>
    </row>
    <row r="1576">
      <c r="A1576" s="2" t="str">
        <f>IFERROR(__xludf.DUMMYFUNCTION("""COMPUTED_VALUE"""),"2780")</f>
        <v>2780</v>
      </c>
      <c r="B1576" s="2" t="str">
        <f>IFERROR(__xludf.DUMMYFUNCTION("""COMPUTED_VALUE"""),"SOUTH ROUTT         RE 3")</f>
        <v>SOUTH ROUTT         RE 3</v>
      </c>
      <c r="C1576" s="2" t="str">
        <f>IFERROR(__xludf.DUMMYFUNCTION("""COMPUTED_VALUE"""),"08120")</f>
        <v>08120</v>
      </c>
      <c r="D1576" s="2" t="str">
        <f>IFERROR(__xludf.DUMMYFUNCTION("""COMPUTED_VALUE"""),"SOUTH ROUTT ELEMENTARY SCHOOL")</f>
        <v>SOUTH ROUTT ELEMENTARY SCHOOL</v>
      </c>
      <c r="E1576" s="3"/>
      <c r="F1576" s="3" t="str">
        <f>IFERROR(__xludf.DUMMYFUNCTION("""COMPUTED_VALUE"""),"Y")</f>
        <v>Y</v>
      </c>
      <c r="G1576" s="3"/>
      <c r="H1576" s="3"/>
      <c r="I1576" s="3" t="str">
        <f>IFERROR(__xludf.DUMMYFUNCTION("""COMPUTED_VALUE""")," ")</f>
        <v> </v>
      </c>
      <c r="J1576" s="3" t="str">
        <f>IFERROR(__xludf.DUMMYFUNCTION("""COMPUTED_VALUE""")," ")</f>
        <v> </v>
      </c>
      <c r="K1576" s="3" t="str">
        <f>IFERROR(__xludf.DUMMYFUNCTION("""COMPUTED_VALUE"""),"Y")</f>
        <v>Y</v>
      </c>
      <c r="L1576" s="3" t="str">
        <f>IFERROR(__xludf.DUMMYFUNCTION("""COMPUTED_VALUE""")," ")</f>
        <v> </v>
      </c>
      <c r="M1576" s="3"/>
      <c r="N1576" s="5" t="str">
        <f>IFERROR(__xludf.DUMMYFUNCTION("""COMPUTED_VALUE""")," ")</f>
        <v> </v>
      </c>
      <c r="O1576" s="5"/>
    </row>
    <row r="1577">
      <c r="A1577" s="2" t="str">
        <f>IFERROR(__xludf.DUMMYFUNCTION("""COMPUTED_VALUE"""),"2790")</f>
        <v>2790</v>
      </c>
      <c r="B1577" s="2" t="str">
        <f>IFERROR(__xludf.DUMMYFUNCTION("""COMPUTED_VALUE"""),"MOUNTAIN VALLEY     RE 1")</f>
        <v>MOUNTAIN VALLEY     RE 1</v>
      </c>
      <c r="C1577" s="2" t="str">
        <f>IFERROR(__xludf.DUMMYFUNCTION("""COMPUTED_VALUE"""),"06146")</f>
        <v>06146</v>
      </c>
      <c r="D1577" s="2" t="str">
        <f>IFERROR(__xludf.DUMMYFUNCTION("""COMPUTED_VALUE"""),"MOUNTAIN VALLEY SCHOOL")</f>
        <v>MOUNTAIN VALLEY SCHOOL</v>
      </c>
      <c r="E1577" s="3" t="str">
        <f>IFERROR(__xludf.DUMMYFUNCTION("""COMPUTED_VALUE"""),"Y")</f>
        <v>Y</v>
      </c>
      <c r="F1577" s="3" t="str">
        <f>IFERROR(__xludf.DUMMYFUNCTION("""COMPUTED_VALUE"""),"Y")</f>
        <v>Y</v>
      </c>
      <c r="G1577" s="3"/>
      <c r="H1577" s="3"/>
      <c r="I1577" s="3" t="str">
        <f>IFERROR(__xludf.DUMMYFUNCTION("""COMPUTED_VALUE""")," ")</f>
        <v> </v>
      </c>
      <c r="J1577" s="3" t="str">
        <f>IFERROR(__xludf.DUMMYFUNCTION("""COMPUTED_VALUE""")," ")</f>
        <v> </v>
      </c>
      <c r="K1577" s="3" t="str">
        <f>IFERROR(__xludf.DUMMYFUNCTION("""COMPUTED_VALUE"""),"Y")</f>
        <v>Y</v>
      </c>
      <c r="L1577" s="3" t="str">
        <f>IFERROR(__xludf.DUMMYFUNCTION("""COMPUTED_VALUE"""),"Group 1")</f>
        <v>Group 1</v>
      </c>
      <c r="M1577" s="3"/>
      <c r="N1577" s="5" t="str">
        <f>IFERROR(__xludf.DUMMYFUNCTION("""COMPUTED_VALUE""")," ")</f>
        <v> </v>
      </c>
      <c r="O1577" s="5"/>
    </row>
    <row r="1578">
      <c r="A1578" s="2" t="str">
        <f>IFERROR(__xludf.DUMMYFUNCTION("""COMPUTED_VALUE"""),"2800")</f>
        <v>2800</v>
      </c>
      <c r="B1578" s="2" t="str">
        <f>IFERROR(__xludf.DUMMYFUNCTION("""COMPUTED_VALUE"""),"MOFFAT 2")</f>
        <v>MOFFAT 2</v>
      </c>
      <c r="C1578" s="2" t="str">
        <f>IFERROR(__xludf.DUMMYFUNCTION("""COMPUTED_VALUE"""),"02018")</f>
        <v>02018</v>
      </c>
      <c r="D1578" s="2" t="str">
        <f>IFERROR(__xludf.DUMMYFUNCTION("""COMPUTED_VALUE"""),"Crestone Charter School")</f>
        <v>Crestone Charter School</v>
      </c>
      <c r="E1578" s="3" t="str">
        <f>IFERROR(__xludf.DUMMYFUNCTION("""COMPUTED_VALUE"""),"Y")</f>
        <v>Y</v>
      </c>
      <c r="F1578" s="3" t="str">
        <f>IFERROR(__xludf.DUMMYFUNCTION("""COMPUTED_VALUE"""),"Y")</f>
        <v>Y</v>
      </c>
      <c r="G1578" s="3"/>
      <c r="H1578" s="3"/>
      <c r="I1578" s="3" t="str">
        <f>IFERROR(__xludf.DUMMYFUNCTION("""COMPUTED_VALUE""")," ")</f>
        <v> </v>
      </c>
      <c r="J1578" s="3" t="str">
        <f>IFERROR(__xludf.DUMMYFUNCTION("""COMPUTED_VALUE""")," ")</f>
        <v> </v>
      </c>
      <c r="K1578" s="3" t="str">
        <f>IFERROR(__xludf.DUMMYFUNCTION("""COMPUTED_VALUE"""),"Y")</f>
        <v>Y</v>
      </c>
      <c r="L1578" s="3" t="str">
        <f>IFERROR(__xludf.DUMMYFUNCTION("""COMPUTED_VALUE"""),"Group 1")</f>
        <v>Group 1</v>
      </c>
      <c r="M1578" s="3"/>
      <c r="N1578" s="5" t="str">
        <f>IFERROR(__xludf.DUMMYFUNCTION("""COMPUTED_VALUE""")," ")</f>
        <v> </v>
      </c>
      <c r="O1578" s="5"/>
    </row>
    <row r="1579">
      <c r="A1579" s="2" t="str">
        <f>IFERROR(__xludf.DUMMYFUNCTION("""COMPUTED_VALUE"""),"2800")</f>
        <v>2800</v>
      </c>
      <c r="B1579" s="2" t="str">
        <f>IFERROR(__xludf.DUMMYFUNCTION("""COMPUTED_VALUE"""),"MOFFAT 2")</f>
        <v>MOFFAT 2</v>
      </c>
      <c r="C1579" s="2" t="str">
        <f>IFERROR(__xludf.DUMMYFUNCTION("""COMPUTED_VALUE"""),"05958")</f>
        <v>05958</v>
      </c>
      <c r="D1579" s="2" t="str">
        <f>IFERROR(__xludf.DUMMYFUNCTION("""COMPUTED_VALUE"""),"MOFFAT PK-12 SCHOOL")</f>
        <v>MOFFAT PK-12 SCHOOL</v>
      </c>
      <c r="E1579" s="3" t="str">
        <f>IFERROR(__xludf.DUMMYFUNCTION("""COMPUTED_VALUE"""),"Y")</f>
        <v>Y</v>
      </c>
      <c r="F1579" s="3" t="str">
        <f>IFERROR(__xludf.DUMMYFUNCTION("""COMPUTED_VALUE"""),"Y")</f>
        <v>Y</v>
      </c>
      <c r="G1579" s="3"/>
      <c r="H1579" s="3"/>
      <c r="I1579" s="3" t="str">
        <f>IFERROR(__xludf.DUMMYFUNCTION("""COMPUTED_VALUE""")," ")</f>
        <v> </v>
      </c>
      <c r="J1579" s="3" t="str">
        <f>IFERROR(__xludf.DUMMYFUNCTION("""COMPUTED_VALUE""")," ")</f>
        <v> </v>
      </c>
      <c r="K1579" s="3" t="str">
        <f>IFERROR(__xludf.DUMMYFUNCTION("""COMPUTED_VALUE"""),"Y")</f>
        <v>Y</v>
      </c>
      <c r="L1579" s="3" t="str">
        <f>IFERROR(__xludf.DUMMYFUNCTION("""COMPUTED_VALUE"""),"Group 1")</f>
        <v>Group 1</v>
      </c>
      <c r="M1579" s="3"/>
      <c r="N1579" s="5" t="str">
        <f>IFERROR(__xludf.DUMMYFUNCTION("""COMPUTED_VALUE"""),"Y")</f>
        <v>Y</v>
      </c>
      <c r="O1579" s="5"/>
    </row>
    <row r="1580">
      <c r="A1580" s="2" t="str">
        <f>IFERROR(__xludf.DUMMYFUNCTION("""COMPUTED_VALUE"""),"2810")</f>
        <v>2810</v>
      </c>
      <c r="B1580" s="2" t="str">
        <f>IFERROR(__xludf.DUMMYFUNCTION("""COMPUTED_VALUE"""),"CENTER 26 JT")</f>
        <v>CENTER 26 JT</v>
      </c>
      <c r="C1580" s="2" t="str">
        <f>IFERROR(__xludf.DUMMYFUNCTION("""COMPUTED_VALUE"""),"00051")</f>
        <v>00051</v>
      </c>
      <c r="D1580" s="2" t="str">
        <f>IFERROR(__xludf.DUMMYFUNCTION("""COMPUTED_VALUE"""),"THE ACADEMIC RECOVERY CENTER OF SAN LUIS VALLEY")</f>
        <v>THE ACADEMIC RECOVERY CENTER OF SAN LUIS VALLEY</v>
      </c>
      <c r="E1580" s="3" t="str">
        <f>IFERROR(__xludf.DUMMYFUNCTION("""COMPUTED_VALUE"""),"Y")</f>
        <v>Y</v>
      </c>
      <c r="F1580" s="3" t="str">
        <f>IFERROR(__xludf.DUMMYFUNCTION("""COMPUTED_VALUE"""),"Y")</f>
        <v>Y</v>
      </c>
      <c r="G1580" s="3" t="str">
        <f>IFERROR(__xludf.DUMMYFUNCTION("""COMPUTED_VALUE"""),"Y")</f>
        <v>Y</v>
      </c>
      <c r="H1580" s="3"/>
      <c r="I1580" s="3" t="str">
        <f>IFERROR(__xludf.DUMMYFUNCTION("""COMPUTED_VALUE""")," ")</f>
        <v> </v>
      </c>
      <c r="J1580" s="3" t="str">
        <f>IFERROR(__xludf.DUMMYFUNCTION("""COMPUTED_VALUE""")," ")</f>
        <v> </v>
      </c>
      <c r="K1580" s="3" t="str">
        <f>IFERROR(__xludf.DUMMYFUNCTION("""COMPUTED_VALUE"""),"Y")</f>
        <v>Y</v>
      </c>
      <c r="L1580" s="3" t="str">
        <f>IFERROR(__xludf.DUMMYFUNCTION("""COMPUTED_VALUE"""),"Group 1")</f>
        <v>Group 1</v>
      </c>
      <c r="M1580" s="3"/>
      <c r="N1580" s="5" t="str">
        <f>IFERROR(__xludf.DUMMYFUNCTION("""COMPUTED_VALUE""")," ")</f>
        <v> </v>
      </c>
      <c r="O1580" s="5"/>
    </row>
    <row r="1581">
      <c r="A1581" s="2" t="str">
        <f>IFERROR(__xludf.DUMMYFUNCTION("""COMPUTED_VALUE"""),"2810")</f>
        <v>2810</v>
      </c>
      <c r="B1581" s="2" t="str">
        <f>IFERROR(__xludf.DUMMYFUNCTION("""COMPUTED_VALUE"""),"CENTER 26 JT")</f>
        <v>CENTER 26 JT</v>
      </c>
      <c r="C1581" s="2" t="str">
        <f>IFERROR(__xludf.DUMMYFUNCTION("""COMPUTED_VALUE"""),"01412")</f>
        <v>01412</v>
      </c>
      <c r="D1581" s="2" t="str">
        <f>IFERROR(__xludf.DUMMYFUNCTION("""COMPUTED_VALUE"""),"HASKIN ELEMENTARY SCHOOL")</f>
        <v>HASKIN ELEMENTARY SCHOOL</v>
      </c>
      <c r="E1581" s="3" t="str">
        <f>IFERROR(__xludf.DUMMYFUNCTION("""COMPUTED_VALUE"""),"Y")</f>
        <v>Y</v>
      </c>
      <c r="F1581" s="3" t="str">
        <f>IFERROR(__xludf.DUMMYFUNCTION("""COMPUTED_VALUE"""),"Y")</f>
        <v>Y</v>
      </c>
      <c r="G1581" s="3" t="str">
        <f>IFERROR(__xludf.DUMMYFUNCTION("""COMPUTED_VALUE"""),"Y")</f>
        <v>Y</v>
      </c>
      <c r="H1581" s="3"/>
      <c r="I1581" s="3" t="str">
        <f>IFERROR(__xludf.DUMMYFUNCTION("""COMPUTED_VALUE""")," ")</f>
        <v> </v>
      </c>
      <c r="J1581" s="3" t="str">
        <f>IFERROR(__xludf.DUMMYFUNCTION("""COMPUTED_VALUE""")," ")</f>
        <v> </v>
      </c>
      <c r="K1581" s="3" t="str">
        <f>IFERROR(__xludf.DUMMYFUNCTION("""COMPUTED_VALUE"""),"Y")</f>
        <v>Y</v>
      </c>
      <c r="L1581" s="3" t="str">
        <f>IFERROR(__xludf.DUMMYFUNCTION("""COMPUTED_VALUE"""),"Group 2")</f>
        <v>Group 2</v>
      </c>
      <c r="M1581" s="3"/>
      <c r="N1581" s="5" t="str">
        <f>IFERROR(__xludf.DUMMYFUNCTION("""COMPUTED_VALUE"""),"Y")</f>
        <v>Y</v>
      </c>
      <c r="O1581" s="5"/>
    </row>
    <row r="1582">
      <c r="A1582" s="2" t="str">
        <f>IFERROR(__xludf.DUMMYFUNCTION("""COMPUTED_VALUE"""),"2810")</f>
        <v>2810</v>
      </c>
      <c r="B1582" s="2" t="str">
        <f>IFERROR(__xludf.DUMMYFUNCTION("""COMPUTED_VALUE"""),"CENTER 26 JT")</f>
        <v>CENTER 26 JT</v>
      </c>
      <c r="C1582" s="2" t="str">
        <f>IFERROR(__xludf.DUMMYFUNCTION("""COMPUTED_VALUE"""),"01416")</f>
        <v>01416</v>
      </c>
      <c r="D1582" s="2" t="str">
        <f>IFERROR(__xludf.DUMMYFUNCTION("""COMPUTED_VALUE"""),"SKOGLUND MIDDLE SCHOOL")</f>
        <v>SKOGLUND MIDDLE SCHOOL</v>
      </c>
      <c r="E1582" s="3" t="str">
        <f>IFERROR(__xludf.DUMMYFUNCTION("""COMPUTED_VALUE"""),"Y")</f>
        <v>Y</v>
      </c>
      <c r="F1582" s="3" t="str">
        <f>IFERROR(__xludf.DUMMYFUNCTION("""COMPUTED_VALUE"""),"Y")</f>
        <v>Y</v>
      </c>
      <c r="G1582" s="3" t="str">
        <f>IFERROR(__xludf.DUMMYFUNCTION("""COMPUTED_VALUE"""),"Y")</f>
        <v>Y</v>
      </c>
      <c r="H1582" s="3"/>
      <c r="I1582" s="3" t="str">
        <f>IFERROR(__xludf.DUMMYFUNCTION("""COMPUTED_VALUE""")," ")</f>
        <v> </v>
      </c>
      <c r="J1582" s="3" t="str">
        <f>IFERROR(__xludf.DUMMYFUNCTION("""COMPUTED_VALUE""")," ")</f>
        <v> </v>
      </c>
      <c r="K1582" s="3" t="str">
        <f>IFERROR(__xludf.DUMMYFUNCTION("""COMPUTED_VALUE"""),"Y")</f>
        <v>Y</v>
      </c>
      <c r="L1582" s="3" t="str">
        <f>IFERROR(__xludf.DUMMYFUNCTION("""COMPUTED_VALUE"""),"Group 3")</f>
        <v>Group 3</v>
      </c>
      <c r="M1582" s="3"/>
      <c r="N1582" s="5" t="str">
        <f>IFERROR(__xludf.DUMMYFUNCTION("""COMPUTED_VALUE""")," ")</f>
        <v> </v>
      </c>
      <c r="O1582" s="5"/>
    </row>
    <row r="1583">
      <c r="A1583" s="2" t="str">
        <f>IFERROR(__xludf.DUMMYFUNCTION("""COMPUTED_VALUE"""),"2810")</f>
        <v>2810</v>
      </c>
      <c r="B1583" s="2" t="str">
        <f>IFERROR(__xludf.DUMMYFUNCTION("""COMPUTED_VALUE"""),"CENTER 26 JT")</f>
        <v>CENTER 26 JT</v>
      </c>
      <c r="C1583" s="2" t="str">
        <f>IFERROR(__xludf.DUMMYFUNCTION("""COMPUTED_VALUE"""),"01420")</f>
        <v>01420</v>
      </c>
      <c r="D1583" s="2" t="str">
        <f>IFERROR(__xludf.DUMMYFUNCTION("""COMPUTED_VALUE"""),"CENTER HIGH SCHOOL")</f>
        <v>CENTER HIGH SCHOOL</v>
      </c>
      <c r="E1583" s="3" t="str">
        <f>IFERROR(__xludf.DUMMYFUNCTION("""COMPUTED_VALUE"""),"Y")</f>
        <v>Y</v>
      </c>
      <c r="F1583" s="3" t="str">
        <f>IFERROR(__xludf.DUMMYFUNCTION("""COMPUTED_VALUE"""),"Y")</f>
        <v>Y</v>
      </c>
      <c r="G1583" s="3" t="str">
        <f>IFERROR(__xludf.DUMMYFUNCTION("""COMPUTED_VALUE"""),"Y")</f>
        <v>Y</v>
      </c>
      <c r="H1583" s="3"/>
      <c r="I1583" s="3" t="str">
        <f>IFERROR(__xludf.DUMMYFUNCTION("""COMPUTED_VALUE""")," ")</f>
        <v> </v>
      </c>
      <c r="J1583" s="3" t="str">
        <f>IFERROR(__xludf.DUMMYFUNCTION("""COMPUTED_VALUE""")," ")</f>
        <v> </v>
      </c>
      <c r="K1583" s="3" t="str">
        <f>IFERROR(__xludf.DUMMYFUNCTION("""COMPUTED_VALUE"""),"Y")</f>
        <v>Y</v>
      </c>
      <c r="L1583" s="3" t="str">
        <f>IFERROR(__xludf.DUMMYFUNCTION("""COMPUTED_VALUE"""),"Group 2")</f>
        <v>Group 2</v>
      </c>
      <c r="M1583" s="3"/>
      <c r="N1583" s="5" t="str">
        <f>IFERROR(__xludf.DUMMYFUNCTION("""COMPUTED_VALUE""")," ")</f>
        <v> </v>
      </c>
      <c r="O1583" s="5"/>
    </row>
    <row r="1584">
      <c r="A1584" s="2" t="str">
        <f>IFERROR(__xludf.DUMMYFUNCTION("""COMPUTED_VALUE"""),"2820")</f>
        <v>2820</v>
      </c>
      <c r="B1584" s="2" t="str">
        <f>IFERROR(__xludf.DUMMYFUNCTION("""COMPUTED_VALUE"""),"SILVERTON           1")</f>
        <v>SILVERTON           1</v>
      </c>
      <c r="C1584" s="2" t="str">
        <f>IFERROR(__xludf.DUMMYFUNCTION("""COMPUTED_VALUE"""),"07900")</f>
        <v>07900</v>
      </c>
      <c r="D1584" s="2" t="str">
        <f>IFERROR(__xludf.DUMMYFUNCTION("""COMPUTED_VALUE"""),"SILVERTON ELEMENTARY SCHOOL")</f>
        <v>SILVERTON ELEMENTARY SCHOOL</v>
      </c>
      <c r="E1584" s="3" t="str">
        <f>IFERROR(__xludf.DUMMYFUNCTION("""COMPUTED_VALUE"""),"Y")</f>
        <v>Y</v>
      </c>
      <c r="F1584" s="3" t="str">
        <f>IFERROR(__xludf.DUMMYFUNCTION("""COMPUTED_VALUE"""),"Y")</f>
        <v>Y</v>
      </c>
      <c r="G1584" s="3" t="str">
        <f>IFERROR(__xludf.DUMMYFUNCTION("""COMPUTED_VALUE"""),"Y")</f>
        <v>Y</v>
      </c>
      <c r="H1584" s="3"/>
      <c r="I1584" s="3" t="str">
        <f>IFERROR(__xludf.DUMMYFUNCTION("""COMPUTED_VALUE""")," ")</f>
        <v> </v>
      </c>
      <c r="J1584" s="3" t="str">
        <f>IFERROR(__xludf.DUMMYFUNCTION("""COMPUTED_VALUE""")," ")</f>
        <v> </v>
      </c>
      <c r="K1584" s="3" t="str">
        <f>IFERROR(__xludf.DUMMYFUNCTION("""COMPUTED_VALUE"""),"Y")</f>
        <v>Y</v>
      </c>
      <c r="L1584" s="3" t="str">
        <f>IFERROR(__xludf.DUMMYFUNCTION("""COMPUTED_VALUE""")," ")</f>
        <v> </v>
      </c>
      <c r="M1584" s="3" t="str">
        <f>IFERROR(__xludf.DUMMYFUNCTION("""COMPUTED_VALUE"""),"Base year")</f>
        <v>Base year</v>
      </c>
      <c r="N1584" s="5" t="str">
        <f>IFERROR(__xludf.DUMMYFUNCTION("""COMPUTED_VALUE""")," ")</f>
        <v> </v>
      </c>
      <c r="O1584" s="5"/>
    </row>
    <row r="1585">
      <c r="A1585" s="2" t="str">
        <f>IFERROR(__xludf.DUMMYFUNCTION("""COMPUTED_VALUE"""),"2820")</f>
        <v>2820</v>
      </c>
      <c r="B1585" s="2" t="str">
        <f>IFERROR(__xludf.DUMMYFUNCTION("""COMPUTED_VALUE"""),"SILVERTON           1")</f>
        <v>SILVERTON           1</v>
      </c>
      <c r="C1585" s="2" t="str">
        <f>IFERROR(__xludf.DUMMYFUNCTION("""COMPUTED_VALUE"""),"07902")</f>
        <v>07902</v>
      </c>
      <c r="D1585" s="2" t="str">
        <f>IFERROR(__xludf.DUMMYFUNCTION("""COMPUTED_VALUE"""),"SILVERTON MIDDLE")</f>
        <v>SILVERTON MIDDLE</v>
      </c>
      <c r="E1585" s="3" t="str">
        <f>IFERROR(__xludf.DUMMYFUNCTION("""COMPUTED_VALUE"""),"Y")</f>
        <v>Y</v>
      </c>
      <c r="F1585" s="3" t="str">
        <f>IFERROR(__xludf.DUMMYFUNCTION("""COMPUTED_VALUE"""),"Y")</f>
        <v>Y</v>
      </c>
      <c r="G1585" s="3" t="str">
        <f>IFERROR(__xludf.DUMMYFUNCTION("""COMPUTED_VALUE"""),"Y")</f>
        <v>Y</v>
      </c>
      <c r="H1585" s="3"/>
      <c r="I1585" s="3" t="str">
        <f>IFERROR(__xludf.DUMMYFUNCTION("""COMPUTED_VALUE""")," ")</f>
        <v> </v>
      </c>
      <c r="J1585" s="3" t="str">
        <f>IFERROR(__xludf.DUMMYFUNCTION("""COMPUTED_VALUE""")," ")</f>
        <v> </v>
      </c>
      <c r="K1585" s="3" t="str">
        <f>IFERROR(__xludf.DUMMYFUNCTION("""COMPUTED_VALUE"""),"Y")</f>
        <v>Y</v>
      </c>
      <c r="L1585" s="3" t="str">
        <f>IFERROR(__xludf.DUMMYFUNCTION("""COMPUTED_VALUE""")," ")</f>
        <v> </v>
      </c>
      <c r="M1585" s="3" t="str">
        <f>IFERROR(__xludf.DUMMYFUNCTION("""COMPUTED_VALUE"""),"Base year")</f>
        <v>Base year</v>
      </c>
      <c r="N1585" s="5" t="str">
        <f>IFERROR(__xludf.DUMMYFUNCTION("""COMPUTED_VALUE""")," ")</f>
        <v> </v>
      </c>
      <c r="O1585" s="5"/>
    </row>
    <row r="1586">
      <c r="A1586" s="2" t="str">
        <f>IFERROR(__xludf.DUMMYFUNCTION("""COMPUTED_VALUE"""),"2820")</f>
        <v>2820</v>
      </c>
      <c r="B1586" s="2" t="str">
        <f>IFERROR(__xludf.DUMMYFUNCTION("""COMPUTED_VALUE"""),"SILVERTON           1")</f>
        <v>SILVERTON           1</v>
      </c>
      <c r="C1586" s="2" t="str">
        <f>IFERROR(__xludf.DUMMYFUNCTION("""COMPUTED_VALUE"""),"07904")</f>
        <v>07904</v>
      </c>
      <c r="D1586" s="2" t="str">
        <f>IFERROR(__xludf.DUMMYFUNCTION("""COMPUTED_VALUE"""),"SILVERTON HIGH SCHOOL")</f>
        <v>SILVERTON HIGH SCHOOL</v>
      </c>
      <c r="E1586" s="3" t="str">
        <f>IFERROR(__xludf.DUMMYFUNCTION("""COMPUTED_VALUE"""),"Y")</f>
        <v>Y</v>
      </c>
      <c r="F1586" s="3" t="str">
        <f>IFERROR(__xludf.DUMMYFUNCTION("""COMPUTED_VALUE"""),"Y")</f>
        <v>Y</v>
      </c>
      <c r="G1586" s="3" t="str">
        <f>IFERROR(__xludf.DUMMYFUNCTION("""COMPUTED_VALUE"""),"Y")</f>
        <v>Y</v>
      </c>
      <c r="H1586" s="3"/>
      <c r="I1586" s="3" t="str">
        <f>IFERROR(__xludf.DUMMYFUNCTION("""COMPUTED_VALUE""")," ")</f>
        <v> </v>
      </c>
      <c r="J1586" s="3" t="str">
        <f>IFERROR(__xludf.DUMMYFUNCTION("""COMPUTED_VALUE""")," ")</f>
        <v> </v>
      </c>
      <c r="K1586" s="3" t="str">
        <f>IFERROR(__xludf.DUMMYFUNCTION("""COMPUTED_VALUE"""),"Y")</f>
        <v>Y</v>
      </c>
      <c r="L1586" s="3" t="str">
        <f>IFERROR(__xludf.DUMMYFUNCTION("""COMPUTED_VALUE"""),"Group 1")</f>
        <v>Group 1</v>
      </c>
      <c r="M1586" s="3"/>
      <c r="N1586" s="5" t="str">
        <f>IFERROR(__xludf.DUMMYFUNCTION("""COMPUTED_VALUE""")," ")</f>
        <v> </v>
      </c>
      <c r="O1586" s="5"/>
    </row>
    <row r="1587">
      <c r="A1587" s="2" t="str">
        <f>IFERROR(__xludf.DUMMYFUNCTION("""COMPUTED_VALUE"""),"2830")</f>
        <v>2830</v>
      </c>
      <c r="B1587" s="2" t="str">
        <f>IFERROR(__xludf.DUMMYFUNCTION("""COMPUTED_VALUE"""),"TELLURIDE SCHOOL DISTRICT R-1")</f>
        <v>TELLURIDE SCHOOL DISTRICT R-1</v>
      </c>
      <c r="C1587" s="2" t="str">
        <f>IFERROR(__xludf.DUMMYFUNCTION("""COMPUTED_VALUE"""),"08786")</f>
        <v>08786</v>
      </c>
      <c r="D1587" s="2" t="str">
        <f>IFERROR(__xludf.DUMMYFUNCTION("""COMPUTED_VALUE"""),"Telluride Intermediate School")</f>
        <v>Telluride Intermediate School</v>
      </c>
      <c r="E1587" s="3" t="str">
        <f>IFERROR(__xludf.DUMMYFUNCTION("""COMPUTED_VALUE"""),"Y")</f>
        <v>Y</v>
      </c>
      <c r="F1587" s="3" t="str">
        <f>IFERROR(__xludf.DUMMYFUNCTION("""COMPUTED_VALUE"""),"Y")</f>
        <v>Y</v>
      </c>
      <c r="G1587" s="3"/>
      <c r="H1587" s="3"/>
      <c r="I1587" s="3" t="str">
        <f>IFERROR(__xludf.DUMMYFUNCTION("""COMPUTED_VALUE""")," ")</f>
        <v> </v>
      </c>
      <c r="J1587" s="3" t="str">
        <f>IFERROR(__xludf.DUMMYFUNCTION("""COMPUTED_VALUE""")," ")</f>
        <v> </v>
      </c>
      <c r="K1587" s="3" t="str">
        <f>IFERROR(__xludf.DUMMYFUNCTION("""COMPUTED_VALUE"""),"Y")</f>
        <v>Y</v>
      </c>
      <c r="L1587" s="3" t="str">
        <f>IFERROR(__xludf.DUMMYFUNCTION("""COMPUTED_VALUE""")," ")</f>
        <v> </v>
      </c>
      <c r="M1587" s="3"/>
      <c r="N1587" s="5" t="str">
        <f>IFERROR(__xludf.DUMMYFUNCTION("""COMPUTED_VALUE""")," ")</f>
        <v> </v>
      </c>
      <c r="O1587" s="5"/>
    </row>
    <row r="1588">
      <c r="A1588" s="2" t="str">
        <f>IFERROR(__xludf.DUMMYFUNCTION("""COMPUTED_VALUE"""),"2830")</f>
        <v>2830</v>
      </c>
      <c r="B1588" s="2" t="str">
        <f>IFERROR(__xludf.DUMMYFUNCTION("""COMPUTED_VALUE"""),"TELLURIDE SCHOOL DISTRICT R-1")</f>
        <v>TELLURIDE SCHOOL DISTRICT R-1</v>
      </c>
      <c r="C1588" s="2" t="str">
        <f>IFERROR(__xludf.DUMMYFUNCTION("""COMPUTED_VALUE"""),"08790")</f>
        <v>08790</v>
      </c>
      <c r="D1588" s="2" t="str">
        <f>IFERROR(__xludf.DUMMYFUNCTION("""COMPUTED_VALUE"""),"TELLURIDE MIDDLE SCHOOL")</f>
        <v>TELLURIDE MIDDLE SCHOOL</v>
      </c>
      <c r="E1588" s="3" t="str">
        <f>IFERROR(__xludf.DUMMYFUNCTION("""COMPUTED_VALUE"""),"Y")</f>
        <v>Y</v>
      </c>
      <c r="F1588" s="3" t="str">
        <f>IFERROR(__xludf.DUMMYFUNCTION("""COMPUTED_VALUE"""),"Y")</f>
        <v>Y</v>
      </c>
      <c r="G1588" s="3"/>
      <c r="H1588" s="3"/>
      <c r="I1588" s="3" t="str">
        <f>IFERROR(__xludf.DUMMYFUNCTION("""COMPUTED_VALUE""")," ")</f>
        <v> </v>
      </c>
      <c r="J1588" s="3" t="str">
        <f>IFERROR(__xludf.DUMMYFUNCTION("""COMPUTED_VALUE""")," ")</f>
        <v> </v>
      </c>
      <c r="K1588" s="3" t="str">
        <f>IFERROR(__xludf.DUMMYFUNCTION("""COMPUTED_VALUE"""),"Y")</f>
        <v>Y</v>
      </c>
      <c r="L1588" s="3" t="str">
        <f>IFERROR(__xludf.DUMMYFUNCTION("""COMPUTED_VALUE""")," ")</f>
        <v> </v>
      </c>
      <c r="M1588" s="3"/>
      <c r="N1588" s="5" t="str">
        <f>IFERROR(__xludf.DUMMYFUNCTION("""COMPUTED_VALUE""")," ")</f>
        <v> </v>
      </c>
      <c r="O1588" s="5"/>
    </row>
    <row r="1589">
      <c r="A1589" s="2" t="str">
        <f>IFERROR(__xludf.DUMMYFUNCTION("""COMPUTED_VALUE"""),"2830")</f>
        <v>2830</v>
      </c>
      <c r="B1589" s="2" t="str">
        <f>IFERROR(__xludf.DUMMYFUNCTION("""COMPUTED_VALUE"""),"TELLURIDE SCHOOL DISTRICT R-1")</f>
        <v>TELLURIDE SCHOOL DISTRICT R-1</v>
      </c>
      <c r="C1589" s="2" t="str">
        <f>IFERROR(__xludf.DUMMYFUNCTION("""COMPUTED_VALUE"""),"08794")</f>
        <v>08794</v>
      </c>
      <c r="D1589" s="2" t="str">
        <f>IFERROR(__xludf.DUMMYFUNCTION("""COMPUTED_VALUE"""),"TELLURIDE HIGH SCHOOL")</f>
        <v>TELLURIDE HIGH SCHOOL</v>
      </c>
      <c r="E1589" s="3" t="str">
        <f>IFERROR(__xludf.DUMMYFUNCTION("""COMPUTED_VALUE"""),"Y")</f>
        <v>Y</v>
      </c>
      <c r="F1589" s="3" t="str">
        <f>IFERROR(__xludf.DUMMYFUNCTION("""COMPUTED_VALUE"""),"Y")</f>
        <v>Y</v>
      </c>
      <c r="G1589" s="3"/>
      <c r="H1589" s="3"/>
      <c r="I1589" s="3" t="str">
        <f>IFERROR(__xludf.DUMMYFUNCTION("""COMPUTED_VALUE""")," ")</f>
        <v> </v>
      </c>
      <c r="J1589" s="3" t="str">
        <f>IFERROR(__xludf.DUMMYFUNCTION("""COMPUTED_VALUE""")," ")</f>
        <v> </v>
      </c>
      <c r="K1589" s="3" t="str">
        <f>IFERROR(__xludf.DUMMYFUNCTION("""COMPUTED_VALUE"""),"Y")</f>
        <v>Y</v>
      </c>
      <c r="L1589" s="3" t="str">
        <f>IFERROR(__xludf.DUMMYFUNCTION("""COMPUTED_VALUE""")," ")</f>
        <v> </v>
      </c>
      <c r="M1589" s="3"/>
      <c r="N1589" s="5" t="str">
        <f>IFERROR(__xludf.DUMMYFUNCTION("""COMPUTED_VALUE""")," ")</f>
        <v> </v>
      </c>
      <c r="O1589" s="5"/>
    </row>
    <row r="1590">
      <c r="A1590" s="2" t="str">
        <f>IFERROR(__xludf.DUMMYFUNCTION("""COMPUTED_VALUE"""),"2830")</f>
        <v>2830</v>
      </c>
      <c r="B1590" s="2" t="str">
        <f>IFERROR(__xludf.DUMMYFUNCTION("""COMPUTED_VALUE"""),"TELLURIDE SCHOOL DISTRICT R-1")</f>
        <v>TELLURIDE SCHOOL DISTRICT R-1</v>
      </c>
      <c r="C1590" s="2" t="str">
        <f>IFERROR(__xludf.DUMMYFUNCTION("""COMPUTED_VALUE"""),"08811")</f>
        <v>08811</v>
      </c>
      <c r="D1590" s="2" t="str">
        <f>IFERROR(__xludf.DUMMYFUNCTION("""COMPUTED_VALUE"""),"TELLURIDE ELEMENTARY SCHOOL")</f>
        <v>TELLURIDE ELEMENTARY SCHOOL</v>
      </c>
      <c r="E1590" s="3" t="str">
        <f>IFERROR(__xludf.DUMMYFUNCTION("""COMPUTED_VALUE"""),"Y")</f>
        <v>Y</v>
      </c>
      <c r="F1590" s="3" t="str">
        <f>IFERROR(__xludf.DUMMYFUNCTION("""COMPUTED_VALUE"""),"Y")</f>
        <v>Y</v>
      </c>
      <c r="G1590" s="3"/>
      <c r="H1590" s="3"/>
      <c r="I1590" s="3" t="str">
        <f>IFERROR(__xludf.DUMMYFUNCTION("""COMPUTED_VALUE""")," ")</f>
        <v> </v>
      </c>
      <c r="J1590" s="3" t="str">
        <f>IFERROR(__xludf.DUMMYFUNCTION("""COMPUTED_VALUE""")," ")</f>
        <v> </v>
      </c>
      <c r="K1590" s="3" t="str">
        <f>IFERROR(__xludf.DUMMYFUNCTION("""COMPUTED_VALUE"""),"Y")</f>
        <v>Y</v>
      </c>
      <c r="L1590" s="3" t="str">
        <f>IFERROR(__xludf.DUMMYFUNCTION("""COMPUTED_VALUE"""),"Group 1")</f>
        <v>Group 1</v>
      </c>
      <c r="M1590" s="3"/>
      <c r="N1590" s="5" t="str">
        <f>IFERROR(__xludf.DUMMYFUNCTION("""COMPUTED_VALUE""")," ")</f>
        <v> </v>
      </c>
      <c r="O1590" s="5"/>
    </row>
    <row r="1591">
      <c r="A1591" s="2" t="str">
        <f>IFERROR(__xludf.DUMMYFUNCTION("""COMPUTED_VALUE"""),"2840")</f>
        <v>2840</v>
      </c>
      <c r="B1591" s="2" t="str">
        <f>IFERROR(__xludf.DUMMYFUNCTION("""COMPUTED_VALUE"""),"NORWOOD             R-2J")</f>
        <v>NORWOOD             R-2J</v>
      </c>
      <c r="C1591" s="2" t="str">
        <f>IFERROR(__xludf.DUMMYFUNCTION("""COMPUTED_VALUE"""),"06422")</f>
        <v>06422</v>
      </c>
      <c r="D1591" s="2" t="str">
        <f>IFERROR(__xludf.DUMMYFUNCTION("""COMPUTED_VALUE"""),"NORWOOD PUBLIC SCHOOLS")</f>
        <v>NORWOOD PUBLIC SCHOOLS</v>
      </c>
      <c r="E1591" s="3" t="str">
        <f>IFERROR(__xludf.DUMMYFUNCTION("""COMPUTED_VALUE"""),"Y")</f>
        <v>Y</v>
      </c>
      <c r="F1591" s="3" t="str">
        <f>IFERROR(__xludf.DUMMYFUNCTION("""COMPUTED_VALUE"""),"Y")</f>
        <v>Y</v>
      </c>
      <c r="G1591" s="3"/>
      <c r="H1591" s="3"/>
      <c r="I1591" s="3" t="str">
        <f>IFERROR(__xludf.DUMMYFUNCTION("""COMPUTED_VALUE""")," ")</f>
        <v> </v>
      </c>
      <c r="J1591" s="3" t="str">
        <f>IFERROR(__xludf.DUMMYFUNCTION("""COMPUTED_VALUE""")," ")</f>
        <v> </v>
      </c>
      <c r="K1591" s="3" t="str">
        <f>IFERROR(__xludf.DUMMYFUNCTION("""COMPUTED_VALUE"""),"Y")</f>
        <v>Y</v>
      </c>
      <c r="L1591" s="3" t="str">
        <f>IFERROR(__xludf.DUMMYFUNCTION("""COMPUTED_VALUE"""),"Group 1")</f>
        <v>Group 1</v>
      </c>
      <c r="M1591" s="3"/>
      <c r="N1591" s="5" t="str">
        <f>IFERROR(__xludf.DUMMYFUNCTION("""COMPUTED_VALUE""")," ")</f>
        <v> </v>
      </c>
      <c r="O1591" s="5"/>
    </row>
    <row r="1592">
      <c r="A1592" s="2" t="str">
        <f>IFERROR(__xludf.DUMMYFUNCTION("""COMPUTED_VALUE"""),"2862")</f>
        <v>2862</v>
      </c>
      <c r="B1592" s="2" t="str">
        <f>IFERROR(__xludf.DUMMYFUNCTION("""COMPUTED_VALUE"""),"JULESBURG RE-1")</f>
        <v>JULESBURG RE-1</v>
      </c>
      <c r="C1592" s="2" t="str">
        <f>IFERROR(__xludf.DUMMYFUNCTION("""COMPUTED_VALUE"""),"04488")</f>
        <v>04488</v>
      </c>
      <c r="D1592" s="2" t="str">
        <f>IFERROR(__xludf.DUMMYFUNCTION("""COMPUTED_VALUE"""),"JULESBURG ELEMENTARY SCHOOL")</f>
        <v>JULESBURG ELEMENTARY SCHOOL</v>
      </c>
      <c r="E1592" s="3" t="str">
        <f>IFERROR(__xludf.DUMMYFUNCTION("""COMPUTED_VALUE"""),"Y")</f>
        <v>Y</v>
      </c>
      <c r="F1592" s="3" t="str">
        <f>IFERROR(__xludf.DUMMYFUNCTION("""COMPUTED_VALUE"""),"Y")</f>
        <v>Y</v>
      </c>
      <c r="G1592" s="3"/>
      <c r="H1592" s="3"/>
      <c r="I1592" s="3" t="str">
        <f>IFERROR(__xludf.DUMMYFUNCTION("""COMPUTED_VALUE""")," ")</f>
        <v> </v>
      </c>
      <c r="J1592" s="3" t="str">
        <f>IFERROR(__xludf.DUMMYFUNCTION("""COMPUTED_VALUE""")," ")</f>
        <v> </v>
      </c>
      <c r="K1592" s="3" t="str">
        <f>IFERROR(__xludf.DUMMYFUNCTION("""COMPUTED_VALUE"""),"Y")</f>
        <v>Y</v>
      </c>
      <c r="L1592" s="3" t="str">
        <f>IFERROR(__xludf.DUMMYFUNCTION("""COMPUTED_VALUE"""),"Group 1")</f>
        <v>Group 1</v>
      </c>
      <c r="M1592" s="3"/>
      <c r="N1592" s="5" t="str">
        <f>IFERROR(__xludf.DUMMYFUNCTION("""COMPUTED_VALUE""")," ")</f>
        <v> </v>
      </c>
      <c r="O1592" s="5"/>
    </row>
    <row r="1593">
      <c r="A1593" s="2" t="str">
        <f>IFERROR(__xludf.DUMMYFUNCTION("""COMPUTED_VALUE"""),"2862")</f>
        <v>2862</v>
      </c>
      <c r="B1593" s="2" t="str">
        <f>IFERROR(__xludf.DUMMYFUNCTION("""COMPUTED_VALUE"""),"JULESBURG RE-1")</f>
        <v>JULESBURG RE-1</v>
      </c>
      <c r="C1593" s="2" t="str">
        <f>IFERROR(__xludf.DUMMYFUNCTION("""COMPUTED_VALUE"""),"04492")</f>
        <v>04492</v>
      </c>
      <c r="D1593" s="2" t="str">
        <f>IFERROR(__xludf.DUMMYFUNCTION("""COMPUTED_VALUE"""),"JULESBURG HIGH SCHOOL")</f>
        <v>JULESBURG HIGH SCHOOL</v>
      </c>
      <c r="E1593" s="3" t="str">
        <f>IFERROR(__xludf.DUMMYFUNCTION("""COMPUTED_VALUE"""),"Y")</f>
        <v>Y</v>
      </c>
      <c r="F1593" s="3" t="str">
        <f>IFERROR(__xludf.DUMMYFUNCTION("""COMPUTED_VALUE"""),"Y")</f>
        <v>Y</v>
      </c>
      <c r="G1593" s="3"/>
      <c r="H1593" s="3"/>
      <c r="I1593" s="3" t="str">
        <f>IFERROR(__xludf.DUMMYFUNCTION("""COMPUTED_VALUE""")," ")</f>
        <v> </v>
      </c>
      <c r="J1593" s="3" t="str">
        <f>IFERROR(__xludf.DUMMYFUNCTION("""COMPUTED_VALUE""")," ")</f>
        <v> </v>
      </c>
      <c r="K1593" s="3" t="str">
        <f>IFERROR(__xludf.DUMMYFUNCTION("""COMPUTED_VALUE"""),"Y")</f>
        <v>Y</v>
      </c>
      <c r="L1593" s="3" t="str">
        <f>IFERROR(__xludf.DUMMYFUNCTION("""COMPUTED_VALUE"""),"Group 2")</f>
        <v>Group 2</v>
      </c>
      <c r="M1593" s="3"/>
      <c r="N1593" s="5" t="str">
        <f>IFERROR(__xludf.DUMMYFUNCTION("""COMPUTED_VALUE""")," ")</f>
        <v> </v>
      </c>
      <c r="O1593" s="5"/>
    </row>
    <row r="1594">
      <c r="A1594" s="2" t="str">
        <f>IFERROR(__xludf.DUMMYFUNCTION("""COMPUTED_VALUE"""),"2865")</f>
        <v>2865</v>
      </c>
      <c r="B1594" s="2" t="str">
        <f>IFERROR(__xludf.DUMMYFUNCTION("""COMPUTED_VALUE"""),"Revere School District")</f>
        <v>Revere School District</v>
      </c>
      <c r="C1594" s="2" t="str">
        <f>IFERROR(__xludf.DUMMYFUNCTION("""COMPUTED_VALUE"""),"07050")</f>
        <v>07050</v>
      </c>
      <c r="D1594" s="2" t="str">
        <f>IFERROR(__xludf.DUMMYFUNCTION("""COMPUTED_VALUE"""),"Revere Elementary School")</f>
        <v>Revere Elementary School</v>
      </c>
      <c r="E1594" s="3" t="str">
        <f>IFERROR(__xludf.DUMMYFUNCTION("""COMPUTED_VALUE"""),"Y")</f>
        <v>Y</v>
      </c>
      <c r="F1594" s="3" t="str">
        <f>IFERROR(__xludf.DUMMYFUNCTION("""COMPUTED_VALUE"""),"Y")</f>
        <v>Y</v>
      </c>
      <c r="G1594" s="3"/>
      <c r="H1594" s="3"/>
      <c r="I1594" s="3" t="str">
        <f>IFERROR(__xludf.DUMMYFUNCTION("""COMPUTED_VALUE""")," ")</f>
        <v> </v>
      </c>
      <c r="J1594" s="3" t="str">
        <f>IFERROR(__xludf.DUMMYFUNCTION("""COMPUTED_VALUE""")," ")</f>
        <v> </v>
      </c>
      <c r="K1594" s="3" t="str">
        <f>IFERROR(__xludf.DUMMYFUNCTION("""COMPUTED_VALUE"""),"Y")</f>
        <v>Y</v>
      </c>
      <c r="L1594" s="3" t="str">
        <f>IFERROR(__xludf.DUMMYFUNCTION("""COMPUTED_VALUE"""),"Group 2")</f>
        <v>Group 2</v>
      </c>
      <c r="M1594" s="3"/>
      <c r="N1594" s="5" t="str">
        <f>IFERROR(__xludf.DUMMYFUNCTION("""COMPUTED_VALUE""")," ")</f>
        <v> </v>
      </c>
      <c r="O1594" s="5"/>
    </row>
    <row r="1595">
      <c r="A1595" s="2" t="str">
        <f>IFERROR(__xludf.DUMMYFUNCTION("""COMPUTED_VALUE"""),"2865")</f>
        <v>2865</v>
      </c>
      <c r="B1595" s="2" t="str">
        <f>IFERROR(__xludf.DUMMYFUNCTION("""COMPUTED_VALUE"""),"Revere School District")</f>
        <v>Revere School District</v>
      </c>
      <c r="C1595" s="2" t="str">
        <f>IFERROR(__xludf.DUMMYFUNCTION("""COMPUTED_VALUE"""),"07299")</f>
        <v>07299</v>
      </c>
      <c r="D1595" s="2" t="str">
        <f>IFERROR(__xludf.DUMMYFUNCTION("""COMPUTED_VALUE"""),"Revere Lil' Raiders")</f>
        <v>Revere Lil' Raiders</v>
      </c>
      <c r="E1595" s="3" t="str">
        <f>IFERROR(__xludf.DUMMYFUNCTION("""COMPUTED_VALUE"""),"Y")</f>
        <v>Y</v>
      </c>
      <c r="F1595" s="3" t="str">
        <f>IFERROR(__xludf.DUMMYFUNCTION("""COMPUTED_VALUE"""),"Y")</f>
        <v>Y</v>
      </c>
      <c r="G1595" s="3"/>
      <c r="H1595" s="3"/>
      <c r="I1595" s="3" t="str">
        <f>IFERROR(__xludf.DUMMYFUNCTION("""COMPUTED_VALUE""")," ")</f>
        <v> </v>
      </c>
      <c r="J1595" s="3" t="str">
        <f>IFERROR(__xludf.DUMMYFUNCTION("""COMPUTED_VALUE""")," ")</f>
        <v> </v>
      </c>
      <c r="K1595" s="3" t="str">
        <f>IFERROR(__xludf.DUMMYFUNCTION("""COMPUTED_VALUE"""),"Y")</f>
        <v>Y</v>
      </c>
      <c r="L1595" s="3" t="str">
        <f>IFERROR(__xludf.DUMMYFUNCTION("""COMPUTED_VALUE"""),"Group 1")</f>
        <v>Group 1</v>
      </c>
      <c r="M1595" s="3"/>
      <c r="N1595" s="5" t="str">
        <f>IFERROR(__xludf.DUMMYFUNCTION("""COMPUTED_VALUE""")," ")</f>
        <v> </v>
      </c>
      <c r="O1595" s="5"/>
    </row>
    <row r="1596">
      <c r="A1596" s="2" t="str">
        <f>IFERROR(__xludf.DUMMYFUNCTION("""COMPUTED_VALUE"""),"2865")</f>
        <v>2865</v>
      </c>
      <c r="B1596" s="2" t="str">
        <f>IFERROR(__xludf.DUMMYFUNCTION("""COMPUTED_VALUE"""),"Revere School District")</f>
        <v>Revere School District</v>
      </c>
      <c r="C1596" s="2" t="str">
        <f>IFERROR(__xludf.DUMMYFUNCTION("""COMPUTED_VALUE"""),"07322")</f>
        <v>07322</v>
      </c>
      <c r="D1596" s="2" t="str">
        <f>IFERROR(__xludf.DUMMYFUNCTION("""COMPUTED_VALUE"""),"REVERE JUNIOR-SENIOR HIGH SCHOOL")</f>
        <v>REVERE JUNIOR-SENIOR HIGH SCHOOL</v>
      </c>
      <c r="E1596" s="3" t="str">
        <f>IFERROR(__xludf.DUMMYFUNCTION("""COMPUTED_VALUE"""),"Y")</f>
        <v>Y</v>
      </c>
      <c r="F1596" s="3" t="str">
        <f>IFERROR(__xludf.DUMMYFUNCTION("""COMPUTED_VALUE"""),"Y")</f>
        <v>Y</v>
      </c>
      <c r="G1596" s="3"/>
      <c r="H1596" s="3"/>
      <c r="I1596" s="3" t="str">
        <f>IFERROR(__xludf.DUMMYFUNCTION("""COMPUTED_VALUE""")," ")</f>
        <v> </v>
      </c>
      <c r="J1596" s="3" t="str">
        <f>IFERROR(__xludf.DUMMYFUNCTION("""COMPUTED_VALUE""")," ")</f>
        <v> </v>
      </c>
      <c r="K1596" s="3" t="str">
        <f>IFERROR(__xludf.DUMMYFUNCTION("""COMPUTED_VALUE"""),"Y")</f>
        <v>Y</v>
      </c>
      <c r="L1596" s="3" t="str">
        <f>IFERROR(__xludf.DUMMYFUNCTION("""COMPUTED_VALUE"""),"Group 3")</f>
        <v>Group 3</v>
      </c>
      <c r="M1596" s="3"/>
      <c r="N1596" s="5" t="str">
        <f>IFERROR(__xludf.DUMMYFUNCTION("""COMPUTED_VALUE""")," ")</f>
        <v> </v>
      </c>
      <c r="O1596" s="5"/>
    </row>
    <row r="1597">
      <c r="A1597" s="2" t="str">
        <f>IFERROR(__xludf.DUMMYFUNCTION("""COMPUTED_VALUE"""),"3000")</f>
        <v>3000</v>
      </c>
      <c r="B1597" s="2" t="str">
        <f>IFERROR(__xludf.DUMMYFUNCTION("""COMPUTED_VALUE"""),"SUMMIT RE-1")</f>
        <v>SUMMIT RE-1</v>
      </c>
      <c r="C1597" s="2" t="str">
        <f>IFERROR(__xludf.DUMMYFUNCTION("""COMPUTED_VALUE"""),"08370")</f>
        <v>08370</v>
      </c>
      <c r="D1597" s="2" t="str">
        <f>IFERROR(__xludf.DUMMYFUNCTION("""COMPUTED_VALUE"""),"DILLON VALLEY ELEMENTARY SCHOOL")</f>
        <v>DILLON VALLEY ELEMENTARY SCHOOL</v>
      </c>
      <c r="E1597" s="3" t="str">
        <f>IFERROR(__xludf.DUMMYFUNCTION("""COMPUTED_VALUE"""),"Y")</f>
        <v>Y</v>
      </c>
      <c r="F1597" s="3" t="str">
        <f>IFERROR(__xludf.DUMMYFUNCTION("""COMPUTED_VALUE"""),"Y")</f>
        <v>Y</v>
      </c>
      <c r="G1597" s="3"/>
      <c r="H1597" s="3"/>
      <c r="I1597" s="3" t="str">
        <f>IFERROR(__xludf.DUMMYFUNCTION("""COMPUTED_VALUE""")," ")</f>
        <v> </v>
      </c>
      <c r="J1597" s="3" t="str">
        <f>IFERROR(__xludf.DUMMYFUNCTION("""COMPUTED_VALUE""")," ")</f>
        <v> </v>
      </c>
      <c r="K1597" s="3" t="str">
        <f>IFERROR(__xludf.DUMMYFUNCTION("""COMPUTED_VALUE"""),"Y")</f>
        <v>Y</v>
      </c>
      <c r="L1597" s="3" t="str">
        <f>IFERROR(__xludf.DUMMYFUNCTION("""COMPUTED_VALUE""")," ")</f>
        <v> </v>
      </c>
      <c r="M1597" s="3"/>
      <c r="N1597" s="5" t="str">
        <f>IFERROR(__xludf.DUMMYFUNCTION("""COMPUTED_VALUE"""),"Y")</f>
        <v>Y</v>
      </c>
      <c r="O1597" s="5"/>
    </row>
    <row r="1598">
      <c r="A1598" s="2" t="str">
        <f>IFERROR(__xludf.DUMMYFUNCTION("""COMPUTED_VALUE"""),"3000")</f>
        <v>3000</v>
      </c>
      <c r="B1598" s="2" t="str">
        <f>IFERROR(__xludf.DUMMYFUNCTION("""COMPUTED_VALUE"""),"SUMMIT RE-1")</f>
        <v>SUMMIT RE-1</v>
      </c>
      <c r="C1598" s="2" t="str">
        <f>IFERROR(__xludf.DUMMYFUNCTION("""COMPUTED_VALUE"""),"08372")</f>
        <v>08372</v>
      </c>
      <c r="D1598" s="2" t="str">
        <f>IFERROR(__xludf.DUMMYFUNCTION("""COMPUTED_VALUE"""),"BRECKENRIDGE ELEMENTARY SCHOOL")</f>
        <v>BRECKENRIDGE ELEMENTARY SCHOOL</v>
      </c>
      <c r="E1598" s="3" t="str">
        <f>IFERROR(__xludf.DUMMYFUNCTION("""COMPUTED_VALUE"""),"Y")</f>
        <v>Y</v>
      </c>
      <c r="F1598" s="3" t="str">
        <f>IFERROR(__xludf.DUMMYFUNCTION("""COMPUTED_VALUE"""),"Y")</f>
        <v>Y</v>
      </c>
      <c r="G1598" s="3"/>
      <c r="H1598" s="3"/>
      <c r="I1598" s="3" t="str">
        <f>IFERROR(__xludf.DUMMYFUNCTION("""COMPUTED_VALUE""")," ")</f>
        <v> </v>
      </c>
      <c r="J1598" s="3" t="str">
        <f>IFERROR(__xludf.DUMMYFUNCTION("""COMPUTED_VALUE""")," ")</f>
        <v> </v>
      </c>
      <c r="K1598" s="3" t="str">
        <f>IFERROR(__xludf.DUMMYFUNCTION("""COMPUTED_VALUE"""),"Y")</f>
        <v>Y</v>
      </c>
      <c r="L1598" s="3" t="str">
        <f>IFERROR(__xludf.DUMMYFUNCTION("""COMPUTED_VALUE""")," ")</f>
        <v> </v>
      </c>
      <c r="M1598" s="3"/>
      <c r="N1598" s="5" t="str">
        <f>IFERROR(__xludf.DUMMYFUNCTION("""COMPUTED_VALUE""")," ")</f>
        <v> </v>
      </c>
      <c r="O1598" s="5"/>
    </row>
    <row r="1599">
      <c r="A1599" s="2" t="str">
        <f>IFERROR(__xludf.DUMMYFUNCTION("""COMPUTED_VALUE"""),"3000")</f>
        <v>3000</v>
      </c>
      <c r="B1599" s="2" t="str">
        <f>IFERROR(__xludf.DUMMYFUNCTION("""COMPUTED_VALUE"""),"SUMMIT RE-1")</f>
        <v>SUMMIT RE-1</v>
      </c>
      <c r="C1599" s="2" t="str">
        <f>IFERROR(__xludf.DUMMYFUNCTION("""COMPUTED_VALUE"""),"08374")</f>
        <v>08374</v>
      </c>
      <c r="D1599" s="2" t="str">
        <f>IFERROR(__xludf.DUMMYFUNCTION("""COMPUTED_VALUE"""),"FRISCO ELEMENTARY SCHOOL")</f>
        <v>FRISCO ELEMENTARY SCHOOL</v>
      </c>
      <c r="E1599" s="3" t="str">
        <f>IFERROR(__xludf.DUMMYFUNCTION("""COMPUTED_VALUE"""),"Y")</f>
        <v>Y</v>
      </c>
      <c r="F1599" s="3" t="str">
        <f>IFERROR(__xludf.DUMMYFUNCTION("""COMPUTED_VALUE"""),"Y")</f>
        <v>Y</v>
      </c>
      <c r="G1599" s="3"/>
      <c r="H1599" s="3"/>
      <c r="I1599" s="3" t="str">
        <f>IFERROR(__xludf.DUMMYFUNCTION("""COMPUTED_VALUE""")," ")</f>
        <v> </v>
      </c>
      <c r="J1599" s="3" t="str">
        <f>IFERROR(__xludf.DUMMYFUNCTION("""COMPUTED_VALUE""")," ")</f>
        <v> </v>
      </c>
      <c r="K1599" s="3" t="str">
        <f>IFERROR(__xludf.DUMMYFUNCTION("""COMPUTED_VALUE"""),"Y")</f>
        <v>Y</v>
      </c>
      <c r="L1599" s="3" t="str">
        <f>IFERROR(__xludf.DUMMYFUNCTION("""COMPUTED_VALUE""")," ")</f>
        <v> </v>
      </c>
      <c r="M1599" s="3"/>
      <c r="N1599" s="5" t="str">
        <f>IFERROR(__xludf.DUMMYFUNCTION("""COMPUTED_VALUE""")," ")</f>
        <v> </v>
      </c>
      <c r="O1599" s="5"/>
    </row>
    <row r="1600">
      <c r="A1600" s="2" t="str">
        <f>IFERROR(__xludf.DUMMYFUNCTION("""COMPUTED_VALUE"""),"3000")</f>
        <v>3000</v>
      </c>
      <c r="B1600" s="2" t="str">
        <f>IFERROR(__xludf.DUMMYFUNCTION("""COMPUTED_VALUE"""),"SUMMIT RE-1")</f>
        <v>SUMMIT RE-1</v>
      </c>
      <c r="C1600" s="2" t="str">
        <f>IFERROR(__xludf.DUMMYFUNCTION("""COMPUTED_VALUE"""),"08375")</f>
        <v>08375</v>
      </c>
      <c r="D1600" s="2" t="str">
        <f>IFERROR(__xludf.DUMMYFUNCTION("""COMPUTED_VALUE"""),"SNOWY PEAKS HIGH SCHOOL")</f>
        <v>SNOWY PEAKS HIGH SCHOOL</v>
      </c>
      <c r="E1600" s="3" t="str">
        <f>IFERROR(__xludf.DUMMYFUNCTION("""COMPUTED_VALUE"""),"Y")</f>
        <v>Y</v>
      </c>
      <c r="F1600" s="3" t="str">
        <f>IFERROR(__xludf.DUMMYFUNCTION("""COMPUTED_VALUE"""),"Y")</f>
        <v>Y</v>
      </c>
      <c r="G1600" s="3"/>
      <c r="H1600" s="3"/>
      <c r="I1600" s="3" t="str">
        <f>IFERROR(__xludf.DUMMYFUNCTION("""COMPUTED_VALUE""")," ")</f>
        <v> </v>
      </c>
      <c r="J1600" s="3" t="str">
        <f>IFERROR(__xludf.DUMMYFUNCTION("""COMPUTED_VALUE""")," ")</f>
        <v> </v>
      </c>
      <c r="K1600" s="3" t="str">
        <f>IFERROR(__xludf.DUMMYFUNCTION("""COMPUTED_VALUE"""),"Y")</f>
        <v>Y</v>
      </c>
      <c r="L1600" s="3" t="str">
        <f>IFERROR(__xludf.DUMMYFUNCTION("""COMPUTED_VALUE"""),"Group 1")</f>
        <v>Group 1</v>
      </c>
      <c r="M1600" s="3"/>
      <c r="N1600" s="5" t="str">
        <f>IFERROR(__xludf.DUMMYFUNCTION("""COMPUTED_VALUE""")," ")</f>
        <v> </v>
      </c>
      <c r="O1600" s="5"/>
    </row>
    <row r="1601">
      <c r="A1601" s="2" t="str">
        <f>IFERROR(__xludf.DUMMYFUNCTION("""COMPUTED_VALUE"""),"3000")</f>
        <v>3000</v>
      </c>
      <c r="B1601" s="2" t="str">
        <f>IFERROR(__xludf.DUMMYFUNCTION("""COMPUTED_VALUE"""),"SUMMIT RE-1")</f>
        <v>SUMMIT RE-1</v>
      </c>
      <c r="C1601" s="2" t="str">
        <f>IFERROR(__xludf.DUMMYFUNCTION("""COMPUTED_VALUE"""),"08376")</f>
        <v>08376</v>
      </c>
      <c r="D1601" s="2" t="str">
        <f>IFERROR(__xludf.DUMMYFUNCTION("""COMPUTED_VALUE"""),"SILVERTHORNE ELEMENTARY SCHOOL")</f>
        <v>SILVERTHORNE ELEMENTARY SCHOOL</v>
      </c>
      <c r="E1601" s="3" t="str">
        <f>IFERROR(__xludf.DUMMYFUNCTION("""COMPUTED_VALUE"""),"Y")</f>
        <v>Y</v>
      </c>
      <c r="F1601" s="3" t="str">
        <f>IFERROR(__xludf.DUMMYFUNCTION("""COMPUTED_VALUE"""),"Y")</f>
        <v>Y</v>
      </c>
      <c r="G1601" s="3"/>
      <c r="H1601" s="3"/>
      <c r="I1601" s="3" t="str">
        <f>IFERROR(__xludf.DUMMYFUNCTION("""COMPUTED_VALUE""")," ")</f>
        <v> </v>
      </c>
      <c r="J1601" s="3" t="str">
        <f>IFERROR(__xludf.DUMMYFUNCTION("""COMPUTED_VALUE""")," ")</f>
        <v> </v>
      </c>
      <c r="K1601" s="3" t="str">
        <f>IFERROR(__xludf.DUMMYFUNCTION("""COMPUTED_VALUE"""),"Y")</f>
        <v>Y</v>
      </c>
      <c r="L1601" s="3" t="str">
        <f>IFERROR(__xludf.DUMMYFUNCTION("""COMPUTED_VALUE""")," ")</f>
        <v> </v>
      </c>
      <c r="M1601" s="3"/>
      <c r="N1601" s="5" t="str">
        <f>IFERROR(__xludf.DUMMYFUNCTION("""COMPUTED_VALUE""")," ")</f>
        <v> </v>
      </c>
      <c r="O1601" s="5"/>
    </row>
    <row r="1602">
      <c r="A1602" s="2" t="str">
        <f>IFERROR(__xludf.DUMMYFUNCTION("""COMPUTED_VALUE"""),"3000")</f>
        <v>3000</v>
      </c>
      <c r="B1602" s="2" t="str">
        <f>IFERROR(__xludf.DUMMYFUNCTION("""COMPUTED_VALUE"""),"SUMMIT RE-1")</f>
        <v>SUMMIT RE-1</v>
      </c>
      <c r="C1602" s="2" t="str">
        <f>IFERROR(__xludf.DUMMYFUNCTION("""COMPUTED_VALUE"""),"08377")</f>
        <v>08377</v>
      </c>
      <c r="D1602" s="2" t="str">
        <f>IFERROR(__xludf.DUMMYFUNCTION("""COMPUTED_VALUE"""),"SUMMIT MIDDLE SCHOOL")</f>
        <v>SUMMIT MIDDLE SCHOOL</v>
      </c>
      <c r="E1602" s="3" t="str">
        <f>IFERROR(__xludf.DUMMYFUNCTION("""COMPUTED_VALUE"""),"Y")</f>
        <v>Y</v>
      </c>
      <c r="F1602" s="3" t="str">
        <f>IFERROR(__xludf.DUMMYFUNCTION("""COMPUTED_VALUE"""),"Y")</f>
        <v>Y</v>
      </c>
      <c r="G1602" s="3"/>
      <c r="H1602" s="3"/>
      <c r="I1602" s="3" t="str">
        <f>IFERROR(__xludf.DUMMYFUNCTION("""COMPUTED_VALUE""")," ")</f>
        <v> </v>
      </c>
      <c r="J1602" s="3" t="str">
        <f>IFERROR(__xludf.DUMMYFUNCTION("""COMPUTED_VALUE""")," ")</f>
        <v> </v>
      </c>
      <c r="K1602" s="3" t="str">
        <f>IFERROR(__xludf.DUMMYFUNCTION("""COMPUTED_VALUE"""),"Y")</f>
        <v>Y</v>
      </c>
      <c r="L1602" s="3" t="str">
        <f>IFERROR(__xludf.DUMMYFUNCTION("""COMPUTED_VALUE""")," ")</f>
        <v> </v>
      </c>
      <c r="M1602" s="3"/>
      <c r="N1602" s="5" t="str">
        <f>IFERROR(__xludf.DUMMYFUNCTION("""COMPUTED_VALUE""")," ")</f>
        <v> </v>
      </c>
      <c r="O1602" s="5"/>
    </row>
    <row r="1603">
      <c r="A1603" s="2" t="str">
        <f>IFERROR(__xludf.DUMMYFUNCTION("""COMPUTED_VALUE"""),"3000")</f>
        <v>3000</v>
      </c>
      <c r="B1603" s="2" t="str">
        <f>IFERROR(__xludf.DUMMYFUNCTION("""COMPUTED_VALUE"""),"SUMMIT RE-1")</f>
        <v>SUMMIT RE-1</v>
      </c>
      <c r="C1603" s="2" t="str">
        <f>IFERROR(__xludf.DUMMYFUNCTION("""COMPUTED_VALUE"""),"08378")</f>
        <v>08378</v>
      </c>
      <c r="D1603" s="2" t="str">
        <f>IFERROR(__xludf.DUMMYFUNCTION("""COMPUTED_VALUE"""),"SUMMIT HIGH SCHOOL")</f>
        <v>SUMMIT HIGH SCHOOL</v>
      </c>
      <c r="E1603" s="3" t="str">
        <f>IFERROR(__xludf.DUMMYFUNCTION("""COMPUTED_VALUE"""),"Y")</f>
        <v>Y</v>
      </c>
      <c r="F1603" s="3" t="str">
        <f>IFERROR(__xludf.DUMMYFUNCTION("""COMPUTED_VALUE"""),"Y")</f>
        <v>Y</v>
      </c>
      <c r="G1603" s="3"/>
      <c r="H1603" s="3"/>
      <c r="I1603" s="3" t="str">
        <f>IFERROR(__xludf.DUMMYFUNCTION("""COMPUTED_VALUE""")," ")</f>
        <v> </v>
      </c>
      <c r="J1603" s="3" t="str">
        <f>IFERROR(__xludf.DUMMYFUNCTION("""COMPUTED_VALUE""")," ")</f>
        <v> </v>
      </c>
      <c r="K1603" s="3" t="str">
        <f>IFERROR(__xludf.DUMMYFUNCTION("""COMPUTED_VALUE"""),"Y")</f>
        <v>Y</v>
      </c>
      <c r="L1603" s="3" t="str">
        <f>IFERROR(__xludf.DUMMYFUNCTION("""COMPUTED_VALUE""")," ")</f>
        <v> </v>
      </c>
      <c r="M1603" s="3"/>
      <c r="N1603" s="5" t="str">
        <f>IFERROR(__xludf.DUMMYFUNCTION("""COMPUTED_VALUE""")," ")</f>
        <v> </v>
      </c>
      <c r="O1603" s="5"/>
    </row>
    <row r="1604">
      <c r="A1604" s="2" t="str">
        <f>IFERROR(__xludf.DUMMYFUNCTION("""COMPUTED_VALUE"""),"3000")</f>
        <v>3000</v>
      </c>
      <c r="B1604" s="2" t="str">
        <f>IFERROR(__xludf.DUMMYFUNCTION("""COMPUTED_VALUE"""),"SUMMIT RE-1")</f>
        <v>SUMMIT RE-1</v>
      </c>
      <c r="C1604" s="2" t="str">
        <f>IFERROR(__xludf.DUMMYFUNCTION("""COMPUTED_VALUE"""),"08385")</f>
        <v>08385</v>
      </c>
      <c r="D1604" s="2" t="str">
        <f>IFERROR(__xludf.DUMMYFUNCTION("""COMPUTED_VALUE"""),"SUMMIT COVE ELEMENTARY SCHOOL")</f>
        <v>SUMMIT COVE ELEMENTARY SCHOOL</v>
      </c>
      <c r="E1604" s="3" t="str">
        <f>IFERROR(__xludf.DUMMYFUNCTION("""COMPUTED_VALUE"""),"Y")</f>
        <v>Y</v>
      </c>
      <c r="F1604" s="3" t="str">
        <f>IFERROR(__xludf.DUMMYFUNCTION("""COMPUTED_VALUE"""),"Y")</f>
        <v>Y</v>
      </c>
      <c r="G1604" s="3"/>
      <c r="H1604" s="3"/>
      <c r="I1604" s="3" t="str">
        <f>IFERROR(__xludf.DUMMYFUNCTION("""COMPUTED_VALUE""")," ")</f>
        <v> </v>
      </c>
      <c r="J1604" s="3" t="str">
        <f>IFERROR(__xludf.DUMMYFUNCTION("""COMPUTED_VALUE""")," ")</f>
        <v> </v>
      </c>
      <c r="K1604" s="3" t="str">
        <f>IFERROR(__xludf.DUMMYFUNCTION("""COMPUTED_VALUE"""),"Y")</f>
        <v>Y</v>
      </c>
      <c r="L1604" s="3" t="str">
        <f>IFERROR(__xludf.DUMMYFUNCTION("""COMPUTED_VALUE""")," ")</f>
        <v> </v>
      </c>
      <c r="M1604" s="3"/>
      <c r="N1604" s="5" t="str">
        <f>IFERROR(__xludf.DUMMYFUNCTION("""COMPUTED_VALUE""")," ")</f>
        <v> </v>
      </c>
      <c r="O1604" s="5"/>
    </row>
    <row r="1605">
      <c r="A1605" s="2" t="str">
        <f>IFERROR(__xludf.DUMMYFUNCTION("""COMPUTED_VALUE"""),"3000")</f>
        <v>3000</v>
      </c>
      <c r="B1605" s="2" t="str">
        <f>IFERROR(__xludf.DUMMYFUNCTION("""COMPUTED_VALUE"""),"SUMMIT RE-1")</f>
        <v>SUMMIT RE-1</v>
      </c>
      <c r="C1605" s="2" t="str">
        <f>IFERROR(__xludf.DUMMYFUNCTION("""COMPUTED_VALUE"""),"08993")</f>
        <v>08993</v>
      </c>
      <c r="D1605" s="2" t="str">
        <f>IFERROR(__xludf.DUMMYFUNCTION("""COMPUTED_VALUE"""),"UPPER BLUE ELEMENTARY SCHOOL")</f>
        <v>UPPER BLUE ELEMENTARY SCHOOL</v>
      </c>
      <c r="E1605" s="3" t="str">
        <f>IFERROR(__xludf.DUMMYFUNCTION("""COMPUTED_VALUE"""),"Y")</f>
        <v>Y</v>
      </c>
      <c r="F1605" s="3" t="str">
        <f>IFERROR(__xludf.DUMMYFUNCTION("""COMPUTED_VALUE"""),"Y")</f>
        <v>Y</v>
      </c>
      <c r="G1605" s="3"/>
      <c r="H1605" s="3"/>
      <c r="I1605" s="3" t="str">
        <f>IFERROR(__xludf.DUMMYFUNCTION("""COMPUTED_VALUE""")," ")</f>
        <v> </v>
      </c>
      <c r="J1605" s="3" t="str">
        <f>IFERROR(__xludf.DUMMYFUNCTION("""COMPUTED_VALUE""")," ")</f>
        <v> </v>
      </c>
      <c r="K1605" s="3" t="str">
        <f>IFERROR(__xludf.DUMMYFUNCTION("""COMPUTED_VALUE"""),"Y")</f>
        <v>Y</v>
      </c>
      <c r="L1605" s="3" t="str">
        <f>IFERROR(__xludf.DUMMYFUNCTION("""COMPUTED_VALUE""")," ")</f>
        <v> </v>
      </c>
      <c r="M1605" s="3"/>
      <c r="N1605" s="5" t="str">
        <f>IFERROR(__xludf.DUMMYFUNCTION("""COMPUTED_VALUE""")," ")</f>
        <v> </v>
      </c>
      <c r="O1605" s="5"/>
    </row>
    <row r="1606">
      <c r="A1606" s="2" t="str">
        <f>IFERROR(__xludf.DUMMYFUNCTION("""COMPUTED_VALUE"""),"3010")</f>
        <v>3010</v>
      </c>
      <c r="B1606" s="2" t="str">
        <f>IFERROR(__xludf.DUMMYFUNCTION("""COMPUTED_VALUE"""),"CRIPPLE CREEK-VICTOR RE-1")</f>
        <v>CRIPPLE CREEK-VICTOR RE-1</v>
      </c>
      <c r="C1606" s="2" t="str">
        <f>IFERROR(__xludf.DUMMYFUNCTION("""COMPUTED_VALUE"""),"02024")</f>
        <v>02024</v>
      </c>
      <c r="D1606" s="2" t="str">
        <f>IFERROR(__xludf.DUMMYFUNCTION("""COMPUTED_VALUE"""),"CRIPPLE CREEK-VICTOR JUNIOR-SENIOR HIGH SCHOOL")</f>
        <v>CRIPPLE CREEK-VICTOR JUNIOR-SENIOR HIGH SCHOOL</v>
      </c>
      <c r="E1606" s="3" t="str">
        <f>IFERROR(__xludf.DUMMYFUNCTION("""COMPUTED_VALUE"""),"Y")</f>
        <v>Y</v>
      </c>
      <c r="F1606" s="3" t="str">
        <f>IFERROR(__xludf.DUMMYFUNCTION("""COMPUTED_VALUE"""),"Y")</f>
        <v>Y</v>
      </c>
      <c r="G1606" s="3" t="str">
        <f>IFERROR(__xludf.DUMMYFUNCTION("""COMPUTED_VALUE"""),"Y")</f>
        <v>Y</v>
      </c>
      <c r="H1606" s="3"/>
      <c r="I1606" s="3" t="str">
        <f>IFERROR(__xludf.DUMMYFUNCTION("""COMPUTED_VALUE""")," ")</f>
        <v> </v>
      </c>
      <c r="J1606" s="3" t="str">
        <f>IFERROR(__xludf.DUMMYFUNCTION("""COMPUTED_VALUE""")," ")</f>
        <v> </v>
      </c>
      <c r="K1606" s="3" t="str">
        <f>IFERROR(__xludf.DUMMYFUNCTION("""COMPUTED_VALUE"""),"Y")</f>
        <v>Y</v>
      </c>
      <c r="L1606" s="3" t="str">
        <f>IFERROR(__xludf.DUMMYFUNCTION("""COMPUTED_VALUE"""),"Group 2")</f>
        <v>Group 2</v>
      </c>
      <c r="M1606" s="3"/>
      <c r="N1606" s="5" t="str">
        <f>IFERROR(__xludf.DUMMYFUNCTION("""COMPUTED_VALUE""")," ")</f>
        <v> </v>
      </c>
      <c r="O1606" s="5"/>
    </row>
    <row r="1607">
      <c r="A1607" s="2" t="str">
        <f>IFERROR(__xludf.DUMMYFUNCTION("""COMPUTED_VALUE"""),"3010")</f>
        <v>3010</v>
      </c>
      <c r="B1607" s="2" t="str">
        <f>IFERROR(__xludf.DUMMYFUNCTION("""COMPUTED_VALUE"""),"CRIPPLE CREEK-VICTOR RE-1")</f>
        <v>CRIPPLE CREEK-VICTOR RE-1</v>
      </c>
      <c r="C1607" s="2" t="str">
        <f>IFERROR(__xludf.DUMMYFUNCTION("""COMPUTED_VALUE"""),"09080")</f>
        <v>09080</v>
      </c>
      <c r="D1607" s="2" t="str">
        <f>IFERROR(__xludf.DUMMYFUNCTION("""COMPUTED_VALUE"""),"CRESSON ELEMENTARY SCHOOL")</f>
        <v>CRESSON ELEMENTARY SCHOOL</v>
      </c>
      <c r="E1607" s="3" t="str">
        <f>IFERROR(__xludf.DUMMYFUNCTION("""COMPUTED_VALUE"""),"Y")</f>
        <v>Y</v>
      </c>
      <c r="F1607" s="3" t="str">
        <f>IFERROR(__xludf.DUMMYFUNCTION("""COMPUTED_VALUE"""),"Y")</f>
        <v>Y</v>
      </c>
      <c r="G1607" s="3" t="str">
        <f>IFERROR(__xludf.DUMMYFUNCTION("""COMPUTED_VALUE"""),"Y")</f>
        <v>Y</v>
      </c>
      <c r="H1607" s="3"/>
      <c r="I1607" s="3" t="str">
        <f>IFERROR(__xludf.DUMMYFUNCTION("""COMPUTED_VALUE""")," ")</f>
        <v> </v>
      </c>
      <c r="J1607" s="3" t="str">
        <f>IFERROR(__xludf.DUMMYFUNCTION("""COMPUTED_VALUE""")," ")</f>
        <v> </v>
      </c>
      <c r="K1607" s="3" t="str">
        <f>IFERROR(__xludf.DUMMYFUNCTION("""COMPUTED_VALUE"""),"Y")</f>
        <v>Y</v>
      </c>
      <c r="L1607" s="3" t="str">
        <f>IFERROR(__xludf.DUMMYFUNCTION("""COMPUTED_VALUE"""),"Group 1")</f>
        <v>Group 1</v>
      </c>
      <c r="M1607" s="3"/>
      <c r="N1607" s="5" t="str">
        <f>IFERROR(__xludf.DUMMYFUNCTION("""COMPUTED_VALUE""")," ")</f>
        <v> </v>
      </c>
      <c r="O1607" s="5"/>
    </row>
    <row r="1608">
      <c r="A1608" s="2" t="str">
        <f>IFERROR(__xludf.DUMMYFUNCTION("""COMPUTED_VALUE"""),"3020")</f>
        <v>3020</v>
      </c>
      <c r="B1608" s="2" t="str">
        <f>IFERROR(__xludf.DUMMYFUNCTION("""COMPUTED_VALUE"""),"WOODLAND PARK RE-2")</f>
        <v>WOODLAND PARK RE-2</v>
      </c>
      <c r="C1608" s="2" t="str">
        <f>IFERROR(__xludf.DUMMYFUNCTION("""COMPUTED_VALUE"""),"08257")</f>
        <v>08257</v>
      </c>
      <c r="D1608" s="2" t="str">
        <f>IFERROR(__xludf.DUMMYFUNCTION("""COMPUTED_VALUE"""),"Merit Academy")</f>
        <v>Merit Academy</v>
      </c>
      <c r="E1608" s="3" t="str">
        <f>IFERROR(__xludf.DUMMYFUNCTION("""COMPUTED_VALUE"""),"Y")</f>
        <v>Y</v>
      </c>
      <c r="F1608" s="3" t="str">
        <f>IFERROR(__xludf.DUMMYFUNCTION("""COMPUTED_VALUE"""),"Y")</f>
        <v>Y</v>
      </c>
      <c r="G1608" s="3"/>
      <c r="H1608" s="3"/>
      <c r="I1608" s="3" t="str">
        <f>IFERROR(__xludf.DUMMYFUNCTION("""COMPUTED_VALUE""")," ")</f>
        <v> </v>
      </c>
      <c r="J1608" s="3" t="str">
        <f>IFERROR(__xludf.DUMMYFUNCTION("""COMPUTED_VALUE""")," ")</f>
        <v> </v>
      </c>
      <c r="K1608" s="3" t="str">
        <f>IFERROR(__xludf.DUMMYFUNCTION("""COMPUTED_VALUE"""),"Y")</f>
        <v>Y</v>
      </c>
      <c r="L1608" s="3" t="str">
        <f>IFERROR(__xludf.DUMMYFUNCTION("""COMPUTED_VALUE"""),"Group 4")</f>
        <v>Group 4</v>
      </c>
      <c r="M1608" s="3"/>
      <c r="N1608" s="5" t="str">
        <f>IFERROR(__xludf.DUMMYFUNCTION("""COMPUTED_VALUE""")," ")</f>
        <v> </v>
      </c>
      <c r="O1608" s="5"/>
    </row>
    <row r="1609">
      <c r="A1609" s="2" t="str">
        <f>IFERROR(__xludf.DUMMYFUNCTION("""COMPUTED_VALUE"""),"3020")</f>
        <v>3020</v>
      </c>
      <c r="B1609" s="2" t="str">
        <f>IFERROR(__xludf.DUMMYFUNCTION("""COMPUTED_VALUE"""),"WOODLAND PARK RE-2")</f>
        <v>WOODLAND PARK RE-2</v>
      </c>
      <c r="C1609" s="2" t="str">
        <f>IFERROR(__xludf.DUMMYFUNCTION("""COMPUTED_VALUE"""),"08379")</f>
        <v>08379</v>
      </c>
      <c r="D1609" s="2" t="str">
        <f>IFERROR(__xludf.DUMMYFUNCTION("""COMPUTED_VALUE"""),"SUMMIT ELEMENTARY SCHOOL")</f>
        <v>SUMMIT ELEMENTARY SCHOOL</v>
      </c>
      <c r="E1609" s="3" t="str">
        <f>IFERROR(__xludf.DUMMYFUNCTION("""COMPUTED_VALUE"""),"Y")</f>
        <v>Y</v>
      </c>
      <c r="F1609" s="3" t="str">
        <f>IFERROR(__xludf.DUMMYFUNCTION("""COMPUTED_VALUE"""),"Y")</f>
        <v>Y</v>
      </c>
      <c r="G1609" s="3"/>
      <c r="H1609" s="3"/>
      <c r="I1609" s="3" t="str">
        <f>IFERROR(__xludf.DUMMYFUNCTION("""COMPUTED_VALUE""")," ")</f>
        <v> </v>
      </c>
      <c r="J1609" s="3" t="str">
        <f>IFERROR(__xludf.DUMMYFUNCTION("""COMPUTED_VALUE""")," ")</f>
        <v> </v>
      </c>
      <c r="K1609" s="3" t="str">
        <f>IFERROR(__xludf.DUMMYFUNCTION("""COMPUTED_VALUE"""),"Y")</f>
        <v>Y</v>
      </c>
      <c r="L1609" s="3" t="str">
        <f>IFERROR(__xludf.DUMMYFUNCTION("""COMPUTED_VALUE"""),"Group 1")</f>
        <v>Group 1</v>
      </c>
      <c r="M1609" s="3"/>
      <c r="N1609" s="5" t="str">
        <f>IFERROR(__xludf.DUMMYFUNCTION("""COMPUTED_VALUE""")," ")</f>
        <v> </v>
      </c>
      <c r="O1609" s="5"/>
    </row>
    <row r="1610">
      <c r="A1610" s="2" t="str">
        <f>IFERROR(__xludf.DUMMYFUNCTION("""COMPUTED_VALUE"""),"3020")</f>
        <v>3020</v>
      </c>
      <c r="B1610" s="2" t="str">
        <f>IFERROR(__xludf.DUMMYFUNCTION("""COMPUTED_VALUE"""),"WOODLAND PARK RE-2")</f>
        <v>WOODLAND PARK RE-2</v>
      </c>
      <c r="C1610" s="2" t="str">
        <f>IFERROR(__xludf.DUMMYFUNCTION("""COMPUTED_VALUE"""),"09694")</f>
        <v>09694</v>
      </c>
      <c r="D1610" s="2" t="str">
        <f>IFERROR(__xludf.DUMMYFUNCTION("""COMPUTED_VALUE"""),"WOODLAND PARK MIDDLE SCHOOL")</f>
        <v>WOODLAND PARK MIDDLE SCHOOL</v>
      </c>
      <c r="E1610" s="3" t="str">
        <f>IFERROR(__xludf.DUMMYFUNCTION("""COMPUTED_VALUE"""),"Y")</f>
        <v>Y</v>
      </c>
      <c r="F1610" s="3" t="str">
        <f>IFERROR(__xludf.DUMMYFUNCTION("""COMPUTED_VALUE"""),"Y")</f>
        <v>Y</v>
      </c>
      <c r="G1610" s="3"/>
      <c r="H1610" s="3"/>
      <c r="I1610" s="3" t="str">
        <f>IFERROR(__xludf.DUMMYFUNCTION("""COMPUTED_VALUE""")," ")</f>
        <v> </v>
      </c>
      <c r="J1610" s="3" t="str">
        <f>IFERROR(__xludf.DUMMYFUNCTION("""COMPUTED_VALUE""")," ")</f>
        <v> </v>
      </c>
      <c r="K1610" s="3" t="str">
        <f>IFERROR(__xludf.DUMMYFUNCTION("""COMPUTED_VALUE"""),"Y")</f>
        <v>Y</v>
      </c>
      <c r="L1610" s="3" t="str">
        <f>IFERROR(__xludf.DUMMYFUNCTION("""COMPUTED_VALUE"""),"Group 2")</f>
        <v>Group 2</v>
      </c>
      <c r="M1610" s="3"/>
      <c r="N1610" s="5" t="str">
        <f>IFERROR(__xludf.DUMMYFUNCTION("""COMPUTED_VALUE""")," ")</f>
        <v> </v>
      </c>
      <c r="O1610" s="5"/>
    </row>
    <row r="1611">
      <c r="A1611" s="2" t="str">
        <f>IFERROR(__xludf.DUMMYFUNCTION("""COMPUTED_VALUE"""),"3020")</f>
        <v>3020</v>
      </c>
      <c r="B1611" s="2" t="str">
        <f>IFERROR(__xludf.DUMMYFUNCTION("""COMPUTED_VALUE"""),"WOODLAND PARK RE-2")</f>
        <v>WOODLAND PARK RE-2</v>
      </c>
      <c r="C1611" s="2" t="str">
        <f>IFERROR(__xludf.DUMMYFUNCTION("""COMPUTED_VALUE"""),"09696")</f>
        <v>09696</v>
      </c>
      <c r="D1611" s="2" t="str">
        <f>IFERROR(__xludf.DUMMYFUNCTION("""COMPUTED_VALUE"""),"WOODLAND PARK HIGH SCHOOL")</f>
        <v>WOODLAND PARK HIGH SCHOOL</v>
      </c>
      <c r="E1611" s="3" t="str">
        <f>IFERROR(__xludf.DUMMYFUNCTION("""COMPUTED_VALUE"""),"Y")</f>
        <v>Y</v>
      </c>
      <c r="F1611" s="3" t="str">
        <f>IFERROR(__xludf.DUMMYFUNCTION("""COMPUTED_VALUE"""),"Y")</f>
        <v>Y</v>
      </c>
      <c r="G1611" s="3"/>
      <c r="H1611" s="3"/>
      <c r="I1611" s="3" t="str">
        <f>IFERROR(__xludf.DUMMYFUNCTION("""COMPUTED_VALUE""")," ")</f>
        <v> </v>
      </c>
      <c r="J1611" s="3" t="str">
        <f>IFERROR(__xludf.DUMMYFUNCTION("""COMPUTED_VALUE""")," ")</f>
        <v> </v>
      </c>
      <c r="K1611" s="3" t="str">
        <f>IFERROR(__xludf.DUMMYFUNCTION("""COMPUTED_VALUE"""),"Y")</f>
        <v>Y</v>
      </c>
      <c r="L1611" s="3" t="str">
        <f>IFERROR(__xludf.DUMMYFUNCTION("""COMPUTED_VALUE"""),"Group 4")</f>
        <v>Group 4</v>
      </c>
      <c r="M1611" s="3"/>
      <c r="N1611" s="5" t="str">
        <f>IFERROR(__xludf.DUMMYFUNCTION("""COMPUTED_VALUE""")," ")</f>
        <v> </v>
      </c>
      <c r="O1611" s="5"/>
    </row>
    <row r="1612">
      <c r="A1612" s="2" t="str">
        <f>IFERROR(__xludf.DUMMYFUNCTION("""COMPUTED_VALUE"""),"3020")</f>
        <v>3020</v>
      </c>
      <c r="B1612" s="2" t="str">
        <f>IFERROR(__xludf.DUMMYFUNCTION("""COMPUTED_VALUE"""),"WOODLAND PARK RE-2")</f>
        <v>WOODLAND PARK RE-2</v>
      </c>
      <c r="C1612" s="2" t="str">
        <f>IFERROR(__xludf.DUMMYFUNCTION("""COMPUTED_VALUE"""),"09698")</f>
        <v>09698</v>
      </c>
      <c r="D1612" s="2" t="str">
        <f>IFERROR(__xludf.DUMMYFUNCTION("""COMPUTED_VALUE"""),"COLUMBINE ELEMENTARY SCHOOL")</f>
        <v>COLUMBINE ELEMENTARY SCHOOL</v>
      </c>
      <c r="E1612" s="3" t="str">
        <f>IFERROR(__xludf.DUMMYFUNCTION("""COMPUTED_VALUE"""),"Y")</f>
        <v>Y</v>
      </c>
      <c r="F1612" s="3" t="str">
        <f>IFERROR(__xludf.DUMMYFUNCTION("""COMPUTED_VALUE"""),"Y")</f>
        <v>Y</v>
      </c>
      <c r="G1612" s="3"/>
      <c r="H1612" s="3"/>
      <c r="I1612" s="3" t="str">
        <f>IFERROR(__xludf.DUMMYFUNCTION("""COMPUTED_VALUE""")," ")</f>
        <v> </v>
      </c>
      <c r="J1612" s="3" t="str">
        <f>IFERROR(__xludf.DUMMYFUNCTION("""COMPUTED_VALUE""")," ")</f>
        <v> </v>
      </c>
      <c r="K1612" s="3" t="str">
        <f>IFERROR(__xludf.DUMMYFUNCTION("""COMPUTED_VALUE"""),"Y")</f>
        <v>Y</v>
      </c>
      <c r="L1612" s="3" t="str">
        <f>IFERROR(__xludf.DUMMYFUNCTION("""COMPUTED_VALUE"""),"Group 2")</f>
        <v>Group 2</v>
      </c>
      <c r="M1612" s="3"/>
      <c r="N1612" s="5" t="str">
        <f>IFERROR(__xludf.DUMMYFUNCTION("""COMPUTED_VALUE""")," ")</f>
        <v> </v>
      </c>
      <c r="O1612" s="5"/>
    </row>
    <row r="1613">
      <c r="A1613" s="2" t="str">
        <f>IFERROR(__xludf.DUMMYFUNCTION("""COMPUTED_VALUE"""),"3030")</f>
        <v>3030</v>
      </c>
      <c r="B1613" s="2" t="str">
        <f>IFERROR(__xludf.DUMMYFUNCTION("""COMPUTED_VALUE"""),"AKRON               R-1")</f>
        <v>AKRON               R-1</v>
      </c>
      <c r="C1613" s="2" t="str">
        <f>IFERROR(__xludf.DUMMYFUNCTION("""COMPUTED_VALUE"""),"00086")</f>
        <v>00086</v>
      </c>
      <c r="D1613" s="2" t="str">
        <f>IFERROR(__xludf.DUMMYFUNCTION("""COMPUTED_VALUE"""),"AKRON ELEMENTARY SCHOOL")</f>
        <v>AKRON ELEMENTARY SCHOOL</v>
      </c>
      <c r="E1613" s="3" t="str">
        <f>IFERROR(__xludf.DUMMYFUNCTION("""COMPUTED_VALUE"""),"Y")</f>
        <v>Y</v>
      </c>
      <c r="F1613" s="3" t="str">
        <f>IFERROR(__xludf.DUMMYFUNCTION("""COMPUTED_VALUE"""),"Y")</f>
        <v>Y</v>
      </c>
      <c r="G1613" s="3"/>
      <c r="H1613" s="3"/>
      <c r="I1613" s="3" t="str">
        <f>IFERROR(__xludf.DUMMYFUNCTION("""COMPUTED_VALUE""")," ")</f>
        <v> </v>
      </c>
      <c r="J1613" s="3" t="str">
        <f>IFERROR(__xludf.DUMMYFUNCTION("""COMPUTED_VALUE""")," ")</f>
        <v> </v>
      </c>
      <c r="K1613" s="3" t="str">
        <f>IFERROR(__xludf.DUMMYFUNCTION("""COMPUTED_VALUE"""),"Y")</f>
        <v>Y</v>
      </c>
      <c r="L1613" s="3" t="str">
        <f>IFERROR(__xludf.DUMMYFUNCTION("""COMPUTED_VALUE"""),"Group 1")</f>
        <v>Group 1</v>
      </c>
      <c r="M1613" s="3"/>
      <c r="N1613" s="5" t="str">
        <f>IFERROR(__xludf.DUMMYFUNCTION("""COMPUTED_VALUE""")," ")</f>
        <v> </v>
      </c>
      <c r="O1613" s="5"/>
    </row>
    <row r="1614">
      <c r="A1614" s="2" t="str">
        <f>IFERROR(__xludf.DUMMYFUNCTION("""COMPUTED_VALUE"""),"3030")</f>
        <v>3030</v>
      </c>
      <c r="B1614" s="2" t="str">
        <f>IFERROR(__xludf.DUMMYFUNCTION("""COMPUTED_VALUE"""),"AKRON               R-1")</f>
        <v>AKRON               R-1</v>
      </c>
      <c r="C1614" s="2" t="str">
        <f>IFERROR(__xludf.DUMMYFUNCTION("""COMPUTED_VALUE"""),"00090")</f>
        <v>00090</v>
      </c>
      <c r="D1614" s="2" t="str">
        <f>IFERROR(__xludf.DUMMYFUNCTION("""COMPUTED_VALUE"""),"AKRON HIGH SCHOOL")</f>
        <v>AKRON HIGH SCHOOL</v>
      </c>
      <c r="E1614" s="8" t="str">
        <f>IFERROR(__xludf.DUMMYFUNCTION("""COMPUTED_VALUE"""),"Y")</f>
        <v>Y</v>
      </c>
      <c r="F1614" s="3" t="str">
        <f>IFERROR(__xludf.DUMMYFUNCTION("""COMPUTED_VALUE"""),"Y")</f>
        <v>Y</v>
      </c>
      <c r="G1614" s="3"/>
      <c r="H1614" s="3"/>
      <c r="I1614" s="3" t="str">
        <f>IFERROR(__xludf.DUMMYFUNCTION("""COMPUTED_VALUE""")," ")</f>
        <v> </v>
      </c>
      <c r="J1614" s="3" t="str">
        <f>IFERROR(__xludf.DUMMYFUNCTION("""COMPUTED_VALUE""")," ")</f>
        <v> </v>
      </c>
      <c r="K1614" s="3" t="str">
        <f>IFERROR(__xludf.DUMMYFUNCTION("""COMPUTED_VALUE"""),"Y")</f>
        <v>Y</v>
      </c>
      <c r="L1614" s="3" t="str">
        <f>IFERROR(__xludf.DUMMYFUNCTION("""COMPUTED_VALUE"""),"Group 2")</f>
        <v>Group 2</v>
      </c>
      <c r="M1614" s="3"/>
      <c r="N1614" s="5" t="str">
        <f>IFERROR(__xludf.DUMMYFUNCTION("""COMPUTED_VALUE""")," ")</f>
        <v> </v>
      </c>
      <c r="O1614" s="5" t="str">
        <f>IFERROR(__xludf.DUMMYFUNCTION("""COMPUTED_VALUE"""),"No bfast claims as of 3/25")</f>
        <v>No bfast claims as of 3/25</v>
      </c>
    </row>
    <row r="1615">
      <c r="A1615" s="2" t="str">
        <f>IFERROR(__xludf.DUMMYFUNCTION("""COMPUTED_VALUE"""),"3040")</f>
        <v>3040</v>
      </c>
      <c r="B1615" s="2" t="str">
        <f>IFERROR(__xludf.DUMMYFUNCTION("""COMPUTED_VALUE"""),"ARICKAREE R-2")</f>
        <v>ARICKAREE R-2</v>
      </c>
      <c r="C1615" s="2" t="str">
        <f>IFERROR(__xludf.DUMMYFUNCTION("""COMPUTED_VALUE"""),"00304")</f>
        <v>00304</v>
      </c>
      <c r="D1615" s="2" t="str">
        <f>IFERROR(__xludf.DUMMYFUNCTION("""COMPUTED_VALUE"""),"ARICKAREE ELEMENTARY SCHOOL")</f>
        <v>ARICKAREE ELEMENTARY SCHOOL</v>
      </c>
      <c r="E1615" s="3" t="str">
        <f>IFERROR(__xludf.DUMMYFUNCTION("""COMPUTED_VALUE"""),"Y")</f>
        <v>Y</v>
      </c>
      <c r="F1615" s="3" t="str">
        <f>IFERROR(__xludf.DUMMYFUNCTION("""COMPUTED_VALUE"""),"Y")</f>
        <v>Y</v>
      </c>
      <c r="G1615" s="3"/>
      <c r="H1615" s="3"/>
      <c r="I1615" s="3" t="str">
        <f>IFERROR(__xludf.DUMMYFUNCTION("""COMPUTED_VALUE""")," ")</f>
        <v> </v>
      </c>
      <c r="J1615" s="3" t="str">
        <f>IFERROR(__xludf.DUMMYFUNCTION("""COMPUTED_VALUE""")," ")</f>
        <v> </v>
      </c>
      <c r="K1615" s="3" t="str">
        <f>IFERROR(__xludf.DUMMYFUNCTION("""COMPUTED_VALUE"""),"Y")</f>
        <v>Y</v>
      </c>
      <c r="L1615" s="3" t="str">
        <f>IFERROR(__xludf.DUMMYFUNCTION("""COMPUTED_VALUE"""),"Group 1")</f>
        <v>Group 1</v>
      </c>
      <c r="M1615" s="3"/>
      <c r="N1615" s="5" t="str">
        <f>IFERROR(__xludf.DUMMYFUNCTION("""COMPUTED_VALUE""")," ")</f>
        <v> </v>
      </c>
      <c r="O1615" s="5"/>
    </row>
    <row r="1616">
      <c r="A1616" s="2" t="str">
        <f>IFERROR(__xludf.DUMMYFUNCTION("""COMPUTED_VALUE"""),"3040")</f>
        <v>3040</v>
      </c>
      <c r="B1616" s="2" t="str">
        <f>IFERROR(__xludf.DUMMYFUNCTION("""COMPUTED_VALUE"""),"ARICKAREE R-2")</f>
        <v>ARICKAREE R-2</v>
      </c>
      <c r="C1616" s="2" t="str">
        <f>IFERROR(__xludf.DUMMYFUNCTION("""COMPUTED_VALUE"""),"00308")</f>
        <v>00308</v>
      </c>
      <c r="D1616" s="2" t="str">
        <f>IFERROR(__xludf.DUMMYFUNCTION("""COMPUTED_VALUE"""),"ARICKAREE UNDIVIDED HIGH SCHOOL")</f>
        <v>ARICKAREE UNDIVIDED HIGH SCHOOL</v>
      </c>
      <c r="E1616" s="3" t="str">
        <f>IFERROR(__xludf.DUMMYFUNCTION("""COMPUTED_VALUE"""),"Y")</f>
        <v>Y</v>
      </c>
      <c r="F1616" s="3" t="str">
        <f>IFERROR(__xludf.DUMMYFUNCTION("""COMPUTED_VALUE"""),"Y")</f>
        <v>Y</v>
      </c>
      <c r="G1616" s="3"/>
      <c r="H1616" s="3"/>
      <c r="I1616" s="3" t="str">
        <f>IFERROR(__xludf.DUMMYFUNCTION("""COMPUTED_VALUE""")," ")</f>
        <v> </v>
      </c>
      <c r="J1616" s="3" t="str">
        <f>IFERROR(__xludf.DUMMYFUNCTION("""COMPUTED_VALUE""")," ")</f>
        <v> </v>
      </c>
      <c r="K1616" s="3" t="str">
        <f>IFERROR(__xludf.DUMMYFUNCTION("""COMPUTED_VALUE"""),"Y")</f>
        <v>Y</v>
      </c>
      <c r="L1616" s="3" t="str">
        <f>IFERROR(__xludf.DUMMYFUNCTION("""COMPUTED_VALUE"""),"Group 1")</f>
        <v>Group 1</v>
      </c>
      <c r="M1616" s="3"/>
      <c r="N1616" s="5" t="str">
        <f>IFERROR(__xludf.DUMMYFUNCTION("""COMPUTED_VALUE""")," ")</f>
        <v> </v>
      </c>
      <c r="O1616" s="5"/>
    </row>
    <row r="1617">
      <c r="A1617" s="2" t="str">
        <f>IFERROR(__xludf.DUMMYFUNCTION("""COMPUTED_VALUE"""),"3050")</f>
        <v>3050</v>
      </c>
      <c r="B1617" s="2" t="str">
        <f>IFERROR(__xludf.DUMMYFUNCTION("""COMPUTED_VALUE"""),"OTIS                R-3")</f>
        <v>OTIS                R-3</v>
      </c>
      <c r="C1617" s="2" t="str">
        <f>IFERROR(__xludf.DUMMYFUNCTION("""COMPUTED_VALUE"""),"06582")</f>
        <v>06582</v>
      </c>
      <c r="D1617" s="2" t="str">
        <f>IFERROR(__xludf.DUMMYFUNCTION("""COMPUTED_VALUE"""),"OTIS ELEMENTARY SCHOOL")</f>
        <v>OTIS ELEMENTARY SCHOOL</v>
      </c>
      <c r="E1617" s="3" t="str">
        <f>IFERROR(__xludf.DUMMYFUNCTION("""COMPUTED_VALUE"""),"Y")</f>
        <v>Y</v>
      </c>
      <c r="F1617" s="3" t="str">
        <f>IFERROR(__xludf.DUMMYFUNCTION("""COMPUTED_VALUE"""),"Y")</f>
        <v>Y</v>
      </c>
      <c r="G1617" s="3"/>
      <c r="H1617" s="3"/>
      <c r="I1617" s="3" t="str">
        <f>IFERROR(__xludf.DUMMYFUNCTION("""COMPUTED_VALUE"""),"Y")</f>
        <v>Y</v>
      </c>
      <c r="J1617" s="3" t="str">
        <f>IFERROR(__xludf.DUMMYFUNCTION("""COMPUTED_VALUE""")," ")</f>
        <v> </v>
      </c>
      <c r="K1617" s="3" t="str">
        <f>IFERROR(__xludf.DUMMYFUNCTION("""COMPUTED_VALUE"""),"Y")</f>
        <v>Y</v>
      </c>
      <c r="L1617" s="3" t="str">
        <f>IFERROR(__xludf.DUMMYFUNCTION("""COMPUTED_VALUE"""),"Group 1")</f>
        <v>Group 1</v>
      </c>
      <c r="M1617" s="3"/>
      <c r="N1617" s="5" t="str">
        <f>IFERROR(__xludf.DUMMYFUNCTION("""COMPUTED_VALUE""")," ")</f>
        <v> </v>
      </c>
      <c r="O1617" s="5"/>
    </row>
    <row r="1618">
      <c r="A1618" s="2" t="str">
        <f>IFERROR(__xludf.DUMMYFUNCTION("""COMPUTED_VALUE"""),"3050")</f>
        <v>3050</v>
      </c>
      <c r="B1618" s="2" t="str">
        <f>IFERROR(__xludf.DUMMYFUNCTION("""COMPUTED_VALUE"""),"OTIS                R-3")</f>
        <v>OTIS                R-3</v>
      </c>
      <c r="C1618" s="2" t="str">
        <f>IFERROR(__xludf.DUMMYFUNCTION("""COMPUTED_VALUE"""),"06586")</f>
        <v>06586</v>
      </c>
      <c r="D1618" s="2" t="str">
        <f>IFERROR(__xludf.DUMMYFUNCTION("""COMPUTED_VALUE"""),"OTIS JUNIOR-SENIOR HIGH SCHOOL")</f>
        <v>OTIS JUNIOR-SENIOR HIGH SCHOOL</v>
      </c>
      <c r="E1618" s="3" t="str">
        <f>IFERROR(__xludf.DUMMYFUNCTION("""COMPUTED_VALUE"""),"Y")</f>
        <v>Y</v>
      </c>
      <c r="F1618" s="3" t="str">
        <f>IFERROR(__xludf.DUMMYFUNCTION("""COMPUTED_VALUE"""),"Y")</f>
        <v>Y</v>
      </c>
      <c r="G1618" s="3"/>
      <c r="H1618" s="3"/>
      <c r="I1618" s="3" t="str">
        <f>IFERROR(__xludf.DUMMYFUNCTION("""COMPUTED_VALUE""")," ")</f>
        <v> </v>
      </c>
      <c r="J1618" s="3" t="str">
        <f>IFERROR(__xludf.DUMMYFUNCTION("""COMPUTED_VALUE""")," ")</f>
        <v> </v>
      </c>
      <c r="K1618" s="3" t="str">
        <f>IFERROR(__xludf.DUMMYFUNCTION("""COMPUTED_VALUE"""),"Y")</f>
        <v>Y</v>
      </c>
      <c r="L1618" s="3" t="str">
        <f>IFERROR(__xludf.DUMMYFUNCTION("""COMPUTED_VALUE"""),"Group 2")</f>
        <v>Group 2</v>
      </c>
      <c r="M1618" s="3"/>
      <c r="N1618" s="5" t="str">
        <f>IFERROR(__xludf.DUMMYFUNCTION("""COMPUTED_VALUE""")," ")</f>
        <v> </v>
      </c>
      <c r="O1618" s="5"/>
    </row>
    <row r="1619">
      <c r="A1619" s="2" t="str">
        <f>IFERROR(__xludf.DUMMYFUNCTION("""COMPUTED_VALUE"""),"3060")</f>
        <v>3060</v>
      </c>
      <c r="B1619" s="2" t="str">
        <f>IFERROR(__xludf.DUMMYFUNCTION("""COMPUTED_VALUE"""),"LONE STAR           101")</f>
        <v>LONE STAR           101</v>
      </c>
      <c r="C1619" s="2" t="str">
        <f>IFERROR(__xludf.DUMMYFUNCTION("""COMPUTED_VALUE"""),"05238")</f>
        <v>05238</v>
      </c>
      <c r="D1619" s="2" t="str">
        <f>IFERROR(__xludf.DUMMYFUNCTION("""COMPUTED_VALUE"""),"LONE STAR MIDDLE SCHOOL")</f>
        <v>LONE STAR MIDDLE SCHOOL</v>
      </c>
      <c r="E1619" s="3" t="str">
        <f>IFERROR(__xludf.DUMMYFUNCTION("""COMPUTED_VALUE"""),"Y")</f>
        <v>Y</v>
      </c>
      <c r="F1619" s="3" t="str">
        <f>IFERROR(__xludf.DUMMYFUNCTION("""COMPUTED_VALUE"""),"Y")</f>
        <v>Y</v>
      </c>
      <c r="G1619" s="3"/>
      <c r="H1619" s="3"/>
      <c r="I1619" s="3" t="str">
        <f>IFERROR(__xludf.DUMMYFUNCTION("""COMPUTED_VALUE""")," ")</f>
        <v> </v>
      </c>
      <c r="J1619" s="3" t="str">
        <f>IFERROR(__xludf.DUMMYFUNCTION("""COMPUTED_VALUE""")," ")</f>
        <v> </v>
      </c>
      <c r="K1619" s="3" t="str">
        <f>IFERROR(__xludf.DUMMYFUNCTION("""COMPUTED_VALUE"""),"Y")</f>
        <v>Y</v>
      </c>
      <c r="L1619" s="3" t="str">
        <f>IFERROR(__xludf.DUMMYFUNCTION("""COMPUTED_VALUE"""),"Group 1")</f>
        <v>Group 1</v>
      </c>
      <c r="M1619" s="3"/>
      <c r="N1619" s="5" t="str">
        <f>IFERROR(__xludf.DUMMYFUNCTION("""COMPUTED_VALUE""")," ")</f>
        <v> </v>
      </c>
      <c r="O1619" s="5"/>
    </row>
    <row r="1620">
      <c r="A1620" s="2" t="str">
        <f>IFERROR(__xludf.DUMMYFUNCTION("""COMPUTED_VALUE"""),"3060")</f>
        <v>3060</v>
      </c>
      <c r="B1620" s="2" t="str">
        <f>IFERROR(__xludf.DUMMYFUNCTION("""COMPUTED_VALUE"""),"LONE STAR           101")</f>
        <v>LONE STAR           101</v>
      </c>
      <c r="C1620" s="2" t="str">
        <f>IFERROR(__xludf.DUMMYFUNCTION("""COMPUTED_VALUE"""),"05254")</f>
        <v>05254</v>
      </c>
      <c r="D1620" s="2" t="str">
        <f>IFERROR(__xludf.DUMMYFUNCTION("""COMPUTED_VALUE"""),"LONE STAR ELEMENTARY SCHOOL")</f>
        <v>LONE STAR ELEMENTARY SCHOOL</v>
      </c>
      <c r="E1620" s="3" t="str">
        <f>IFERROR(__xludf.DUMMYFUNCTION("""COMPUTED_VALUE"""),"Y")</f>
        <v>Y</v>
      </c>
      <c r="F1620" s="3" t="str">
        <f>IFERROR(__xludf.DUMMYFUNCTION("""COMPUTED_VALUE"""),"Y")</f>
        <v>Y</v>
      </c>
      <c r="G1620" s="3"/>
      <c r="H1620" s="3"/>
      <c r="I1620" s="3" t="str">
        <f>IFERROR(__xludf.DUMMYFUNCTION("""COMPUTED_VALUE""")," ")</f>
        <v> </v>
      </c>
      <c r="J1620" s="3" t="str">
        <f>IFERROR(__xludf.DUMMYFUNCTION("""COMPUTED_VALUE""")," ")</f>
        <v> </v>
      </c>
      <c r="K1620" s="3" t="str">
        <f>IFERROR(__xludf.DUMMYFUNCTION("""COMPUTED_VALUE"""),"Y")</f>
        <v>Y</v>
      </c>
      <c r="L1620" s="3" t="str">
        <f>IFERROR(__xludf.DUMMYFUNCTION("""COMPUTED_VALUE"""),"Group 2")</f>
        <v>Group 2</v>
      </c>
      <c r="M1620" s="3"/>
      <c r="N1620" s="5" t="str">
        <f>IFERROR(__xludf.DUMMYFUNCTION("""COMPUTED_VALUE""")," ")</f>
        <v> </v>
      </c>
      <c r="O1620" s="5"/>
    </row>
    <row r="1621">
      <c r="A1621" s="2" t="str">
        <f>IFERROR(__xludf.DUMMYFUNCTION("""COMPUTED_VALUE"""),"3060")</f>
        <v>3060</v>
      </c>
      <c r="B1621" s="2" t="str">
        <f>IFERROR(__xludf.DUMMYFUNCTION("""COMPUTED_VALUE"""),"LONE STAR           101")</f>
        <v>LONE STAR           101</v>
      </c>
      <c r="C1621" s="2" t="str">
        <f>IFERROR(__xludf.DUMMYFUNCTION("""COMPUTED_VALUE"""),"05258")</f>
        <v>05258</v>
      </c>
      <c r="D1621" s="2" t="str">
        <f>IFERROR(__xludf.DUMMYFUNCTION("""COMPUTED_VALUE"""),"LONE STAR UNDIVIDED HIGH SCHOOL")</f>
        <v>LONE STAR UNDIVIDED HIGH SCHOOL</v>
      </c>
      <c r="E1621" s="3" t="str">
        <f>IFERROR(__xludf.DUMMYFUNCTION("""COMPUTED_VALUE"""),"Y")</f>
        <v>Y</v>
      </c>
      <c r="F1621" s="3" t="str">
        <f>IFERROR(__xludf.DUMMYFUNCTION("""COMPUTED_VALUE"""),"Y")</f>
        <v>Y</v>
      </c>
      <c r="G1621" s="3"/>
      <c r="H1621" s="3"/>
      <c r="I1621" s="3" t="str">
        <f>IFERROR(__xludf.DUMMYFUNCTION("""COMPUTED_VALUE""")," ")</f>
        <v> </v>
      </c>
      <c r="J1621" s="3" t="str">
        <f>IFERROR(__xludf.DUMMYFUNCTION("""COMPUTED_VALUE""")," ")</f>
        <v> </v>
      </c>
      <c r="K1621" s="3" t="str">
        <f>IFERROR(__xludf.DUMMYFUNCTION("""COMPUTED_VALUE"""),"Y")</f>
        <v>Y</v>
      </c>
      <c r="L1621" s="3" t="str">
        <f>IFERROR(__xludf.DUMMYFUNCTION("""COMPUTED_VALUE""")," ")</f>
        <v> </v>
      </c>
      <c r="M1621" s="3"/>
      <c r="N1621" s="5" t="str">
        <f>IFERROR(__xludf.DUMMYFUNCTION("""COMPUTED_VALUE""")," ")</f>
        <v> </v>
      </c>
      <c r="O1621" s="5"/>
    </row>
    <row r="1622">
      <c r="A1622" s="2" t="str">
        <f>IFERROR(__xludf.DUMMYFUNCTION("""COMPUTED_VALUE"""),"3070")</f>
        <v>3070</v>
      </c>
      <c r="B1622" s="2" t="str">
        <f>IFERROR(__xludf.DUMMYFUNCTION("""COMPUTED_VALUE"""),"WOODLIN R-104")</f>
        <v>WOODLIN R-104</v>
      </c>
      <c r="C1622" s="2" t="str">
        <f>IFERROR(__xludf.DUMMYFUNCTION("""COMPUTED_VALUE"""),"09700")</f>
        <v>09700</v>
      </c>
      <c r="D1622" s="2" t="str">
        <f>IFERROR(__xludf.DUMMYFUNCTION("""COMPUTED_VALUE"""),"WOODLIN ELEMENTARY SCHOOL")</f>
        <v>WOODLIN ELEMENTARY SCHOOL</v>
      </c>
      <c r="E1622" s="3" t="str">
        <f>IFERROR(__xludf.DUMMYFUNCTION("""COMPUTED_VALUE"""),"Y")</f>
        <v>Y</v>
      </c>
      <c r="F1622" s="3" t="str">
        <f>IFERROR(__xludf.DUMMYFUNCTION("""COMPUTED_VALUE"""),"Y")</f>
        <v>Y</v>
      </c>
      <c r="G1622" s="3" t="str">
        <f>IFERROR(__xludf.DUMMYFUNCTION("""COMPUTED_VALUE"""),"Y")</f>
        <v>Y</v>
      </c>
      <c r="H1622" s="3"/>
      <c r="I1622" s="3" t="str">
        <f>IFERROR(__xludf.DUMMYFUNCTION("""COMPUTED_VALUE""")," ")</f>
        <v> </v>
      </c>
      <c r="J1622" s="3" t="str">
        <f>IFERROR(__xludf.DUMMYFUNCTION("""COMPUTED_VALUE""")," ")</f>
        <v> </v>
      </c>
      <c r="K1622" s="3" t="str">
        <f>IFERROR(__xludf.DUMMYFUNCTION("""COMPUTED_VALUE"""),"Y")</f>
        <v>Y</v>
      </c>
      <c r="L1622" s="3" t="str">
        <f>IFERROR(__xludf.DUMMYFUNCTION("""COMPUTED_VALUE"""),"Group 1")</f>
        <v>Group 1</v>
      </c>
      <c r="M1622" s="3"/>
      <c r="N1622" s="5" t="str">
        <f>IFERROR(__xludf.DUMMYFUNCTION("""COMPUTED_VALUE""")," ")</f>
        <v> </v>
      </c>
      <c r="O1622" s="5"/>
    </row>
    <row r="1623">
      <c r="A1623" s="2" t="str">
        <f>IFERROR(__xludf.DUMMYFUNCTION("""COMPUTED_VALUE"""),"3070")</f>
        <v>3070</v>
      </c>
      <c r="B1623" s="2" t="str">
        <f>IFERROR(__xludf.DUMMYFUNCTION("""COMPUTED_VALUE"""),"WOODLIN R-104")</f>
        <v>WOODLIN R-104</v>
      </c>
      <c r="C1623" s="2" t="str">
        <f>IFERROR(__xludf.DUMMYFUNCTION("""COMPUTED_VALUE"""),"09704")</f>
        <v>09704</v>
      </c>
      <c r="D1623" s="2" t="str">
        <f>IFERROR(__xludf.DUMMYFUNCTION("""COMPUTED_VALUE"""),"WOODLIN UNDIVIDED HIGH SCHOOL")</f>
        <v>WOODLIN UNDIVIDED HIGH SCHOOL</v>
      </c>
      <c r="E1623" s="3" t="str">
        <f>IFERROR(__xludf.DUMMYFUNCTION("""COMPUTED_VALUE"""),"Y")</f>
        <v>Y</v>
      </c>
      <c r="F1623" s="3" t="str">
        <f>IFERROR(__xludf.DUMMYFUNCTION("""COMPUTED_VALUE"""),"Y")</f>
        <v>Y</v>
      </c>
      <c r="G1623" s="3" t="str">
        <f>IFERROR(__xludf.DUMMYFUNCTION("""COMPUTED_VALUE"""),"Y")</f>
        <v>Y</v>
      </c>
      <c r="H1623" s="3"/>
      <c r="I1623" s="3" t="str">
        <f>IFERROR(__xludf.DUMMYFUNCTION("""COMPUTED_VALUE""")," ")</f>
        <v> </v>
      </c>
      <c r="J1623" s="3" t="str">
        <f>IFERROR(__xludf.DUMMYFUNCTION("""COMPUTED_VALUE""")," ")</f>
        <v> </v>
      </c>
      <c r="K1623" s="3" t="str">
        <f>IFERROR(__xludf.DUMMYFUNCTION("""COMPUTED_VALUE"""),"Y")</f>
        <v>Y</v>
      </c>
      <c r="L1623" s="3" t="str">
        <f>IFERROR(__xludf.DUMMYFUNCTION("""COMPUTED_VALUE"""),"Group 1")</f>
        <v>Group 1</v>
      </c>
      <c r="M1623" s="3"/>
      <c r="N1623" s="5" t="str">
        <f>IFERROR(__xludf.DUMMYFUNCTION("""COMPUTED_VALUE""")," ")</f>
        <v> </v>
      </c>
      <c r="O1623" s="5"/>
    </row>
    <row r="1624">
      <c r="A1624" s="2" t="str">
        <f>IFERROR(__xludf.DUMMYFUNCTION("""COMPUTED_VALUE"""),"3080")</f>
        <v>3080</v>
      </c>
      <c r="B1624" s="2" t="str">
        <f>IFERROR(__xludf.DUMMYFUNCTION("""COMPUTED_VALUE"""),"WELD COUNTY RE-1")</f>
        <v>WELD COUNTY RE-1</v>
      </c>
      <c r="C1624" s="2" t="str">
        <f>IFERROR(__xludf.DUMMYFUNCTION("""COMPUTED_VALUE"""),"03398")</f>
        <v>03398</v>
      </c>
      <c r="D1624" s="2" t="str">
        <f>IFERROR(__xludf.DUMMYFUNCTION("""COMPUTED_VALUE"""),"GILCREST ELEMENTARY SCHOOL")</f>
        <v>GILCREST ELEMENTARY SCHOOL</v>
      </c>
      <c r="E1624" s="3" t="str">
        <f>IFERROR(__xludf.DUMMYFUNCTION("""COMPUTED_VALUE"""),"Y")</f>
        <v>Y</v>
      </c>
      <c r="F1624" s="3" t="str">
        <f>IFERROR(__xludf.DUMMYFUNCTION("""COMPUTED_VALUE"""),"Y")</f>
        <v>Y</v>
      </c>
      <c r="G1624" s="3" t="str">
        <f>IFERROR(__xludf.DUMMYFUNCTION("""COMPUTED_VALUE"""),"Y")</f>
        <v>Y</v>
      </c>
      <c r="H1624" s="3"/>
      <c r="I1624" s="3" t="str">
        <f>IFERROR(__xludf.DUMMYFUNCTION("""COMPUTED_VALUE""")," ")</f>
        <v> </v>
      </c>
      <c r="J1624" s="3" t="str">
        <f>IFERROR(__xludf.DUMMYFUNCTION("""COMPUTED_VALUE""")," ")</f>
        <v> </v>
      </c>
      <c r="K1624" s="3" t="str">
        <f>IFERROR(__xludf.DUMMYFUNCTION("""COMPUTED_VALUE"""),"Y")</f>
        <v>Y</v>
      </c>
      <c r="L1624" s="3" t="str">
        <f>IFERROR(__xludf.DUMMYFUNCTION("""COMPUTED_VALUE"""),"Group 3")</f>
        <v>Group 3</v>
      </c>
      <c r="M1624" s="3"/>
      <c r="N1624" s="5" t="str">
        <f>IFERROR(__xludf.DUMMYFUNCTION("""COMPUTED_VALUE""")," ")</f>
        <v> </v>
      </c>
      <c r="O1624" s="5"/>
    </row>
    <row r="1625">
      <c r="A1625" s="2" t="str">
        <f>IFERROR(__xludf.DUMMYFUNCTION("""COMPUTED_VALUE"""),"3080")</f>
        <v>3080</v>
      </c>
      <c r="B1625" s="2" t="str">
        <f>IFERROR(__xludf.DUMMYFUNCTION("""COMPUTED_VALUE"""),"WELD COUNTY RE-1")</f>
        <v>WELD COUNTY RE-1</v>
      </c>
      <c r="C1625" s="2" t="str">
        <f>IFERROR(__xludf.DUMMYFUNCTION("""COMPUTED_VALUE"""),"04852")</f>
        <v>04852</v>
      </c>
      <c r="D1625" s="2" t="str">
        <f>IFERROR(__xludf.DUMMYFUNCTION("""COMPUTED_VALUE"""),"PETE MIRICH ELEMENTARY SCHOOL")</f>
        <v>PETE MIRICH ELEMENTARY SCHOOL</v>
      </c>
      <c r="E1625" s="3" t="str">
        <f>IFERROR(__xludf.DUMMYFUNCTION("""COMPUTED_VALUE"""),"Y")</f>
        <v>Y</v>
      </c>
      <c r="F1625" s="3" t="str">
        <f>IFERROR(__xludf.DUMMYFUNCTION("""COMPUTED_VALUE"""),"Y")</f>
        <v>Y</v>
      </c>
      <c r="G1625" s="3"/>
      <c r="H1625" s="3"/>
      <c r="I1625" s="3" t="str">
        <f>IFERROR(__xludf.DUMMYFUNCTION("""COMPUTED_VALUE""")," ")</f>
        <v> </v>
      </c>
      <c r="J1625" s="3" t="str">
        <f>IFERROR(__xludf.DUMMYFUNCTION("""COMPUTED_VALUE""")," ")</f>
        <v> </v>
      </c>
      <c r="K1625" s="3" t="str">
        <f>IFERROR(__xludf.DUMMYFUNCTION("""COMPUTED_VALUE"""),"Y")</f>
        <v>Y</v>
      </c>
      <c r="L1625" s="3" t="str">
        <f>IFERROR(__xludf.DUMMYFUNCTION("""COMPUTED_VALUE"""),"Group 3")</f>
        <v>Group 3</v>
      </c>
      <c r="M1625" s="3"/>
      <c r="N1625" s="5" t="str">
        <f>IFERROR(__xludf.DUMMYFUNCTION("""COMPUTED_VALUE""")," ")</f>
        <v> </v>
      </c>
      <c r="O1625" s="5"/>
    </row>
    <row r="1626">
      <c r="A1626" s="2" t="str">
        <f>IFERROR(__xludf.DUMMYFUNCTION("""COMPUTED_VALUE"""),"3080")</f>
        <v>3080</v>
      </c>
      <c r="B1626" s="2" t="str">
        <f>IFERROR(__xludf.DUMMYFUNCTION("""COMPUTED_VALUE"""),"WELD COUNTY RE-1")</f>
        <v>WELD COUNTY RE-1</v>
      </c>
      <c r="C1626" s="2" t="str">
        <f>IFERROR(__xludf.DUMMYFUNCTION("""COMPUTED_VALUE"""),"04854")</f>
        <v>04854</v>
      </c>
      <c r="D1626" s="2" t="str">
        <f>IFERROR(__xludf.DUMMYFUNCTION("""COMPUTED_VALUE"""),"NORTH VALLEY MIDDLE SCHOOL")</f>
        <v>NORTH VALLEY MIDDLE SCHOOL</v>
      </c>
      <c r="E1626" s="3" t="str">
        <f>IFERROR(__xludf.DUMMYFUNCTION("""COMPUTED_VALUE"""),"Y")</f>
        <v>Y</v>
      </c>
      <c r="F1626" s="3" t="str">
        <f>IFERROR(__xludf.DUMMYFUNCTION("""COMPUTED_VALUE"""),"Y")</f>
        <v>Y</v>
      </c>
      <c r="G1626" s="3"/>
      <c r="H1626" s="3"/>
      <c r="I1626" s="3" t="str">
        <f>IFERROR(__xludf.DUMMYFUNCTION("""COMPUTED_VALUE""")," ")</f>
        <v> </v>
      </c>
      <c r="J1626" s="3" t="str">
        <f>IFERROR(__xludf.DUMMYFUNCTION("""COMPUTED_VALUE""")," ")</f>
        <v> </v>
      </c>
      <c r="K1626" s="3" t="str">
        <f>IFERROR(__xludf.DUMMYFUNCTION("""COMPUTED_VALUE"""),"Y")</f>
        <v>Y</v>
      </c>
      <c r="L1626" s="3" t="str">
        <f>IFERROR(__xludf.DUMMYFUNCTION("""COMPUTED_VALUE"""),"Group 1")</f>
        <v>Group 1</v>
      </c>
      <c r="M1626" s="3"/>
      <c r="N1626" s="5" t="str">
        <f>IFERROR(__xludf.DUMMYFUNCTION("""COMPUTED_VALUE""")," ")</f>
        <v> </v>
      </c>
      <c r="O1626" s="5"/>
    </row>
    <row r="1627">
      <c r="A1627" s="2" t="str">
        <f>IFERROR(__xludf.DUMMYFUNCTION("""COMPUTED_VALUE"""),"3080")</f>
        <v>3080</v>
      </c>
      <c r="B1627" s="2" t="str">
        <f>IFERROR(__xludf.DUMMYFUNCTION("""COMPUTED_VALUE"""),"WELD COUNTY RE-1")</f>
        <v>WELD COUNTY RE-1</v>
      </c>
      <c r="C1627" s="2" t="str">
        <f>IFERROR(__xludf.DUMMYFUNCTION("""COMPUTED_VALUE"""),"07056")</f>
        <v>07056</v>
      </c>
      <c r="D1627" s="2" t="str">
        <f>IFERROR(__xludf.DUMMYFUNCTION("""COMPUTED_VALUE"""),"PLATTEVILLE ELEMENTARY SCHOOL")</f>
        <v>PLATTEVILLE ELEMENTARY SCHOOL</v>
      </c>
      <c r="E1627" s="3" t="str">
        <f>IFERROR(__xludf.DUMMYFUNCTION("""COMPUTED_VALUE"""),"Y")</f>
        <v>Y</v>
      </c>
      <c r="F1627" s="3" t="str">
        <f>IFERROR(__xludf.DUMMYFUNCTION("""COMPUTED_VALUE"""),"Y")</f>
        <v>Y</v>
      </c>
      <c r="G1627" s="3"/>
      <c r="H1627" s="3"/>
      <c r="I1627" s="3" t="str">
        <f>IFERROR(__xludf.DUMMYFUNCTION("""COMPUTED_VALUE""")," ")</f>
        <v> </v>
      </c>
      <c r="J1627" s="3" t="str">
        <f>IFERROR(__xludf.DUMMYFUNCTION("""COMPUTED_VALUE""")," ")</f>
        <v> </v>
      </c>
      <c r="K1627" s="3" t="str">
        <f>IFERROR(__xludf.DUMMYFUNCTION("""COMPUTED_VALUE"""),"Y")</f>
        <v>Y</v>
      </c>
      <c r="L1627" s="3" t="str">
        <f>IFERROR(__xludf.DUMMYFUNCTION("""COMPUTED_VALUE"""),"Group 3")</f>
        <v>Group 3</v>
      </c>
      <c r="M1627" s="3"/>
      <c r="N1627" s="5" t="str">
        <f>IFERROR(__xludf.DUMMYFUNCTION("""COMPUTED_VALUE""")," ")</f>
        <v> </v>
      </c>
      <c r="O1627" s="5"/>
    </row>
    <row r="1628">
      <c r="A1628" s="2" t="str">
        <f>IFERROR(__xludf.DUMMYFUNCTION("""COMPUTED_VALUE"""),"3080")</f>
        <v>3080</v>
      </c>
      <c r="B1628" s="2" t="str">
        <f>IFERROR(__xludf.DUMMYFUNCTION("""COMPUTED_VALUE"""),"WELD COUNTY RE-1")</f>
        <v>WELD COUNTY RE-1</v>
      </c>
      <c r="C1628" s="2" t="str">
        <f>IFERROR(__xludf.DUMMYFUNCTION("""COMPUTED_VALUE"""),"07058")</f>
        <v>07058</v>
      </c>
      <c r="D1628" s="2" t="str">
        <f>IFERROR(__xludf.DUMMYFUNCTION("""COMPUTED_VALUE"""),"SOUTH VALLEY MIDDLE SCHOOL")</f>
        <v>SOUTH VALLEY MIDDLE SCHOOL</v>
      </c>
      <c r="E1628" s="3" t="str">
        <f>IFERROR(__xludf.DUMMYFUNCTION("""COMPUTED_VALUE"""),"Y")</f>
        <v>Y</v>
      </c>
      <c r="F1628" s="3" t="str">
        <f>IFERROR(__xludf.DUMMYFUNCTION("""COMPUTED_VALUE"""),"Y")</f>
        <v>Y</v>
      </c>
      <c r="G1628" s="3"/>
      <c r="H1628" s="3"/>
      <c r="I1628" s="3" t="str">
        <f>IFERROR(__xludf.DUMMYFUNCTION("""COMPUTED_VALUE""")," ")</f>
        <v> </v>
      </c>
      <c r="J1628" s="3" t="str">
        <f>IFERROR(__xludf.DUMMYFUNCTION("""COMPUTED_VALUE""")," ")</f>
        <v> </v>
      </c>
      <c r="K1628" s="3" t="str">
        <f>IFERROR(__xludf.DUMMYFUNCTION("""COMPUTED_VALUE"""),"Y")</f>
        <v>Y</v>
      </c>
      <c r="L1628" s="3" t="str">
        <f>IFERROR(__xludf.DUMMYFUNCTION("""COMPUTED_VALUE"""),"Group 3")</f>
        <v>Group 3</v>
      </c>
      <c r="M1628" s="3"/>
      <c r="N1628" s="5" t="str">
        <f>IFERROR(__xludf.DUMMYFUNCTION("""COMPUTED_VALUE""")," ")</f>
        <v> </v>
      </c>
      <c r="O1628" s="5"/>
    </row>
    <row r="1629">
      <c r="A1629" s="2" t="str">
        <f>IFERROR(__xludf.DUMMYFUNCTION("""COMPUTED_VALUE"""),"3080")</f>
        <v>3080</v>
      </c>
      <c r="B1629" s="2" t="str">
        <f>IFERROR(__xludf.DUMMYFUNCTION("""COMPUTED_VALUE"""),"WELD COUNTY RE-1")</f>
        <v>WELD COUNTY RE-1</v>
      </c>
      <c r="C1629" s="2" t="str">
        <f>IFERROR(__xludf.DUMMYFUNCTION("""COMPUTED_VALUE"""),"09032")</f>
        <v>09032</v>
      </c>
      <c r="D1629" s="2" t="str">
        <f>IFERROR(__xludf.DUMMYFUNCTION("""COMPUTED_VALUE"""),"VALLEY HIGH SCHOOL")</f>
        <v>VALLEY HIGH SCHOOL</v>
      </c>
      <c r="E1629" s="3" t="str">
        <f>IFERROR(__xludf.DUMMYFUNCTION("""COMPUTED_VALUE"""),"Y")</f>
        <v>Y</v>
      </c>
      <c r="F1629" s="3" t="str">
        <f>IFERROR(__xludf.DUMMYFUNCTION("""COMPUTED_VALUE"""),"Y")</f>
        <v>Y</v>
      </c>
      <c r="G1629" s="3" t="str">
        <f>IFERROR(__xludf.DUMMYFUNCTION("""COMPUTED_VALUE"""),"Y")</f>
        <v>Y</v>
      </c>
      <c r="H1629" s="3"/>
      <c r="I1629" s="3" t="str">
        <f>IFERROR(__xludf.DUMMYFUNCTION("""COMPUTED_VALUE""")," ")</f>
        <v> </v>
      </c>
      <c r="J1629" s="3" t="str">
        <f>IFERROR(__xludf.DUMMYFUNCTION("""COMPUTED_VALUE""")," ")</f>
        <v> </v>
      </c>
      <c r="K1629" s="3" t="str">
        <f>IFERROR(__xludf.DUMMYFUNCTION("""COMPUTED_VALUE"""),"Y")</f>
        <v>Y</v>
      </c>
      <c r="L1629" s="3" t="str">
        <f>IFERROR(__xludf.DUMMYFUNCTION("""COMPUTED_VALUE"""),"Group 2")</f>
        <v>Group 2</v>
      </c>
      <c r="M1629" s="3"/>
      <c r="N1629" s="5" t="str">
        <f>IFERROR(__xludf.DUMMYFUNCTION("""COMPUTED_VALUE""")," ")</f>
        <v> </v>
      </c>
      <c r="O1629" s="5"/>
    </row>
    <row r="1630">
      <c r="A1630" s="2" t="str">
        <f>IFERROR(__xludf.DUMMYFUNCTION("""COMPUTED_VALUE"""),"3085")</f>
        <v>3085</v>
      </c>
      <c r="B1630" s="2" t="str">
        <f>IFERROR(__xludf.DUMMYFUNCTION("""COMPUTED_VALUE"""),"EATON               RE-2")</f>
        <v>EATON               RE-2</v>
      </c>
      <c r="C1630" s="2" t="str">
        <f>IFERROR(__xludf.DUMMYFUNCTION("""COMPUTED_VALUE"""),"00754")</f>
        <v>00754</v>
      </c>
      <c r="D1630" s="2" t="str">
        <f>IFERROR(__xludf.DUMMYFUNCTION("""COMPUTED_VALUE"""),"BENJAMIN EATON")</f>
        <v>BENJAMIN EATON</v>
      </c>
      <c r="E1630" s="3" t="str">
        <f>IFERROR(__xludf.DUMMYFUNCTION("""COMPUTED_VALUE"""),"Y")</f>
        <v>Y</v>
      </c>
      <c r="F1630" s="3" t="str">
        <f>IFERROR(__xludf.DUMMYFUNCTION("""COMPUTED_VALUE"""),"Y")</f>
        <v>Y</v>
      </c>
      <c r="G1630" s="3"/>
      <c r="H1630" s="3"/>
      <c r="I1630" s="3" t="str">
        <f>IFERROR(__xludf.DUMMYFUNCTION("""COMPUTED_VALUE""")," ")</f>
        <v> </v>
      </c>
      <c r="J1630" s="3" t="str">
        <f>IFERROR(__xludf.DUMMYFUNCTION("""COMPUTED_VALUE""")," ")</f>
        <v> </v>
      </c>
      <c r="K1630" s="3" t="str">
        <f>IFERROR(__xludf.DUMMYFUNCTION("""COMPUTED_VALUE"""),"Y")</f>
        <v>Y</v>
      </c>
      <c r="L1630" s="3" t="str">
        <f>IFERROR(__xludf.DUMMYFUNCTION("""COMPUTED_VALUE"""),"Group 3")</f>
        <v>Group 3</v>
      </c>
      <c r="M1630" s="3"/>
      <c r="N1630" s="5" t="str">
        <f>IFERROR(__xludf.DUMMYFUNCTION("""COMPUTED_VALUE""")," ")</f>
        <v> </v>
      </c>
      <c r="O1630" s="5"/>
    </row>
    <row r="1631">
      <c r="A1631" s="2" t="str">
        <f>IFERROR(__xludf.DUMMYFUNCTION("""COMPUTED_VALUE"""),"3085")</f>
        <v>3085</v>
      </c>
      <c r="B1631" s="2" t="str">
        <f>IFERROR(__xludf.DUMMYFUNCTION("""COMPUTED_VALUE"""),"EATON               RE-2")</f>
        <v>EATON               RE-2</v>
      </c>
      <c r="C1631" s="2" t="str">
        <f>IFERROR(__xludf.DUMMYFUNCTION("""COMPUTED_VALUE"""),"02448")</f>
        <v>02448</v>
      </c>
      <c r="D1631" s="2" t="str">
        <f>IFERROR(__xludf.DUMMYFUNCTION("""COMPUTED_VALUE"""),"EATON ELEMENTARY SCHOOL")</f>
        <v>EATON ELEMENTARY SCHOOL</v>
      </c>
      <c r="E1631" s="3" t="str">
        <f>IFERROR(__xludf.DUMMYFUNCTION("""COMPUTED_VALUE"""),"Y")</f>
        <v>Y</v>
      </c>
      <c r="F1631" s="3" t="str">
        <f>IFERROR(__xludf.DUMMYFUNCTION("""COMPUTED_VALUE"""),"Y")</f>
        <v>Y</v>
      </c>
      <c r="G1631" s="3"/>
      <c r="H1631" s="3"/>
      <c r="I1631" s="3" t="str">
        <f>IFERROR(__xludf.DUMMYFUNCTION("""COMPUTED_VALUE""")," ")</f>
        <v> </v>
      </c>
      <c r="J1631" s="3" t="str">
        <f>IFERROR(__xludf.DUMMYFUNCTION("""COMPUTED_VALUE""")," ")</f>
        <v> </v>
      </c>
      <c r="K1631" s="3" t="str">
        <f>IFERROR(__xludf.DUMMYFUNCTION("""COMPUTED_VALUE"""),"Y")</f>
        <v>Y</v>
      </c>
      <c r="L1631" s="3" t="str">
        <f>IFERROR(__xludf.DUMMYFUNCTION("""COMPUTED_VALUE"""),"Group 2")</f>
        <v>Group 2</v>
      </c>
      <c r="M1631" s="3"/>
      <c r="N1631" s="5" t="str">
        <f>IFERROR(__xludf.DUMMYFUNCTION("""COMPUTED_VALUE""")," ")</f>
        <v> </v>
      </c>
      <c r="O1631" s="5"/>
    </row>
    <row r="1632">
      <c r="A1632" s="2" t="str">
        <f>IFERROR(__xludf.DUMMYFUNCTION("""COMPUTED_VALUE"""),"3085")</f>
        <v>3085</v>
      </c>
      <c r="B1632" s="2" t="str">
        <f>IFERROR(__xludf.DUMMYFUNCTION("""COMPUTED_VALUE"""),"EATON               RE-2")</f>
        <v>EATON               RE-2</v>
      </c>
      <c r="C1632" s="2" t="str">
        <f>IFERROR(__xludf.DUMMYFUNCTION("""COMPUTED_VALUE"""),"02452")</f>
        <v>02452</v>
      </c>
      <c r="D1632" s="2" t="str">
        <f>IFERROR(__xludf.DUMMYFUNCTION("""COMPUTED_VALUE"""),"EATON MIDDLE SCHOOL")</f>
        <v>EATON MIDDLE SCHOOL</v>
      </c>
      <c r="E1632" s="3" t="str">
        <f>IFERROR(__xludf.DUMMYFUNCTION("""COMPUTED_VALUE"""),"Y")</f>
        <v>Y</v>
      </c>
      <c r="F1632" s="3" t="str">
        <f>IFERROR(__xludf.DUMMYFUNCTION("""COMPUTED_VALUE"""),"Y")</f>
        <v>Y</v>
      </c>
      <c r="G1632" s="3"/>
      <c r="H1632" s="3"/>
      <c r="I1632" s="3" t="str">
        <f>IFERROR(__xludf.DUMMYFUNCTION("""COMPUTED_VALUE""")," ")</f>
        <v> </v>
      </c>
      <c r="J1632" s="3" t="str">
        <f>IFERROR(__xludf.DUMMYFUNCTION("""COMPUTED_VALUE""")," ")</f>
        <v> </v>
      </c>
      <c r="K1632" s="3" t="str">
        <f>IFERROR(__xludf.DUMMYFUNCTION("""COMPUTED_VALUE"""),"Y")</f>
        <v>Y</v>
      </c>
      <c r="L1632" s="3" t="str">
        <f>IFERROR(__xludf.DUMMYFUNCTION("""COMPUTED_VALUE"""),"Group 4")</f>
        <v>Group 4</v>
      </c>
      <c r="M1632" s="3"/>
      <c r="N1632" s="5" t="str">
        <f>IFERROR(__xludf.DUMMYFUNCTION("""COMPUTED_VALUE""")," ")</f>
        <v> </v>
      </c>
      <c r="O1632" s="5"/>
    </row>
    <row r="1633">
      <c r="A1633" s="2" t="str">
        <f>IFERROR(__xludf.DUMMYFUNCTION("""COMPUTED_VALUE"""),"3085")</f>
        <v>3085</v>
      </c>
      <c r="B1633" s="2" t="str">
        <f>IFERROR(__xludf.DUMMYFUNCTION("""COMPUTED_VALUE"""),"EATON               RE-2")</f>
        <v>EATON               RE-2</v>
      </c>
      <c r="C1633" s="2" t="str">
        <f>IFERROR(__xludf.DUMMYFUNCTION("""COMPUTED_VALUE"""),"02456")</f>
        <v>02456</v>
      </c>
      <c r="D1633" s="2" t="str">
        <f>IFERROR(__xludf.DUMMYFUNCTION("""COMPUTED_VALUE"""),"EATON HIGH SCHOOL")</f>
        <v>EATON HIGH SCHOOL</v>
      </c>
      <c r="E1633" s="3" t="str">
        <f>IFERROR(__xludf.DUMMYFUNCTION("""COMPUTED_VALUE"""),"Y")</f>
        <v>Y</v>
      </c>
      <c r="F1633" s="3" t="str">
        <f>IFERROR(__xludf.DUMMYFUNCTION("""COMPUTED_VALUE"""),"Y")</f>
        <v>Y</v>
      </c>
      <c r="G1633" s="3"/>
      <c r="H1633" s="3"/>
      <c r="I1633" s="3" t="str">
        <f>IFERROR(__xludf.DUMMYFUNCTION("""COMPUTED_VALUE""")," ")</f>
        <v> </v>
      </c>
      <c r="J1633" s="3" t="str">
        <f>IFERROR(__xludf.DUMMYFUNCTION("""COMPUTED_VALUE""")," ")</f>
        <v> </v>
      </c>
      <c r="K1633" s="3" t="str">
        <f>IFERROR(__xludf.DUMMYFUNCTION("""COMPUTED_VALUE"""),"Y")</f>
        <v>Y</v>
      </c>
      <c r="L1633" s="3" t="str">
        <f>IFERROR(__xludf.DUMMYFUNCTION("""COMPUTED_VALUE"""),"Group 3")</f>
        <v>Group 3</v>
      </c>
      <c r="M1633" s="3"/>
      <c r="N1633" s="5" t="str">
        <f>IFERROR(__xludf.DUMMYFUNCTION("""COMPUTED_VALUE""")," ")</f>
        <v> </v>
      </c>
      <c r="O1633" s="5"/>
    </row>
    <row r="1634">
      <c r="A1634" s="2" t="str">
        <f>IFERROR(__xludf.DUMMYFUNCTION("""COMPUTED_VALUE"""),"3085")</f>
        <v>3085</v>
      </c>
      <c r="B1634" s="2" t="str">
        <f>IFERROR(__xludf.DUMMYFUNCTION("""COMPUTED_VALUE"""),"EATON               RE-2")</f>
        <v>EATON               RE-2</v>
      </c>
      <c r="C1634" s="2" t="str">
        <f>IFERROR(__xludf.DUMMYFUNCTION("""COMPUTED_VALUE"""),"03286")</f>
        <v>03286</v>
      </c>
      <c r="D1634" s="2" t="str">
        <f>IFERROR(__xludf.DUMMYFUNCTION("""COMPUTED_VALUE"""),"GALETON ELEMENTARY SCHOOL")</f>
        <v>GALETON ELEMENTARY SCHOOL</v>
      </c>
      <c r="E1634" s="3" t="str">
        <f>IFERROR(__xludf.DUMMYFUNCTION("""COMPUTED_VALUE"""),"Y")</f>
        <v>Y</v>
      </c>
      <c r="F1634" s="3" t="str">
        <f>IFERROR(__xludf.DUMMYFUNCTION("""COMPUTED_VALUE"""),"Y")</f>
        <v>Y</v>
      </c>
      <c r="G1634" s="3"/>
      <c r="H1634" s="3"/>
      <c r="I1634" s="3" t="str">
        <f>IFERROR(__xludf.DUMMYFUNCTION("""COMPUTED_VALUE""")," ")</f>
        <v> </v>
      </c>
      <c r="J1634" s="3" t="str">
        <f>IFERROR(__xludf.DUMMYFUNCTION("""COMPUTED_VALUE""")," ")</f>
        <v> </v>
      </c>
      <c r="K1634" s="3" t="str">
        <f>IFERROR(__xludf.DUMMYFUNCTION("""COMPUTED_VALUE"""),"Y")</f>
        <v>Y</v>
      </c>
      <c r="L1634" s="3" t="str">
        <f>IFERROR(__xludf.DUMMYFUNCTION("""COMPUTED_VALUE"""),"Group 1")</f>
        <v>Group 1</v>
      </c>
      <c r="M1634" s="3"/>
      <c r="N1634" s="5" t="str">
        <f>IFERROR(__xludf.DUMMYFUNCTION("""COMPUTED_VALUE""")," ")</f>
        <v> </v>
      </c>
      <c r="O1634" s="5"/>
    </row>
    <row r="1635">
      <c r="A1635" s="2" t="str">
        <f>IFERROR(__xludf.DUMMYFUNCTION("""COMPUTED_VALUE"""),"3090")</f>
        <v>3090</v>
      </c>
      <c r="B1635" s="2" t="str">
        <f>IFERROR(__xludf.DUMMYFUNCTION("""COMPUTED_VALUE"""),"WELD COUNTY SCH DIST RE-3J")</f>
        <v>WELD COUNTY SCH DIST RE-3J</v>
      </c>
      <c r="C1635" s="2" t="str">
        <f>IFERROR(__xludf.DUMMYFUNCTION("""COMPUTED_VALUE"""),"01446")</f>
        <v>01446</v>
      </c>
      <c r="D1635" s="2" t="str">
        <f>IFERROR(__xludf.DUMMYFUNCTION("""COMPUTED_VALUE"""),"WELD CENTRAL SENIOR HIGH SCHOOL")</f>
        <v>WELD CENTRAL SENIOR HIGH SCHOOL</v>
      </c>
      <c r="E1635" s="3" t="str">
        <f>IFERROR(__xludf.DUMMYFUNCTION("""COMPUTED_VALUE"""),"Y")</f>
        <v>Y</v>
      </c>
      <c r="F1635" s="3" t="str">
        <f>IFERROR(__xludf.DUMMYFUNCTION("""COMPUTED_VALUE"""),"Y")</f>
        <v>Y</v>
      </c>
      <c r="G1635" s="3"/>
      <c r="H1635" s="3"/>
      <c r="I1635" s="3" t="str">
        <f>IFERROR(__xludf.DUMMYFUNCTION("""COMPUTED_VALUE""")," ")</f>
        <v> </v>
      </c>
      <c r="J1635" s="3" t="str">
        <f>IFERROR(__xludf.DUMMYFUNCTION("""COMPUTED_VALUE""")," ")</f>
        <v> </v>
      </c>
      <c r="K1635" s="3" t="str">
        <f>IFERROR(__xludf.DUMMYFUNCTION("""COMPUTED_VALUE"""),"Y")</f>
        <v>Y</v>
      </c>
      <c r="L1635" s="3" t="str">
        <f>IFERROR(__xludf.DUMMYFUNCTION("""COMPUTED_VALUE"""),"Group 1")</f>
        <v>Group 1</v>
      </c>
      <c r="M1635" s="3"/>
      <c r="N1635" s="5" t="str">
        <f>IFERROR(__xludf.DUMMYFUNCTION("""COMPUTED_VALUE""")," ")</f>
        <v> </v>
      </c>
      <c r="O1635" s="5"/>
    </row>
    <row r="1636">
      <c r="A1636" s="2" t="str">
        <f>IFERROR(__xludf.DUMMYFUNCTION("""COMPUTED_VALUE"""),"3090")</f>
        <v>3090</v>
      </c>
      <c r="B1636" s="2" t="str">
        <f>IFERROR(__xludf.DUMMYFUNCTION("""COMPUTED_VALUE"""),"WELD COUNTY SCH DIST RE-3J")</f>
        <v>WELD COUNTY SCH DIST RE-3J</v>
      </c>
      <c r="C1636" s="2" t="str">
        <f>IFERROR(__xludf.DUMMYFUNCTION("""COMPUTED_VALUE"""),"03090")</f>
        <v>03090</v>
      </c>
      <c r="D1636" s="2" t="str">
        <f>IFERROR(__xludf.DUMMYFUNCTION("""COMPUTED_VALUE"""),"LOCHBUIE ELEMENTARY SCHOOL")</f>
        <v>LOCHBUIE ELEMENTARY SCHOOL</v>
      </c>
      <c r="E1636" s="3" t="str">
        <f>IFERROR(__xludf.DUMMYFUNCTION("""COMPUTED_VALUE"""),"Y")</f>
        <v>Y</v>
      </c>
      <c r="F1636" s="3" t="str">
        <f>IFERROR(__xludf.DUMMYFUNCTION("""COMPUTED_VALUE"""),"Y")</f>
        <v>Y</v>
      </c>
      <c r="G1636" s="3"/>
      <c r="H1636" s="3"/>
      <c r="I1636" s="3" t="str">
        <f>IFERROR(__xludf.DUMMYFUNCTION("""COMPUTED_VALUE""")," ")</f>
        <v> </v>
      </c>
      <c r="J1636" s="3" t="str">
        <f>IFERROR(__xludf.DUMMYFUNCTION("""COMPUTED_VALUE""")," ")</f>
        <v> </v>
      </c>
      <c r="K1636" s="3" t="str">
        <f>IFERROR(__xludf.DUMMYFUNCTION("""COMPUTED_VALUE"""),"Y")</f>
        <v>Y</v>
      </c>
      <c r="L1636" s="3" t="str">
        <f>IFERROR(__xludf.DUMMYFUNCTION("""COMPUTED_VALUE"""),"Group 3")</f>
        <v>Group 3</v>
      </c>
      <c r="M1636" s="3"/>
      <c r="N1636" s="5" t="str">
        <f>IFERROR(__xludf.DUMMYFUNCTION("""COMPUTED_VALUE""")," ")</f>
        <v> </v>
      </c>
      <c r="O1636" s="5"/>
    </row>
    <row r="1637">
      <c r="A1637" s="2" t="str">
        <f>IFERROR(__xludf.DUMMYFUNCTION("""COMPUTED_VALUE"""),"3090")</f>
        <v>3090</v>
      </c>
      <c r="B1637" s="2" t="str">
        <f>IFERROR(__xludf.DUMMYFUNCTION("""COMPUTED_VALUE"""),"WELD COUNTY SCH DIST RE-3J")</f>
        <v>WELD COUNTY SCH DIST RE-3J</v>
      </c>
      <c r="C1637" s="2" t="str">
        <f>IFERROR(__xludf.DUMMYFUNCTION("""COMPUTED_VALUE"""),"04148")</f>
        <v>04148</v>
      </c>
      <c r="D1637" s="2" t="str">
        <f>IFERROR(__xludf.DUMMYFUNCTION("""COMPUTED_VALUE"""),"HUDSON ACADEMY OF ARTS AND SCIENCES")</f>
        <v>HUDSON ACADEMY OF ARTS AND SCIENCES</v>
      </c>
      <c r="E1637" s="3" t="str">
        <f>IFERROR(__xludf.DUMMYFUNCTION("""COMPUTED_VALUE"""),"Y")</f>
        <v>Y</v>
      </c>
      <c r="F1637" s="3" t="str">
        <f>IFERROR(__xludf.DUMMYFUNCTION("""COMPUTED_VALUE"""),"Y")</f>
        <v>Y</v>
      </c>
      <c r="G1637" s="3"/>
      <c r="H1637" s="3"/>
      <c r="I1637" s="3" t="str">
        <f>IFERROR(__xludf.DUMMYFUNCTION("""COMPUTED_VALUE""")," ")</f>
        <v> </v>
      </c>
      <c r="J1637" s="3" t="str">
        <f>IFERROR(__xludf.DUMMYFUNCTION("""COMPUTED_VALUE""")," ")</f>
        <v> </v>
      </c>
      <c r="K1637" s="3" t="str">
        <f>IFERROR(__xludf.DUMMYFUNCTION("""COMPUTED_VALUE"""),"Y")</f>
        <v>Y</v>
      </c>
      <c r="L1637" s="3" t="str">
        <f>IFERROR(__xludf.DUMMYFUNCTION("""COMPUTED_VALUE"""),"Group 4")</f>
        <v>Group 4</v>
      </c>
      <c r="M1637" s="3"/>
      <c r="N1637" s="5" t="str">
        <f>IFERROR(__xludf.DUMMYFUNCTION("""COMPUTED_VALUE""")," ")</f>
        <v> </v>
      </c>
      <c r="O1637" s="5"/>
    </row>
    <row r="1638">
      <c r="A1638" s="2" t="str">
        <f>IFERROR(__xludf.DUMMYFUNCTION("""COMPUTED_VALUE"""),"3090")</f>
        <v>3090</v>
      </c>
      <c r="B1638" s="2" t="str">
        <f>IFERROR(__xludf.DUMMYFUNCTION("""COMPUTED_VALUE"""),"WELD COUNTY SCH DIST RE-3J")</f>
        <v>WELD COUNTY SCH DIST RE-3J</v>
      </c>
      <c r="C1638" s="2" t="str">
        <f>IFERROR(__xludf.DUMMYFUNCTION("""COMPUTED_VALUE"""),"04526")</f>
        <v>04526</v>
      </c>
      <c r="D1638" s="2" t="str">
        <f>IFERROR(__xludf.DUMMYFUNCTION("""COMPUTED_VALUE"""),"HOFF ELEMENTARY SCHOOL")</f>
        <v>HOFF ELEMENTARY SCHOOL</v>
      </c>
      <c r="E1638" s="3" t="str">
        <f>IFERROR(__xludf.DUMMYFUNCTION("""COMPUTED_VALUE"""),"Y")</f>
        <v>Y</v>
      </c>
      <c r="F1638" s="3" t="str">
        <f>IFERROR(__xludf.DUMMYFUNCTION("""COMPUTED_VALUE"""),"Y")</f>
        <v>Y</v>
      </c>
      <c r="G1638" s="3"/>
      <c r="H1638" s="3"/>
      <c r="I1638" s="3" t="str">
        <f>IFERROR(__xludf.DUMMYFUNCTION("""COMPUTED_VALUE""")," ")</f>
        <v> </v>
      </c>
      <c r="J1638" s="3" t="str">
        <f>IFERROR(__xludf.DUMMYFUNCTION("""COMPUTED_VALUE""")," ")</f>
        <v> </v>
      </c>
      <c r="K1638" s="3" t="str">
        <f>IFERROR(__xludf.DUMMYFUNCTION("""COMPUTED_VALUE"""),"Y")</f>
        <v>Y</v>
      </c>
      <c r="L1638" s="3" t="str">
        <f>IFERROR(__xludf.DUMMYFUNCTION("""COMPUTED_VALUE"""),"Group 2")</f>
        <v>Group 2</v>
      </c>
      <c r="M1638" s="3"/>
      <c r="N1638" s="5" t="str">
        <f>IFERROR(__xludf.DUMMYFUNCTION("""COMPUTED_VALUE""")," ")</f>
        <v> </v>
      </c>
      <c r="O1638" s="5"/>
    </row>
    <row r="1639">
      <c r="A1639" s="2" t="str">
        <f>IFERROR(__xludf.DUMMYFUNCTION("""COMPUTED_VALUE"""),"3090")</f>
        <v>3090</v>
      </c>
      <c r="B1639" s="2" t="str">
        <f>IFERROR(__xludf.DUMMYFUNCTION("""COMPUTED_VALUE"""),"WELD COUNTY SCH DIST RE-3J")</f>
        <v>WELD COUNTY SCH DIST RE-3J</v>
      </c>
      <c r="C1639" s="2" t="str">
        <f>IFERROR(__xludf.DUMMYFUNCTION("""COMPUTED_VALUE"""),"05855")</f>
        <v>05855</v>
      </c>
      <c r="D1639" s="2" t="str">
        <f>IFERROR(__xludf.DUMMYFUNCTION("""COMPUTED_VALUE"""),"Meadow Ridge Elementary School")</f>
        <v>Meadow Ridge Elementary School</v>
      </c>
      <c r="E1639" s="3" t="str">
        <f>IFERROR(__xludf.DUMMYFUNCTION("""COMPUTED_VALUE"""),"Y")</f>
        <v>Y</v>
      </c>
      <c r="F1639" s="3" t="str">
        <f>IFERROR(__xludf.DUMMYFUNCTION("""COMPUTED_VALUE"""),"Y")</f>
        <v>Y</v>
      </c>
      <c r="G1639" s="3"/>
      <c r="H1639" s="3"/>
      <c r="I1639" s="3" t="str">
        <f>IFERROR(__xludf.DUMMYFUNCTION("""COMPUTED_VALUE""")," ")</f>
        <v> </v>
      </c>
      <c r="J1639" s="3" t="str">
        <f>IFERROR(__xludf.DUMMYFUNCTION("""COMPUTED_VALUE""")," ")</f>
        <v> </v>
      </c>
      <c r="K1639" s="3" t="str">
        <f>IFERROR(__xludf.DUMMYFUNCTION("""COMPUTED_VALUE"""),"Y")</f>
        <v>Y</v>
      </c>
      <c r="L1639" s="3" t="str">
        <f>IFERROR(__xludf.DUMMYFUNCTION("""COMPUTED_VALUE"""),"Group 2")</f>
        <v>Group 2</v>
      </c>
      <c r="M1639" s="3"/>
      <c r="N1639" s="5" t="str">
        <f>IFERROR(__xludf.DUMMYFUNCTION("""COMPUTED_VALUE""")," ")</f>
        <v> </v>
      </c>
      <c r="O1639" s="5"/>
    </row>
    <row r="1640">
      <c r="A1640" s="2" t="str">
        <f>IFERROR(__xludf.DUMMYFUNCTION("""COMPUTED_VALUE"""),"3090")</f>
        <v>3090</v>
      </c>
      <c r="B1640" s="2" t="str">
        <f>IFERROR(__xludf.DUMMYFUNCTION("""COMPUTED_VALUE"""),"WELD COUNTY SCH DIST RE-3J")</f>
        <v>WELD COUNTY SCH DIST RE-3J</v>
      </c>
      <c r="C1640" s="2" t="str">
        <f>IFERROR(__xludf.DUMMYFUNCTION("""COMPUTED_VALUE"""),"09347")</f>
        <v>09347</v>
      </c>
      <c r="D1640" s="2" t="str">
        <f>IFERROR(__xludf.DUMMYFUNCTION("""COMPUTED_VALUE"""),"WELD CENTRAL MIDDLE SCHOOL")</f>
        <v>WELD CENTRAL MIDDLE SCHOOL</v>
      </c>
      <c r="E1640" s="3" t="str">
        <f>IFERROR(__xludf.DUMMYFUNCTION("""COMPUTED_VALUE"""),"Y")</f>
        <v>Y</v>
      </c>
      <c r="F1640" s="3" t="str">
        <f>IFERROR(__xludf.DUMMYFUNCTION("""COMPUTED_VALUE"""),"Y")</f>
        <v>Y</v>
      </c>
      <c r="G1640" s="3"/>
      <c r="H1640" s="3"/>
      <c r="I1640" s="3" t="str">
        <f>IFERROR(__xludf.DUMMYFUNCTION("""COMPUTED_VALUE""")," ")</f>
        <v> </v>
      </c>
      <c r="J1640" s="3" t="str">
        <f>IFERROR(__xludf.DUMMYFUNCTION("""COMPUTED_VALUE""")," ")</f>
        <v> </v>
      </c>
      <c r="K1640" s="3" t="str">
        <f>IFERROR(__xludf.DUMMYFUNCTION("""COMPUTED_VALUE"""),"Y")</f>
        <v>Y</v>
      </c>
      <c r="L1640" s="3" t="str">
        <f>IFERROR(__xludf.DUMMYFUNCTION("""COMPUTED_VALUE"""),"Group 2")</f>
        <v>Group 2</v>
      </c>
      <c r="M1640" s="3"/>
      <c r="N1640" s="5" t="str">
        <f>IFERROR(__xludf.DUMMYFUNCTION("""COMPUTED_VALUE""")," ")</f>
        <v> </v>
      </c>
      <c r="O1640" s="5"/>
    </row>
    <row r="1641">
      <c r="A1641" s="2" t="str">
        <f>IFERROR(__xludf.DUMMYFUNCTION("""COMPUTED_VALUE"""),"3100")</f>
        <v>3100</v>
      </c>
      <c r="B1641" s="2" t="str">
        <f>IFERROR(__xludf.DUMMYFUNCTION("""COMPUTED_VALUE"""),"WELD RE-4 AU")</f>
        <v>WELD RE-4 AU</v>
      </c>
      <c r="C1641" s="2" t="str">
        <f>IFERROR(__xludf.DUMMYFUNCTION("""COMPUTED_VALUE"""),"00055")</f>
        <v>00055</v>
      </c>
      <c r="D1641" s="2" t="str">
        <f>IFERROR(__xludf.DUMMYFUNCTION("""COMPUTED_VALUE"""),"GRANDVIEW ELEMENTARY")</f>
        <v>GRANDVIEW ELEMENTARY</v>
      </c>
      <c r="E1641" s="3" t="str">
        <f>IFERROR(__xludf.DUMMYFUNCTION("""COMPUTED_VALUE"""),"Y")</f>
        <v>Y</v>
      </c>
      <c r="F1641" s="3" t="str">
        <f>IFERROR(__xludf.DUMMYFUNCTION("""COMPUTED_VALUE"""),"Y")</f>
        <v>Y</v>
      </c>
      <c r="G1641" s="3"/>
      <c r="H1641" s="3"/>
      <c r="I1641" s="3" t="str">
        <f>IFERROR(__xludf.DUMMYFUNCTION("""COMPUTED_VALUE""")," ")</f>
        <v> </v>
      </c>
      <c r="J1641" s="3" t="str">
        <f>IFERROR(__xludf.DUMMYFUNCTION("""COMPUTED_VALUE""")," ")</f>
        <v> </v>
      </c>
      <c r="K1641" s="3" t="str">
        <f>IFERROR(__xludf.DUMMYFUNCTION("""COMPUTED_VALUE"""),"Y")</f>
        <v>Y</v>
      </c>
      <c r="L1641" s="3" t="str">
        <f>IFERROR(__xludf.DUMMYFUNCTION("""COMPUTED_VALUE"""),"Group 4")</f>
        <v>Group 4</v>
      </c>
      <c r="M1641" s="3"/>
      <c r="N1641" s="5" t="str">
        <f>IFERROR(__xludf.DUMMYFUNCTION("""COMPUTED_VALUE""")," ")</f>
        <v> </v>
      </c>
      <c r="O1641" s="5"/>
    </row>
    <row r="1642">
      <c r="A1642" s="2" t="str">
        <f>IFERROR(__xludf.DUMMYFUNCTION("""COMPUTED_VALUE"""),"3100")</f>
        <v>3100</v>
      </c>
      <c r="B1642" s="2" t="str">
        <f>IFERROR(__xludf.DUMMYFUNCTION("""COMPUTED_VALUE"""),"WELD RE-4 AU")</f>
        <v>WELD RE-4 AU</v>
      </c>
      <c r="C1642" s="2" t="str">
        <f>IFERROR(__xludf.DUMMYFUNCTION("""COMPUTED_VALUE"""),"04052")</f>
        <v>04052</v>
      </c>
      <c r="D1642" s="2" t="str">
        <f>IFERROR(__xludf.DUMMYFUNCTION("""COMPUTED_VALUE"""),"HOLLISTER LAKE ELEMENTARY")</f>
        <v>HOLLISTER LAKE ELEMENTARY</v>
      </c>
      <c r="E1642" s="3" t="str">
        <f>IFERROR(__xludf.DUMMYFUNCTION("""COMPUTED_VALUE"""),"Y")</f>
        <v>Y</v>
      </c>
      <c r="F1642" s="3" t="str">
        <f>IFERROR(__xludf.DUMMYFUNCTION("""COMPUTED_VALUE"""),"Y")</f>
        <v>Y</v>
      </c>
      <c r="G1642" s="3"/>
      <c r="H1642" s="3"/>
      <c r="I1642" s="3" t="str">
        <f>IFERROR(__xludf.DUMMYFUNCTION("""COMPUTED_VALUE""")," ")</f>
        <v> </v>
      </c>
      <c r="J1642" s="3" t="str">
        <f>IFERROR(__xludf.DUMMYFUNCTION("""COMPUTED_VALUE""")," ")</f>
        <v> </v>
      </c>
      <c r="K1642" s="3" t="str">
        <f>IFERROR(__xludf.DUMMYFUNCTION("""COMPUTED_VALUE"""),"Y")</f>
        <v>Y</v>
      </c>
      <c r="L1642" s="3" t="str">
        <f>IFERROR(__xludf.DUMMYFUNCTION("""COMPUTED_VALUE""")," ")</f>
        <v> </v>
      </c>
      <c r="M1642" s="3"/>
      <c r="N1642" s="5" t="str">
        <f>IFERROR(__xludf.DUMMYFUNCTION("""COMPUTED_VALUE""")," ")</f>
        <v> </v>
      </c>
      <c r="O1642" s="5"/>
    </row>
    <row r="1643">
      <c r="A1643" s="2" t="str">
        <f>IFERROR(__xludf.DUMMYFUNCTION("""COMPUTED_VALUE"""),"3100")</f>
        <v>3100</v>
      </c>
      <c r="B1643" s="2" t="str">
        <f>IFERROR(__xludf.DUMMYFUNCTION("""COMPUTED_VALUE"""),"WELD RE-4 AU")</f>
        <v>WELD RE-4 AU</v>
      </c>
      <c r="C1643" s="2" t="str">
        <f>IFERROR(__xludf.DUMMYFUNCTION("""COMPUTED_VALUE"""),"06556")</f>
        <v>06556</v>
      </c>
      <c r="D1643" s="2" t="str">
        <f>IFERROR(__xludf.DUMMYFUNCTION("""COMPUTED_VALUE"""),"ORCHARD HILL ELEMENTARY")</f>
        <v>ORCHARD HILL ELEMENTARY</v>
      </c>
      <c r="E1643" s="3" t="str">
        <f>IFERROR(__xludf.DUMMYFUNCTION("""COMPUTED_VALUE"""),"Y")</f>
        <v>Y</v>
      </c>
      <c r="F1643" s="3" t="str">
        <f>IFERROR(__xludf.DUMMYFUNCTION("""COMPUTED_VALUE"""),"Y")</f>
        <v>Y</v>
      </c>
      <c r="G1643" s="3"/>
      <c r="H1643" s="3"/>
      <c r="I1643" s="3" t="str">
        <f>IFERROR(__xludf.DUMMYFUNCTION("""COMPUTED_VALUE""")," ")</f>
        <v> </v>
      </c>
      <c r="J1643" s="3" t="str">
        <f>IFERROR(__xludf.DUMMYFUNCTION("""COMPUTED_VALUE""")," ")</f>
        <v> </v>
      </c>
      <c r="K1643" s="3" t="str">
        <f>IFERROR(__xludf.DUMMYFUNCTION("""COMPUTED_VALUE"""),"Y")</f>
        <v>Y</v>
      </c>
      <c r="L1643" s="3" t="str">
        <f>IFERROR(__xludf.DUMMYFUNCTION("""COMPUTED_VALUE""")," ")</f>
        <v> </v>
      </c>
      <c r="M1643" s="3"/>
      <c r="N1643" s="5" t="str">
        <f>IFERROR(__xludf.DUMMYFUNCTION("""COMPUTED_VALUE""")," ")</f>
        <v> </v>
      </c>
      <c r="O1643" s="5"/>
    </row>
    <row r="1644">
      <c r="A1644" s="2" t="str">
        <f>IFERROR(__xludf.DUMMYFUNCTION("""COMPUTED_VALUE"""),"3100")</f>
        <v>3100</v>
      </c>
      <c r="B1644" s="2" t="str">
        <f>IFERROR(__xludf.DUMMYFUNCTION("""COMPUTED_VALUE"""),"WELD RE-4 AU")</f>
        <v>WELD RE-4 AU</v>
      </c>
      <c r="C1644" s="2" t="str">
        <f>IFERROR(__xludf.DUMMYFUNCTION("""COMPUTED_VALUE"""),"06750")</f>
        <v>06750</v>
      </c>
      <c r="D1644" s="2" t="str">
        <f>IFERROR(__xludf.DUMMYFUNCTION("""COMPUTED_VALUE"""),"MOUNTAIN VIEW ELEMENTARY SCHOOL")</f>
        <v>MOUNTAIN VIEW ELEMENTARY SCHOOL</v>
      </c>
      <c r="E1644" s="3" t="str">
        <f>IFERROR(__xludf.DUMMYFUNCTION("""COMPUTED_VALUE"""),"Y")</f>
        <v>Y</v>
      </c>
      <c r="F1644" s="3" t="str">
        <f>IFERROR(__xludf.DUMMYFUNCTION("""COMPUTED_VALUE"""),"Y")</f>
        <v>Y</v>
      </c>
      <c r="G1644" s="3"/>
      <c r="H1644" s="3"/>
      <c r="I1644" s="3" t="str">
        <f>IFERROR(__xludf.DUMMYFUNCTION("""COMPUTED_VALUE""")," ")</f>
        <v> </v>
      </c>
      <c r="J1644" s="3" t="str">
        <f>IFERROR(__xludf.DUMMYFUNCTION("""COMPUTED_VALUE""")," ")</f>
        <v> </v>
      </c>
      <c r="K1644" s="3" t="str">
        <f>IFERROR(__xludf.DUMMYFUNCTION("""COMPUTED_VALUE"""),"Y")</f>
        <v>Y</v>
      </c>
      <c r="L1644" s="3" t="str">
        <f>IFERROR(__xludf.DUMMYFUNCTION("""COMPUTED_VALUE"""),"Group 1")</f>
        <v>Group 1</v>
      </c>
      <c r="M1644" s="3"/>
      <c r="N1644" s="5" t="str">
        <f>IFERROR(__xludf.DUMMYFUNCTION("""COMPUTED_VALUE""")," ")</f>
        <v> </v>
      </c>
      <c r="O1644" s="5"/>
    </row>
    <row r="1645">
      <c r="A1645" s="2" t="str">
        <f>IFERROR(__xludf.DUMMYFUNCTION("""COMPUTED_VALUE"""),"3100")</f>
        <v>3100</v>
      </c>
      <c r="B1645" s="2" t="str">
        <f>IFERROR(__xludf.DUMMYFUNCTION("""COMPUTED_VALUE"""),"WELD RE-4 AU")</f>
        <v>WELD RE-4 AU</v>
      </c>
      <c r="C1645" s="2" t="str">
        <f>IFERROR(__xludf.DUMMYFUNCTION("""COMPUTED_VALUE"""),"07755")</f>
        <v>07755</v>
      </c>
      <c r="D1645" s="2" t="str">
        <f>IFERROR(__xludf.DUMMYFUNCTION("""COMPUTED_VALUE"""),"SEVERANCE MIDDLE SCHOOL")</f>
        <v>SEVERANCE MIDDLE SCHOOL</v>
      </c>
      <c r="E1645" s="3" t="str">
        <f>IFERROR(__xludf.DUMMYFUNCTION("""COMPUTED_VALUE"""),"Y")</f>
        <v>Y</v>
      </c>
      <c r="F1645" s="3" t="str">
        <f>IFERROR(__xludf.DUMMYFUNCTION("""COMPUTED_VALUE"""),"Y")</f>
        <v>Y</v>
      </c>
      <c r="G1645" s="3"/>
      <c r="H1645" s="3"/>
      <c r="I1645" s="3" t="str">
        <f>IFERROR(__xludf.DUMMYFUNCTION("""COMPUTED_VALUE""")," ")</f>
        <v> </v>
      </c>
      <c r="J1645" s="3" t="str">
        <f>IFERROR(__xludf.DUMMYFUNCTION("""COMPUTED_VALUE""")," ")</f>
        <v> </v>
      </c>
      <c r="K1645" s="3" t="str">
        <f>IFERROR(__xludf.DUMMYFUNCTION("""COMPUTED_VALUE"""),"Y")</f>
        <v>Y</v>
      </c>
      <c r="L1645" s="3" t="str">
        <f>IFERROR(__xludf.DUMMYFUNCTION("""COMPUTED_VALUE"""),"Group 2")</f>
        <v>Group 2</v>
      </c>
      <c r="M1645" s="3"/>
      <c r="N1645" s="5" t="str">
        <f>IFERROR(__xludf.DUMMYFUNCTION("""COMPUTED_VALUE""")," ")</f>
        <v> </v>
      </c>
      <c r="O1645" s="5"/>
    </row>
    <row r="1646">
      <c r="A1646" s="2" t="str">
        <f>IFERROR(__xludf.DUMMYFUNCTION("""COMPUTED_VALUE"""),"3100")</f>
        <v>3100</v>
      </c>
      <c r="B1646" s="2" t="str">
        <f>IFERROR(__xludf.DUMMYFUNCTION("""COMPUTED_VALUE"""),"WELD RE-4 AU")</f>
        <v>WELD RE-4 AU</v>
      </c>
      <c r="C1646" s="2" t="str">
        <f>IFERROR(__xludf.DUMMYFUNCTION("""COMPUTED_VALUE"""),"07958")</f>
        <v>07958</v>
      </c>
      <c r="D1646" s="2" t="str">
        <f>IFERROR(__xludf.DUMMYFUNCTION("""COMPUTED_VALUE"""),"SKYVIEW ELEMENTARY SCHOOL")</f>
        <v>SKYVIEW ELEMENTARY SCHOOL</v>
      </c>
      <c r="E1646" s="3" t="str">
        <f>IFERROR(__xludf.DUMMYFUNCTION("""COMPUTED_VALUE"""),"Y")</f>
        <v>Y</v>
      </c>
      <c r="F1646" s="3" t="str">
        <f>IFERROR(__xludf.DUMMYFUNCTION("""COMPUTED_VALUE"""),"Y")</f>
        <v>Y</v>
      </c>
      <c r="G1646" s="3"/>
      <c r="H1646" s="3"/>
      <c r="I1646" s="3" t="str">
        <f>IFERROR(__xludf.DUMMYFUNCTION("""COMPUTED_VALUE""")," ")</f>
        <v> </v>
      </c>
      <c r="J1646" s="3" t="str">
        <f>IFERROR(__xludf.DUMMYFUNCTION("""COMPUTED_VALUE""")," ")</f>
        <v> </v>
      </c>
      <c r="K1646" s="3" t="str">
        <f>IFERROR(__xludf.DUMMYFUNCTION("""COMPUTED_VALUE"""),"Y")</f>
        <v>Y</v>
      </c>
      <c r="L1646" s="3" t="str">
        <f>IFERROR(__xludf.DUMMYFUNCTION("""COMPUTED_VALUE"""),"Group 4")</f>
        <v>Group 4</v>
      </c>
      <c r="M1646" s="3"/>
      <c r="N1646" s="5" t="str">
        <f>IFERROR(__xludf.DUMMYFUNCTION("""COMPUTED_VALUE""")," ")</f>
        <v> </v>
      </c>
      <c r="O1646" s="5"/>
    </row>
    <row r="1647">
      <c r="A1647" s="2" t="str">
        <f>IFERROR(__xludf.DUMMYFUNCTION("""COMPUTED_VALUE"""),"3100")</f>
        <v>3100</v>
      </c>
      <c r="B1647" s="2" t="str">
        <f>IFERROR(__xludf.DUMMYFUNCTION("""COMPUTED_VALUE"""),"WELD RE-4 AU")</f>
        <v>WELD RE-4 AU</v>
      </c>
      <c r="C1647" s="2" t="str">
        <f>IFERROR(__xludf.DUMMYFUNCTION("""COMPUTED_VALUE"""),"08066")</f>
        <v>08066</v>
      </c>
      <c r="D1647" s="2" t="str">
        <f>IFERROR(__xludf.DUMMYFUNCTION("""COMPUTED_VALUE"""),"Severence High School")</f>
        <v>Severence High School</v>
      </c>
      <c r="E1647" s="3" t="str">
        <f>IFERROR(__xludf.DUMMYFUNCTION("""COMPUTED_VALUE"""),"Y")</f>
        <v>Y</v>
      </c>
      <c r="F1647" s="3" t="str">
        <f>IFERROR(__xludf.DUMMYFUNCTION("""COMPUTED_VALUE"""),"Y")</f>
        <v>Y</v>
      </c>
      <c r="G1647" s="3"/>
      <c r="H1647" s="3"/>
      <c r="I1647" s="3" t="str">
        <f>IFERROR(__xludf.DUMMYFUNCTION("""COMPUTED_VALUE""")," ")</f>
        <v> </v>
      </c>
      <c r="J1647" s="3" t="str">
        <f>IFERROR(__xludf.DUMMYFUNCTION("""COMPUTED_VALUE""")," ")</f>
        <v> </v>
      </c>
      <c r="K1647" s="3" t="str">
        <f>IFERROR(__xludf.DUMMYFUNCTION("""COMPUTED_VALUE"""),"Y")</f>
        <v>Y</v>
      </c>
      <c r="L1647" s="3" t="str">
        <f>IFERROR(__xludf.DUMMYFUNCTION("""COMPUTED_VALUE""")," ")</f>
        <v> </v>
      </c>
      <c r="M1647" s="3"/>
      <c r="N1647" s="5" t="str">
        <f>IFERROR(__xludf.DUMMYFUNCTION("""COMPUTED_VALUE""")," ")</f>
        <v> </v>
      </c>
      <c r="O1647" s="5"/>
    </row>
    <row r="1648">
      <c r="A1648" s="2" t="str">
        <f>IFERROR(__xludf.DUMMYFUNCTION("""COMPUTED_VALUE"""),"3100")</f>
        <v>3100</v>
      </c>
      <c r="B1648" s="2" t="str">
        <f>IFERROR(__xludf.DUMMYFUNCTION("""COMPUTED_VALUE"""),"WELD RE-4 AU")</f>
        <v>WELD RE-4 AU</v>
      </c>
      <c r="C1648" s="2" t="str">
        <f>IFERROR(__xludf.DUMMYFUNCTION("""COMPUTED_VALUE"""),"08459")</f>
        <v>08459</v>
      </c>
      <c r="D1648" s="2" t="str">
        <f>IFERROR(__xludf.DUMMYFUNCTION("""COMPUTED_VALUE"""),"RANGE VIEW ELEMENTARY SCHOOOL")</f>
        <v>RANGE VIEW ELEMENTARY SCHOOOL</v>
      </c>
      <c r="E1648" s="3" t="str">
        <f>IFERROR(__xludf.DUMMYFUNCTION("""COMPUTED_VALUE"""),"Y")</f>
        <v>Y</v>
      </c>
      <c r="F1648" s="3" t="str">
        <f>IFERROR(__xludf.DUMMYFUNCTION("""COMPUTED_VALUE"""),"Y")</f>
        <v>Y</v>
      </c>
      <c r="G1648" s="3"/>
      <c r="H1648" s="3"/>
      <c r="I1648" s="3" t="str">
        <f>IFERROR(__xludf.DUMMYFUNCTION("""COMPUTED_VALUE""")," ")</f>
        <v> </v>
      </c>
      <c r="J1648" s="3" t="str">
        <f>IFERROR(__xludf.DUMMYFUNCTION("""COMPUTED_VALUE""")," ")</f>
        <v> </v>
      </c>
      <c r="K1648" s="3" t="str">
        <f>IFERROR(__xludf.DUMMYFUNCTION("""COMPUTED_VALUE"""),"Y")</f>
        <v>Y</v>
      </c>
      <c r="L1648" s="3" t="str">
        <f>IFERROR(__xludf.DUMMYFUNCTION("""COMPUTED_VALUE"""),"Group 2")</f>
        <v>Group 2</v>
      </c>
      <c r="M1648" s="3"/>
      <c r="N1648" s="5" t="str">
        <f>IFERROR(__xludf.DUMMYFUNCTION("""COMPUTED_VALUE""")," ")</f>
        <v> </v>
      </c>
      <c r="O1648" s="5"/>
    </row>
    <row r="1649">
      <c r="A1649" s="2" t="str">
        <f>IFERROR(__xludf.DUMMYFUNCTION("""COMPUTED_VALUE"""),"3100")</f>
        <v>3100</v>
      </c>
      <c r="B1649" s="2" t="str">
        <f>IFERROR(__xludf.DUMMYFUNCTION("""COMPUTED_VALUE"""),"WELD RE-4 AU")</f>
        <v>WELD RE-4 AU</v>
      </c>
      <c r="C1649" s="2" t="str">
        <f>IFERROR(__xludf.DUMMYFUNCTION("""COMPUTED_VALUE"""),"08886")</f>
        <v>08886</v>
      </c>
      <c r="D1649" s="2" t="str">
        <f>IFERROR(__xludf.DUMMYFUNCTION("""COMPUTED_VALUE"""),"TOZER ELEMENTARY SCHOOL")</f>
        <v>TOZER ELEMENTARY SCHOOL</v>
      </c>
      <c r="E1649" s="3" t="str">
        <f>IFERROR(__xludf.DUMMYFUNCTION("""COMPUTED_VALUE"""),"Y")</f>
        <v>Y</v>
      </c>
      <c r="F1649" s="3" t="str">
        <f>IFERROR(__xludf.DUMMYFUNCTION("""COMPUTED_VALUE"""),"Y")</f>
        <v>Y</v>
      </c>
      <c r="G1649" s="3"/>
      <c r="H1649" s="3"/>
      <c r="I1649" s="3" t="str">
        <f>IFERROR(__xludf.DUMMYFUNCTION("""COMPUTED_VALUE""")," ")</f>
        <v> </v>
      </c>
      <c r="J1649" s="3" t="str">
        <f>IFERROR(__xludf.DUMMYFUNCTION("""COMPUTED_VALUE""")," ")</f>
        <v> </v>
      </c>
      <c r="K1649" s="3" t="str">
        <f>IFERROR(__xludf.DUMMYFUNCTION("""COMPUTED_VALUE"""),"Y")</f>
        <v>Y</v>
      </c>
      <c r="L1649" s="3" t="str">
        <f>IFERROR(__xludf.DUMMYFUNCTION("""COMPUTED_VALUE"""),"Group 3")</f>
        <v>Group 3</v>
      </c>
      <c r="M1649" s="3"/>
      <c r="N1649" s="5" t="str">
        <f>IFERROR(__xludf.DUMMYFUNCTION("""COMPUTED_VALUE""")," ")</f>
        <v> </v>
      </c>
      <c r="O1649" s="5"/>
    </row>
    <row r="1650">
      <c r="A1650" s="2" t="str">
        <f>IFERROR(__xludf.DUMMYFUNCTION("""COMPUTED_VALUE"""),"3100")</f>
        <v>3100</v>
      </c>
      <c r="B1650" s="2" t="str">
        <f>IFERROR(__xludf.DUMMYFUNCTION("""COMPUTED_VALUE"""),"WELD RE-4 AU")</f>
        <v>WELD RE-4 AU</v>
      </c>
      <c r="C1650" s="2" t="str">
        <f>IFERROR(__xludf.DUMMYFUNCTION("""COMPUTED_VALUE"""),"09670")</f>
        <v>09670</v>
      </c>
      <c r="D1650" s="2" t="str">
        <f>IFERROR(__xludf.DUMMYFUNCTION("""COMPUTED_VALUE"""),"WINDSOR MIDDLE SCHOOL")</f>
        <v>WINDSOR MIDDLE SCHOOL</v>
      </c>
      <c r="E1650" s="3" t="str">
        <f>IFERROR(__xludf.DUMMYFUNCTION("""COMPUTED_VALUE"""),"Y")</f>
        <v>Y</v>
      </c>
      <c r="F1650" s="3" t="str">
        <f>IFERROR(__xludf.DUMMYFUNCTION("""COMPUTED_VALUE"""),"Y")</f>
        <v>Y</v>
      </c>
      <c r="G1650" s="3"/>
      <c r="H1650" s="3"/>
      <c r="I1650" s="3" t="str">
        <f>IFERROR(__xludf.DUMMYFUNCTION("""COMPUTED_VALUE""")," ")</f>
        <v> </v>
      </c>
      <c r="J1650" s="3" t="str">
        <f>IFERROR(__xludf.DUMMYFUNCTION("""COMPUTED_VALUE""")," ")</f>
        <v> </v>
      </c>
      <c r="K1650" s="3" t="str">
        <f>IFERROR(__xludf.DUMMYFUNCTION("""COMPUTED_VALUE"""),"Y")</f>
        <v>Y</v>
      </c>
      <c r="L1650" s="3" t="str">
        <f>IFERROR(__xludf.DUMMYFUNCTION("""COMPUTED_VALUE"""),"Group 3")</f>
        <v>Group 3</v>
      </c>
      <c r="M1650" s="3"/>
      <c r="N1650" s="5" t="str">
        <f>IFERROR(__xludf.DUMMYFUNCTION("""COMPUTED_VALUE""")," ")</f>
        <v> </v>
      </c>
      <c r="O1650" s="5"/>
    </row>
    <row r="1651">
      <c r="A1651" s="2" t="str">
        <f>IFERROR(__xludf.DUMMYFUNCTION("""COMPUTED_VALUE"""),"3100")</f>
        <v>3100</v>
      </c>
      <c r="B1651" s="2" t="str">
        <f>IFERROR(__xludf.DUMMYFUNCTION("""COMPUTED_VALUE"""),"WELD RE-4 AU")</f>
        <v>WELD RE-4 AU</v>
      </c>
      <c r="C1651" s="2" t="str">
        <f>IFERROR(__xludf.DUMMYFUNCTION("""COMPUTED_VALUE"""),"09672")</f>
        <v>09672</v>
      </c>
      <c r="D1651" s="2" t="str">
        <f>IFERROR(__xludf.DUMMYFUNCTION("""COMPUTED_VALUE"""),"WINDSOR HIGH SCHOOL")</f>
        <v>WINDSOR HIGH SCHOOL</v>
      </c>
      <c r="E1651" s="3" t="str">
        <f>IFERROR(__xludf.DUMMYFUNCTION("""COMPUTED_VALUE"""),"Y")</f>
        <v>Y</v>
      </c>
      <c r="F1651" s="3" t="str">
        <f>IFERROR(__xludf.DUMMYFUNCTION("""COMPUTED_VALUE"""),"Y")</f>
        <v>Y</v>
      </c>
      <c r="G1651" s="3"/>
      <c r="H1651" s="3"/>
      <c r="I1651" s="3" t="str">
        <f>IFERROR(__xludf.DUMMYFUNCTION("""COMPUTED_VALUE""")," ")</f>
        <v> </v>
      </c>
      <c r="J1651" s="3" t="str">
        <f>IFERROR(__xludf.DUMMYFUNCTION("""COMPUTED_VALUE""")," ")</f>
        <v> </v>
      </c>
      <c r="K1651" s="3" t="str">
        <f>IFERROR(__xludf.DUMMYFUNCTION("""COMPUTED_VALUE"""),"Y")</f>
        <v>Y</v>
      </c>
      <c r="L1651" s="3" t="str">
        <f>IFERROR(__xludf.DUMMYFUNCTION("""COMPUTED_VALUE""")," ")</f>
        <v> </v>
      </c>
      <c r="M1651" s="3"/>
      <c r="N1651" s="5" t="str">
        <f>IFERROR(__xludf.DUMMYFUNCTION("""COMPUTED_VALUE""")," ")</f>
        <v> </v>
      </c>
      <c r="O1651" s="5"/>
    </row>
    <row r="1652">
      <c r="A1652" s="2" t="str">
        <f>IFERROR(__xludf.DUMMYFUNCTION("""COMPUTED_VALUE"""),"3110")</f>
        <v>3110</v>
      </c>
      <c r="B1652" s="2" t="str">
        <f>IFERROR(__xludf.DUMMYFUNCTION("""COMPUTED_VALUE"""),"JOHNSTOWN-MILLIKEN RE-5J")</f>
        <v>JOHNSTOWN-MILLIKEN RE-5J</v>
      </c>
      <c r="C1652" s="2" t="str">
        <f>IFERROR(__xludf.DUMMYFUNCTION("""COMPUTED_VALUE"""),"04785")</f>
        <v>04785</v>
      </c>
      <c r="D1652" s="2" t="str">
        <f>IFERROR(__xludf.DUMMYFUNCTION("""COMPUTED_VALUE"""),"KNOWLEDGE QUEST ACADEMY")</f>
        <v>KNOWLEDGE QUEST ACADEMY</v>
      </c>
      <c r="E1652" s="3" t="str">
        <f>IFERROR(__xludf.DUMMYFUNCTION("""COMPUTED_VALUE"""),"Y")</f>
        <v>Y</v>
      </c>
      <c r="F1652" s="3" t="str">
        <f>IFERROR(__xludf.DUMMYFUNCTION("""COMPUTED_VALUE"""),"Y")</f>
        <v>Y</v>
      </c>
      <c r="G1652" s="3"/>
      <c r="H1652" s="3"/>
      <c r="I1652" s="3" t="str">
        <f>IFERROR(__xludf.DUMMYFUNCTION("""COMPUTED_VALUE""")," ")</f>
        <v> </v>
      </c>
      <c r="J1652" s="3" t="str">
        <f>IFERROR(__xludf.DUMMYFUNCTION("""COMPUTED_VALUE""")," ")</f>
        <v> </v>
      </c>
      <c r="K1652" s="3" t="str">
        <f>IFERROR(__xludf.DUMMYFUNCTION("""COMPUTED_VALUE"""),"Y")</f>
        <v>Y</v>
      </c>
      <c r="L1652" s="3" t="str">
        <f>IFERROR(__xludf.DUMMYFUNCTION("""COMPUTED_VALUE"""),"Group 2")</f>
        <v>Group 2</v>
      </c>
      <c r="M1652" s="3"/>
      <c r="N1652" s="5" t="str">
        <f>IFERROR(__xludf.DUMMYFUNCTION("""COMPUTED_VALUE""")," ")</f>
        <v> </v>
      </c>
      <c r="O1652" s="5"/>
    </row>
    <row r="1653">
      <c r="A1653" s="2" t="str">
        <f>IFERROR(__xludf.DUMMYFUNCTION("""COMPUTED_VALUE"""),"3110")</f>
        <v>3110</v>
      </c>
      <c r="B1653" s="2" t="str">
        <f>IFERROR(__xludf.DUMMYFUNCTION("""COMPUTED_VALUE"""),"JOHNSTOWN-MILLIKEN RE-5J")</f>
        <v>JOHNSTOWN-MILLIKEN RE-5J</v>
      </c>
      <c r="C1653" s="2" t="str">
        <f>IFERROR(__xludf.DUMMYFUNCTION("""COMPUTED_VALUE"""),"05078")</f>
        <v>05078</v>
      </c>
      <c r="D1653" s="2" t="str">
        <f>IFERROR(__xludf.DUMMYFUNCTION("""COMPUTED_VALUE"""),"Elwell Elementary School")</f>
        <v>Elwell Elementary School</v>
      </c>
      <c r="E1653" s="3" t="str">
        <f>IFERROR(__xludf.DUMMYFUNCTION("""COMPUTED_VALUE"""),"Y")</f>
        <v>Y</v>
      </c>
      <c r="F1653" s="3" t="str">
        <f>IFERROR(__xludf.DUMMYFUNCTION("""COMPUTED_VALUE"""),"Y")</f>
        <v>Y</v>
      </c>
      <c r="G1653" s="3"/>
      <c r="H1653" s="3"/>
      <c r="I1653" s="3" t="str">
        <f>IFERROR(__xludf.DUMMYFUNCTION("""COMPUTED_VALUE""")," ")</f>
        <v> </v>
      </c>
      <c r="J1653" s="3" t="str">
        <f>IFERROR(__xludf.DUMMYFUNCTION("""COMPUTED_VALUE""")," ")</f>
        <v> </v>
      </c>
      <c r="K1653" s="3" t="str">
        <f>IFERROR(__xludf.DUMMYFUNCTION("""COMPUTED_VALUE"""),"Y")</f>
        <v>Y</v>
      </c>
      <c r="L1653" s="3" t="str">
        <f>IFERROR(__xludf.DUMMYFUNCTION("""COMPUTED_VALUE"""),"Group 2")</f>
        <v>Group 2</v>
      </c>
      <c r="M1653" s="3"/>
      <c r="N1653" s="5" t="str">
        <f>IFERROR(__xludf.DUMMYFUNCTION("""COMPUTED_VALUE""")," ")</f>
        <v> </v>
      </c>
      <c r="O1653" s="5"/>
    </row>
    <row r="1654">
      <c r="A1654" s="2" t="str">
        <f>IFERROR(__xludf.DUMMYFUNCTION("""COMPUTED_VALUE"""),"3110")</f>
        <v>3110</v>
      </c>
      <c r="B1654" s="2" t="str">
        <f>IFERROR(__xludf.DUMMYFUNCTION("""COMPUTED_VALUE"""),"JOHNSTOWN-MILLIKEN RE-5J")</f>
        <v>JOHNSTOWN-MILLIKEN RE-5J</v>
      </c>
      <c r="C1654" s="2" t="str">
        <f>IFERROR(__xludf.DUMMYFUNCTION("""COMPUTED_VALUE"""),"05896")</f>
        <v>05896</v>
      </c>
      <c r="D1654" s="2" t="str">
        <f>IFERROR(__xludf.DUMMYFUNCTION("""COMPUTED_VALUE"""),"MILLIKEN ELEMENTARY SCHOOL")</f>
        <v>MILLIKEN ELEMENTARY SCHOOL</v>
      </c>
      <c r="E1654" s="3" t="str">
        <f>IFERROR(__xludf.DUMMYFUNCTION("""COMPUTED_VALUE"""),"Y")</f>
        <v>Y</v>
      </c>
      <c r="F1654" s="3" t="str">
        <f>IFERROR(__xludf.DUMMYFUNCTION("""COMPUTED_VALUE"""),"Y")</f>
        <v>Y</v>
      </c>
      <c r="G1654" s="3" t="str">
        <f>IFERROR(__xludf.DUMMYFUNCTION("""COMPUTED_VALUE"""),"Y")</f>
        <v>Y</v>
      </c>
      <c r="H1654" s="3"/>
      <c r="I1654" s="3" t="str">
        <f>IFERROR(__xludf.DUMMYFUNCTION("""COMPUTED_VALUE"""),"Y")</f>
        <v>Y</v>
      </c>
      <c r="J1654" s="3" t="str">
        <f>IFERROR(__xludf.DUMMYFUNCTION("""COMPUTED_VALUE""")," ")</f>
        <v> </v>
      </c>
      <c r="K1654" s="3" t="str">
        <f>IFERROR(__xludf.DUMMYFUNCTION("""COMPUTED_VALUE"""),"Y")</f>
        <v>Y</v>
      </c>
      <c r="L1654" s="3" t="str">
        <f>IFERROR(__xludf.DUMMYFUNCTION("""COMPUTED_VALUE"""),"Group 3")</f>
        <v>Group 3</v>
      </c>
      <c r="M1654" s="3"/>
      <c r="N1654" s="5" t="str">
        <f>IFERROR(__xludf.DUMMYFUNCTION("""COMPUTED_VALUE"""),"Y")</f>
        <v>Y</v>
      </c>
      <c r="O1654" s="5"/>
    </row>
    <row r="1655">
      <c r="A1655" s="2" t="str">
        <f>IFERROR(__xludf.DUMMYFUNCTION("""COMPUTED_VALUE"""),"3110")</f>
        <v>3110</v>
      </c>
      <c r="B1655" s="2" t="str">
        <f>IFERROR(__xludf.DUMMYFUNCTION("""COMPUTED_VALUE"""),"JOHNSTOWN-MILLIKEN RE-5J")</f>
        <v>JOHNSTOWN-MILLIKEN RE-5J</v>
      </c>
      <c r="C1655" s="2" t="str">
        <f>IFERROR(__xludf.DUMMYFUNCTION("""COMPUTED_VALUE"""),"05902")</f>
        <v>05902</v>
      </c>
      <c r="D1655" s="2" t="str">
        <f>IFERROR(__xludf.DUMMYFUNCTION("""COMPUTED_VALUE"""),"MILLIKEN MIDDLE SCHOOL")</f>
        <v>MILLIKEN MIDDLE SCHOOL</v>
      </c>
      <c r="E1655" s="3" t="str">
        <f>IFERROR(__xludf.DUMMYFUNCTION("""COMPUTED_VALUE"""),"Y")</f>
        <v>Y</v>
      </c>
      <c r="F1655" s="3" t="str">
        <f>IFERROR(__xludf.DUMMYFUNCTION("""COMPUTED_VALUE"""),"Y")</f>
        <v>Y</v>
      </c>
      <c r="G1655" s="3"/>
      <c r="H1655" s="3"/>
      <c r="I1655" s="3" t="str">
        <f>IFERROR(__xludf.DUMMYFUNCTION("""COMPUTED_VALUE""")," ")</f>
        <v> </v>
      </c>
      <c r="J1655" s="3" t="str">
        <f>IFERROR(__xludf.DUMMYFUNCTION("""COMPUTED_VALUE""")," ")</f>
        <v> </v>
      </c>
      <c r="K1655" s="3" t="str">
        <f>IFERROR(__xludf.DUMMYFUNCTION("""COMPUTED_VALUE"""),"Y")</f>
        <v>Y</v>
      </c>
      <c r="L1655" s="3" t="str">
        <f>IFERROR(__xludf.DUMMYFUNCTION("""COMPUTED_VALUE"""),"Group 1")</f>
        <v>Group 1</v>
      </c>
      <c r="M1655" s="3"/>
      <c r="N1655" s="5" t="str">
        <f>IFERROR(__xludf.DUMMYFUNCTION("""COMPUTED_VALUE""")," ")</f>
        <v> </v>
      </c>
      <c r="O1655" s="5"/>
    </row>
    <row r="1656">
      <c r="A1656" s="2" t="str">
        <f>IFERROR(__xludf.DUMMYFUNCTION("""COMPUTED_VALUE"""),"3110")</f>
        <v>3110</v>
      </c>
      <c r="B1656" s="2" t="str">
        <f>IFERROR(__xludf.DUMMYFUNCTION("""COMPUTED_VALUE"""),"JOHNSTOWN-MILLIKEN RE-5J")</f>
        <v>JOHNSTOWN-MILLIKEN RE-5J</v>
      </c>
      <c r="C1656" s="2" t="str">
        <f>IFERROR(__xludf.DUMMYFUNCTION("""COMPUTED_VALUE"""),"06963")</f>
        <v>06963</v>
      </c>
      <c r="D1656" s="2" t="str">
        <f>IFERROR(__xludf.DUMMYFUNCTION("""COMPUTED_VALUE"""),"PIONEER RIDGE ELEMENTARY SCHOOL")</f>
        <v>PIONEER RIDGE ELEMENTARY SCHOOL</v>
      </c>
      <c r="E1656" s="3" t="str">
        <f>IFERROR(__xludf.DUMMYFUNCTION("""COMPUTED_VALUE"""),"Y")</f>
        <v>Y</v>
      </c>
      <c r="F1656" s="3" t="str">
        <f>IFERROR(__xludf.DUMMYFUNCTION("""COMPUTED_VALUE"""),"Y")</f>
        <v>Y</v>
      </c>
      <c r="G1656" s="3"/>
      <c r="H1656" s="3"/>
      <c r="I1656" s="3" t="str">
        <f>IFERROR(__xludf.DUMMYFUNCTION("""COMPUTED_VALUE""")," ")</f>
        <v> </v>
      </c>
      <c r="J1656" s="3" t="str">
        <f>IFERROR(__xludf.DUMMYFUNCTION("""COMPUTED_VALUE""")," ")</f>
        <v> </v>
      </c>
      <c r="K1656" s="3" t="str">
        <f>IFERROR(__xludf.DUMMYFUNCTION("""COMPUTED_VALUE"""),"Y")</f>
        <v>Y</v>
      </c>
      <c r="L1656" s="3" t="str">
        <f>IFERROR(__xludf.DUMMYFUNCTION("""COMPUTED_VALUE"""),"Group 1")</f>
        <v>Group 1</v>
      </c>
      <c r="M1656" s="3"/>
      <c r="N1656" s="5" t="str">
        <f>IFERROR(__xludf.DUMMYFUNCTION("""COMPUTED_VALUE""")," ")</f>
        <v> </v>
      </c>
      <c r="O1656" s="5"/>
    </row>
    <row r="1657">
      <c r="A1657" s="2" t="str">
        <f>IFERROR(__xludf.DUMMYFUNCTION("""COMPUTED_VALUE"""),"3110")</f>
        <v>3110</v>
      </c>
      <c r="B1657" s="2" t="str">
        <f>IFERROR(__xludf.DUMMYFUNCTION("""COMPUTED_VALUE"""),"JOHNSTOWN-MILLIKEN RE-5J")</f>
        <v>JOHNSTOWN-MILLIKEN RE-5J</v>
      </c>
      <c r="C1657" s="2" t="str">
        <f>IFERROR(__xludf.DUMMYFUNCTION("""COMPUTED_VALUE"""),"07490")</f>
        <v>07490</v>
      </c>
      <c r="D1657" s="2" t="str">
        <f>IFERROR(__xludf.DUMMYFUNCTION("""COMPUTED_VALUE"""),"ROOSEVELT HIGH SCHOOL")</f>
        <v>ROOSEVELT HIGH SCHOOL</v>
      </c>
      <c r="E1657" s="3" t="str">
        <f>IFERROR(__xludf.DUMMYFUNCTION("""COMPUTED_VALUE"""),"Y")</f>
        <v>Y</v>
      </c>
      <c r="F1657" s="3" t="str">
        <f>IFERROR(__xludf.DUMMYFUNCTION("""COMPUTED_VALUE"""),"Y")</f>
        <v>Y</v>
      </c>
      <c r="G1657" s="3"/>
      <c r="H1657" s="3"/>
      <c r="I1657" s="3" t="str">
        <f>IFERROR(__xludf.DUMMYFUNCTION("""COMPUTED_VALUE""")," ")</f>
        <v> </v>
      </c>
      <c r="J1657" s="3" t="str">
        <f>IFERROR(__xludf.DUMMYFUNCTION("""COMPUTED_VALUE""")," ")</f>
        <v> </v>
      </c>
      <c r="K1657" s="3" t="str">
        <f>IFERROR(__xludf.DUMMYFUNCTION("""COMPUTED_VALUE"""),"Y")</f>
        <v>Y</v>
      </c>
      <c r="L1657" s="3" t="str">
        <f>IFERROR(__xludf.DUMMYFUNCTION("""COMPUTED_VALUE"""),"Group 1")</f>
        <v>Group 1</v>
      </c>
      <c r="M1657" s="3"/>
      <c r="N1657" s="5" t="str">
        <f>IFERROR(__xludf.DUMMYFUNCTION("""COMPUTED_VALUE""")," ")</f>
        <v> </v>
      </c>
      <c r="O1657" s="5"/>
    </row>
    <row r="1658">
      <c r="A1658" s="2" t="str">
        <f>IFERROR(__xludf.DUMMYFUNCTION("""COMPUTED_VALUE"""),"3120")</f>
        <v>3120</v>
      </c>
      <c r="B1658" s="2" t="str">
        <f>IFERROR(__xludf.DUMMYFUNCTION("""COMPUTED_VALUE"""),"GREELEY 6")</f>
        <v>GREELEY 6</v>
      </c>
      <c r="C1658" s="2" t="str">
        <f>IFERROR(__xludf.DUMMYFUNCTION("""COMPUTED_VALUE"""),"00052")</f>
        <v>00052</v>
      </c>
      <c r="D1658" s="2" t="str">
        <f>IFERROR(__xludf.DUMMYFUNCTION("""COMPUTED_VALUE"""),"HEIMAN ELEMENTARY SCHOOL")</f>
        <v>HEIMAN ELEMENTARY SCHOOL</v>
      </c>
      <c r="E1658" s="3" t="str">
        <f>IFERROR(__xludf.DUMMYFUNCTION("""COMPUTED_VALUE"""),"Y")</f>
        <v>Y</v>
      </c>
      <c r="F1658" s="3" t="str">
        <f>IFERROR(__xludf.DUMMYFUNCTION("""COMPUTED_VALUE"""),"Y")</f>
        <v>Y</v>
      </c>
      <c r="G1658" s="3"/>
      <c r="H1658" s="3"/>
      <c r="I1658" s="3" t="str">
        <f>IFERROR(__xludf.DUMMYFUNCTION("""COMPUTED_VALUE"""),"Y")</f>
        <v>Y</v>
      </c>
      <c r="J1658" s="3" t="str">
        <f>IFERROR(__xludf.DUMMYFUNCTION("""COMPUTED_VALUE"""),"Y")</f>
        <v>Y</v>
      </c>
      <c r="K1658" s="3" t="str">
        <f>IFERROR(__xludf.DUMMYFUNCTION("""COMPUTED_VALUE"""),"Y")</f>
        <v>Y</v>
      </c>
      <c r="L1658" s="3" t="str">
        <f>IFERROR(__xludf.DUMMYFUNCTION("""COMPUTED_VALUE"""),"Group 6")</f>
        <v>Group 6</v>
      </c>
      <c r="M1658" s="3"/>
      <c r="N1658" s="5" t="str">
        <f>IFERROR(__xludf.DUMMYFUNCTION("""COMPUTED_VALUE"""),"Y")</f>
        <v>Y</v>
      </c>
      <c r="O1658" s="5"/>
    </row>
    <row r="1659">
      <c r="A1659" s="2" t="str">
        <f>IFERROR(__xludf.DUMMYFUNCTION("""COMPUTED_VALUE"""),"3120")</f>
        <v>3120</v>
      </c>
      <c r="B1659" s="2" t="str">
        <f>IFERROR(__xludf.DUMMYFUNCTION("""COMPUTED_VALUE"""),"GREELEY 6")</f>
        <v>GREELEY 6</v>
      </c>
      <c r="C1659" s="2" t="str">
        <f>IFERROR(__xludf.DUMMYFUNCTION("""COMPUTED_VALUE"""),"00053")</f>
        <v>00053</v>
      </c>
      <c r="D1659" s="2" t="str">
        <f>IFERROR(__xludf.DUMMYFUNCTION("""COMPUTED_VALUE"""),"WINOGRAD K-8 ELEMENTARY SCHOOL")</f>
        <v>WINOGRAD K-8 ELEMENTARY SCHOOL</v>
      </c>
      <c r="E1659" s="3" t="str">
        <f>IFERROR(__xludf.DUMMYFUNCTION("""COMPUTED_VALUE"""),"Y")</f>
        <v>Y</v>
      </c>
      <c r="F1659" s="3" t="str">
        <f>IFERROR(__xludf.DUMMYFUNCTION("""COMPUTED_VALUE"""),"Y")</f>
        <v>Y</v>
      </c>
      <c r="G1659" s="3"/>
      <c r="H1659" s="3"/>
      <c r="I1659" s="3" t="str">
        <f>IFERROR(__xludf.DUMMYFUNCTION("""COMPUTED_VALUE"""),"Y")</f>
        <v>Y</v>
      </c>
      <c r="J1659" s="3" t="str">
        <f>IFERROR(__xludf.DUMMYFUNCTION("""COMPUTED_VALUE"""),"Y")</f>
        <v>Y</v>
      </c>
      <c r="K1659" s="3" t="str">
        <f>IFERROR(__xludf.DUMMYFUNCTION("""COMPUTED_VALUE"""),"Y")</f>
        <v>Y</v>
      </c>
      <c r="L1659" s="3" t="str">
        <f>IFERROR(__xludf.DUMMYFUNCTION("""COMPUTED_VALUE"""),"Group 5")</f>
        <v>Group 5</v>
      </c>
      <c r="M1659" s="3"/>
      <c r="N1659" s="5" t="str">
        <f>IFERROR(__xludf.DUMMYFUNCTION("""COMPUTED_VALUE"""),"Y")</f>
        <v>Y</v>
      </c>
      <c r="O1659" s="5"/>
    </row>
    <row r="1660">
      <c r="A1660" s="2" t="str">
        <f>IFERROR(__xludf.DUMMYFUNCTION("""COMPUTED_VALUE"""),"3120")</f>
        <v>3120</v>
      </c>
      <c r="B1660" s="2" t="str">
        <f>IFERROR(__xludf.DUMMYFUNCTION("""COMPUTED_VALUE"""),"GREELEY 6")</f>
        <v>GREELEY 6</v>
      </c>
      <c r="C1660" s="2" t="str">
        <f>IFERROR(__xludf.DUMMYFUNCTION("""COMPUTED_VALUE"""),"00054")</f>
        <v>00054</v>
      </c>
      <c r="D1660" s="2" t="str">
        <f>IFERROR(__xludf.DUMMYFUNCTION("""COMPUTED_VALUE"""),"BELLA ROMERO ACADEMY OF APPLIED TECHNOLOGY")</f>
        <v>BELLA ROMERO ACADEMY OF APPLIED TECHNOLOGY</v>
      </c>
      <c r="E1660" s="3" t="str">
        <f>IFERROR(__xludf.DUMMYFUNCTION("""COMPUTED_VALUE"""),"Y")</f>
        <v>Y</v>
      </c>
      <c r="F1660" s="3" t="str">
        <f>IFERROR(__xludf.DUMMYFUNCTION("""COMPUTED_VALUE"""),"Y")</f>
        <v>Y</v>
      </c>
      <c r="G1660" s="3" t="str">
        <f>IFERROR(__xludf.DUMMYFUNCTION("""COMPUTED_VALUE"""),"Y")</f>
        <v>Y</v>
      </c>
      <c r="H1660" s="3"/>
      <c r="I1660" s="3" t="str">
        <f>IFERROR(__xludf.DUMMYFUNCTION("""COMPUTED_VALUE"""),"Y")</f>
        <v>Y</v>
      </c>
      <c r="J1660" s="3" t="str">
        <f>IFERROR(__xludf.DUMMYFUNCTION("""COMPUTED_VALUE"""),"Y")</f>
        <v>Y</v>
      </c>
      <c r="K1660" s="3" t="str">
        <f>IFERROR(__xludf.DUMMYFUNCTION("""COMPUTED_VALUE"""),"Y")</f>
        <v>Y</v>
      </c>
      <c r="L1660" s="3" t="str">
        <f>IFERROR(__xludf.DUMMYFUNCTION("""COMPUTED_VALUE"""),"Group 2")</f>
        <v>Group 2</v>
      </c>
      <c r="M1660" s="3"/>
      <c r="N1660" s="5" t="str">
        <f>IFERROR(__xludf.DUMMYFUNCTION("""COMPUTED_VALUE"""),"Y")</f>
        <v>Y</v>
      </c>
      <c r="O1660" s="5"/>
    </row>
    <row r="1661">
      <c r="A1661" s="2" t="str">
        <f>IFERROR(__xludf.DUMMYFUNCTION("""COMPUTED_VALUE"""),"3120")</f>
        <v>3120</v>
      </c>
      <c r="B1661" s="2" t="str">
        <f>IFERROR(__xludf.DUMMYFUNCTION("""COMPUTED_VALUE"""),"GREELEY 6")</f>
        <v>GREELEY 6</v>
      </c>
      <c r="C1661" s="2" t="str">
        <f>IFERROR(__xludf.DUMMYFUNCTION("""COMPUTED_VALUE"""),"00988")</f>
        <v>00988</v>
      </c>
      <c r="D1661" s="2" t="str">
        <f>IFERROR(__xludf.DUMMYFUNCTION("""COMPUTED_VALUE"""),"BRENTWOOD MIDDLE SCHOOL")</f>
        <v>BRENTWOOD MIDDLE SCHOOL</v>
      </c>
      <c r="E1661" s="3" t="str">
        <f>IFERROR(__xludf.DUMMYFUNCTION("""COMPUTED_VALUE"""),"Y")</f>
        <v>Y</v>
      </c>
      <c r="F1661" s="3" t="str">
        <f>IFERROR(__xludf.DUMMYFUNCTION("""COMPUTED_VALUE"""),"Y")</f>
        <v>Y</v>
      </c>
      <c r="G1661" s="3" t="str">
        <f>IFERROR(__xludf.DUMMYFUNCTION("""COMPUTED_VALUE"""),"Y")</f>
        <v>Y</v>
      </c>
      <c r="H1661" s="3"/>
      <c r="I1661" s="3" t="str">
        <f>IFERROR(__xludf.DUMMYFUNCTION("""COMPUTED_VALUE""")," ")</f>
        <v> </v>
      </c>
      <c r="J1661" s="3" t="str">
        <f>IFERROR(__xludf.DUMMYFUNCTION("""COMPUTED_VALUE"""),"Y")</f>
        <v>Y</v>
      </c>
      <c r="K1661" s="3" t="str">
        <f>IFERROR(__xludf.DUMMYFUNCTION("""COMPUTED_VALUE"""),"Y")</f>
        <v>Y</v>
      </c>
      <c r="L1661" s="3" t="str">
        <f>IFERROR(__xludf.DUMMYFUNCTION("""COMPUTED_VALUE"""),"Group 9")</f>
        <v>Group 9</v>
      </c>
      <c r="M1661" s="3"/>
      <c r="N1661" s="5" t="str">
        <f>IFERROR(__xludf.DUMMYFUNCTION("""COMPUTED_VALUE""")," ")</f>
        <v> </v>
      </c>
      <c r="O1661" s="5"/>
    </row>
    <row r="1662">
      <c r="A1662" s="2" t="str">
        <f>IFERROR(__xludf.DUMMYFUNCTION("""COMPUTED_VALUE"""),"3120")</f>
        <v>3120</v>
      </c>
      <c r="B1662" s="2" t="str">
        <f>IFERROR(__xludf.DUMMYFUNCTION("""COMPUTED_VALUE"""),"GREELEY 6")</f>
        <v>GREELEY 6</v>
      </c>
      <c r="C1662" s="2" t="str">
        <f>IFERROR(__xludf.DUMMYFUNCTION("""COMPUTED_VALUE"""),"01384")</f>
        <v>01384</v>
      </c>
      <c r="D1662" s="2" t="str">
        <f>IFERROR(__xludf.DUMMYFUNCTION("""COMPUTED_VALUE"""),"CENTENNIAL ELEMENTARY SCHOOL")</f>
        <v>CENTENNIAL ELEMENTARY SCHOOL</v>
      </c>
      <c r="E1662" s="3" t="str">
        <f>IFERROR(__xludf.DUMMYFUNCTION("""COMPUTED_VALUE"""),"Y")</f>
        <v>Y</v>
      </c>
      <c r="F1662" s="3" t="str">
        <f>IFERROR(__xludf.DUMMYFUNCTION("""COMPUTED_VALUE"""),"Y")</f>
        <v>Y</v>
      </c>
      <c r="G1662" s="3" t="str">
        <f>IFERROR(__xludf.DUMMYFUNCTION("""COMPUTED_VALUE"""),"Y")</f>
        <v>Y</v>
      </c>
      <c r="H1662" s="3"/>
      <c r="I1662" s="3" t="str">
        <f>IFERROR(__xludf.DUMMYFUNCTION("""COMPUTED_VALUE"""),"Y")</f>
        <v>Y</v>
      </c>
      <c r="J1662" s="3" t="str">
        <f>IFERROR(__xludf.DUMMYFUNCTION("""COMPUTED_VALUE"""),"Y")</f>
        <v>Y</v>
      </c>
      <c r="K1662" s="3" t="str">
        <f>IFERROR(__xludf.DUMMYFUNCTION("""COMPUTED_VALUE"""),"Y")</f>
        <v>Y</v>
      </c>
      <c r="L1662" s="3" t="str">
        <f>IFERROR(__xludf.DUMMYFUNCTION("""COMPUTED_VALUE"""),"Group 9")</f>
        <v>Group 9</v>
      </c>
      <c r="M1662" s="3"/>
      <c r="N1662" s="5" t="str">
        <f>IFERROR(__xludf.DUMMYFUNCTION("""COMPUTED_VALUE""")," ")</f>
        <v> </v>
      </c>
      <c r="O1662" s="5"/>
    </row>
    <row r="1663">
      <c r="A1663" s="2" t="str">
        <f>IFERROR(__xludf.DUMMYFUNCTION("""COMPUTED_VALUE"""),"3120")</f>
        <v>3120</v>
      </c>
      <c r="B1663" s="2" t="str">
        <f>IFERROR(__xludf.DUMMYFUNCTION("""COMPUTED_VALUE"""),"GREELEY 6")</f>
        <v>GREELEY 6</v>
      </c>
      <c r="C1663" s="2" t="str">
        <f>IFERROR(__xludf.DUMMYFUNCTION("""COMPUTED_VALUE"""),"01500")</f>
        <v>01500</v>
      </c>
      <c r="D1663" s="2" t="str">
        <f>IFERROR(__xludf.DUMMYFUNCTION("""COMPUTED_VALUE"""),"CHAPPELOW K-8 MAGNET SCHOOL")</f>
        <v>CHAPPELOW K-8 MAGNET SCHOOL</v>
      </c>
      <c r="E1663" s="3" t="str">
        <f>IFERROR(__xludf.DUMMYFUNCTION("""COMPUTED_VALUE"""),"Y")</f>
        <v>Y</v>
      </c>
      <c r="F1663" s="3" t="str">
        <f>IFERROR(__xludf.DUMMYFUNCTION("""COMPUTED_VALUE"""),"Y")</f>
        <v>Y</v>
      </c>
      <c r="G1663" s="3"/>
      <c r="H1663" s="3"/>
      <c r="I1663" s="3" t="str">
        <f>IFERROR(__xludf.DUMMYFUNCTION("""COMPUTED_VALUE"""),"Y")</f>
        <v>Y</v>
      </c>
      <c r="J1663" s="3" t="str">
        <f>IFERROR(__xludf.DUMMYFUNCTION("""COMPUTED_VALUE""")," ")</f>
        <v> </v>
      </c>
      <c r="K1663" s="3" t="str">
        <f>IFERROR(__xludf.DUMMYFUNCTION("""COMPUTED_VALUE"""),"Y")</f>
        <v>Y</v>
      </c>
      <c r="L1663" s="3" t="str">
        <f>IFERROR(__xludf.DUMMYFUNCTION("""COMPUTED_VALUE"""),"Group 4")</f>
        <v>Group 4</v>
      </c>
      <c r="M1663" s="3"/>
      <c r="N1663" s="5" t="str">
        <f>IFERROR(__xludf.DUMMYFUNCTION("""COMPUTED_VALUE"""),"Y")</f>
        <v>Y</v>
      </c>
      <c r="O1663" s="5"/>
    </row>
    <row r="1664">
      <c r="A1664" s="2" t="str">
        <f>IFERROR(__xludf.DUMMYFUNCTION("""COMPUTED_VALUE"""),"3120")</f>
        <v>3120</v>
      </c>
      <c r="B1664" s="2" t="str">
        <f>IFERROR(__xludf.DUMMYFUNCTION("""COMPUTED_VALUE"""),"GREELEY 6")</f>
        <v>GREELEY 6</v>
      </c>
      <c r="C1664" s="2" t="str">
        <f>IFERROR(__xludf.DUMMYFUNCTION("""COMPUTED_VALUE"""),"01875")</f>
        <v>01875</v>
      </c>
      <c r="D1664" s="2" t="str">
        <f>IFERROR(__xludf.DUMMYFUNCTION("""COMPUTED_VALUE"""),"FRONTIER CHARTER ACADEMY")</f>
        <v>FRONTIER CHARTER ACADEMY</v>
      </c>
      <c r="E1664" s="3" t="str">
        <f>IFERROR(__xludf.DUMMYFUNCTION("""COMPUTED_VALUE"""),"Y")</f>
        <v>Y</v>
      </c>
      <c r="F1664" s="3" t="str">
        <f>IFERROR(__xludf.DUMMYFUNCTION("""COMPUTED_VALUE"""),"Y")</f>
        <v>Y</v>
      </c>
      <c r="G1664" s="3"/>
      <c r="H1664" s="3"/>
      <c r="I1664" s="3" t="str">
        <f>IFERROR(__xludf.DUMMYFUNCTION("""COMPUTED_VALUE""")," ")</f>
        <v> </v>
      </c>
      <c r="J1664" s="3" t="str">
        <f>IFERROR(__xludf.DUMMYFUNCTION("""COMPUTED_VALUE""")," ")</f>
        <v> </v>
      </c>
      <c r="K1664" s="3" t="str">
        <f>IFERROR(__xludf.DUMMYFUNCTION("""COMPUTED_VALUE"""),"Y")</f>
        <v>Y</v>
      </c>
      <c r="L1664" s="3" t="str">
        <f>IFERROR(__xludf.DUMMYFUNCTION("""COMPUTED_VALUE""")," ")</f>
        <v> </v>
      </c>
      <c r="M1664" s="3"/>
      <c r="N1664" s="5" t="str">
        <f>IFERROR(__xludf.DUMMYFUNCTION("""COMPUTED_VALUE"""),"Y")</f>
        <v>Y</v>
      </c>
      <c r="O1664" s="5"/>
    </row>
    <row r="1665">
      <c r="A1665" s="2" t="str">
        <f>IFERROR(__xludf.DUMMYFUNCTION("""COMPUTED_VALUE"""),"3120")</f>
        <v>3120</v>
      </c>
      <c r="B1665" s="2" t="str">
        <f>IFERROR(__xludf.DUMMYFUNCTION("""COMPUTED_VALUE"""),"GREELEY 6")</f>
        <v>GREELEY 6</v>
      </c>
      <c r="C1665" s="2" t="str">
        <f>IFERROR(__xludf.DUMMYFUNCTION("""COMPUTED_VALUE"""),"02222")</f>
        <v>02222</v>
      </c>
      <c r="D1665" s="2" t="str">
        <f>IFERROR(__xludf.DUMMYFUNCTION("""COMPUTED_VALUE"""),"DOS RIOS ELEMENTARY SCHOOL")</f>
        <v>DOS RIOS ELEMENTARY SCHOOL</v>
      </c>
      <c r="E1665" s="3" t="str">
        <f>IFERROR(__xludf.DUMMYFUNCTION("""COMPUTED_VALUE"""),"Y")</f>
        <v>Y</v>
      </c>
      <c r="F1665" s="3" t="str">
        <f>IFERROR(__xludf.DUMMYFUNCTION("""COMPUTED_VALUE"""),"Y")</f>
        <v>Y</v>
      </c>
      <c r="G1665" s="3" t="str">
        <f>IFERROR(__xludf.DUMMYFUNCTION("""COMPUTED_VALUE"""),"Y")</f>
        <v>Y</v>
      </c>
      <c r="H1665" s="3"/>
      <c r="I1665" s="3" t="str">
        <f>IFERROR(__xludf.DUMMYFUNCTION("""COMPUTED_VALUE"""),"Y")</f>
        <v>Y</v>
      </c>
      <c r="J1665" s="3" t="str">
        <f>IFERROR(__xludf.DUMMYFUNCTION("""COMPUTED_VALUE"""),"Y")</f>
        <v>Y</v>
      </c>
      <c r="K1665" s="3" t="str">
        <f>IFERROR(__xludf.DUMMYFUNCTION("""COMPUTED_VALUE"""),"Y")</f>
        <v>Y</v>
      </c>
      <c r="L1665" s="3" t="str">
        <f>IFERROR(__xludf.DUMMYFUNCTION("""COMPUTED_VALUE"""),"Group 7")</f>
        <v>Group 7</v>
      </c>
      <c r="M1665" s="3"/>
      <c r="N1665" s="5" t="str">
        <f>IFERROR(__xludf.DUMMYFUNCTION("""COMPUTED_VALUE"""),"Y")</f>
        <v>Y</v>
      </c>
      <c r="O1665" s="5"/>
    </row>
    <row r="1666">
      <c r="A1666" s="2" t="str">
        <f>IFERROR(__xludf.DUMMYFUNCTION("""COMPUTED_VALUE"""),"3120")</f>
        <v>3120</v>
      </c>
      <c r="B1666" s="2" t="str">
        <f>IFERROR(__xludf.DUMMYFUNCTION("""COMPUTED_VALUE"""),"GREELEY 6")</f>
        <v>GREELEY 6</v>
      </c>
      <c r="C1666" s="2" t="str">
        <f>IFERROR(__xludf.DUMMYFUNCTION("""COMPUTED_VALUE"""),"02657")</f>
        <v>02657</v>
      </c>
      <c r="D1666" s="2" t="str">
        <f>IFERROR(__xludf.DUMMYFUNCTION("""COMPUTED_VALUE"""),"EARLY COLLEGE ACADEMY")</f>
        <v>EARLY COLLEGE ACADEMY</v>
      </c>
      <c r="E1666" s="3" t="str">
        <f>IFERROR(__xludf.DUMMYFUNCTION("""COMPUTED_VALUE"""),"Y")</f>
        <v>Y</v>
      </c>
      <c r="F1666" s="3" t="str">
        <f>IFERROR(__xludf.DUMMYFUNCTION("""COMPUTED_VALUE"""),"Y")</f>
        <v>Y</v>
      </c>
      <c r="G1666" s="3"/>
      <c r="H1666" s="3"/>
      <c r="I1666" s="3" t="str">
        <f>IFERROR(__xludf.DUMMYFUNCTION("""COMPUTED_VALUE""")," ")</f>
        <v> </v>
      </c>
      <c r="J1666" s="3" t="str">
        <f>IFERROR(__xludf.DUMMYFUNCTION("""COMPUTED_VALUE""")," ")</f>
        <v> </v>
      </c>
      <c r="K1666" s="3" t="str">
        <f>IFERROR(__xludf.DUMMYFUNCTION("""COMPUTED_VALUE"""),"Y")</f>
        <v>Y</v>
      </c>
      <c r="L1666" s="3" t="str">
        <f>IFERROR(__xludf.DUMMYFUNCTION("""COMPUTED_VALUE"""),"Group 4")</f>
        <v>Group 4</v>
      </c>
      <c r="M1666" s="3"/>
      <c r="N1666" s="5" t="str">
        <f>IFERROR(__xludf.DUMMYFUNCTION("""COMPUTED_VALUE"""),"Y")</f>
        <v>Y</v>
      </c>
      <c r="O1666" s="5"/>
    </row>
    <row r="1667">
      <c r="A1667" s="2" t="str">
        <f>IFERROR(__xludf.DUMMYFUNCTION("""COMPUTED_VALUE"""),"3120")</f>
        <v>3120</v>
      </c>
      <c r="B1667" s="2" t="str">
        <f>IFERROR(__xludf.DUMMYFUNCTION("""COMPUTED_VALUE"""),"GREELEY 6")</f>
        <v>GREELEY 6</v>
      </c>
      <c r="C1667" s="2" t="str">
        <f>IFERROR(__xludf.DUMMYFUNCTION("""COMPUTED_VALUE"""),"02850")</f>
        <v>02850</v>
      </c>
      <c r="D1667" s="2" t="str">
        <f>IFERROR(__xludf.DUMMYFUNCTION("""COMPUTED_VALUE"""),"UNIVERSITY SCHOOLS")</f>
        <v>UNIVERSITY SCHOOLS</v>
      </c>
      <c r="E1667" s="3" t="str">
        <f>IFERROR(__xludf.DUMMYFUNCTION("""COMPUTED_VALUE"""),"Y")</f>
        <v>Y</v>
      </c>
      <c r="F1667" s="3" t="str">
        <f>IFERROR(__xludf.DUMMYFUNCTION("""COMPUTED_VALUE"""),"Y")</f>
        <v>Y</v>
      </c>
      <c r="G1667" s="3" t="str">
        <f>IFERROR(__xludf.DUMMYFUNCTION("""COMPUTED_VALUE"""),"Y")</f>
        <v>Y</v>
      </c>
      <c r="H1667" s="3"/>
      <c r="I1667" s="3" t="str">
        <f>IFERROR(__xludf.DUMMYFUNCTION("""COMPUTED_VALUE""")," ")</f>
        <v> </v>
      </c>
      <c r="J1667" s="3" t="str">
        <f>IFERROR(__xludf.DUMMYFUNCTION("""COMPUTED_VALUE""")," ")</f>
        <v> </v>
      </c>
      <c r="K1667" s="3" t="str">
        <f>IFERROR(__xludf.DUMMYFUNCTION("""COMPUTED_VALUE"""),"Y")</f>
        <v>Y</v>
      </c>
      <c r="L1667" s="3" t="str">
        <f>IFERROR(__xludf.DUMMYFUNCTION("""COMPUTED_VALUE"""),"Group 1")</f>
        <v>Group 1</v>
      </c>
      <c r="M1667" s="3"/>
      <c r="N1667" s="5" t="str">
        <f>IFERROR(__xludf.DUMMYFUNCTION("""COMPUTED_VALUE"""),"Y")</f>
        <v>Y</v>
      </c>
      <c r="O1667" s="5"/>
    </row>
    <row r="1668">
      <c r="A1668" s="2" t="str">
        <f>IFERROR(__xludf.DUMMYFUNCTION("""COMPUTED_VALUE"""),"3120")</f>
        <v>3120</v>
      </c>
      <c r="B1668" s="2" t="str">
        <f>IFERROR(__xludf.DUMMYFUNCTION("""COMPUTED_VALUE"""),"GREELEY 6")</f>
        <v>GREELEY 6</v>
      </c>
      <c r="C1668" s="2" t="str">
        <f>IFERROR(__xludf.DUMMYFUNCTION("""COMPUTED_VALUE"""),"03162")</f>
        <v>03162</v>
      </c>
      <c r="D1668" s="2" t="str">
        <f>IFERROR(__xludf.DUMMYFUNCTION("""COMPUTED_VALUE"""),"FRANKLIN MIDDLE SCHOOL")</f>
        <v>FRANKLIN MIDDLE SCHOOL</v>
      </c>
      <c r="E1668" s="3" t="str">
        <f>IFERROR(__xludf.DUMMYFUNCTION("""COMPUTED_VALUE"""),"Y")</f>
        <v>Y</v>
      </c>
      <c r="F1668" s="3" t="str">
        <f>IFERROR(__xludf.DUMMYFUNCTION("""COMPUTED_VALUE"""),"Y")</f>
        <v>Y</v>
      </c>
      <c r="G1668" s="3"/>
      <c r="H1668" s="3"/>
      <c r="I1668" s="3" t="str">
        <f>IFERROR(__xludf.DUMMYFUNCTION("""COMPUTED_VALUE""")," ")</f>
        <v> </v>
      </c>
      <c r="J1668" s="3" t="str">
        <f>IFERROR(__xludf.DUMMYFUNCTION("""COMPUTED_VALUE"""),"Y")</f>
        <v>Y</v>
      </c>
      <c r="K1668" s="3" t="str">
        <f>IFERROR(__xludf.DUMMYFUNCTION("""COMPUTED_VALUE"""),"Y")</f>
        <v>Y</v>
      </c>
      <c r="L1668" s="3" t="str">
        <f>IFERROR(__xludf.DUMMYFUNCTION("""COMPUTED_VALUE"""),"Group 9")</f>
        <v>Group 9</v>
      </c>
      <c r="M1668" s="3"/>
      <c r="N1668" s="5" t="str">
        <f>IFERROR(__xludf.DUMMYFUNCTION("""COMPUTED_VALUE"""),"Y")</f>
        <v>Y</v>
      </c>
      <c r="O1668" s="5"/>
    </row>
    <row r="1669">
      <c r="A1669" s="2" t="str">
        <f>IFERROR(__xludf.DUMMYFUNCTION("""COMPUTED_VALUE"""),"3120")</f>
        <v>3120</v>
      </c>
      <c r="B1669" s="2" t="str">
        <f>IFERROR(__xludf.DUMMYFUNCTION("""COMPUTED_VALUE"""),"GREELEY 6")</f>
        <v>GREELEY 6</v>
      </c>
      <c r="C1669" s="2" t="str">
        <f>IFERROR(__xludf.DUMMYFUNCTION("""COMPUTED_VALUE"""),"03173")</f>
        <v>03173</v>
      </c>
      <c r="D1669" s="2" t="str">
        <f>IFERROR(__xludf.DUMMYFUNCTION("""COMPUTED_VALUE"""),"FRED TJARDES SCHOOL OF INNOVATION")</f>
        <v>FRED TJARDES SCHOOL OF INNOVATION</v>
      </c>
      <c r="E1669" s="3" t="str">
        <f>IFERROR(__xludf.DUMMYFUNCTION("""COMPUTED_VALUE"""),"Y")</f>
        <v>Y</v>
      </c>
      <c r="F1669" s="3" t="str">
        <f>IFERROR(__xludf.DUMMYFUNCTION("""COMPUTED_VALUE"""),"Y")</f>
        <v>Y</v>
      </c>
      <c r="G1669" s="3"/>
      <c r="H1669" s="3"/>
      <c r="I1669" s="3" t="str">
        <f>IFERROR(__xludf.DUMMYFUNCTION("""COMPUTED_VALUE""")," ")</f>
        <v> </v>
      </c>
      <c r="J1669" s="3" t="str">
        <f>IFERROR(__xludf.DUMMYFUNCTION("""COMPUTED_VALUE""")," ")</f>
        <v> </v>
      </c>
      <c r="K1669" s="3" t="str">
        <f>IFERROR(__xludf.DUMMYFUNCTION("""COMPUTED_VALUE"""),"Y")</f>
        <v>Y</v>
      </c>
      <c r="L1669" s="3" t="str">
        <f>IFERROR(__xludf.DUMMYFUNCTION("""COMPUTED_VALUE"""),"Group 4")</f>
        <v>Group 4</v>
      </c>
      <c r="M1669" s="3"/>
      <c r="N1669" s="5" t="str">
        <f>IFERROR(__xludf.DUMMYFUNCTION("""COMPUTED_VALUE""")," ")</f>
        <v> </v>
      </c>
      <c r="O1669" s="5"/>
    </row>
    <row r="1670">
      <c r="A1670" s="2" t="str">
        <f>IFERROR(__xludf.DUMMYFUNCTION("""COMPUTED_VALUE"""),"3120")</f>
        <v>3120</v>
      </c>
      <c r="B1670" s="2" t="str">
        <f>IFERROR(__xludf.DUMMYFUNCTION("""COMPUTED_VALUE"""),"GREELEY 6")</f>
        <v>GREELEY 6</v>
      </c>
      <c r="C1670" s="2" t="str">
        <f>IFERROR(__xludf.DUMMYFUNCTION("""COMPUTED_VALUE"""),"03610")</f>
        <v>03610</v>
      </c>
      <c r="D1670" s="2" t="str">
        <f>IFERROR(__xludf.DUMMYFUNCTION("""COMPUTED_VALUE"""),"GREELEY CENTRAL HIGH SCHOOL")</f>
        <v>GREELEY CENTRAL HIGH SCHOOL</v>
      </c>
      <c r="E1670" s="3" t="str">
        <f>IFERROR(__xludf.DUMMYFUNCTION("""COMPUTED_VALUE"""),"Y")</f>
        <v>Y</v>
      </c>
      <c r="F1670" s="3" t="str">
        <f>IFERROR(__xludf.DUMMYFUNCTION("""COMPUTED_VALUE"""),"Y")</f>
        <v>Y</v>
      </c>
      <c r="G1670" s="3"/>
      <c r="H1670" s="3"/>
      <c r="I1670" s="3" t="str">
        <f>IFERROR(__xludf.DUMMYFUNCTION("""COMPUTED_VALUE""")," ")</f>
        <v> </v>
      </c>
      <c r="J1670" s="3" t="str">
        <f>IFERROR(__xludf.DUMMYFUNCTION("""COMPUTED_VALUE"""),"Y")</f>
        <v>Y</v>
      </c>
      <c r="K1670" s="3" t="str">
        <f>IFERROR(__xludf.DUMMYFUNCTION("""COMPUTED_VALUE"""),"Y")</f>
        <v>Y</v>
      </c>
      <c r="L1670" s="3" t="str">
        <f>IFERROR(__xludf.DUMMYFUNCTION("""COMPUTED_VALUE"""),"Group 4")</f>
        <v>Group 4</v>
      </c>
      <c r="M1670" s="3"/>
      <c r="N1670" s="3" t="str">
        <f>IFERROR(__xludf.DUMMYFUNCTION("""COMPUTED_VALUE"""),"Y")</f>
        <v>Y</v>
      </c>
      <c r="O1670" s="3"/>
    </row>
    <row r="1671">
      <c r="A1671" s="2" t="str">
        <f>IFERROR(__xludf.DUMMYFUNCTION("""COMPUTED_VALUE"""),"3120")</f>
        <v>3120</v>
      </c>
      <c r="B1671" s="2" t="str">
        <f>IFERROR(__xludf.DUMMYFUNCTION("""COMPUTED_VALUE"""),"GREELEY 6")</f>
        <v>GREELEY 6</v>
      </c>
      <c r="C1671" s="2" t="str">
        <f>IFERROR(__xludf.DUMMYFUNCTION("""COMPUTED_VALUE"""),"03614")</f>
        <v>03614</v>
      </c>
      <c r="D1671" s="2" t="str">
        <f>IFERROR(__xludf.DUMMYFUNCTION("""COMPUTED_VALUE"""),"GREELEY WEST HIGH SCHOOL")</f>
        <v>GREELEY WEST HIGH SCHOOL</v>
      </c>
      <c r="E1671" s="3" t="str">
        <f>IFERROR(__xludf.DUMMYFUNCTION("""COMPUTED_VALUE"""),"Y")</f>
        <v>Y</v>
      </c>
      <c r="F1671" s="3" t="str">
        <f>IFERROR(__xludf.DUMMYFUNCTION("""COMPUTED_VALUE"""),"Y")</f>
        <v>Y</v>
      </c>
      <c r="G1671" s="3"/>
      <c r="H1671" s="3"/>
      <c r="I1671" s="3" t="str">
        <f>IFERROR(__xludf.DUMMYFUNCTION("""COMPUTED_VALUE""")," ")</f>
        <v> </v>
      </c>
      <c r="J1671" s="3" t="str">
        <f>IFERROR(__xludf.DUMMYFUNCTION("""COMPUTED_VALUE"""),"Y")</f>
        <v>Y</v>
      </c>
      <c r="K1671" s="3" t="str">
        <f>IFERROR(__xludf.DUMMYFUNCTION("""COMPUTED_VALUE"""),"Y")</f>
        <v>Y</v>
      </c>
      <c r="L1671" s="3" t="str">
        <f>IFERROR(__xludf.DUMMYFUNCTION("""COMPUTED_VALUE"""),"Group 8")</f>
        <v>Group 8</v>
      </c>
      <c r="M1671" s="3"/>
      <c r="N1671" s="3" t="str">
        <f>IFERROR(__xludf.DUMMYFUNCTION("""COMPUTED_VALUE"""),"Y")</f>
        <v>Y</v>
      </c>
      <c r="O1671" s="3"/>
    </row>
    <row r="1672">
      <c r="A1672" s="2" t="str">
        <f>IFERROR(__xludf.DUMMYFUNCTION("""COMPUTED_VALUE"""),"3120")</f>
        <v>3120</v>
      </c>
      <c r="B1672" s="2" t="str">
        <f>IFERROR(__xludf.DUMMYFUNCTION("""COMPUTED_VALUE"""),"GREELEY 6")</f>
        <v>GREELEY 6</v>
      </c>
      <c r="C1672" s="2" t="str">
        <f>IFERROR(__xludf.DUMMYFUNCTION("""COMPUTED_VALUE"""),"03880")</f>
        <v>03880</v>
      </c>
      <c r="D1672" s="2" t="str">
        <f>IFERROR(__xludf.DUMMYFUNCTION("""COMPUTED_VALUE"""),"HEATH MIDDLE SCHOOL")</f>
        <v>HEATH MIDDLE SCHOOL</v>
      </c>
      <c r="E1672" s="3" t="str">
        <f>IFERROR(__xludf.DUMMYFUNCTION("""COMPUTED_VALUE"""),"Y")</f>
        <v>Y</v>
      </c>
      <c r="F1672" s="3" t="str">
        <f>IFERROR(__xludf.DUMMYFUNCTION("""COMPUTED_VALUE"""),"Y")</f>
        <v>Y</v>
      </c>
      <c r="G1672" s="3"/>
      <c r="H1672" s="3"/>
      <c r="I1672" s="3" t="str">
        <f>IFERROR(__xludf.DUMMYFUNCTION("""COMPUTED_VALUE""")," ")</f>
        <v> </v>
      </c>
      <c r="J1672" s="3" t="str">
        <f>IFERROR(__xludf.DUMMYFUNCTION("""COMPUTED_VALUE"""),"Y")</f>
        <v>Y</v>
      </c>
      <c r="K1672" s="3" t="str">
        <f>IFERROR(__xludf.DUMMYFUNCTION("""COMPUTED_VALUE"""),"Y")</f>
        <v>Y</v>
      </c>
      <c r="L1672" s="3" t="str">
        <f>IFERROR(__xludf.DUMMYFUNCTION("""COMPUTED_VALUE"""),"Group 7")</f>
        <v>Group 7</v>
      </c>
      <c r="M1672" s="3"/>
      <c r="N1672" s="3" t="str">
        <f>IFERROR(__xludf.DUMMYFUNCTION("""COMPUTED_VALUE"""),"Y")</f>
        <v>Y</v>
      </c>
      <c r="O1672" s="3"/>
    </row>
    <row r="1673">
      <c r="A1673" s="2" t="str">
        <f>IFERROR(__xludf.DUMMYFUNCTION("""COMPUTED_VALUE"""),"3120")</f>
        <v>3120</v>
      </c>
      <c r="B1673" s="2" t="str">
        <f>IFERROR(__xludf.DUMMYFUNCTION("""COMPUTED_VALUE"""),"GREELEY 6")</f>
        <v>GREELEY 6</v>
      </c>
      <c r="C1673" s="2" t="str">
        <f>IFERROR(__xludf.DUMMYFUNCTION("""COMPUTED_VALUE"""),"04356")</f>
        <v>04356</v>
      </c>
      <c r="D1673" s="2" t="str">
        <f>IFERROR(__xludf.DUMMYFUNCTION("""COMPUTED_VALUE"""),"JACKSON ELEMENTARY SCHOOL")</f>
        <v>JACKSON ELEMENTARY SCHOOL</v>
      </c>
      <c r="E1673" s="3" t="str">
        <f>IFERROR(__xludf.DUMMYFUNCTION("""COMPUTED_VALUE"""),"Y")</f>
        <v>Y</v>
      </c>
      <c r="F1673" s="3" t="str">
        <f>IFERROR(__xludf.DUMMYFUNCTION("""COMPUTED_VALUE"""),"Y")</f>
        <v>Y</v>
      </c>
      <c r="G1673" s="3"/>
      <c r="H1673" s="3"/>
      <c r="I1673" s="3" t="str">
        <f>IFERROR(__xludf.DUMMYFUNCTION("""COMPUTED_VALUE"""),"Y")</f>
        <v>Y</v>
      </c>
      <c r="J1673" s="3" t="str">
        <f>IFERROR(__xludf.DUMMYFUNCTION("""COMPUTED_VALUE"""),"Y")</f>
        <v>Y</v>
      </c>
      <c r="K1673" s="3" t="str">
        <f>IFERROR(__xludf.DUMMYFUNCTION("""COMPUTED_VALUE"""),"Y")</f>
        <v>Y</v>
      </c>
      <c r="L1673" s="3" t="str">
        <f>IFERROR(__xludf.DUMMYFUNCTION("""COMPUTED_VALUE"""),"Group 6")</f>
        <v>Group 6</v>
      </c>
      <c r="M1673" s="3"/>
      <c r="N1673" s="5" t="str">
        <f>IFERROR(__xludf.DUMMYFUNCTION("""COMPUTED_VALUE"""),"Y")</f>
        <v>Y</v>
      </c>
      <c r="O1673" s="5"/>
    </row>
    <row r="1674">
      <c r="A1674" s="2" t="str">
        <f>IFERROR(__xludf.DUMMYFUNCTION("""COMPUTED_VALUE"""),"3120")</f>
        <v>3120</v>
      </c>
      <c r="B1674" s="2" t="str">
        <f>IFERROR(__xludf.DUMMYFUNCTION("""COMPUTED_VALUE"""),"GREELEY 6")</f>
        <v>GREELEY 6</v>
      </c>
      <c r="C1674" s="2" t="str">
        <f>IFERROR(__xludf.DUMMYFUNCTION("""COMPUTED_VALUE"""),"04425")</f>
        <v>04425</v>
      </c>
      <c r="D1674" s="2" t="str">
        <f>IFERROR(__xludf.DUMMYFUNCTION("""COMPUTED_VALUE"""),"JEFFERSON JUNIOR/SENIOR HIGH")</f>
        <v>JEFFERSON JUNIOR/SENIOR HIGH</v>
      </c>
      <c r="E1674" s="3" t="str">
        <f>IFERROR(__xludf.DUMMYFUNCTION("""COMPUTED_VALUE"""),"Y")</f>
        <v>Y</v>
      </c>
      <c r="F1674" s="3" t="str">
        <f>IFERROR(__xludf.DUMMYFUNCTION("""COMPUTED_VALUE"""),"Y")</f>
        <v>Y</v>
      </c>
      <c r="G1674" s="3" t="str">
        <f>IFERROR(__xludf.DUMMYFUNCTION("""COMPUTED_VALUE"""),"Y")</f>
        <v>Y</v>
      </c>
      <c r="H1674" s="3"/>
      <c r="I1674" s="3" t="str">
        <f>IFERROR(__xludf.DUMMYFUNCTION("""COMPUTED_VALUE""")," ")</f>
        <v> </v>
      </c>
      <c r="J1674" s="3" t="str">
        <f>IFERROR(__xludf.DUMMYFUNCTION("""COMPUTED_VALUE"""),"Y")</f>
        <v>Y</v>
      </c>
      <c r="K1674" s="3" t="str">
        <f>IFERROR(__xludf.DUMMYFUNCTION("""COMPUTED_VALUE"""),"Y")</f>
        <v>Y</v>
      </c>
      <c r="L1674" s="3" t="str">
        <f>IFERROR(__xludf.DUMMYFUNCTION("""COMPUTED_VALUE"""),"Group 9")</f>
        <v>Group 9</v>
      </c>
      <c r="M1674" s="3"/>
      <c r="N1674" s="5" t="str">
        <f>IFERROR(__xludf.DUMMYFUNCTION("""COMPUTED_VALUE"""),"Y")</f>
        <v>Y</v>
      </c>
      <c r="O1674" s="5"/>
    </row>
    <row r="1675">
      <c r="A1675" s="2" t="str">
        <f>IFERROR(__xludf.DUMMYFUNCTION("""COMPUTED_VALUE"""),"3120")</f>
        <v>3120</v>
      </c>
      <c r="B1675" s="2" t="str">
        <f>IFERROR(__xludf.DUMMYFUNCTION("""COMPUTED_VALUE"""),"GREELEY 6")</f>
        <v>GREELEY 6</v>
      </c>
      <c r="C1675" s="2" t="str">
        <f>IFERROR(__xludf.DUMMYFUNCTION("""COMPUTED_VALUE"""),"04438")</f>
        <v>04438</v>
      </c>
      <c r="D1675" s="2" t="str">
        <f>IFERROR(__xludf.DUMMYFUNCTION("""COMPUTED_VALUE"""),"PRAIRIE HEIGHTS MIDDLE SCHOOL")</f>
        <v>PRAIRIE HEIGHTS MIDDLE SCHOOL</v>
      </c>
      <c r="E1675" s="3" t="str">
        <f>IFERROR(__xludf.DUMMYFUNCTION("""COMPUTED_VALUE"""),"Y")</f>
        <v>Y</v>
      </c>
      <c r="F1675" s="3" t="str">
        <f>IFERROR(__xludf.DUMMYFUNCTION("""COMPUTED_VALUE"""),"Y")</f>
        <v>Y</v>
      </c>
      <c r="G1675" s="3"/>
      <c r="H1675" s="3"/>
      <c r="I1675" s="3" t="str">
        <f>IFERROR(__xludf.DUMMYFUNCTION("""COMPUTED_VALUE""")," ")</f>
        <v> </v>
      </c>
      <c r="J1675" s="3" t="str">
        <f>IFERROR(__xludf.DUMMYFUNCTION("""COMPUTED_VALUE"""),"Y")</f>
        <v>Y</v>
      </c>
      <c r="K1675" s="3" t="str">
        <f>IFERROR(__xludf.DUMMYFUNCTION("""COMPUTED_VALUE"""),"Y")</f>
        <v>Y</v>
      </c>
      <c r="L1675" s="3" t="str">
        <f>IFERROR(__xludf.DUMMYFUNCTION("""COMPUTED_VALUE"""),"Group 9")</f>
        <v>Group 9</v>
      </c>
      <c r="M1675" s="3"/>
      <c r="N1675" s="5" t="str">
        <f>IFERROR(__xludf.DUMMYFUNCTION("""COMPUTED_VALUE"""),"Y")</f>
        <v>Y</v>
      </c>
      <c r="O1675" s="5"/>
    </row>
    <row r="1676">
      <c r="A1676" s="2" t="str">
        <f>IFERROR(__xludf.DUMMYFUNCTION("""COMPUTED_VALUE"""),"3120")</f>
        <v>3120</v>
      </c>
      <c r="B1676" s="2" t="str">
        <f>IFERROR(__xludf.DUMMYFUNCTION("""COMPUTED_VALUE"""),"GREELEY 6")</f>
        <v>GREELEY 6</v>
      </c>
      <c r="C1676" s="2" t="str">
        <f>IFERROR(__xludf.DUMMYFUNCTION("""COMPUTED_VALUE"""),"05412")</f>
        <v>05412</v>
      </c>
      <c r="D1676" s="2" t="str">
        <f>IFERROR(__xludf.DUMMYFUNCTION("""COMPUTED_VALUE"""),"MADISON ELEMENTARY SCHOOL")</f>
        <v>MADISON ELEMENTARY SCHOOL</v>
      </c>
      <c r="E1676" s="3" t="str">
        <f>IFERROR(__xludf.DUMMYFUNCTION("""COMPUTED_VALUE"""),"Y")</f>
        <v>Y</v>
      </c>
      <c r="F1676" s="3" t="str">
        <f>IFERROR(__xludf.DUMMYFUNCTION("""COMPUTED_VALUE"""),"Y")</f>
        <v>Y</v>
      </c>
      <c r="G1676" s="3" t="str">
        <f>IFERROR(__xludf.DUMMYFUNCTION("""COMPUTED_VALUE"""),"Y")</f>
        <v>Y</v>
      </c>
      <c r="H1676" s="3"/>
      <c r="I1676" s="3" t="str">
        <f>IFERROR(__xludf.DUMMYFUNCTION("""COMPUTED_VALUE"""),"Y")</f>
        <v>Y</v>
      </c>
      <c r="J1676" s="3" t="str">
        <f>IFERROR(__xludf.DUMMYFUNCTION("""COMPUTED_VALUE"""),"Y")</f>
        <v>Y</v>
      </c>
      <c r="K1676" s="3" t="str">
        <f>IFERROR(__xludf.DUMMYFUNCTION("""COMPUTED_VALUE"""),"Y")</f>
        <v>Y</v>
      </c>
      <c r="L1676" s="3" t="str">
        <f>IFERROR(__xludf.DUMMYFUNCTION("""COMPUTED_VALUE"""),"Group 9")</f>
        <v>Group 9</v>
      </c>
      <c r="M1676" s="3"/>
      <c r="N1676" s="5" t="str">
        <f>IFERROR(__xludf.DUMMYFUNCTION("""COMPUTED_VALUE"""),"Y")</f>
        <v>Y</v>
      </c>
      <c r="O1676" s="5"/>
    </row>
    <row r="1677">
      <c r="A1677" s="2" t="str">
        <f>IFERROR(__xludf.DUMMYFUNCTION("""COMPUTED_VALUE"""),"3120")</f>
        <v>3120</v>
      </c>
      <c r="B1677" s="2" t="str">
        <f>IFERROR(__xludf.DUMMYFUNCTION("""COMPUTED_VALUE"""),"GREELEY 6")</f>
        <v>GREELEY 6</v>
      </c>
      <c r="C1677" s="2" t="str">
        <f>IFERROR(__xludf.DUMMYFUNCTION("""COMPUTED_VALUE"""),"05620")</f>
        <v>05620</v>
      </c>
      <c r="D1677" s="2" t="str">
        <f>IFERROR(__xludf.DUMMYFUNCTION("""COMPUTED_VALUE"""),"MAPLEWOOD ELEMENTARY")</f>
        <v>MAPLEWOOD ELEMENTARY</v>
      </c>
      <c r="E1677" s="3" t="str">
        <f>IFERROR(__xludf.DUMMYFUNCTION("""COMPUTED_VALUE"""),"Y")</f>
        <v>Y</v>
      </c>
      <c r="F1677" s="3" t="str">
        <f>IFERROR(__xludf.DUMMYFUNCTION("""COMPUTED_VALUE"""),"Y")</f>
        <v>Y</v>
      </c>
      <c r="G1677" s="3" t="str">
        <f>IFERROR(__xludf.DUMMYFUNCTION("""COMPUTED_VALUE"""),"Y")</f>
        <v>Y</v>
      </c>
      <c r="H1677" s="3"/>
      <c r="I1677" s="3" t="str">
        <f>IFERROR(__xludf.DUMMYFUNCTION("""COMPUTED_VALUE"""),"Y")</f>
        <v>Y</v>
      </c>
      <c r="J1677" s="3" t="str">
        <f>IFERROR(__xludf.DUMMYFUNCTION("""COMPUTED_VALUE"""),"Y")</f>
        <v>Y</v>
      </c>
      <c r="K1677" s="3" t="str">
        <f>IFERROR(__xludf.DUMMYFUNCTION("""COMPUTED_VALUE"""),"Y")</f>
        <v>Y</v>
      </c>
      <c r="L1677" s="3" t="str">
        <f>IFERROR(__xludf.DUMMYFUNCTION("""COMPUTED_VALUE"""),"Group 9")</f>
        <v>Group 9</v>
      </c>
      <c r="M1677" s="3"/>
      <c r="N1677" s="5" t="str">
        <f>IFERROR(__xludf.DUMMYFUNCTION("""COMPUTED_VALUE"""),"Y")</f>
        <v>Y</v>
      </c>
      <c r="O1677" s="5"/>
    </row>
    <row r="1678">
      <c r="A1678" s="2" t="str">
        <f>IFERROR(__xludf.DUMMYFUNCTION("""COMPUTED_VALUE"""),"3120")</f>
        <v>3120</v>
      </c>
      <c r="B1678" s="2" t="str">
        <f>IFERROR(__xludf.DUMMYFUNCTION("""COMPUTED_VALUE"""),"GREELEY 6")</f>
        <v>GREELEY 6</v>
      </c>
      <c r="C1678" s="2" t="str">
        <f>IFERROR(__xludf.DUMMYFUNCTION("""COMPUTED_VALUE"""),"05660")</f>
        <v>05660</v>
      </c>
      <c r="D1678" s="2" t="str">
        <f>IFERROR(__xludf.DUMMYFUNCTION("""COMPUTED_VALUE"""),"MCAULIFFE ELEMENTARY SCHOOL")</f>
        <v>MCAULIFFE ELEMENTARY SCHOOL</v>
      </c>
      <c r="E1678" s="3" t="str">
        <f>IFERROR(__xludf.DUMMYFUNCTION("""COMPUTED_VALUE"""),"Y")</f>
        <v>Y</v>
      </c>
      <c r="F1678" s="3" t="str">
        <f>IFERROR(__xludf.DUMMYFUNCTION("""COMPUTED_VALUE"""),"Y")</f>
        <v>Y</v>
      </c>
      <c r="G1678" s="3" t="str">
        <f>IFERROR(__xludf.DUMMYFUNCTION("""COMPUTED_VALUE"""),"Y")</f>
        <v>Y</v>
      </c>
      <c r="H1678" s="3"/>
      <c r="I1678" s="3" t="str">
        <f>IFERROR(__xludf.DUMMYFUNCTION("""COMPUTED_VALUE"""),"Y")</f>
        <v>Y</v>
      </c>
      <c r="J1678" s="3" t="str">
        <f>IFERROR(__xludf.DUMMYFUNCTION("""COMPUTED_VALUE""")," ")</f>
        <v> </v>
      </c>
      <c r="K1678" s="3" t="str">
        <f>IFERROR(__xludf.DUMMYFUNCTION("""COMPUTED_VALUE"""),"Y")</f>
        <v>Y</v>
      </c>
      <c r="L1678" s="3" t="str">
        <f>IFERROR(__xludf.DUMMYFUNCTION("""COMPUTED_VALUE"""),"Group 3")</f>
        <v>Group 3</v>
      </c>
      <c r="M1678" s="3"/>
      <c r="N1678" s="5" t="str">
        <f>IFERROR(__xludf.DUMMYFUNCTION("""COMPUTED_VALUE"""),"Y")</f>
        <v>Y</v>
      </c>
      <c r="O1678" s="5"/>
    </row>
    <row r="1679">
      <c r="A1679" s="2" t="str">
        <f>IFERROR(__xludf.DUMMYFUNCTION("""COMPUTED_VALUE"""),"3120")</f>
        <v>3120</v>
      </c>
      <c r="B1679" s="2" t="str">
        <f>IFERROR(__xludf.DUMMYFUNCTION("""COMPUTED_VALUE"""),"GREELEY 6")</f>
        <v>GREELEY 6</v>
      </c>
      <c r="C1679" s="2" t="str">
        <f>IFERROR(__xludf.DUMMYFUNCTION("""COMPUTED_VALUE"""),"05752")</f>
        <v>05752</v>
      </c>
      <c r="D1679" s="2" t="str">
        <f>IFERROR(__xludf.DUMMYFUNCTION("""COMPUTED_VALUE"""),"MEEKER ELEMENTARY SCHOOL")</f>
        <v>MEEKER ELEMENTARY SCHOOL</v>
      </c>
      <c r="E1679" s="3" t="str">
        <f>IFERROR(__xludf.DUMMYFUNCTION("""COMPUTED_VALUE"""),"Y")</f>
        <v>Y</v>
      </c>
      <c r="F1679" s="3" t="str">
        <f>IFERROR(__xludf.DUMMYFUNCTION("""COMPUTED_VALUE"""),"Y")</f>
        <v>Y</v>
      </c>
      <c r="G1679" s="3"/>
      <c r="H1679" s="3"/>
      <c r="I1679" s="3" t="str">
        <f>IFERROR(__xludf.DUMMYFUNCTION("""COMPUTED_VALUE"""),"Y")</f>
        <v>Y</v>
      </c>
      <c r="J1679" s="3" t="str">
        <f>IFERROR(__xludf.DUMMYFUNCTION("""COMPUTED_VALUE"""),"Y")</f>
        <v>Y</v>
      </c>
      <c r="K1679" s="3" t="str">
        <f>IFERROR(__xludf.DUMMYFUNCTION("""COMPUTED_VALUE"""),"Y")</f>
        <v>Y</v>
      </c>
      <c r="L1679" s="3" t="str">
        <f>IFERROR(__xludf.DUMMYFUNCTION("""COMPUTED_VALUE"""),"Group 9")</f>
        <v>Group 9</v>
      </c>
      <c r="M1679" s="3"/>
      <c r="N1679" s="5" t="str">
        <f>IFERROR(__xludf.DUMMYFUNCTION("""COMPUTED_VALUE""")," ")</f>
        <v> </v>
      </c>
      <c r="O1679" s="5"/>
    </row>
    <row r="1680">
      <c r="A1680" s="2" t="str">
        <f>IFERROR(__xludf.DUMMYFUNCTION("""COMPUTED_VALUE"""),"3120")</f>
        <v>3120</v>
      </c>
      <c r="B1680" s="2" t="str">
        <f>IFERROR(__xludf.DUMMYFUNCTION("""COMPUTED_VALUE"""),"GREELEY 6")</f>
        <v>GREELEY 6</v>
      </c>
      <c r="C1680" s="2" t="str">
        <f>IFERROR(__xludf.DUMMYFUNCTION("""COMPUTED_VALUE"""),"05985")</f>
        <v>05985</v>
      </c>
      <c r="D1680" s="2" t="str">
        <f>IFERROR(__xludf.DUMMYFUNCTION("""COMPUTED_VALUE"""),"MONFORT ELEMENTARY SCHOOL")</f>
        <v>MONFORT ELEMENTARY SCHOOL</v>
      </c>
      <c r="E1680" s="3" t="str">
        <f>IFERROR(__xludf.DUMMYFUNCTION("""COMPUTED_VALUE"""),"Y")</f>
        <v>Y</v>
      </c>
      <c r="F1680" s="3" t="str">
        <f>IFERROR(__xludf.DUMMYFUNCTION("""COMPUTED_VALUE"""),"Y")</f>
        <v>Y</v>
      </c>
      <c r="G1680" s="3"/>
      <c r="H1680" s="3"/>
      <c r="I1680" s="3" t="str">
        <f>IFERROR(__xludf.DUMMYFUNCTION("""COMPUTED_VALUE"""),"Y")</f>
        <v>Y</v>
      </c>
      <c r="J1680" s="3" t="str">
        <f>IFERROR(__xludf.DUMMYFUNCTION("""COMPUTED_VALUE"""),"Y")</f>
        <v>Y</v>
      </c>
      <c r="K1680" s="3" t="str">
        <f>IFERROR(__xludf.DUMMYFUNCTION("""COMPUTED_VALUE"""),"Y")</f>
        <v>Y</v>
      </c>
      <c r="L1680" s="3" t="str">
        <f>IFERROR(__xludf.DUMMYFUNCTION("""COMPUTED_VALUE"""),"Group 2")</f>
        <v>Group 2</v>
      </c>
      <c r="M1680" s="3"/>
      <c r="N1680" s="5" t="str">
        <f>IFERROR(__xludf.DUMMYFUNCTION("""COMPUTED_VALUE"""),"Y")</f>
        <v>Y</v>
      </c>
      <c r="O1680" s="5"/>
    </row>
    <row r="1681">
      <c r="A1681" s="2" t="str">
        <f>IFERROR(__xludf.DUMMYFUNCTION("""COMPUTED_VALUE"""),"3120")</f>
        <v>3120</v>
      </c>
      <c r="B1681" s="2" t="str">
        <f>IFERROR(__xludf.DUMMYFUNCTION("""COMPUTED_VALUE"""),"GREELEY 6")</f>
        <v>GREELEY 6</v>
      </c>
      <c r="C1681" s="2" t="str">
        <f>IFERROR(__xludf.DUMMYFUNCTION("""COMPUTED_VALUE"""),"06248")</f>
        <v>06248</v>
      </c>
      <c r="D1681" s="2" t="str">
        <f>IFERROR(__xludf.DUMMYFUNCTION("""COMPUTED_VALUE"""),"Tointon Academy of Pre-Engineering")</f>
        <v>Tointon Academy of Pre-Engineering</v>
      </c>
      <c r="E1681" s="3" t="str">
        <f>IFERROR(__xludf.DUMMYFUNCTION("""COMPUTED_VALUE"""),"Y")</f>
        <v>Y</v>
      </c>
      <c r="F1681" s="3" t="str">
        <f>IFERROR(__xludf.DUMMYFUNCTION("""COMPUTED_VALUE"""),"Y")</f>
        <v>Y</v>
      </c>
      <c r="G1681" s="3" t="str">
        <f>IFERROR(__xludf.DUMMYFUNCTION("""COMPUTED_VALUE"""),"Y")</f>
        <v>Y</v>
      </c>
      <c r="H1681" s="3"/>
      <c r="I1681" s="3" t="str">
        <f>IFERROR(__xludf.DUMMYFUNCTION("""COMPUTED_VALUE"""),"Y")</f>
        <v>Y</v>
      </c>
      <c r="J1681" s="3" t="str">
        <f>IFERROR(__xludf.DUMMYFUNCTION("""COMPUTED_VALUE""")," ")</f>
        <v> </v>
      </c>
      <c r="K1681" s="3" t="str">
        <f>IFERROR(__xludf.DUMMYFUNCTION("""COMPUTED_VALUE"""),"Y")</f>
        <v>Y</v>
      </c>
      <c r="L1681" s="3" t="str">
        <f>IFERROR(__xludf.DUMMYFUNCTION("""COMPUTED_VALUE"""),"Group 9")</f>
        <v>Group 9</v>
      </c>
      <c r="M1681" s="3"/>
      <c r="N1681" s="5" t="str">
        <f>IFERROR(__xludf.DUMMYFUNCTION("""COMPUTED_VALUE"""),"Y")</f>
        <v>Y</v>
      </c>
      <c r="O1681" s="5"/>
    </row>
    <row r="1682">
      <c r="A1682" s="2" t="str">
        <f>IFERROR(__xludf.DUMMYFUNCTION("""COMPUTED_VALUE"""),"3120")</f>
        <v>3120</v>
      </c>
      <c r="B1682" s="2" t="str">
        <f>IFERROR(__xludf.DUMMYFUNCTION("""COMPUTED_VALUE"""),"GREELEY 6")</f>
        <v>GREELEY 6</v>
      </c>
      <c r="C1682" s="2" t="str">
        <f>IFERROR(__xludf.DUMMYFUNCTION("""COMPUTED_VALUE"""),"06364")</f>
        <v>06364</v>
      </c>
      <c r="D1682" s="2" t="str">
        <f>IFERROR(__xludf.DUMMYFUNCTION("""COMPUTED_VALUE"""),"NORTHRIDGE HIGH SCHOOL")</f>
        <v>NORTHRIDGE HIGH SCHOOL</v>
      </c>
      <c r="E1682" s="3" t="str">
        <f>IFERROR(__xludf.DUMMYFUNCTION("""COMPUTED_VALUE"""),"Y")</f>
        <v>Y</v>
      </c>
      <c r="F1682" s="3" t="str">
        <f>IFERROR(__xludf.DUMMYFUNCTION("""COMPUTED_VALUE"""),"Y")</f>
        <v>Y</v>
      </c>
      <c r="G1682" s="3" t="str">
        <f>IFERROR(__xludf.DUMMYFUNCTION("""COMPUTED_VALUE"""),"Y")</f>
        <v>Y</v>
      </c>
      <c r="H1682" s="3"/>
      <c r="I1682" s="3" t="str">
        <f>IFERROR(__xludf.DUMMYFUNCTION("""COMPUTED_VALUE""")," ")</f>
        <v> </v>
      </c>
      <c r="J1682" s="3" t="str">
        <f>IFERROR(__xludf.DUMMYFUNCTION("""COMPUTED_VALUE"""),"Y")</f>
        <v>Y</v>
      </c>
      <c r="K1682" s="3" t="str">
        <f>IFERROR(__xludf.DUMMYFUNCTION("""COMPUTED_VALUE"""),"Y")</f>
        <v>Y</v>
      </c>
      <c r="L1682" s="3" t="str">
        <f>IFERROR(__xludf.DUMMYFUNCTION("""COMPUTED_VALUE"""),"Group 3")</f>
        <v>Group 3</v>
      </c>
      <c r="M1682" s="3"/>
      <c r="N1682" s="5" t="str">
        <f>IFERROR(__xludf.DUMMYFUNCTION("""COMPUTED_VALUE"""),"Y")</f>
        <v>Y</v>
      </c>
      <c r="O1682" s="5"/>
    </row>
    <row r="1683">
      <c r="A1683" s="2" t="str">
        <f>IFERROR(__xludf.DUMMYFUNCTION("""COMPUTED_VALUE"""),"3120")</f>
        <v>3120</v>
      </c>
      <c r="B1683" s="2" t="str">
        <f>IFERROR(__xludf.DUMMYFUNCTION("""COMPUTED_VALUE"""),"GREELEY 6")</f>
        <v>GREELEY 6</v>
      </c>
      <c r="C1683" s="2" t="str">
        <f>IFERROR(__xludf.DUMMYFUNCTION("""COMPUTED_VALUE"""),"06774")</f>
        <v>06774</v>
      </c>
      <c r="D1683" s="2" t="str">
        <f>IFERROR(__xludf.DUMMYFUNCTION("""COMPUTED_VALUE"""),"MARTINEZ ELEMENTARY SCHOOL")</f>
        <v>MARTINEZ ELEMENTARY SCHOOL</v>
      </c>
      <c r="E1683" s="3" t="str">
        <f>IFERROR(__xludf.DUMMYFUNCTION("""COMPUTED_VALUE"""),"Y")</f>
        <v>Y</v>
      </c>
      <c r="F1683" s="3" t="str">
        <f>IFERROR(__xludf.DUMMYFUNCTION("""COMPUTED_VALUE"""),"Y")</f>
        <v>Y</v>
      </c>
      <c r="G1683" s="3" t="str">
        <f>IFERROR(__xludf.DUMMYFUNCTION("""COMPUTED_VALUE"""),"Y")</f>
        <v>Y</v>
      </c>
      <c r="H1683" s="3"/>
      <c r="I1683" s="3" t="str">
        <f>IFERROR(__xludf.DUMMYFUNCTION("""COMPUTED_VALUE"""),"Y")</f>
        <v>Y</v>
      </c>
      <c r="J1683" s="3" t="str">
        <f>IFERROR(__xludf.DUMMYFUNCTION("""COMPUTED_VALUE"""),"Y")</f>
        <v>Y</v>
      </c>
      <c r="K1683" s="3" t="str">
        <f>IFERROR(__xludf.DUMMYFUNCTION("""COMPUTED_VALUE"""),"Y")</f>
        <v>Y</v>
      </c>
      <c r="L1683" s="3" t="str">
        <f>IFERROR(__xludf.DUMMYFUNCTION("""COMPUTED_VALUE"""),"Group 6")</f>
        <v>Group 6</v>
      </c>
      <c r="M1683" s="3"/>
      <c r="N1683" s="5" t="str">
        <f>IFERROR(__xludf.DUMMYFUNCTION("""COMPUTED_VALUE"""),"Y")</f>
        <v>Y</v>
      </c>
      <c r="O1683" s="5"/>
    </row>
    <row r="1684">
      <c r="A1684" s="2" t="str">
        <f>IFERROR(__xludf.DUMMYFUNCTION("""COMPUTED_VALUE"""),"3120")</f>
        <v>3120</v>
      </c>
      <c r="B1684" s="2" t="str">
        <f>IFERROR(__xludf.DUMMYFUNCTION("""COMPUTED_VALUE"""),"GREELEY 6")</f>
        <v>GREELEY 6</v>
      </c>
      <c r="C1684" s="2" t="str">
        <f>IFERROR(__xludf.DUMMYFUNCTION("""COMPUTED_VALUE"""),"07491")</f>
        <v>07491</v>
      </c>
      <c r="D1684" s="2" t="str">
        <f>IFERROR(__xludf.DUMMYFUNCTION("""COMPUTED_VALUE"""),"District 6 Online Academy")</f>
        <v>District 6 Online Academy</v>
      </c>
      <c r="E1684" s="8" t="str">
        <f>IFERROR(__xludf.DUMMYFUNCTION("""COMPUTED_VALUE"""),"Y")</f>
        <v>Y</v>
      </c>
      <c r="F1684" s="3" t="str">
        <f>IFERROR(__xludf.DUMMYFUNCTION("""COMPUTED_VALUE"""),"Y")</f>
        <v>Y</v>
      </c>
      <c r="G1684" s="3"/>
      <c r="H1684" s="3"/>
      <c r="I1684" s="3" t="str">
        <f>IFERROR(__xludf.DUMMYFUNCTION("""COMPUTED_VALUE""")," ")</f>
        <v> </v>
      </c>
      <c r="J1684" s="3" t="str">
        <f>IFERROR(__xludf.DUMMYFUNCTION("""COMPUTED_VALUE"""),"Y")</f>
        <v>Y</v>
      </c>
      <c r="K1684" s="3" t="str">
        <f>IFERROR(__xludf.DUMMYFUNCTION("""COMPUTED_VALUE"""),"Y")</f>
        <v>Y</v>
      </c>
      <c r="L1684" s="3" t="str">
        <f>IFERROR(__xludf.DUMMYFUNCTION("""COMPUTED_VALUE"""),"Group 1")</f>
        <v>Group 1</v>
      </c>
      <c r="M1684" s="3"/>
      <c r="N1684" s="5" t="str">
        <f>IFERROR(__xludf.DUMMYFUNCTION("""COMPUTED_VALUE""")," ")</f>
        <v> </v>
      </c>
      <c r="O1684" s="5" t="str">
        <f>IFERROR(__xludf.DUMMYFUNCTION("""COMPUTED_VALUE"""),"No bfast claims as of 3/25")</f>
        <v>No bfast claims as of 3/25</v>
      </c>
    </row>
    <row r="1685">
      <c r="A1685" s="2" t="str">
        <f>IFERROR(__xludf.DUMMYFUNCTION("""COMPUTED_VALUE"""),"3120")</f>
        <v>3120</v>
      </c>
      <c r="B1685" s="2" t="str">
        <f>IFERROR(__xludf.DUMMYFUNCTION("""COMPUTED_VALUE"""),"GREELEY 6")</f>
        <v>GREELEY 6</v>
      </c>
      <c r="C1685" s="2" t="str">
        <f>IFERROR(__xludf.DUMMYFUNCTION("""COMPUTED_VALUE"""),"07700")</f>
        <v>07700</v>
      </c>
      <c r="D1685" s="2" t="str">
        <f>IFERROR(__xludf.DUMMYFUNCTION("""COMPUTED_VALUE"""),"SCOTT ELEMENTARY SCHOOL")</f>
        <v>SCOTT ELEMENTARY SCHOOL</v>
      </c>
      <c r="E1685" s="3" t="str">
        <f>IFERROR(__xludf.DUMMYFUNCTION("""COMPUTED_VALUE"""),"Y")</f>
        <v>Y</v>
      </c>
      <c r="F1685" s="3" t="str">
        <f>IFERROR(__xludf.DUMMYFUNCTION("""COMPUTED_VALUE"""),"Y")</f>
        <v>Y</v>
      </c>
      <c r="G1685" s="3" t="str">
        <f>IFERROR(__xludf.DUMMYFUNCTION("""COMPUTED_VALUE"""),"Y")</f>
        <v>Y</v>
      </c>
      <c r="H1685" s="3"/>
      <c r="I1685" s="3" t="str">
        <f>IFERROR(__xludf.DUMMYFUNCTION("""COMPUTED_VALUE"""),"Y")</f>
        <v>Y</v>
      </c>
      <c r="J1685" s="3" t="str">
        <f>IFERROR(__xludf.DUMMYFUNCTION("""COMPUTED_VALUE"""),"Y")</f>
        <v>Y</v>
      </c>
      <c r="K1685" s="3" t="str">
        <f>IFERROR(__xludf.DUMMYFUNCTION("""COMPUTED_VALUE"""),"Y")</f>
        <v>Y</v>
      </c>
      <c r="L1685" s="3" t="str">
        <f>IFERROR(__xludf.DUMMYFUNCTION("""COMPUTED_VALUE"""),"Group 9")</f>
        <v>Group 9</v>
      </c>
      <c r="M1685" s="3"/>
      <c r="N1685" s="5" t="str">
        <f>IFERROR(__xludf.DUMMYFUNCTION("""COMPUTED_VALUE"""),"Y")</f>
        <v>Y</v>
      </c>
      <c r="O1685" s="5"/>
    </row>
    <row r="1686">
      <c r="A1686" s="2" t="str">
        <f>IFERROR(__xludf.DUMMYFUNCTION("""COMPUTED_VALUE"""),"3120")</f>
        <v>3120</v>
      </c>
      <c r="B1686" s="2" t="str">
        <f>IFERROR(__xludf.DUMMYFUNCTION("""COMPUTED_VALUE"""),"GREELEY 6")</f>
        <v>GREELEY 6</v>
      </c>
      <c r="C1686" s="2" t="str">
        <f>IFERROR(__xludf.DUMMYFUNCTION("""COMPUTED_VALUE"""),"07814")</f>
        <v>07814</v>
      </c>
      <c r="D1686" s="2" t="str">
        <f>IFERROR(__xludf.DUMMYFUNCTION("""COMPUTED_VALUE"""),"SHAWSHEEN ELEMENTARY SCHOOL")</f>
        <v>SHAWSHEEN ELEMENTARY SCHOOL</v>
      </c>
      <c r="E1686" s="3" t="str">
        <f>IFERROR(__xludf.DUMMYFUNCTION("""COMPUTED_VALUE"""),"Y")</f>
        <v>Y</v>
      </c>
      <c r="F1686" s="3" t="str">
        <f>IFERROR(__xludf.DUMMYFUNCTION("""COMPUTED_VALUE"""),"Y")</f>
        <v>Y</v>
      </c>
      <c r="G1686" s="3" t="str">
        <f>IFERROR(__xludf.DUMMYFUNCTION("""COMPUTED_VALUE"""),"Y")</f>
        <v>Y</v>
      </c>
      <c r="H1686" s="3"/>
      <c r="I1686" s="3" t="str">
        <f>IFERROR(__xludf.DUMMYFUNCTION("""COMPUTED_VALUE"""),"Y")</f>
        <v>Y</v>
      </c>
      <c r="J1686" s="3" t="str">
        <f>IFERROR(__xludf.DUMMYFUNCTION("""COMPUTED_VALUE"""),"Y")</f>
        <v>Y</v>
      </c>
      <c r="K1686" s="3" t="str">
        <f>IFERROR(__xludf.DUMMYFUNCTION("""COMPUTED_VALUE"""),"Y")</f>
        <v>Y</v>
      </c>
      <c r="L1686" s="3" t="str">
        <f>IFERROR(__xludf.DUMMYFUNCTION("""COMPUTED_VALUE"""),"Group 9")</f>
        <v>Group 9</v>
      </c>
      <c r="M1686" s="3"/>
      <c r="N1686" s="5" t="str">
        <f>IFERROR(__xludf.DUMMYFUNCTION("""COMPUTED_VALUE""")," ")</f>
        <v> </v>
      </c>
      <c r="O1686" s="5"/>
    </row>
    <row r="1687">
      <c r="A1687" s="2" t="str">
        <f>IFERROR(__xludf.DUMMYFUNCTION("""COMPUTED_VALUE"""),"3120")</f>
        <v>3120</v>
      </c>
      <c r="B1687" s="2" t="str">
        <f>IFERROR(__xludf.DUMMYFUNCTION("""COMPUTED_VALUE"""),"GREELEY 6")</f>
        <v>GREELEY 6</v>
      </c>
      <c r="C1687" s="2" t="str">
        <f>IFERROR(__xludf.DUMMYFUNCTION("""COMPUTED_VALUE"""),"08467")</f>
        <v>08467</v>
      </c>
      <c r="D1687" s="2" t="str">
        <f>IFERROR(__xludf.DUMMYFUNCTION("""COMPUTED_VALUE"""),"SALIDA DEL SOL ACADEMY")</f>
        <v>SALIDA DEL SOL ACADEMY</v>
      </c>
      <c r="E1687" s="3" t="str">
        <f>IFERROR(__xludf.DUMMYFUNCTION("""COMPUTED_VALUE"""),"Y")</f>
        <v>Y</v>
      </c>
      <c r="F1687" s="3" t="str">
        <f>IFERROR(__xludf.DUMMYFUNCTION("""COMPUTED_VALUE"""),"Y")</f>
        <v>Y</v>
      </c>
      <c r="G1687" s="3"/>
      <c r="H1687" s="3"/>
      <c r="I1687" s="3" t="str">
        <f>IFERROR(__xludf.DUMMYFUNCTION("""COMPUTED_VALUE"""),"Y")</f>
        <v>Y</v>
      </c>
      <c r="J1687" s="3" t="str">
        <f>IFERROR(__xludf.DUMMYFUNCTION("""COMPUTED_VALUE"""),"Y")</f>
        <v>Y</v>
      </c>
      <c r="K1687" s="3" t="str">
        <f>IFERROR(__xludf.DUMMYFUNCTION("""COMPUTED_VALUE"""),"Y")</f>
        <v>Y</v>
      </c>
      <c r="L1687" s="3" t="str">
        <f>IFERROR(__xludf.DUMMYFUNCTION("""COMPUTED_VALUE"""),"Group 9")</f>
        <v>Group 9</v>
      </c>
      <c r="M1687" s="3"/>
      <c r="N1687" s="5" t="str">
        <f>IFERROR(__xludf.DUMMYFUNCTION("""COMPUTED_VALUE"""),"Y")</f>
        <v>Y</v>
      </c>
      <c r="O1687" s="5"/>
    </row>
    <row r="1688">
      <c r="A1688" s="2" t="str">
        <f>IFERROR(__xludf.DUMMYFUNCTION("""COMPUTED_VALUE"""),"3120")</f>
        <v>3120</v>
      </c>
      <c r="B1688" s="2" t="str">
        <f>IFERROR(__xludf.DUMMYFUNCTION("""COMPUTED_VALUE"""),"GREELEY 6")</f>
        <v>GREELEY 6</v>
      </c>
      <c r="C1688" s="2" t="str">
        <f>IFERROR(__xludf.DUMMYFUNCTION("""COMPUTED_VALUE"""),"08965")</f>
        <v>08965</v>
      </c>
      <c r="D1688" s="2" t="str">
        <f>IFERROR(__xludf.DUMMYFUNCTION("""COMPUTED_VALUE"""),"UNION COLONY PREPARATORY SCHOOL")</f>
        <v>UNION COLONY PREPARATORY SCHOOL</v>
      </c>
      <c r="E1688" s="9" t="str">
        <f>IFERROR(__xludf.DUMMYFUNCTION("""COMPUTED_VALUE"""),"Y")</f>
        <v>Y</v>
      </c>
      <c r="F1688" s="3" t="str">
        <f>IFERROR(__xludf.DUMMYFUNCTION("""COMPUTED_VALUE"""),"Y")</f>
        <v>Y</v>
      </c>
      <c r="G1688" s="3"/>
      <c r="H1688" s="3"/>
      <c r="I1688" s="3" t="str">
        <f>IFERROR(__xludf.DUMMYFUNCTION("""COMPUTED_VALUE""")," ")</f>
        <v> </v>
      </c>
      <c r="J1688" s="3" t="str">
        <f>IFERROR(__xludf.DUMMYFUNCTION("""COMPUTED_VALUE""")," ")</f>
        <v> </v>
      </c>
      <c r="K1688" s="3" t="str">
        <f>IFERROR(__xludf.DUMMYFUNCTION("""COMPUTED_VALUE"""),"Y")</f>
        <v>Y</v>
      </c>
      <c r="L1688" s="10" t="str">
        <f>IFERROR(__xludf.DUMMYFUNCTION("""COMPUTED_VALUE"""),"Group 4")</f>
        <v>Group 4</v>
      </c>
      <c r="M1688" s="3"/>
      <c r="N1688" s="5" t="str">
        <f>IFERROR(__xludf.DUMMYFUNCTION("""COMPUTED_VALUE""")," ")</f>
        <v> </v>
      </c>
      <c r="O1688" s="5"/>
    </row>
    <row r="1689">
      <c r="A1689" s="2" t="str">
        <f>IFERROR(__xludf.DUMMYFUNCTION("""COMPUTED_VALUE"""),"3120")</f>
        <v>3120</v>
      </c>
      <c r="B1689" s="2" t="str">
        <f>IFERROR(__xludf.DUMMYFUNCTION("""COMPUTED_VALUE"""),"GREELEY 6")</f>
        <v>GREELEY 6</v>
      </c>
      <c r="C1689" s="2" t="str">
        <f>IFERROR(__xludf.DUMMYFUNCTION("""COMPUTED_VALUE"""),"08975")</f>
        <v>08975</v>
      </c>
      <c r="D1689" s="2" t="str">
        <f>IFERROR(__xludf.DUMMYFUNCTION("""COMPUTED_VALUE"""),"UNION COLONY ELEMENTARY SCHOOL")</f>
        <v>UNION COLONY ELEMENTARY SCHOOL</v>
      </c>
      <c r="E1689" s="3" t="str">
        <f>IFERROR(__xludf.DUMMYFUNCTION("""COMPUTED_VALUE"""),"Y")</f>
        <v>Y</v>
      </c>
      <c r="F1689" s="3" t="str">
        <f>IFERROR(__xludf.DUMMYFUNCTION("""COMPUTED_VALUE"""),"Y")</f>
        <v>Y</v>
      </c>
      <c r="G1689" s="3"/>
      <c r="H1689" s="3"/>
      <c r="I1689" s="3" t="str">
        <f>IFERROR(__xludf.DUMMYFUNCTION("""COMPUTED_VALUE"""),"Y")</f>
        <v>Y</v>
      </c>
      <c r="J1689" s="3" t="str">
        <f>IFERROR(__xludf.DUMMYFUNCTION("""COMPUTED_VALUE"""),"Y")</f>
        <v>Y</v>
      </c>
      <c r="K1689" s="3" t="str">
        <f>IFERROR(__xludf.DUMMYFUNCTION("""COMPUTED_VALUE"""),"Y")</f>
        <v>Y</v>
      </c>
      <c r="L1689" s="3" t="str">
        <f>IFERROR(__xludf.DUMMYFUNCTION("""COMPUTED_VALUE"""),"Group 9")</f>
        <v>Group 9</v>
      </c>
      <c r="M1689" s="3"/>
      <c r="N1689" s="5" t="str">
        <f>IFERROR(__xludf.DUMMYFUNCTION("""COMPUTED_VALUE""")," ")</f>
        <v> </v>
      </c>
      <c r="O1689" s="5"/>
    </row>
    <row r="1690">
      <c r="A1690" s="2" t="str">
        <f>IFERROR(__xludf.DUMMYFUNCTION("""COMPUTED_VALUE"""),"3120")</f>
        <v>3120</v>
      </c>
      <c r="B1690" s="2" t="str">
        <f>IFERROR(__xludf.DUMMYFUNCTION("""COMPUTED_VALUE"""),"GREELEY 6")</f>
        <v>GREELEY 6</v>
      </c>
      <c r="C1690" s="2" t="str">
        <f>IFERROR(__xludf.DUMMYFUNCTION("""COMPUTED_VALUE"""),"09611")</f>
        <v>09611</v>
      </c>
      <c r="D1690" s="2" t="str">
        <f>IFERROR(__xludf.DUMMYFUNCTION("""COMPUTED_VALUE"""),"WEST RIDGE ACADEMY")</f>
        <v>WEST RIDGE ACADEMY</v>
      </c>
      <c r="E1690" s="3" t="str">
        <f>IFERROR(__xludf.DUMMYFUNCTION("""COMPUTED_VALUE"""),"Y")</f>
        <v>Y</v>
      </c>
      <c r="F1690" s="3" t="str">
        <f>IFERROR(__xludf.DUMMYFUNCTION("""COMPUTED_VALUE"""),"Y")</f>
        <v>Y</v>
      </c>
      <c r="G1690" s="3"/>
      <c r="H1690" s="3"/>
      <c r="I1690" s="3" t="str">
        <f>IFERROR(__xludf.DUMMYFUNCTION("""COMPUTED_VALUE""")," ")</f>
        <v> </v>
      </c>
      <c r="J1690" s="3" t="str">
        <f>IFERROR(__xludf.DUMMYFUNCTION("""COMPUTED_VALUE""")," ")</f>
        <v> </v>
      </c>
      <c r="K1690" s="3" t="str">
        <f>IFERROR(__xludf.DUMMYFUNCTION("""COMPUTED_VALUE"""),"Y")</f>
        <v>Y</v>
      </c>
      <c r="L1690" s="3" t="str">
        <f>IFERROR(__xludf.DUMMYFUNCTION("""COMPUTED_VALUE"""),"Group 8")</f>
        <v>Group 8</v>
      </c>
      <c r="M1690" s="3"/>
      <c r="N1690" s="5" t="str">
        <f>IFERROR(__xludf.DUMMYFUNCTION("""COMPUTED_VALUE""")," ")</f>
        <v> </v>
      </c>
      <c r="O1690" s="5"/>
    </row>
    <row r="1691">
      <c r="A1691" s="2" t="str">
        <f>IFERROR(__xludf.DUMMYFUNCTION("""COMPUTED_VALUE"""),"3130")</f>
        <v>3130</v>
      </c>
      <c r="B1691" s="2" t="str">
        <f>IFERROR(__xludf.DUMMYFUNCTION("""COMPUTED_VALUE"""),"PLATTE VALLEY       RE-7")</f>
        <v>PLATTE VALLEY       RE-7</v>
      </c>
      <c r="C1691" s="2" t="str">
        <f>IFERROR(__xludf.DUMMYFUNCTION("""COMPUTED_VALUE"""),"04670")</f>
        <v>04670</v>
      </c>
      <c r="D1691" s="2" t="str">
        <f>IFERROR(__xludf.DUMMYFUNCTION("""COMPUTED_VALUE"""),"PLATTE VALLEY HIGH SCHOOL")</f>
        <v>PLATTE VALLEY HIGH SCHOOL</v>
      </c>
      <c r="E1691" s="3" t="str">
        <f>IFERROR(__xludf.DUMMYFUNCTION("""COMPUTED_VALUE"""),"Y")</f>
        <v>Y</v>
      </c>
      <c r="F1691" s="3" t="str">
        <f>IFERROR(__xludf.DUMMYFUNCTION("""COMPUTED_VALUE"""),"Y")</f>
        <v>Y</v>
      </c>
      <c r="G1691" s="3"/>
      <c r="H1691" s="3"/>
      <c r="I1691" s="3" t="str">
        <f>IFERROR(__xludf.DUMMYFUNCTION("""COMPUTED_VALUE""")," ")</f>
        <v> </v>
      </c>
      <c r="J1691" s="3" t="str">
        <f>IFERROR(__xludf.DUMMYFUNCTION("""COMPUTED_VALUE""")," ")</f>
        <v> </v>
      </c>
      <c r="K1691" s="3" t="str">
        <f>IFERROR(__xludf.DUMMYFUNCTION("""COMPUTED_VALUE"""),"Y")</f>
        <v>Y</v>
      </c>
      <c r="L1691" s="3" t="str">
        <f>IFERROR(__xludf.DUMMYFUNCTION("""COMPUTED_VALUE"""),"Group 2")</f>
        <v>Group 2</v>
      </c>
      <c r="M1691" s="3"/>
      <c r="N1691" s="5" t="str">
        <f>IFERROR(__xludf.DUMMYFUNCTION("""COMPUTED_VALUE""")," ")</f>
        <v> </v>
      </c>
      <c r="O1691" s="5"/>
    </row>
    <row r="1692">
      <c r="A1692" s="2" t="str">
        <f>IFERROR(__xludf.DUMMYFUNCTION("""COMPUTED_VALUE"""),"3130")</f>
        <v>3130</v>
      </c>
      <c r="B1692" s="2" t="str">
        <f>IFERROR(__xludf.DUMMYFUNCTION("""COMPUTED_VALUE"""),"PLATTE VALLEY       RE-7")</f>
        <v>PLATTE VALLEY       RE-7</v>
      </c>
      <c r="C1692" s="2" t="str">
        <f>IFERROR(__xludf.DUMMYFUNCTION("""COMPUTED_VALUE"""),"07052")</f>
        <v>07052</v>
      </c>
      <c r="D1692" s="2" t="str">
        <f>IFERROR(__xludf.DUMMYFUNCTION("""COMPUTED_VALUE"""),"PLATTE VALLEY ELEMENTARY SCHOOL")</f>
        <v>PLATTE VALLEY ELEMENTARY SCHOOL</v>
      </c>
      <c r="E1692" s="3" t="str">
        <f>IFERROR(__xludf.DUMMYFUNCTION("""COMPUTED_VALUE"""),"Y")</f>
        <v>Y</v>
      </c>
      <c r="F1692" s="3" t="str">
        <f>IFERROR(__xludf.DUMMYFUNCTION("""COMPUTED_VALUE"""),"Y")</f>
        <v>Y</v>
      </c>
      <c r="G1692" s="3"/>
      <c r="H1692" s="3"/>
      <c r="I1692" s="3" t="str">
        <f>IFERROR(__xludf.DUMMYFUNCTION("""COMPUTED_VALUE""")," ")</f>
        <v> </v>
      </c>
      <c r="J1692" s="3" t="str">
        <f>IFERROR(__xludf.DUMMYFUNCTION("""COMPUTED_VALUE""")," ")</f>
        <v> </v>
      </c>
      <c r="K1692" s="3" t="str">
        <f>IFERROR(__xludf.DUMMYFUNCTION("""COMPUTED_VALUE"""),"Y")</f>
        <v>Y</v>
      </c>
      <c r="L1692" s="3" t="str">
        <f>IFERROR(__xludf.DUMMYFUNCTION("""COMPUTED_VALUE"""),"Group 1")</f>
        <v>Group 1</v>
      </c>
      <c r="M1692" s="3"/>
      <c r="N1692" s="5" t="str">
        <f>IFERROR(__xludf.DUMMYFUNCTION("""COMPUTED_VALUE""")," ")</f>
        <v> </v>
      </c>
      <c r="O1692" s="5"/>
    </row>
    <row r="1693">
      <c r="A1693" s="2" t="str">
        <f>IFERROR(__xludf.DUMMYFUNCTION("""COMPUTED_VALUE"""),"3130")</f>
        <v>3130</v>
      </c>
      <c r="B1693" s="2" t="str">
        <f>IFERROR(__xludf.DUMMYFUNCTION("""COMPUTED_VALUE"""),"PLATTE VALLEY       RE-7")</f>
        <v>PLATTE VALLEY       RE-7</v>
      </c>
      <c r="C1693" s="2" t="str">
        <f>IFERROR(__xludf.DUMMYFUNCTION("""COMPUTED_VALUE"""),"07054")</f>
        <v>07054</v>
      </c>
      <c r="D1693" s="2" t="str">
        <f>IFERROR(__xludf.DUMMYFUNCTION("""COMPUTED_VALUE"""),"PLATTE VALLEY MIDDLE SCHOOL")</f>
        <v>PLATTE VALLEY MIDDLE SCHOOL</v>
      </c>
      <c r="E1693" s="3" t="str">
        <f>IFERROR(__xludf.DUMMYFUNCTION("""COMPUTED_VALUE"""),"Y")</f>
        <v>Y</v>
      </c>
      <c r="F1693" s="3" t="str">
        <f>IFERROR(__xludf.DUMMYFUNCTION("""COMPUTED_VALUE"""),"Y")</f>
        <v>Y</v>
      </c>
      <c r="G1693" s="3"/>
      <c r="H1693" s="3"/>
      <c r="I1693" s="3" t="str">
        <f>IFERROR(__xludf.DUMMYFUNCTION("""COMPUTED_VALUE""")," ")</f>
        <v> </v>
      </c>
      <c r="J1693" s="3" t="str">
        <f>IFERROR(__xludf.DUMMYFUNCTION("""COMPUTED_VALUE""")," ")</f>
        <v> </v>
      </c>
      <c r="K1693" s="3" t="str">
        <f>IFERROR(__xludf.DUMMYFUNCTION("""COMPUTED_VALUE"""),"Y")</f>
        <v>Y</v>
      </c>
      <c r="L1693" s="3" t="str">
        <f>IFERROR(__xludf.DUMMYFUNCTION("""COMPUTED_VALUE"""),"Group 3")</f>
        <v>Group 3</v>
      </c>
      <c r="M1693" s="3"/>
      <c r="N1693" s="5" t="str">
        <f>IFERROR(__xludf.DUMMYFUNCTION("""COMPUTED_VALUE""")," ")</f>
        <v> </v>
      </c>
      <c r="O1693" s="5"/>
    </row>
    <row r="1694">
      <c r="A1694" s="2" t="str">
        <f>IFERROR(__xludf.DUMMYFUNCTION("""COMPUTED_VALUE"""),"3140")</f>
        <v>3140</v>
      </c>
      <c r="B1694" s="2" t="str">
        <f>IFERROR(__xludf.DUMMYFUNCTION("""COMPUTED_VALUE"""),"WELD COUNTY SCHOOL DISTRICT RE-8")</f>
        <v>WELD COUNTY SCHOOL DISTRICT RE-8</v>
      </c>
      <c r="C1694" s="2" t="str">
        <f>IFERROR(__xludf.DUMMYFUNCTION("""COMPUTED_VALUE"""),"03066")</f>
        <v>03066</v>
      </c>
      <c r="D1694" s="2" t="str">
        <f>IFERROR(__xludf.DUMMYFUNCTION("""COMPUTED_VALUE"""),"FORT LUPTON MIDDLE SCHOOL")</f>
        <v>FORT LUPTON MIDDLE SCHOOL</v>
      </c>
      <c r="E1694" s="3" t="str">
        <f>IFERROR(__xludf.DUMMYFUNCTION("""COMPUTED_VALUE"""),"Y")</f>
        <v>Y</v>
      </c>
      <c r="F1694" s="3" t="str">
        <f>IFERROR(__xludf.DUMMYFUNCTION("""COMPUTED_VALUE"""),"Y")</f>
        <v>Y</v>
      </c>
      <c r="G1694" s="3"/>
      <c r="H1694" s="3"/>
      <c r="I1694" s="3" t="str">
        <f>IFERROR(__xludf.DUMMYFUNCTION("""COMPUTED_VALUE""")," ")</f>
        <v> </v>
      </c>
      <c r="J1694" s="3" t="str">
        <f>IFERROR(__xludf.DUMMYFUNCTION("""COMPUTED_VALUE""")," ")</f>
        <v> </v>
      </c>
      <c r="K1694" s="3" t="str">
        <f>IFERROR(__xludf.DUMMYFUNCTION("""COMPUTED_VALUE"""),"Y")</f>
        <v>Y</v>
      </c>
      <c r="L1694" s="3" t="str">
        <f>IFERROR(__xludf.DUMMYFUNCTION("""COMPUTED_VALUE"""),"Group 3")</f>
        <v>Group 3</v>
      </c>
      <c r="M1694" s="3"/>
      <c r="N1694" s="5" t="str">
        <f>IFERROR(__xludf.DUMMYFUNCTION("""COMPUTED_VALUE"""),"Y")</f>
        <v>Y</v>
      </c>
      <c r="O1694" s="5"/>
    </row>
    <row r="1695">
      <c r="A1695" s="2" t="str">
        <f>IFERROR(__xludf.DUMMYFUNCTION("""COMPUTED_VALUE"""),"3140")</f>
        <v>3140</v>
      </c>
      <c r="B1695" s="2" t="str">
        <f>IFERROR(__xludf.DUMMYFUNCTION("""COMPUTED_VALUE"""),"WELD COUNTY SCHOOL DISTRICT RE-8")</f>
        <v>WELD COUNTY SCHOOL DISTRICT RE-8</v>
      </c>
      <c r="C1695" s="2" t="str">
        <f>IFERROR(__xludf.DUMMYFUNCTION("""COMPUTED_VALUE"""),"03070")</f>
        <v>03070</v>
      </c>
      <c r="D1695" s="2" t="str">
        <f>IFERROR(__xludf.DUMMYFUNCTION("""COMPUTED_VALUE"""),"FORT LUPTON HIGH SCHOOL")</f>
        <v>FORT LUPTON HIGH SCHOOL</v>
      </c>
      <c r="E1695" s="3" t="str">
        <f>IFERROR(__xludf.DUMMYFUNCTION("""COMPUTED_VALUE"""),"Y")</f>
        <v>Y</v>
      </c>
      <c r="F1695" s="3" t="str">
        <f>IFERROR(__xludf.DUMMYFUNCTION("""COMPUTED_VALUE"""),"Y")</f>
        <v>Y</v>
      </c>
      <c r="G1695" s="3"/>
      <c r="H1695" s="3"/>
      <c r="I1695" s="3" t="str">
        <f>IFERROR(__xludf.DUMMYFUNCTION("""COMPUTED_VALUE""")," ")</f>
        <v> </v>
      </c>
      <c r="J1695" s="3" t="str">
        <f>IFERROR(__xludf.DUMMYFUNCTION("""COMPUTED_VALUE""")," ")</f>
        <v> </v>
      </c>
      <c r="K1695" s="3" t="str">
        <f>IFERROR(__xludf.DUMMYFUNCTION("""COMPUTED_VALUE"""),"Y")</f>
        <v>Y</v>
      </c>
      <c r="L1695" s="3" t="str">
        <f>IFERROR(__xludf.DUMMYFUNCTION("""COMPUTED_VALUE"""),"Group 1")</f>
        <v>Group 1</v>
      </c>
      <c r="M1695" s="3"/>
      <c r="N1695" s="5"/>
      <c r="O1695" s="5"/>
    </row>
    <row r="1696">
      <c r="A1696" s="2" t="str">
        <f>IFERROR(__xludf.DUMMYFUNCTION("""COMPUTED_VALUE"""),"3140")</f>
        <v>3140</v>
      </c>
      <c r="B1696" s="2" t="str">
        <f>IFERROR(__xludf.DUMMYFUNCTION("""COMPUTED_VALUE"""),"WELD COUNTY SCHOOL DISTRICT RE-8")</f>
        <v>WELD COUNTY SCHOOL DISTRICT RE-8</v>
      </c>
      <c r="C1696" s="2" t="str">
        <f>IFERROR(__xludf.DUMMYFUNCTION("""COMPUTED_VALUE"""),"05050")</f>
        <v>05050</v>
      </c>
      <c r="D1696" s="2" t="str">
        <f>IFERROR(__xludf.DUMMYFUNCTION("""COMPUTED_VALUE"""),"LEO WILLIAM BUTLER ELEMENTARY SCHOOL")</f>
        <v>LEO WILLIAM BUTLER ELEMENTARY SCHOOL</v>
      </c>
      <c r="E1696" s="3" t="str">
        <f>IFERROR(__xludf.DUMMYFUNCTION("""COMPUTED_VALUE"""),"Y")</f>
        <v>Y</v>
      </c>
      <c r="F1696" s="3" t="str">
        <f>IFERROR(__xludf.DUMMYFUNCTION("""COMPUTED_VALUE"""),"Y")</f>
        <v>Y</v>
      </c>
      <c r="G1696" s="3" t="str">
        <f>IFERROR(__xludf.DUMMYFUNCTION("""COMPUTED_VALUE"""),"Y")</f>
        <v>Y</v>
      </c>
      <c r="H1696" s="3"/>
      <c r="I1696" s="3" t="str">
        <f>IFERROR(__xludf.DUMMYFUNCTION("""COMPUTED_VALUE""")," ")</f>
        <v> </v>
      </c>
      <c r="J1696" s="3" t="str">
        <f>IFERROR(__xludf.DUMMYFUNCTION("""COMPUTED_VALUE""")," ")</f>
        <v> </v>
      </c>
      <c r="K1696" s="3" t="str">
        <f>IFERROR(__xludf.DUMMYFUNCTION("""COMPUTED_VALUE"""),"Y")</f>
        <v>Y</v>
      </c>
      <c r="L1696" s="3" t="str">
        <f>IFERROR(__xludf.DUMMYFUNCTION("""COMPUTED_VALUE"""),"Group 4")</f>
        <v>Group 4</v>
      </c>
      <c r="M1696" s="3"/>
      <c r="N1696" s="5"/>
      <c r="O1696" s="5"/>
    </row>
    <row r="1697">
      <c r="A1697" s="2" t="str">
        <f>IFERROR(__xludf.DUMMYFUNCTION("""COMPUTED_VALUE"""),"3140")</f>
        <v>3140</v>
      </c>
      <c r="B1697" s="2" t="str">
        <f>IFERROR(__xludf.DUMMYFUNCTION("""COMPUTED_VALUE"""),"WELD COUNTY SCHOOL DISTRICT RE-8")</f>
        <v>WELD COUNTY SCHOOL DISTRICT RE-8</v>
      </c>
      <c r="C1697" s="2" t="str">
        <f>IFERROR(__xludf.DUMMYFUNCTION("""COMPUTED_VALUE"""),"07219")</f>
        <v>07219</v>
      </c>
      <c r="D1697" s="2" t="str">
        <f>IFERROR(__xludf.DUMMYFUNCTION("""COMPUTED_VALUE"""),"KENNETH HOMYAK PK-8")</f>
        <v>KENNETH HOMYAK PK-8</v>
      </c>
      <c r="E1697" s="3" t="str">
        <f>IFERROR(__xludf.DUMMYFUNCTION("""COMPUTED_VALUE"""),"Y")</f>
        <v>Y</v>
      </c>
      <c r="F1697" s="3" t="str">
        <f>IFERROR(__xludf.DUMMYFUNCTION("""COMPUTED_VALUE"""),"Y")</f>
        <v>Y</v>
      </c>
      <c r="G1697" s="3"/>
      <c r="H1697" s="3"/>
      <c r="I1697" s="3" t="str">
        <f>IFERROR(__xludf.DUMMYFUNCTION("""COMPUTED_VALUE""")," ")</f>
        <v> </v>
      </c>
      <c r="J1697" s="3" t="str">
        <f>IFERROR(__xludf.DUMMYFUNCTION("""COMPUTED_VALUE""")," ")</f>
        <v> </v>
      </c>
      <c r="K1697" s="3" t="str">
        <f>IFERROR(__xludf.DUMMYFUNCTION("""COMPUTED_VALUE"""),"Y")</f>
        <v>Y</v>
      </c>
      <c r="L1697" s="3" t="str">
        <f>IFERROR(__xludf.DUMMYFUNCTION("""COMPUTED_VALUE"""),"Group 1")</f>
        <v>Group 1</v>
      </c>
      <c r="M1697" s="3"/>
      <c r="N1697" s="5" t="str">
        <f>IFERROR(__xludf.DUMMYFUNCTION("""COMPUTED_VALUE""")," ")</f>
        <v> </v>
      </c>
      <c r="O1697" s="5"/>
    </row>
    <row r="1698">
      <c r="A1698" s="2" t="str">
        <f>IFERROR(__xludf.DUMMYFUNCTION("""COMPUTED_VALUE"""),"3140")</f>
        <v>3140</v>
      </c>
      <c r="B1698" s="2" t="str">
        <f>IFERROR(__xludf.DUMMYFUNCTION("""COMPUTED_VALUE"""),"WELD COUNTY SCHOOL DISTRICT RE-8")</f>
        <v>WELD COUNTY SCHOOL DISTRICT RE-8</v>
      </c>
      <c r="C1698" s="2" t="str">
        <f>IFERROR(__xludf.DUMMYFUNCTION("""COMPUTED_VALUE"""),"08930")</f>
        <v>08930</v>
      </c>
      <c r="D1698" s="2" t="str">
        <f>IFERROR(__xludf.DUMMYFUNCTION("""COMPUTED_VALUE"""),"TWOMBLY ELEMENTARY SCHOOL")</f>
        <v>TWOMBLY ELEMENTARY SCHOOL</v>
      </c>
      <c r="E1698" s="3" t="str">
        <f>IFERROR(__xludf.DUMMYFUNCTION("""COMPUTED_VALUE"""),"Y")</f>
        <v>Y</v>
      </c>
      <c r="F1698" s="3" t="str">
        <f>IFERROR(__xludf.DUMMYFUNCTION("""COMPUTED_VALUE"""),"Y")</f>
        <v>Y</v>
      </c>
      <c r="G1698" s="3"/>
      <c r="H1698" s="3"/>
      <c r="I1698" s="3" t="str">
        <f>IFERROR(__xludf.DUMMYFUNCTION("""COMPUTED_VALUE""")," ")</f>
        <v> </v>
      </c>
      <c r="J1698" s="3" t="str">
        <f>IFERROR(__xludf.DUMMYFUNCTION("""COMPUTED_VALUE""")," ")</f>
        <v> </v>
      </c>
      <c r="K1698" s="3" t="str">
        <f>IFERROR(__xludf.DUMMYFUNCTION("""COMPUTED_VALUE"""),"Y")</f>
        <v>Y</v>
      </c>
      <c r="L1698" s="3" t="str">
        <f>IFERROR(__xludf.DUMMYFUNCTION("""COMPUTED_VALUE"""),"Group 2")</f>
        <v>Group 2</v>
      </c>
      <c r="M1698" s="3"/>
      <c r="N1698" s="5" t="str">
        <f>IFERROR(__xludf.DUMMYFUNCTION("""COMPUTED_VALUE""")," ")</f>
        <v> </v>
      </c>
      <c r="O1698" s="5"/>
    </row>
    <row r="1699">
      <c r="A1699" s="2" t="str">
        <f>IFERROR(__xludf.DUMMYFUNCTION("""COMPUTED_VALUE"""),"3140")</f>
        <v>3140</v>
      </c>
      <c r="B1699" s="2" t="str">
        <f>IFERROR(__xludf.DUMMYFUNCTION("""COMPUTED_VALUE"""),"WELD COUNTY SCHOOL DISTRICT RE-8")</f>
        <v>WELD COUNTY SCHOOL DISTRICT RE-8</v>
      </c>
      <c r="C1699" s="2" t="str">
        <f>IFERROR(__xludf.DUMMYFUNCTION("""COMPUTED_VALUE"""),"09246")</f>
        <v>09246</v>
      </c>
      <c r="D1699" s="2" t="str">
        <f>IFERROR(__xludf.DUMMYFUNCTION("""COMPUTED_VALUE"""),"Little Trappers Preschool")</f>
        <v>Little Trappers Preschool</v>
      </c>
      <c r="E1699" s="10" t="str">
        <f>IFERROR(__xludf.DUMMYFUNCTION("""COMPUTED_VALUE"""),"Y")</f>
        <v>Y</v>
      </c>
      <c r="F1699" s="3" t="str">
        <f>IFERROR(__xludf.DUMMYFUNCTION("""COMPUTED_VALUE"""),"Y")</f>
        <v>Y</v>
      </c>
      <c r="G1699" s="3"/>
      <c r="H1699" s="3"/>
      <c r="I1699" s="3" t="str">
        <f>IFERROR(__xludf.DUMMYFUNCTION("""COMPUTED_VALUE""")," ")</f>
        <v> </v>
      </c>
      <c r="J1699" s="3" t="str">
        <f>IFERROR(__xludf.DUMMYFUNCTION("""COMPUTED_VALUE""")," ")</f>
        <v> </v>
      </c>
      <c r="K1699" s="3" t="str">
        <f>IFERROR(__xludf.DUMMYFUNCTION("""COMPUTED_VALUE"""),"Y")</f>
        <v>Y</v>
      </c>
      <c r="L1699" s="3" t="str">
        <f>IFERROR(__xludf.DUMMYFUNCTION("""COMPUTED_VALUE""")," ")</f>
        <v> </v>
      </c>
      <c r="M1699" s="3"/>
      <c r="N1699" s="5" t="str">
        <f>IFERROR(__xludf.DUMMYFUNCTION("""COMPUTED_VALUE""")," ")</f>
        <v> </v>
      </c>
      <c r="O1699" s="5"/>
    </row>
    <row r="1700">
      <c r="A1700" s="2" t="str">
        <f>IFERROR(__xludf.DUMMYFUNCTION("""COMPUTED_VALUE"""),"3145")</f>
        <v>3145</v>
      </c>
      <c r="B1700" s="2" t="str">
        <f>IFERROR(__xludf.DUMMYFUNCTION("""COMPUTED_VALUE"""),"AULT-HIGHLAND RE-9")</f>
        <v>AULT-HIGHLAND RE-9</v>
      </c>
      <c r="C1700" s="2" t="str">
        <f>IFERROR(__xludf.DUMMYFUNCTION("""COMPUTED_VALUE"""),"03958")</f>
        <v>03958</v>
      </c>
      <c r="D1700" s="2" t="str">
        <f>IFERROR(__xludf.DUMMYFUNCTION("""COMPUTED_VALUE"""),"HIGHLAND ELEMENTARY SCHOOL")</f>
        <v>HIGHLAND ELEMENTARY SCHOOL</v>
      </c>
      <c r="E1700" s="3" t="str">
        <f>IFERROR(__xludf.DUMMYFUNCTION("""COMPUTED_VALUE"""),"Y")</f>
        <v>Y</v>
      </c>
      <c r="F1700" s="3" t="str">
        <f>IFERROR(__xludf.DUMMYFUNCTION("""COMPUTED_VALUE"""),"Y")</f>
        <v>Y</v>
      </c>
      <c r="G1700" s="3"/>
      <c r="H1700" s="3"/>
      <c r="I1700" s="3" t="str">
        <f>IFERROR(__xludf.DUMMYFUNCTION("""COMPUTED_VALUE""")," ")</f>
        <v> </v>
      </c>
      <c r="J1700" s="3" t="str">
        <f>IFERROR(__xludf.DUMMYFUNCTION("""COMPUTED_VALUE""")," ")</f>
        <v> </v>
      </c>
      <c r="K1700" s="3" t="str">
        <f>IFERROR(__xludf.DUMMYFUNCTION("""COMPUTED_VALUE"""),"Y")</f>
        <v>Y</v>
      </c>
      <c r="L1700" s="3" t="str">
        <f>IFERROR(__xludf.DUMMYFUNCTION("""COMPUTED_VALUE"""),"Group 2")</f>
        <v>Group 2</v>
      </c>
      <c r="M1700" s="3"/>
      <c r="N1700" s="5" t="str">
        <f>IFERROR(__xludf.DUMMYFUNCTION("""COMPUTED_VALUE""")," ")</f>
        <v> </v>
      </c>
      <c r="O1700" s="5"/>
    </row>
    <row r="1701">
      <c r="A1701" s="2" t="str">
        <f>IFERROR(__xludf.DUMMYFUNCTION("""COMPUTED_VALUE"""),"3145")</f>
        <v>3145</v>
      </c>
      <c r="B1701" s="2" t="str">
        <f>IFERROR(__xludf.DUMMYFUNCTION("""COMPUTED_VALUE"""),"AULT-HIGHLAND RE-9")</f>
        <v>AULT-HIGHLAND RE-9</v>
      </c>
      <c r="C1701" s="2" t="str">
        <f>IFERROR(__xludf.DUMMYFUNCTION("""COMPUTED_VALUE"""),"03961")</f>
        <v>03961</v>
      </c>
      <c r="D1701" s="2" t="str">
        <f>IFERROR(__xludf.DUMMYFUNCTION("""COMPUTED_VALUE"""),"HIGHLAND MIDDLE SCHOOL")</f>
        <v>HIGHLAND MIDDLE SCHOOL</v>
      </c>
      <c r="E1701" s="3" t="str">
        <f>IFERROR(__xludf.DUMMYFUNCTION("""COMPUTED_VALUE"""),"Y")</f>
        <v>Y</v>
      </c>
      <c r="F1701" s="3" t="str">
        <f>IFERROR(__xludf.DUMMYFUNCTION("""COMPUTED_VALUE"""),"Y")</f>
        <v>Y</v>
      </c>
      <c r="G1701" s="3"/>
      <c r="H1701" s="3"/>
      <c r="I1701" s="3" t="str">
        <f>IFERROR(__xludf.DUMMYFUNCTION("""COMPUTED_VALUE""")," ")</f>
        <v> </v>
      </c>
      <c r="J1701" s="3" t="str">
        <f>IFERROR(__xludf.DUMMYFUNCTION("""COMPUTED_VALUE""")," ")</f>
        <v> </v>
      </c>
      <c r="K1701" s="3" t="str">
        <f>IFERROR(__xludf.DUMMYFUNCTION("""COMPUTED_VALUE"""),"Y")</f>
        <v>Y</v>
      </c>
      <c r="L1701" s="3" t="str">
        <f>IFERROR(__xludf.DUMMYFUNCTION("""COMPUTED_VALUE"""),"Group 2")</f>
        <v>Group 2</v>
      </c>
      <c r="M1701" s="3"/>
      <c r="N1701" s="5" t="str">
        <f>IFERROR(__xludf.DUMMYFUNCTION("""COMPUTED_VALUE""")," ")</f>
        <v> </v>
      </c>
      <c r="O1701" s="5"/>
    </row>
    <row r="1702">
      <c r="A1702" s="2" t="str">
        <f>IFERROR(__xludf.DUMMYFUNCTION("""COMPUTED_VALUE"""),"3145")</f>
        <v>3145</v>
      </c>
      <c r="B1702" s="2" t="str">
        <f>IFERROR(__xludf.DUMMYFUNCTION("""COMPUTED_VALUE"""),"AULT-HIGHLAND RE-9")</f>
        <v>AULT-HIGHLAND RE-9</v>
      </c>
      <c r="C1702" s="2" t="str">
        <f>IFERROR(__xludf.DUMMYFUNCTION("""COMPUTED_VALUE"""),"03962")</f>
        <v>03962</v>
      </c>
      <c r="D1702" s="2" t="str">
        <f>IFERROR(__xludf.DUMMYFUNCTION("""COMPUTED_VALUE"""),"HIGHLAND HIGH SCHOOL")</f>
        <v>HIGHLAND HIGH SCHOOL</v>
      </c>
      <c r="E1702" s="3" t="str">
        <f>IFERROR(__xludf.DUMMYFUNCTION("""COMPUTED_VALUE"""),"Y")</f>
        <v>Y</v>
      </c>
      <c r="F1702" s="3" t="str">
        <f>IFERROR(__xludf.DUMMYFUNCTION("""COMPUTED_VALUE"""),"Y")</f>
        <v>Y</v>
      </c>
      <c r="G1702" s="3"/>
      <c r="H1702" s="3"/>
      <c r="I1702" s="3" t="str">
        <f>IFERROR(__xludf.DUMMYFUNCTION("""COMPUTED_VALUE""")," ")</f>
        <v> </v>
      </c>
      <c r="J1702" s="3" t="str">
        <f>IFERROR(__xludf.DUMMYFUNCTION("""COMPUTED_VALUE""")," ")</f>
        <v> </v>
      </c>
      <c r="K1702" s="3" t="str">
        <f>IFERROR(__xludf.DUMMYFUNCTION("""COMPUTED_VALUE"""),"Y")</f>
        <v>Y</v>
      </c>
      <c r="L1702" s="3" t="str">
        <f>IFERROR(__xludf.DUMMYFUNCTION("""COMPUTED_VALUE"""),"Group 1")</f>
        <v>Group 1</v>
      </c>
      <c r="M1702" s="3"/>
      <c r="N1702" s="5" t="str">
        <f>IFERROR(__xludf.DUMMYFUNCTION("""COMPUTED_VALUE""")," ")</f>
        <v> </v>
      </c>
      <c r="O1702" s="5"/>
    </row>
    <row r="1703">
      <c r="A1703" s="2" t="str">
        <f>IFERROR(__xludf.DUMMYFUNCTION("""COMPUTED_VALUE"""),"3146")</f>
        <v>3146</v>
      </c>
      <c r="B1703" s="2" t="str">
        <f>IFERROR(__xludf.DUMMYFUNCTION("""COMPUTED_VALUE"""),"BRIGGSDALE          RE-10")</f>
        <v>BRIGGSDALE          RE-10</v>
      </c>
      <c r="C1703" s="2" t="str">
        <f>IFERROR(__xludf.DUMMYFUNCTION("""COMPUTED_VALUE"""),"01008")</f>
        <v>01008</v>
      </c>
      <c r="D1703" s="2" t="str">
        <f>IFERROR(__xludf.DUMMYFUNCTION("""COMPUTED_VALUE"""),"BRIGGSDALE ELEMENTARY SCHOOL")</f>
        <v>BRIGGSDALE ELEMENTARY SCHOOL</v>
      </c>
      <c r="E1703" s="3" t="str">
        <f>IFERROR(__xludf.DUMMYFUNCTION("""COMPUTED_VALUE"""),"Y")</f>
        <v>Y</v>
      </c>
      <c r="F1703" s="3" t="str">
        <f>IFERROR(__xludf.DUMMYFUNCTION("""COMPUTED_VALUE"""),"Y")</f>
        <v>Y</v>
      </c>
      <c r="G1703" s="3"/>
      <c r="H1703" s="3"/>
      <c r="I1703" s="3" t="str">
        <f>IFERROR(__xludf.DUMMYFUNCTION("""COMPUTED_VALUE""")," ")</f>
        <v> </v>
      </c>
      <c r="J1703" s="3" t="str">
        <f>IFERROR(__xludf.DUMMYFUNCTION("""COMPUTED_VALUE""")," ")</f>
        <v> </v>
      </c>
      <c r="K1703" s="3" t="str">
        <f>IFERROR(__xludf.DUMMYFUNCTION("""COMPUTED_VALUE"""),"Y")</f>
        <v>Y</v>
      </c>
      <c r="L1703" s="3" t="str">
        <f>IFERROR(__xludf.DUMMYFUNCTION("""COMPUTED_VALUE""")," ")</f>
        <v> </v>
      </c>
      <c r="M1703" s="3"/>
      <c r="N1703" s="5" t="str">
        <f>IFERROR(__xludf.DUMMYFUNCTION("""COMPUTED_VALUE""")," ")</f>
        <v> </v>
      </c>
      <c r="O1703" s="5"/>
    </row>
    <row r="1704">
      <c r="A1704" s="4" t="str">
        <f>IFERROR(__xludf.DUMMYFUNCTION("""COMPUTED_VALUE"""),"3146")</f>
        <v>3146</v>
      </c>
      <c r="B1704" s="2" t="str">
        <f>IFERROR(__xludf.DUMMYFUNCTION("""COMPUTED_VALUE"""),"BRIGGSDALE          RE-10")</f>
        <v>BRIGGSDALE          RE-10</v>
      </c>
      <c r="C1704" s="2" t="str">
        <f>IFERROR(__xludf.DUMMYFUNCTION("""COMPUTED_VALUE"""),"01012")</f>
        <v>01012</v>
      </c>
      <c r="D1704" s="2" t="str">
        <f>IFERROR(__xludf.DUMMYFUNCTION("""COMPUTED_VALUE"""),"BRIGGSDALE UNDIVIDED HIGH SCHOOL")</f>
        <v>BRIGGSDALE UNDIVIDED HIGH SCHOOL</v>
      </c>
      <c r="E1704" s="3" t="str">
        <f>IFERROR(__xludf.DUMMYFUNCTION("""COMPUTED_VALUE"""),"Y")</f>
        <v>Y</v>
      </c>
      <c r="F1704" s="3" t="str">
        <f>IFERROR(__xludf.DUMMYFUNCTION("""COMPUTED_VALUE"""),"Y")</f>
        <v>Y</v>
      </c>
      <c r="G1704" s="3"/>
      <c r="H1704" s="3"/>
      <c r="I1704" s="3" t="str">
        <f>IFERROR(__xludf.DUMMYFUNCTION("""COMPUTED_VALUE""")," ")</f>
        <v> </v>
      </c>
      <c r="J1704" s="3" t="str">
        <f>IFERROR(__xludf.DUMMYFUNCTION("""COMPUTED_VALUE""")," ")</f>
        <v> </v>
      </c>
      <c r="K1704" s="3" t="str">
        <f>IFERROR(__xludf.DUMMYFUNCTION("""COMPUTED_VALUE"""),"Y")</f>
        <v>Y</v>
      </c>
      <c r="L1704" s="3" t="str">
        <f>IFERROR(__xludf.DUMMYFUNCTION("""COMPUTED_VALUE""")," ")</f>
        <v> </v>
      </c>
      <c r="M1704" s="3"/>
      <c r="N1704" s="5" t="str">
        <f>IFERROR(__xludf.DUMMYFUNCTION("""COMPUTED_VALUE""")," ")</f>
        <v> </v>
      </c>
      <c r="O1704" s="5"/>
    </row>
    <row r="1705">
      <c r="A1705" s="2" t="str">
        <f>IFERROR(__xludf.DUMMYFUNCTION("""COMPUTED_VALUE"""),"3147")</f>
        <v>3147</v>
      </c>
      <c r="B1705" s="2" t="str">
        <f>IFERROR(__xludf.DUMMYFUNCTION("""COMPUTED_VALUE"""),"PRAIRIE             RE-11")</f>
        <v>PRAIRIE             RE-11</v>
      </c>
      <c r="C1705" s="2" t="str">
        <f>IFERROR(__xludf.DUMMYFUNCTION("""COMPUTED_VALUE"""),"07154")</f>
        <v>07154</v>
      </c>
      <c r="D1705" s="2" t="str">
        <f>IFERROR(__xludf.DUMMYFUNCTION("""COMPUTED_VALUE"""),"PRAIRIE ELEMENTARY SCHOOL")</f>
        <v>PRAIRIE ELEMENTARY SCHOOL</v>
      </c>
      <c r="E1705" s="3" t="str">
        <f>IFERROR(__xludf.DUMMYFUNCTION("""COMPUTED_VALUE"""),"Y")</f>
        <v>Y</v>
      </c>
      <c r="F1705" s="3" t="str">
        <f>IFERROR(__xludf.DUMMYFUNCTION("""COMPUTED_VALUE"""),"Y")</f>
        <v>Y</v>
      </c>
      <c r="G1705" s="3"/>
      <c r="H1705" s="3"/>
      <c r="I1705" s="3" t="str">
        <f>IFERROR(__xludf.DUMMYFUNCTION("""COMPUTED_VALUE""")," ")</f>
        <v> </v>
      </c>
      <c r="J1705" s="3" t="str">
        <f>IFERROR(__xludf.DUMMYFUNCTION("""COMPUTED_VALUE""")," ")</f>
        <v> </v>
      </c>
      <c r="K1705" s="3" t="str">
        <f>IFERROR(__xludf.DUMMYFUNCTION("""COMPUTED_VALUE"""),"Y")</f>
        <v>Y</v>
      </c>
      <c r="L1705" s="3" t="str">
        <f>IFERROR(__xludf.DUMMYFUNCTION("""COMPUTED_VALUE""")," ")</f>
        <v> </v>
      </c>
      <c r="M1705" s="3"/>
      <c r="N1705" s="5" t="str">
        <f>IFERROR(__xludf.DUMMYFUNCTION("""COMPUTED_VALUE""")," ")</f>
        <v> </v>
      </c>
      <c r="O1705" s="5"/>
    </row>
    <row r="1706">
      <c r="A1706" s="2" t="str">
        <f>IFERROR(__xludf.DUMMYFUNCTION("""COMPUTED_VALUE"""),"3147")</f>
        <v>3147</v>
      </c>
      <c r="B1706" s="2" t="str">
        <f>IFERROR(__xludf.DUMMYFUNCTION("""COMPUTED_VALUE"""),"PRAIRIE             RE-11")</f>
        <v>PRAIRIE             RE-11</v>
      </c>
      <c r="C1706" s="2" t="str">
        <f>IFERROR(__xludf.DUMMYFUNCTION("""COMPUTED_VALUE"""),"07156")</f>
        <v>07156</v>
      </c>
      <c r="D1706" s="2" t="str">
        <f>IFERROR(__xludf.DUMMYFUNCTION("""COMPUTED_VALUE"""),"PRAIRIE JUNIOR-SENIOR HIGH SCHOOL")</f>
        <v>PRAIRIE JUNIOR-SENIOR HIGH SCHOOL</v>
      </c>
      <c r="E1706" s="3" t="str">
        <f>IFERROR(__xludf.DUMMYFUNCTION("""COMPUTED_VALUE"""),"Y")</f>
        <v>Y</v>
      </c>
      <c r="F1706" s="3" t="str">
        <f>IFERROR(__xludf.DUMMYFUNCTION("""COMPUTED_VALUE"""),"Y")</f>
        <v>Y</v>
      </c>
      <c r="G1706" s="3"/>
      <c r="H1706" s="3"/>
      <c r="I1706" s="3" t="str">
        <f>IFERROR(__xludf.DUMMYFUNCTION("""COMPUTED_VALUE""")," ")</f>
        <v> </v>
      </c>
      <c r="J1706" s="3" t="str">
        <f>IFERROR(__xludf.DUMMYFUNCTION("""COMPUTED_VALUE""")," ")</f>
        <v> </v>
      </c>
      <c r="K1706" s="3" t="str">
        <f>IFERROR(__xludf.DUMMYFUNCTION("""COMPUTED_VALUE"""),"Y")</f>
        <v>Y</v>
      </c>
      <c r="L1706" s="3" t="str">
        <f>IFERROR(__xludf.DUMMYFUNCTION("""COMPUTED_VALUE""")," ")</f>
        <v> </v>
      </c>
      <c r="M1706" s="3"/>
      <c r="N1706" s="5" t="str">
        <f>IFERROR(__xludf.DUMMYFUNCTION("""COMPUTED_VALUE""")," ")</f>
        <v> </v>
      </c>
      <c r="O1706" s="5"/>
    </row>
    <row r="1707">
      <c r="A1707" s="2" t="str">
        <f>IFERROR(__xludf.DUMMYFUNCTION("""COMPUTED_VALUE"""),"3148")</f>
        <v>3148</v>
      </c>
      <c r="B1707" s="2" t="str">
        <f>IFERROR(__xludf.DUMMYFUNCTION("""COMPUTED_VALUE"""),"PAWNEE              RE-12")</f>
        <v>PAWNEE              RE-12</v>
      </c>
      <c r="C1707" s="2" t="str">
        <f>IFERROR(__xludf.DUMMYFUNCTION("""COMPUTED_VALUE"""),"06812")</f>
        <v>06812</v>
      </c>
      <c r="D1707" s="2" t="str">
        <f>IFERROR(__xludf.DUMMYFUNCTION("""COMPUTED_VALUE"""),"PAWNEE SCHOOL PK-12")</f>
        <v>PAWNEE SCHOOL PK-12</v>
      </c>
      <c r="E1707" s="3" t="str">
        <f>IFERROR(__xludf.DUMMYFUNCTION("""COMPUTED_VALUE"""),"Y")</f>
        <v>Y</v>
      </c>
      <c r="F1707" s="3" t="str">
        <f>IFERROR(__xludf.DUMMYFUNCTION("""COMPUTED_VALUE"""),"Y")</f>
        <v>Y</v>
      </c>
      <c r="G1707" s="3"/>
      <c r="H1707" s="3"/>
      <c r="I1707" s="3" t="str">
        <f>IFERROR(__xludf.DUMMYFUNCTION("""COMPUTED_VALUE""")," ")</f>
        <v> </v>
      </c>
      <c r="J1707" s="3" t="str">
        <f>IFERROR(__xludf.DUMMYFUNCTION("""COMPUTED_VALUE""")," ")</f>
        <v> </v>
      </c>
      <c r="K1707" s="3" t="str">
        <f>IFERROR(__xludf.DUMMYFUNCTION("""COMPUTED_VALUE"""),"Y")</f>
        <v>Y</v>
      </c>
      <c r="L1707" s="3" t="str">
        <f>IFERROR(__xludf.DUMMYFUNCTION("""COMPUTED_VALUE""")," ")</f>
        <v> </v>
      </c>
      <c r="M1707" s="3" t="str">
        <f>IFERROR(__xludf.DUMMYFUNCTION("""COMPUTED_VALUE"""),"Base year")</f>
        <v>Base year</v>
      </c>
      <c r="N1707" s="5" t="str">
        <f>IFERROR(__xludf.DUMMYFUNCTION("""COMPUTED_VALUE""")," ")</f>
        <v> </v>
      </c>
      <c r="O1707" s="5"/>
    </row>
    <row r="1708">
      <c r="A1708" s="2" t="str">
        <f>IFERROR(__xludf.DUMMYFUNCTION("""COMPUTED_VALUE"""),"3200")</f>
        <v>3200</v>
      </c>
      <c r="B1708" s="2" t="str">
        <f>IFERROR(__xludf.DUMMYFUNCTION("""COMPUTED_VALUE"""),"YUMA 1")</f>
        <v>YUMA 1</v>
      </c>
      <c r="C1708" s="2" t="str">
        <f>IFERROR(__xludf.DUMMYFUNCTION("""COMPUTED_VALUE"""),"05221")</f>
        <v>05221</v>
      </c>
      <c r="D1708" s="2" t="str">
        <f>IFERROR(__xludf.DUMMYFUNCTION("""COMPUTED_VALUE"""),"LITTLE INDIANS PRESCHOOL")</f>
        <v>LITTLE INDIANS PRESCHOOL</v>
      </c>
      <c r="E1708" s="3" t="str">
        <f>IFERROR(__xludf.DUMMYFUNCTION("""COMPUTED_VALUE"""),"Y")</f>
        <v>Y</v>
      </c>
      <c r="F1708" s="3"/>
      <c r="G1708" s="3"/>
      <c r="H1708" s="3"/>
      <c r="I1708" s="3" t="str">
        <f>IFERROR(__xludf.DUMMYFUNCTION("""COMPUTED_VALUE""")," ")</f>
        <v> </v>
      </c>
      <c r="J1708" s="3" t="str">
        <f>IFERROR(__xludf.DUMMYFUNCTION("""COMPUTED_VALUE""")," ")</f>
        <v> </v>
      </c>
      <c r="K1708" s="3" t="str">
        <f>IFERROR(__xludf.DUMMYFUNCTION("""COMPUTED_VALUE"""),"Y")</f>
        <v>Y</v>
      </c>
      <c r="L1708" s="3" t="str">
        <f>IFERROR(__xludf.DUMMYFUNCTION("""COMPUTED_VALUE""")," ")</f>
        <v> </v>
      </c>
      <c r="M1708" s="3"/>
      <c r="N1708" s="5" t="str">
        <f>IFERROR(__xludf.DUMMYFUNCTION("""COMPUTED_VALUE""")," ")</f>
        <v> </v>
      </c>
      <c r="O1708" s="5"/>
    </row>
    <row r="1709">
      <c r="A1709" s="2" t="str">
        <f>IFERROR(__xludf.DUMMYFUNCTION("""COMPUTED_VALUE"""),"3200")</f>
        <v>3200</v>
      </c>
      <c r="B1709" s="2" t="str">
        <f>IFERROR(__xludf.DUMMYFUNCTION("""COMPUTED_VALUE"""),"YUMA 1")</f>
        <v>YUMA 1</v>
      </c>
      <c r="C1709" s="2" t="str">
        <f>IFERROR(__xludf.DUMMYFUNCTION("""COMPUTED_VALUE"""),"09791")</f>
        <v>09791</v>
      </c>
      <c r="D1709" s="2" t="str">
        <f>IFERROR(__xludf.DUMMYFUNCTION("""COMPUTED_VALUE"""),"YUMA MIDDLE SCHOOL")</f>
        <v>YUMA MIDDLE SCHOOL</v>
      </c>
      <c r="E1709" s="3" t="str">
        <f>IFERROR(__xludf.DUMMYFUNCTION("""COMPUTED_VALUE"""),"Y")</f>
        <v>Y</v>
      </c>
      <c r="F1709" s="3" t="str">
        <f>IFERROR(__xludf.DUMMYFUNCTION("""COMPUTED_VALUE"""),"Y")</f>
        <v>Y</v>
      </c>
      <c r="G1709" s="3"/>
      <c r="H1709" s="3"/>
      <c r="I1709" s="3" t="str">
        <f>IFERROR(__xludf.DUMMYFUNCTION("""COMPUTED_VALUE""")," ")</f>
        <v> </v>
      </c>
      <c r="J1709" s="3" t="str">
        <f>IFERROR(__xludf.DUMMYFUNCTION("""COMPUTED_VALUE""")," ")</f>
        <v> </v>
      </c>
      <c r="K1709" s="3" t="str">
        <f>IFERROR(__xludf.DUMMYFUNCTION("""COMPUTED_VALUE"""),"Y")</f>
        <v>Y</v>
      </c>
      <c r="L1709" s="3" t="str">
        <f>IFERROR(__xludf.DUMMYFUNCTION("""COMPUTED_VALUE"""),"Group 3")</f>
        <v>Group 3</v>
      </c>
      <c r="M1709" s="3"/>
      <c r="N1709" s="5" t="str">
        <f>IFERROR(__xludf.DUMMYFUNCTION("""COMPUTED_VALUE""")," ")</f>
        <v> </v>
      </c>
      <c r="O1709" s="5"/>
    </row>
    <row r="1710">
      <c r="A1710" s="2" t="str">
        <f>IFERROR(__xludf.DUMMYFUNCTION("""COMPUTED_VALUE"""),"3200")</f>
        <v>3200</v>
      </c>
      <c r="B1710" s="2" t="str">
        <f>IFERROR(__xludf.DUMMYFUNCTION("""COMPUTED_VALUE"""),"YUMA 1")</f>
        <v>YUMA 1</v>
      </c>
      <c r="C1710" s="2" t="str">
        <f>IFERROR(__xludf.DUMMYFUNCTION("""COMPUTED_VALUE"""),"09795")</f>
        <v>09795</v>
      </c>
      <c r="D1710" s="2" t="str">
        <f>IFERROR(__xludf.DUMMYFUNCTION("""COMPUTED_VALUE"""),"KENNETH P MORRIS ELEMENTARY SCHOOL")</f>
        <v>KENNETH P MORRIS ELEMENTARY SCHOOL</v>
      </c>
      <c r="E1710" s="3" t="str">
        <f>IFERROR(__xludf.DUMMYFUNCTION("""COMPUTED_VALUE"""),"Y")</f>
        <v>Y</v>
      </c>
      <c r="F1710" s="3" t="str">
        <f>IFERROR(__xludf.DUMMYFUNCTION("""COMPUTED_VALUE"""),"Y")</f>
        <v>Y</v>
      </c>
      <c r="G1710" s="3"/>
      <c r="H1710" s="3"/>
      <c r="I1710" s="3" t="str">
        <f>IFERROR(__xludf.DUMMYFUNCTION("""COMPUTED_VALUE""")," ")</f>
        <v> </v>
      </c>
      <c r="J1710" s="3" t="str">
        <f>IFERROR(__xludf.DUMMYFUNCTION("""COMPUTED_VALUE""")," ")</f>
        <v> </v>
      </c>
      <c r="K1710" s="3" t="str">
        <f>IFERROR(__xludf.DUMMYFUNCTION("""COMPUTED_VALUE"""),"Y")</f>
        <v>Y</v>
      </c>
      <c r="L1710" s="3" t="str">
        <f>IFERROR(__xludf.DUMMYFUNCTION("""COMPUTED_VALUE"""),"Group 2")</f>
        <v>Group 2</v>
      </c>
      <c r="M1710" s="3"/>
      <c r="N1710" s="5" t="str">
        <f>IFERROR(__xludf.DUMMYFUNCTION("""COMPUTED_VALUE""")," ")</f>
        <v> </v>
      </c>
      <c r="O1710" s="5"/>
    </row>
    <row r="1711">
      <c r="A1711" s="2" t="str">
        <f>IFERROR(__xludf.DUMMYFUNCTION("""COMPUTED_VALUE"""),"3200")</f>
        <v>3200</v>
      </c>
      <c r="B1711" s="2" t="str">
        <f>IFERROR(__xludf.DUMMYFUNCTION("""COMPUTED_VALUE"""),"YUMA 1")</f>
        <v>YUMA 1</v>
      </c>
      <c r="C1711" s="2" t="str">
        <f>IFERROR(__xludf.DUMMYFUNCTION("""COMPUTED_VALUE"""),"09799")</f>
        <v>09799</v>
      </c>
      <c r="D1711" s="2" t="str">
        <f>IFERROR(__xludf.DUMMYFUNCTION("""COMPUTED_VALUE"""),"YUMA HIGH SCHOOL")</f>
        <v>YUMA HIGH SCHOOL</v>
      </c>
      <c r="E1711" s="3" t="str">
        <f>IFERROR(__xludf.DUMMYFUNCTION("""COMPUTED_VALUE"""),"Y")</f>
        <v>Y</v>
      </c>
      <c r="F1711" s="3" t="str">
        <f>IFERROR(__xludf.DUMMYFUNCTION("""COMPUTED_VALUE"""),"Y")</f>
        <v>Y</v>
      </c>
      <c r="G1711" s="3"/>
      <c r="H1711" s="3"/>
      <c r="I1711" s="3" t="str">
        <f>IFERROR(__xludf.DUMMYFUNCTION("""COMPUTED_VALUE""")," ")</f>
        <v> </v>
      </c>
      <c r="J1711" s="3" t="str">
        <f>IFERROR(__xludf.DUMMYFUNCTION("""COMPUTED_VALUE""")," ")</f>
        <v> </v>
      </c>
      <c r="K1711" s="3" t="str">
        <f>IFERROR(__xludf.DUMMYFUNCTION("""COMPUTED_VALUE"""),"Y")</f>
        <v>Y</v>
      </c>
      <c r="L1711" s="3" t="str">
        <f>IFERROR(__xludf.DUMMYFUNCTION("""COMPUTED_VALUE"""),"Group 1")</f>
        <v>Group 1</v>
      </c>
      <c r="M1711" s="3"/>
      <c r="N1711" s="5" t="str">
        <f>IFERROR(__xludf.DUMMYFUNCTION("""COMPUTED_VALUE""")," ")</f>
        <v> </v>
      </c>
      <c r="O1711" s="5"/>
    </row>
    <row r="1712">
      <c r="A1712" s="2" t="str">
        <f>IFERROR(__xludf.DUMMYFUNCTION("""COMPUTED_VALUE"""),"3210")</f>
        <v>3210</v>
      </c>
      <c r="B1712" s="2" t="str">
        <f>IFERROR(__xludf.DUMMYFUNCTION("""COMPUTED_VALUE"""),"WRAY RD-2")</f>
        <v>WRAY RD-2</v>
      </c>
      <c r="C1712" s="2" t="str">
        <f>IFERROR(__xludf.DUMMYFUNCTION("""COMPUTED_VALUE"""),"09725")</f>
        <v>09725</v>
      </c>
      <c r="D1712" s="2" t="str">
        <f>IFERROR(__xludf.DUMMYFUNCTION("""COMPUTED_VALUE"""),"WRAY ELEMENTARY SCHOOL")</f>
        <v>WRAY ELEMENTARY SCHOOL</v>
      </c>
      <c r="E1712" s="3" t="str">
        <f>IFERROR(__xludf.DUMMYFUNCTION("""COMPUTED_VALUE"""),"Y")</f>
        <v>Y</v>
      </c>
      <c r="F1712" s="3" t="str">
        <f>IFERROR(__xludf.DUMMYFUNCTION("""COMPUTED_VALUE"""),"Y")</f>
        <v>Y</v>
      </c>
      <c r="G1712" s="3"/>
      <c r="H1712" s="3"/>
      <c r="I1712" s="3" t="str">
        <f>IFERROR(__xludf.DUMMYFUNCTION("""COMPUTED_VALUE""")," ")</f>
        <v> </v>
      </c>
      <c r="J1712" s="3" t="str">
        <f>IFERROR(__xludf.DUMMYFUNCTION("""COMPUTED_VALUE""")," ")</f>
        <v> </v>
      </c>
      <c r="K1712" s="3" t="str">
        <f>IFERROR(__xludf.DUMMYFUNCTION("""COMPUTED_VALUE"""),"Y")</f>
        <v>Y</v>
      </c>
      <c r="L1712" s="3" t="str">
        <f>IFERROR(__xludf.DUMMYFUNCTION("""COMPUTED_VALUE"""),"Group 2")</f>
        <v>Group 2</v>
      </c>
      <c r="M1712" s="3"/>
      <c r="N1712" s="5" t="str">
        <f>IFERROR(__xludf.DUMMYFUNCTION("""COMPUTED_VALUE""")," ")</f>
        <v> </v>
      </c>
      <c r="O1712" s="5"/>
    </row>
    <row r="1713">
      <c r="A1713" s="2" t="str">
        <f>IFERROR(__xludf.DUMMYFUNCTION("""COMPUTED_VALUE"""),"3210")</f>
        <v>3210</v>
      </c>
      <c r="B1713" s="2" t="str">
        <f>IFERROR(__xludf.DUMMYFUNCTION("""COMPUTED_VALUE"""),"WRAY RD-2")</f>
        <v>WRAY RD-2</v>
      </c>
      <c r="C1713" s="2" t="str">
        <f>IFERROR(__xludf.DUMMYFUNCTION("""COMPUTED_VALUE"""),"09733")</f>
        <v>09733</v>
      </c>
      <c r="D1713" s="2" t="str">
        <f>IFERROR(__xludf.DUMMYFUNCTION("""COMPUTED_VALUE"""),"WRAY HIGH SCHOOL")</f>
        <v>WRAY HIGH SCHOOL</v>
      </c>
      <c r="E1713" s="3" t="str">
        <f>IFERROR(__xludf.DUMMYFUNCTION("""COMPUTED_VALUE"""),"Y")</f>
        <v>Y</v>
      </c>
      <c r="F1713" s="3" t="str">
        <f>IFERROR(__xludf.DUMMYFUNCTION("""COMPUTED_VALUE"""),"Y")</f>
        <v>Y</v>
      </c>
      <c r="G1713" s="3"/>
      <c r="H1713" s="3"/>
      <c r="I1713" s="3" t="str">
        <f>IFERROR(__xludf.DUMMYFUNCTION("""COMPUTED_VALUE""")," ")</f>
        <v> </v>
      </c>
      <c r="J1713" s="3" t="str">
        <f>IFERROR(__xludf.DUMMYFUNCTION("""COMPUTED_VALUE""")," ")</f>
        <v> </v>
      </c>
      <c r="K1713" s="3" t="str">
        <f>IFERROR(__xludf.DUMMYFUNCTION("""COMPUTED_VALUE"""),"Y")</f>
        <v>Y</v>
      </c>
      <c r="L1713" s="3" t="str">
        <f>IFERROR(__xludf.DUMMYFUNCTION("""COMPUTED_VALUE"""),"Group 1")</f>
        <v>Group 1</v>
      </c>
      <c r="M1713" s="3"/>
      <c r="N1713" s="5" t="str">
        <f>IFERROR(__xludf.DUMMYFUNCTION("""COMPUTED_VALUE""")," ")</f>
        <v> </v>
      </c>
      <c r="O1713" s="5"/>
    </row>
    <row r="1714">
      <c r="A1714" s="2" t="str">
        <f>IFERROR(__xludf.DUMMYFUNCTION("""COMPUTED_VALUE"""),"3220")</f>
        <v>3220</v>
      </c>
      <c r="B1714" s="2" t="str">
        <f>IFERROR(__xludf.DUMMYFUNCTION("""COMPUTED_VALUE"""),"IDALIA RJ-3")</f>
        <v>IDALIA RJ-3</v>
      </c>
      <c r="C1714" s="2" t="str">
        <f>IFERROR(__xludf.DUMMYFUNCTION("""COMPUTED_VALUE"""),"04227")</f>
        <v>04227</v>
      </c>
      <c r="D1714" s="2" t="str">
        <f>IFERROR(__xludf.DUMMYFUNCTION("""COMPUTED_VALUE"""),"IDALIA ELEMENTARY SCHOOL")</f>
        <v>IDALIA ELEMENTARY SCHOOL</v>
      </c>
      <c r="E1714" s="3" t="str">
        <f>IFERROR(__xludf.DUMMYFUNCTION("""COMPUTED_VALUE"""),"Y")</f>
        <v>Y</v>
      </c>
      <c r="F1714" s="3" t="str">
        <f>IFERROR(__xludf.DUMMYFUNCTION("""COMPUTED_VALUE"""),"Y")</f>
        <v>Y</v>
      </c>
      <c r="G1714" s="3"/>
      <c r="H1714" s="3"/>
      <c r="I1714" s="3" t="str">
        <f>IFERROR(__xludf.DUMMYFUNCTION("""COMPUTED_VALUE""")," ")</f>
        <v> </v>
      </c>
      <c r="J1714" s="3" t="str">
        <f>IFERROR(__xludf.DUMMYFUNCTION("""COMPUTED_VALUE""")," ")</f>
        <v> </v>
      </c>
      <c r="K1714" s="3" t="str">
        <f>IFERROR(__xludf.DUMMYFUNCTION("""COMPUTED_VALUE"""),"Y")</f>
        <v>Y</v>
      </c>
      <c r="L1714" s="3" t="str">
        <f>IFERROR(__xludf.DUMMYFUNCTION("""COMPUTED_VALUE"""),"Group 2")</f>
        <v>Group 2</v>
      </c>
      <c r="M1714" s="3"/>
      <c r="N1714" s="5" t="str">
        <f>IFERROR(__xludf.DUMMYFUNCTION("""COMPUTED_VALUE""")," ")</f>
        <v> </v>
      </c>
      <c r="O1714" s="5"/>
    </row>
    <row r="1715">
      <c r="A1715" s="2" t="str">
        <f>IFERROR(__xludf.DUMMYFUNCTION("""COMPUTED_VALUE"""),"3220")</f>
        <v>3220</v>
      </c>
      <c r="B1715" s="2" t="str">
        <f>IFERROR(__xludf.DUMMYFUNCTION("""COMPUTED_VALUE"""),"IDALIA RJ-3")</f>
        <v>IDALIA RJ-3</v>
      </c>
      <c r="C1715" s="2" t="str">
        <f>IFERROR(__xludf.DUMMYFUNCTION("""COMPUTED_VALUE"""),"04231")</f>
        <v>04231</v>
      </c>
      <c r="D1715" s="2" t="str">
        <f>IFERROR(__xludf.DUMMYFUNCTION("""COMPUTED_VALUE"""),"IDALIA JR-SR HIGH SCHOOL")</f>
        <v>IDALIA JR-SR HIGH SCHOOL</v>
      </c>
      <c r="E1715" s="3" t="str">
        <f>IFERROR(__xludf.DUMMYFUNCTION("""COMPUTED_VALUE"""),"Y")</f>
        <v>Y</v>
      </c>
      <c r="F1715" s="3" t="str">
        <f>IFERROR(__xludf.DUMMYFUNCTION("""COMPUTED_VALUE"""),"Y")</f>
        <v>Y</v>
      </c>
      <c r="G1715" s="3"/>
      <c r="H1715" s="3"/>
      <c r="I1715" s="3" t="str">
        <f>IFERROR(__xludf.DUMMYFUNCTION("""COMPUTED_VALUE""")," ")</f>
        <v> </v>
      </c>
      <c r="J1715" s="3" t="str">
        <f>IFERROR(__xludf.DUMMYFUNCTION("""COMPUTED_VALUE""")," ")</f>
        <v> </v>
      </c>
      <c r="K1715" s="3" t="str">
        <f>IFERROR(__xludf.DUMMYFUNCTION("""COMPUTED_VALUE"""),"Y")</f>
        <v>Y</v>
      </c>
      <c r="L1715" s="3" t="str">
        <f>IFERROR(__xludf.DUMMYFUNCTION("""COMPUTED_VALUE"""),"Group 1")</f>
        <v>Group 1</v>
      </c>
      <c r="M1715" s="3"/>
      <c r="N1715" s="5" t="str">
        <f>IFERROR(__xludf.DUMMYFUNCTION("""COMPUTED_VALUE""")," ")</f>
        <v> </v>
      </c>
      <c r="O1715" s="5"/>
    </row>
    <row r="1716">
      <c r="A1716" s="2" t="str">
        <f>IFERROR(__xludf.DUMMYFUNCTION("""COMPUTED_VALUE"""),"3230")</f>
        <v>3230</v>
      </c>
      <c r="B1716" s="2" t="str">
        <f>IFERROR(__xludf.DUMMYFUNCTION("""COMPUTED_VALUE"""),"LIBERTY             J-4")</f>
        <v>LIBERTY             J-4</v>
      </c>
      <c r="C1716" s="2" t="str">
        <f>IFERROR(__xludf.DUMMYFUNCTION("""COMPUTED_VALUE"""),"05123")</f>
        <v>05123</v>
      </c>
      <c r="D1716" s="2" t="str">
        <f>IFERROR(__xludf.DUMMYFUNCTION("""COMPUTED_VALUE"""),"LIBERTY SCHOOL")</f>
        <v>LIBERTY SCHOOL</v>
      </c>
      <c r="E1716" s="3" t="str">
        <f>IFERROR(__xludf.DUMMYFUNCTION("""COMPUTED_VALUE"""),"Y")</f>
        <v>Y</v>
      </c>
      <c r="F1716" s="3" t="str">
        <f>IFERROR(__xludf.DUMMYFUNCTION("""COMPUTED_VALUE"""),"Y")</f>
        <v>Y</v>
      </c>
      <c r="G1716" s="3"/>
      <c r="H1716" s="3"/>
      <c r="I1716" s="3" t="str">
        <f>IFERROR(__xludf.DUMMYFUNCTION("""COMPUTED_VALUE""")," ")</f>
        <v> </v>
      </c>
      <c r="J1716" s="3" t="str">
        <f>IFERROR(__xludf.DUMMYFUNCTION("""COMPUTED_VALUE""")," ")</f>
        <v> </v>
      </c>
      <c r="K1716" s="3" t="str">
        <f>IFERROR(__xludf.DUMMYFUNCTION("""COMPUTED_VALUE"""),"Y")</f>
        <v>Y</v>
      </c>
      <c r="L1716" s="3" t="str">
        <f>IFERROR(__xludf.DUMMYFUNCTION("""COMPUTED_VALUE"""),"Group 1")</f>
        <v>Group 1</v>
      </c>
      <c r="M1716" s="3"/>
      <c r="N1716" s="5" t="str">
        <f>IFERROR(__xludf.DUMMYFUNCTION("""COMPUTED_VALUE""")," ")</f>
        <v> </v>
      </c>
      <c r="O1716" s="5"/>
    </row>
    <row r="1717">
      <c r="A1717" s="2" t="str">
        <f>IFERROR(__xludf.DUMMYFUNCTION("""COMPUTED_VALUE"""),"4002")</f>
        <v>4002</v>
      </c>
      <c r="B1717" s="2" t="str">
        <f>IFERROR(__xludf.DUMMYFUNCTION("""COMPUTED_VALUE"""),"ASSUMPTION CATHOLIC SCHOOL")</f>
        <v>ASSUMPTION CATHOLIC SCHOOL</v>
      </c>
      <c r="C1717" s="2" t="str">
        <f>IFERROR(__xludf.DUMMYFUNCTION("""COMPUTED_VALUE"""),"04002")</f>
        <v>04002</v>
      </c>
      <c r="D1717" s="2" t="str">
        <f>IFERROR(__xludf.DUMMYFUNCTION("""COMPUTED_VALUE"""),"Assumption School")</f>
        <v>Assumption School</v>
      </c>
      <c r="E1717" s="3"/>
      <c r="F1717" s="3"/>
      <c r="G1717" s="3"/>
      <c r="H1717" s="3" t="str">
        <f>IFERROR(__xludf.DUMMYFUNCTION("""COMPUTED_VALUE"""),"Milk only")</f>
        <v>Milk only</v>
      </c>
      <c r="I1717" s="3" t="str">
        <f>IFERROR(__xludf.DUMMYFUNCTION("""COMPUTED_VALUE""")," ")</f>
        <v> </v>
      </c>
      <c r="J1717" s="3" t="str">
        <f>IFERROR(__xludf.DUMMYFUNCTION("""COMPUTED_VALUE""")," ")</f>
        <v> </v>
      </c>
      <c r="K1717" s="3" t="str">
        <f>IFERROR(__xludf.DUMMYFUNCTION("""COMPUTED_VALUE"""),"Not eligibile")</f>
        <v>Not eligibile</v>
      </c>
      <c r="L1717" s="3" t="str">
        <f>IFERROR(__xludf.DUMMYFUNCTION("""COMPUTED_VALUE""")," ")</f>
        <v> </v>
      </c>
      <c r="M1717" s="3"/>
      <c r="N1717" s="5" t="str">
        <f>IFERROR(__xludf.DUMMYFUNCTION("""COMPUTED_VALUE""")," ")</f>
        <v> </v>
      </c>
      <c r="O1717" s="5"/>
    </row>
    <row r="1718">
      <c r="A1718" s="2" t="str">
        <f>IFERROR(__xludf.DUMMYFUNCTION("""COMPUTED_VALUE"""),"4026")</f>
        <v>4026</v>
      </c>
      <c r="B1718" s="2" t="str">
        <f>IFERROR(__xludf.DUMMYFUNCTION("""COMPUTED_VALUE"""),"DAYSPRING CHRISTIAN ACADEMY")</f>
        <v>DAYSPRING CHRISTIAN ACADEMY</v>
      </c>
      <c r="C1718" s="2" t="str">
        <f>IFERROR(__xludf.DUMMYFUNCTION("""COMPUTED_VALUE"""),"04026")</f>
        <v>04026</v>
      </c>
      <c r="D1718" s="2" t="str">
        <f>IFERROR(__xludf.DUMMYFUNCTION("""COMPUTED_VALUE"""),"Dayspring Christian School")</f>
        <v>Dayspring Christian School</v>
      </c>
      <c r="E1718" s="3"/>
      <c r="F1718" s="3"/>
      <c r="G1718" s="3"/>
      <c r="H1718" s="3" t="str">
        <f>IFERROR(__xludf.DUMMYFUNCTION("""COMPUTED_VALUE"""),"Milk only")</f>
        <v>Milk only</v>
      </c>
      <c r="I1718" s="3" t="str">
        <f>IFERROR(__xludf.DUMMYFUNCTION("""COMPUTED_VALUE""")," ")</f>
        <v> </v>
      </c>
      <c r="J1718" s="3" t="str">
        <f>IFERROR(__xludf.DUMMYFUNCTION("""COMPUTED_VALUE""")," ")</f>
        <v> </v>
      </c>
      <c r="K1718" s="3" t="str">
        <f>IFERROR(__xludf.DUMMYFUNCTION("""COMPUTED_VALUE"""),"Not eligibile")</f>
        <v>Not eligibile</v>
      </c>
      <c r="L1718" s="3" t="str">
        <f>IFERROR(__xludf.DUMMYFUNCTION("""COMPUTED_VALUE""")," ")</f>
        <v> </v>
      </c>
      <c r="M1718" s="3"/>
      <c r="N1718" s="5" t="str">
        <f>IFERROR(__xludf.DUMMYFUNCTION("""COMPUTED_VALUE""")," ")</f>
        <v> </v>
      </c>
      <c r="O1718" s="5"/>
    </row>
    <row r="1719">
      <c r="A1719" s="2" t="str">
        <f>IFERROR(__xludf.DUMMYFUNCTION("""COMPUTED_VALUE"""),"4370")</f>
        <v>4370</v>
      </c>
      <c r="B1719" s="2" t="str">
        <f>IFERROR(__xludf.DUMMYFUNCTION("""COMPUTED_VALUE"""),"LARADON SCHOOL")</f>
        <v>LARADON SCHOOL</v>
      </c>
      <c r="C1719" s="2" t="str">
        <f>IFERROR(__xludf.DUMMYFUNCTION("""COMPUTED_VALUE"""),"12757")</f>
        <v>12757</v>
      </c>
      <c r="D1719" s="2" t="str">
        <f>IFERROR(__xludf.DUMMYFUNCTION("""COMPUTED_VALUE"""),"Laradon School")</f>
        <v>Laradon School</v>
      </c>
      <c r="E1719" s="3"/>
      <c r="F1719" s="3" t="str">
        <f>IFERROR(__xludf.DUMMYFUNCTION("""COMPUTED_VALUE"""),"Y")</f>
        <v>Y</v>
      </c>
      <c r="G1719" s="3"/>
      <c r="H1719" s="3"/>
      <c r="I1719" s="3" t="str">
        <f>IFERROR(__xludf.DUMMYFUNCTION("""COMPUTED_VALUE""")," ")</f>
        <v> </v>
      </c>
      <c r="J1719" s="3" t="str">
        <f>IFERROR(__xludf.DUMMYFUNCTION("""COMPUTED_VALUE""")," ")</f>
        <v> </v>
      </c>
      <c r="K1719" s="3" t="str">
        <f>IFERROR(__xludf.DUMMYFUNCTION("""COMPUTED_VALUE"""),"N")</f>
        <v>N</v>
      </c>
      <c r="L1719" s="3" t="str">
        <f>IFERROR(__xludf.DUMMYFUNCTION("""COMPUTED_VALUE""")," ")</f>
        <v> </v>
      </c>
      <c r="M1719" s="3"/>
      <c r="N1719" s="5" t="str">
        <f>IFERROR(__xludf.DUMMYFUNCTION("""COMPUTED_VALUE""")," ")</f>
        <v> </v>
      </c>
      <c r="O1719" s="5"/>
    </row>
    <row r="1720">
      <c r="A1720" s="2" t="str">
        <f>IFERROR(__xludf.DUMMYFUNCTION("""COMPUTED_VALUE"""),"4395")</f>
        <v>4395</v>
      </c>
      <c r="B1720" s="2" t="str">
        <f>IFERROR(__xludf.DUMMYFUNCTION("""COMPUTED_VALUE"""),"GUARDIAN ANGELS CHURCH")</f>
        <v>GUARDIAN ANGELS CHURCH</v>
      </c>
      <c r="C1720" s="2" t="str">
        <f>IFERROR(__xludf.DUMMYFUNCTION("""COMPUTED_VALUE"""),"04395")</f>
        <v>04395</v>
      </c>
      <c r="D1720" s="2" t="str">
        <f>IFERROR(__xludf.DUMMYFUNCTION("""COMPUTED_VALUE"""),"Guardian Angels")</f>
        <v>Guardian Angels</v>
      </c>
      <c r="E1720" s="3" t="str">
        <f>IFERROR(__xludf.DUMMYFUNCTION("""COMPUTED_VALUE"""),"Y")</f>
        <v>Y</v>
      </c>
      <c r="F1720" s="3" t="str">
        <f>IFERROR(__xludf.DUMMYFUNCTION("""COMPUTED_VALUE"""),"Y")</f>
        <v>Y</v>
      </c>
      <c r="G1720" s="3" t="str">
        <f>IFERROR(__xludf.DUMMYFUNCTION("""COMPUTED_VALUE"""),"Y")</f>
        <v>Y</v>
      </c>
      <c r="H1720" s="3"/>
      <c r="I1720" s="3" t="str">
        <f>IFERROR(__xludf.DUMMYFUNCTION("""COMPUTED_VALUE""")," ")</f>
        <v> </v>
      </c>
      <c r="J1720" s="3" t="str">
        <f>IFERROR(__xludf.DUMMYFUNCTION("""COMPUTED_VALUE""")," ")</f>
        <v> </v>
      </c>
      <c r="K1720" s="3" t="str">
        <f>IFERROR(__xludf.DUMMYFUNCTION("""COMPUTED_VALUE"""),"Not eligibile")</f>
        <v>Not eligibile</v>
      </c>
      <c r="L1720" s="3" t="str">
        <f>IFERROR(__xludf.DUMMYFUNCTION("""COMPUTED_VALUE"""),"Group 1")</f>
        <v>Group 1</v>
      </c>
      <c r="M1720" s="3"/>
      <c r="N1720" s="5" t="str">
        <f>IFERROR(__xludf.DUMMYFUNCTION("""COMPUTED_VALUE""")," ")</f>
        <v> </v>
      </c>
      <c r="O1720" s="5"/>
    </row>
    <row r="1721">
      <c r="A1721" s="2" t="str">
        <f>IFERROR(__xludf.DUMMYFUNCTION("""COMPUTED_VALUE"""),"4604")</f>
        <v>4604</v>
      </c>
      <c r="B1721" s="2" t="str">
        <f>IFERROR(__xludf.DUMMYFUNCTION("""COMPUTED_VALUE"""),"ST. MARY SCHOOL")</f>
        <v>ST. MARY SCHOOL</v>
      </c>
      <c r="C1721" s="2" t="str">
        <f>IFERROR(__xludf.DUMMYFUNCTION("""COMPUTED_VALUE"""),"04604")</f>
        <v>04604</v>
      </c>
      <c r="D1721" s="2" t="str">
        <f>IFERROR(__xludf.DUMMYFUNCTION("""COMPUTED_VALUE"""),"St Mary Catholic School")</f>
        <v>St Mary Catholic School</v>
      </c>
      <c r="E1721" s="3"/>
      <c r="F1721" s="3"/>
      <c r="G1721" s="3"/>
      <c r="H1721" s="3" t="str">
        <f>IFERROR(__xludf.DUMMYFUNCTION("""COMPUTED_VALUE"""),"Milk only")</f>
        <v>Milk only</v>
      </c>
      <c r="I1721" s="3" t="str">
        <f>IFERROR(__xludf.DUMMYFUNCTION("""COMPUTED_VALUE""")," ")</f>
        <v> </v>
      </c>
      <c r="J1721" s="3" t="str">
        <f>IFERROR(__xludf.DUMMYFUNCTION("""COMPUTED_VALUE""")," ")</f>
        <v> </v>
      </c>
      <c r="K1721" s="3" t="str">
        <f>IFERROR(__xludf.DUMMYFUNCTION("""COMPUTED_VALUE"""),"Not eligibile")</f>
        <v>Not eligibile</v>
      </c>
      <c r="L1721" s="3" t="str">
        <f>IFERROR(__xludf.DUMMYFUNCTION("""COMPUTED_VALUE""")," ")</f>
        <v> </v>
      </c>
      <c r="M1721" s="3"/>
      <c r="N1721" s="5" t="str">
        <f>IFERROR(__xludf.DUMMYFUNCTION("""COMPUTED_VALUE""")," ")</f>
        <v> </v>
      </c>
      <c r="O1721" s="5"/>
    </row>
    <row r="1722">
      <c r="A1722" s="2" t="str">
        <f>IFERROR(__xludf.DUMMYFUNCTION("""COMPUTED_VALUE"""),"4634")</f>
        <v>4634</v>
      </c>
      <c r="B1722" s="2" t="str">
        <f>IFERROR(__xludf.DUMMYFUNCTION("""COMPUTED_VALUE"""),"ST. THERESE SCHOOL")</f>
        <v>ST. THERESE SCHOOL</v>
      </c>
      <c r="C1722" s="2" t="str">
        <f>IFERROR(__xludf.DUMMYFUNCTION("""COMPUTED_VALUE"""),"04634")</f>
        <v>04634</v>
      </c>
      <c r="D1722" s="2" t="str">
        <f>IFERROR(__xludf.DUMMYFUNCTION("""COMPUTED_VALUE"""),"St Therese Catholic School")</f>
        <v>St Therese Catholic School</v>
      </c>
      <c r="E1722" s="3"/>
      <c r="F1722" s="3" t="str">
        <f>IFERROR(__xludf.DUMMYFUNCTION("""COMPUTED_VALUE"""),"Y")</f>
        <v>Y</v>
      </c>
      <c r="G1722" s="3"/>
      <c r="H1722" s="3"/>
      <c r="I1722" s="3" t="str">
        <f>IFERROR(__xludf.DUMMYFUNCTION("""COMPUTED_VALUE""")," ")</f>
        <v> </v>
      </c>
      <c r="J1722" s="3" t="str">
        <f>IFERROR(__xludf.DUMMYFUNCTION("""COMPUTED_VALUE""")," ")</f>
        <v> </v>
      </c>
      <c r="K1722" s="3" t="str">
        <f>IFERROR(__xludf.DUMMYFUNCTION("""COMPUTED_VALUE"""),"Not eligibile")</f>
        <v>Not eligibile</v>
      </c>
      <c r="L1722" s="3" t="str">
        <f>IFERROR(__xludf.DUMMYFUNCTION("""COMPUTED_VALUE""")," ")</f>
        <v> </v>
      </c>
      <c r="M1722" s="3"/>
      <c r="N1722" s="5" t="str">
        <f>IFERROR(__xludf.DUMMYFUNCTION("""COMPUTED_VALUE""")," ")</f>
        <v> </v>
      </c>
      <c r="O1722" s="5"/>
    </row>
    <row r="1723">
      <c r="A1723" s="2" t="str">
        <f>IFERROR(__xludf.DUMMYFUNCTION("""COMPUTED_VALUE"""),"5230")</f>
        <v>5230</v>
      </c>
      <c r="B1723" s="2" t="str">
        <f>IFERROR(__xludf.DUMMYFUNCTION("""COMPUTED_VALUE"""),"Landmark Baptist School")</f>
        <v>Landmark Baptist School</v>
      </c>
      <c r="C1723" s="2" t="str">
        <f>IFERROR(__xludf.DUMMYFUNCTION("""COMPUTED_VALUE"""),"05230")</f>
        <v>05230</v>
      </c>
      <c r="D1723" s="2" t="str">
        <f>IFERROR(__xludf.DUMMYFUNCTION("""COMPUTED_VALUE"""),"Landmark Baptist School")</f>
        <v>Landmark Baptist School</v>
      </c>
      <c r="E1723" s="3" t="str">
        <f>IFERROR(__xludf.DUMMYFUNCTION("""COMPUTED_VALUE"""),"Y")</f>
        <v>Y</v>
      </c>
      <c r="F1723" s="3" t="str">
        <f>IFERROR(__xludf.DUMMYFUNCTION("""COMPUTED_VALUE"""),"Y")</f>
        <v>Y</v>
      </c>
      <c r="G1723" s="3"/>
      <c r="H1723" s="3"/>
      <c r="I1723" s="3" t="str">
        <f>IFERROR(__xludf.DUMMYFUNCTION("""COMPUTED_VALUE"""),"Y")</f>
        <v>Y</v>
      </c>
      <c r="J1723" s="3" t="str">
        <f>IFERROR(__xludf.DUMMYFUNCTION("""COMPUTED_VALUE""")," ")</f>
        <v> </v>
      </c>
      <c r="K1723" s="3" t="str">
        <f>IFERROR(__xludf.DUMMYFUNCTION("""COMPUTED_VALUE"""),"Not eligibile")</f>
        <v>Not eligibile</v>
      </c>
      <c r="L1723" s="3" t="str">
        <f>IFERROR(__xludf.DUMMYFUNCTION("""COMPUTED_VALUE"""),"Group 1")</f>
        <v>Group 1</v>
      </c>
      <c r="M1723" s="3"/>
      <c r="N1723" s="5" t="str">
        <f>IFERROR(__xludf.DUMMYFUNCTION("""COMPUTED_VALUE""")," ")</f>
        <v> </v>
      </c>
      <c r="O1723" s="5"/>
    </row>
    <row r="1724">
      <c r="A1724" s="2" t="str">
        <f>IFERROR(__xludf.DUMMYFUNCTION("""COMPUTED_VALUE"""),"5658")</f>
        <v>5658</v>
      </c>
      <c r="B1724" s="2" t="str">
        <f>IFERROR(__xludf.DUMMYFUNCTION("""COMPUTED_VALUE"""),"Maslow Academy Of Applied Learning Inc.")</f>
        <v>Maslow Academy Of Applied Learning Inc.</v>
      </c>
      <c r="C1724" s="2" t="str">
        <f>IFERROR(__xludf.DUMMYFUNCTION("""COMPUTED_VALUE"""),"05658")</f>
        <v>05658</v>
      </c>
      <c r="D1724" s="2" t="str">
        <f>IFERROR(__xludf.DUMMYFUNCTION("""COMPUTED_VALUE"""),"Maslow Academy")</f>
        <v>Maslow Academy</v>
      </c>
      <c r="E1724" s="3" t="str">
        <f>IFERROR(__xludf.DUMMYFUNCTION("""COMPUTED_VALUE"""),"Y")</f>
        <v>Y</v>
      </c>
      <c r="F1724" s="3" t="str">
        <f>IFERROR(__xludf.DUMMYFUNCTION("""COMPUTED_VALUE"""),"Y")</f>
        <v>Y</v>
      </c>
      <c r="G1724" s="3"/>
      <c r="H1724" s="3"/>
      <c r="I1724" s="3" t="str">
        <f>IFERROR(__xludf.DUMMYFUNCTION("""COMPUTED_VALUE""")," ")</f>
        <v> </v>
      </c>
      <c r="J1724" s="3" t="str">
        <f>IFERROR(__xludf.DUMMYFUNCTION("""COMPUTED_VALUE""")," ")</f>
        <v> </v>
      </c>
      <c r="K1724" s="3" t="str">
        <f>IFERROR(__xludf.DUMMYFUNCTION("""COMPUTED_VALUE"""),"Not eligibile")</f>
        <v>Not eligibile</v>
      </c>
      <c r="L1724" s="3" t="str">
        <f>IFERROR(__xludf.DUMMYFUNCTION("""COMPUTED_VALUE""")," ")</f>
        <v> </v>
      </c>
      <c r="M1724" s="3"/>
      <c r="N1724" s="5" t="str">
        <f>IFERROR(__xludf.DUMMYFUNCTION("""COMPUTED_VALUE""")," ")</f>
        <v> </v>
      </c>
      <c r="O1724" s="5"/>
    </row>
    <row r="1725">
      <c r="A1725" s="2" t="str">
        <f>IFERROR(__xludf.DUMMYFUNCTION("""COMPUTED_VALUE"""),"6022")</f>
        <v>6022</v>
      </c>
      <c r="B1725" s="2" t="str">
        <f>IFERROR(__xludf.DUMMYFUNCTION("""COMPUTED_VALUE"""),"ALTERNATIVE HOMES FOR YOUTH")</f>
        <v>ALTERNATIVE HOMES FOR YOUTH</v>
      </c>
      <c r="C1725" s="2" t="str">
        <f>IFERROR(__xludf.DUMMYFUNCTION("""COMPUTED_VALUE"""),"12751")</f>
        <v>12751</v>
      </c>
      <c r="D1725" s="2" t="str">
        <f>IFERROR(__xludf.DUMMYFUNCTION("""COMPUTED_VALUE"""),"Alternative Homes for Youth")</f>
        <v>Alternative Homes for Youth</v>
      </c>
      <c r="E1725" s="3" t="str">
        <f>IFERROR(__xludf.DUMMYFUNCTION("""COMPUTED_VALUE"""),"Y")</f>
        <v>Y</v>
      </c>
      <c r="F1725" s="3" t="str">
        <f>IFERROR(__xludf.DUMMYFUNCTION("""COMPUTED_VALUE"""),"Y")</f>
        <v>Y</v>
      </c>
      <c r="G1725" s="3" t="str">
        <f>IFERROR(__xludf.DUMMYFUNCTION("""COMPUTED_VALUE"""),"Y")</f>
        <v>Y</v>
      </c>
      <c r="H1725" s="3"/>
      <c r="I1725" s="3" t="str">
        <f>IFERROR(__xludf.DUMMYFUNCTION("""COMPUTED_VALUE""")," ")</f>
        <v> </v>
      </c>
      <c r="J1725" s="3" t="str">
        <f>IFERROR(__xludf.DUMMYFUNCTION("""COMPUTED_VALUE""")," ")</f>
        <v> </v>
      </c>
      <c r="K1725" s="3" t="str">
        <f>IFERROR(__xludf.DUMMYFUNCTION("""COMPUTED_VALUE"""),"Y")</f>
        <v>Y</v>
      </c>
      <c r="L1725" s="3" t="str">
        <f>IFERROR(__xludf.DUMMYFUNCTION("""COMPUTED_VALUE""")," ")</f>
        <v> </v>
      </c>
      <c r="M1725" s="3"/>
      <c r="N1725" s="5" t="str">
        <f>IFERROR(__xludf.DUMMYFUNCTION("""COMPUTED_VALUE""")," ")</f>
        <v> </v>
      </c>
      <c r="O1725" s="5"/>
    </row>
    <row r="1726">
      <c r="A1726" s="2" t="str">
        <f>IFERROR(__xludf.DUMMYFUNCTION("""COMPUTED_VALUE"""),"6023")</f>
        <v>6023</v>
      </c>
      <c r="B1726" s="2" t="str">
        <f>IFERROR(__xludf.DUMMYFUNCTION("""COMPUTED_VALUE"""),"GATEWAY YOUTH &amp; FAMILY SERVICES")</f>
        <v>GATEWAY YOUTH &amp; FAMILY SERVICES</v>
      </c>
      <c r="C1726" s="2" t="str">
        <f>IFERROR(__xludf.DUMMYFUNCTION("""COMPUTED_VALUE"""),"12750")</f>
        <v>12750</v>
      </c>
      <c r="D1726" s="2" t="str">
        <f>IFERROR(__xludf.DUMMYFUNCTION("""COMPUTED_VALUE"""),"Gateway Residential Services DT")</f>
        <v>Gateway Residential Services DT</v>
      </c>
      <c r="E1726" s="3" t="str">
        <f>IFERROR(__xludf.DUMMYFUNCTION("""COMPUTED_VALUE"""),"Y")</f>
        <v>Y</v>
      </c>
      <c r="F1726" s="3" t="str">
        <f>IFERROR(__xludf.DUMMYFUNCTION("""COMPUTED_VALUE"""),"Y")</f>
        <v>Y</v>
      </c>
      <c r="G1726" s="3" t="str">
        <f>IFERROR(__xludf.DUMMYFUNCTION("""COMPUTED_VALUE"""),"Y")</f>
        <v>Y</v>
      </c>
      <c r="H1726" s="3"/>
      <c r="I1726" s="3" t="str">
        <f>IFERROR(__xludf.DUMMYFUNCTION("""COMPUTED_VALUE""")," ")</f>
        <v> </v>
      </c>
      <c r="J1726" s="3" t="str">
        <f>IFERROR(__xludf.DUMMYFUNCTION("""COMPUTED_VALUE""")," ")</f>
        <v> </v>
      </c>
      <c r="K1726" s="3" t="str">
        <f>IFERROR(__xludf.DUMMYFUNCTION("""COMPUTED_VALUE"""),"Y")</f>
        <v>Y</v>
      </c>
      <c r="L1726" s="3" t="str">
        <f>IFERROR(__xludf.DUMMYFUNCTION("""COMPUTED_VALUE""")," ")</f>
        <v> </v>
      </c>
      <c r="M1726" s="3"/>
      <c r="N1726" s="5" t="str">
        <f>IFERROR(__xludf.DUMMYFUNCTION("""COMPUTED_VALUE""")," ")</f>
        <v> </v>
      </c>
      <c r="O1726" s="5"/>
    </row>
    <row r="1727">
      <c r="A1727" s="2" t="str">
        <f>IFERROR(__xludf.DUMMYFUNCTION("""COMPUTED_VALUE"""),"6063")</f>
        <v>6063</v>
      </c>
      <c r="B1727" s="2" t="str">
        <f>IFERROR(__xludf.DUMMYFUNCTION("""COMPUTED_VALUE"""),"TENNYSON CENTER")</f>
        <v>TENNYSON CENTER</v>
      </c>
      <c r="C1727" s="2" t="str">
        <f>IFERROR(__xludf.DUMMYFUNCTION("""COMPUTED_VALUE"""),"06063")</f>
        <v>06063</v>
      </c>
      <c r="D1727" s="2" t="str">
        <f>IFERROR(__xludf.DUMMYFUNCTION("""COMPUTED_VALUE"""),"Tennyson Center-CCH")</f>
        <v>Tennyson Center-CCH</v>
      </c>
      <c r="E1727" s="3" t="str">
        <f>IFERROR(__xludf.DUMMYFUNCTION("""COMPUTED_VALUE"""),"Y")</f>
        <v>Y</v>
      </c>
      <c r="F1727" s="3" t="str">
        <f>IFERROR(__xludf.DUMMYFUNCTION("""COMPUTED_VALUE"""),"Y")</f>
        <v>Y</v>
      </c>
      <c r="G1727" s="3"/>
      <c r="H1727" s="3"/>
      <c r="I1727" s="3" t="str">
        <f>IFERROR(__xludf.DUMMYFUNCTION("""COMPUTED_VALUE""")," ")</f>
        <v> </v>
      </c>
      <c r="J1727" s="3" t="str">
        <f>IFERROR(__xludf.DUMMYFUNCTION("""COMPUTED_VALUE""")," ")</f>
        <v> </v>
      </c>
      <c r="K1727" s="3" t="str">
        <f>IFERROR(__xludf.DUMMYFUNCTION("""COMPUTED_VALUE"""),"Y")</f>
        <v>Y</v>
      </c>
      <c r="L1727" s="3" t="str">
        <f>IFERROR(__xludf.DUMMYFUNCTION("""COMPUTED_VALUE"""),"Individual")</f>
        <v>Individual</v>
      </c>
      <c r="M1727" s="3"/>
      <c r="N1727" s="5" t="str">
        <f>IFERROR(__xludf.DUMMYFUNCTION("""COMPUTED_VALUE""")," ")</f>
        <v> </v>
      </c>
      <c r="O1727" s="5"/>
    </row>
    <row r="1728">
      <c r="A1728" s="2" t="str">
        <f>IFERROR(__xludf.DUMMYFUNCTION("""COMPUTED_VALUE"""),"6107")</f>
        <v>6107</v>
      </c>
      <c r="B1728" s="2" t="str">
        <f>IFERROR(__xludf.DUMMYFUNCTION("""COMPUTED_VALUE"""),"MORGRIDGE ACADEMY")</f>
        <v>MORGRIDGE ACADEMY</v>
      </c>
      <c r="C1728" s="2" t="str">
        <f>IFERROR(__xludf.DUMMYFUNCTION("""COMPUTED_VALUE"""),"12759")</f>
        <v>12759</v>
      </c>
      <c r="D1728" s="2" t="str">
        <f>IFERROR(__xludf.DUMMYFUNCTION("""COMPUTED_VALUE"""),"Morgridge Academy")</f>
        <v>Morgridge Academy</v>
      </c>
      <c r="E1728" s="3" t="str">
        <f>IFERROR(__xludf.DUMMYFUNCTION("""COMPUTED_VALUE"""),"Y")</f>
        <v>Y</v>
      </c>
      <c r="F1728" s="3" t="str">
        <f>IFERROR(__xludf.DUMMYFUNCTION("""COMPUTED_VALUE"""),"Y")</f>
        <v>Y</v>
      </c>
      <c r="G1728" s="3"/>
      <c r="H1728" s="3"/>
      <c r="I1728" s="3" t="str">
        <f>IFERROR(__xludf.DUMMYFUNCTION("""COMPUTED_VALUE""")," ")</f>
        <v> </v>
      </c>
      <c r="J1728" s="3" t="str">
        <f>IFERROR(__xludf.DUMMYFUNCTION("""COMPUTED_VALUE""")," ")</f>
        <v> </v>
      </c>
      <c r="K1728" s="3" t="str">
        <f>IFERROR(__xludf.DUMMYFUNCTION("""COMPUTED_VALUE"""),"Y")</f>
        <v>Y</v>
      </c>
      <c r="L1728" s="3" t="str">
        <f>IFERROR(__xludf.DUMMYFUNCTION("""COMPUTED_VALUE"""),"Group 1")</f>
        <v>Group 1</v>
      </c>
      <c r="M1728" s="3"/>
      <c r="N1728" s="5" t="str">
        <f>IFERROR(__xludf.DUMMYFUNCTION("""COMPUTED_VALUE""")," ")</f>
        <v> </v>
      </c>
      <c r="O1728" s="5"/>
    </row>
    <row r="1729">
      <c r="A1729" s="2" t="str">
        <f>IFERROR(__xludf.DUMMYFUNCTION("""COMPUTED_VALUE"""),"6204")</f>
        <v>6204</v>
      </c>
      <c r="B1729" s="2" t="str">
        <f>IFERROR(__xludf.DUMMYFUNCTION("""COMPUTED_VALUE"""),"SHILOH HOUSE")</f>
        <v>SHILOH HOUSE</v>
      </c>
      <c r="C1729" s="2" t="str">
        <f>IFERROR(__xludf.DUMMYFUNCTION("""COMPUTED_VALUE"""),"04951")</f>
        <v>04951</v>
      </c>
      <c r="D1729" s="2" t="str">
        <f>IFERROR(__xludf.DUMMYFUNCTION("""COMPUTED_VALUE"""),"Shiloh-Family Resource Pavilion")</f>
        <v>Shiloh-Family Resource Pavilion</v>
      </c>
      <c r="E1729" s="3" t="str">
        <f>IFERROR(__xludf.DUMMYFUNCTION("""COMPUTED_VALUE"""),"Y")</f>
        <v>Y</v>
      </c>
      <c r="F1729" s="3" t="str">
        <f>IFERROR(__xludf.DUMMYFUNCTION("""COMPUTED_VALUE"""),"Y")</f>
        <v>Y</v>
      </c>
      <c r="G1729" s="3" t="str">
        <f>IFERROR(__xludf.DUMMYFUNCTION("""COMPUTED_VALUE"""),"Y")</f>
        <v>Y</v>
      </c>
      <c r="H1729" s="3"/>
      <c r="I1729" s="3" t="str">
        <f>IFERROR(__xludf.DUMMYFUNCTION("""COMPUTED_VALUE""")," ")</f>
        <v> </v>
      </c>
      <c r="J1729" s="3" t="str">
        <f>IFERROR(__xludf.DUMMYFUNCTION("""COMPUTED_VALUE""")," ")</f>
        <v> </v>
      </c>
      <c r="K1729" s="3" t="str">
        <f>IFERROR(__xludf.DUMMYFUNCTION("""COMPUTED_VALUE"""),"N")</f>
        <v>N</v>
      </c>
      <c r="L1729" s="3" t="str">
        <f>IFERROR(__xludf.DUMMYFUNCTION("""COMPUTED_VALUE""")," ")</f>
        <v> </v>
      </c>
      <c r="M1729" s="3"/>
      <c r="N1729" s="5" t="str">
        <f>IFERROR(__xludf.DUMMYFUNCTION("""COMPUTED_VALUE""")," ")</f>
        <v> </v>
      </c>
      <c r="O1729" s="5"/>
    </row>
    <row r="1730">
      <c r="A1730" s="2" t="str">
        <f>IFERROR(__xludf.DUMMYFUNCTION("""COMPUTED_VALUE"""),"6204")</f>
        <v>6204</v>
      </c>
      <c r="B1730" s="2" t="str">
        <f>IFERROR(__xludf.DUMMYFUNCTION("""COMPUTED_VALUE"""),"SHILOH HOUSE")</f>
        <v>SHILOH HOUSE</v>
      </c>
      <c r="C1730" s="2" t="str">
        <f>IFERROR(__xludf.DUMMYFUNCTION("""COMPUTED_VALUE"""),"06204")</f>
        <v>06204</v>
      </c>
      <c r="D1730" s="2" t="str">
        <f>IFERROR(__xludf.DUMMYFUNCTION("""COMPUTED_VALUE"""),"Shiloh Home-Adams")</f>
        <v>Shiloh Home-Adams</v>
      </c>
      <c r="E1730" s="3" t="str">
        <f>IFERROR(__xludf.DUMMYFUNCTION("""COMPUTED_VALUE"""),"Y")</f>
        <v>Y</v>
      </c>
      <c r="F1730" s="3" t="str">
        <f>IFERROR(__xludf.DUMMYFUNCTION("""COMPUTED_VALUE"""),"Y")</f>
        <v>Y</v>
      </c>
      <c r="G1730" s="3" t="str">
        <f>IFERROR(__xludf.DUMMYFUNCTION("""COMPUTED_VALUE"""),"Y")</f>
        <v>Y</v>
      </c>
      <c r="H1730" s="3"/>
      <c r="I1730" s="3" t="str">
        <f>IFERROR(__xludf.DUMMYFUNCTION("""COMPUTED_VALUE""")," ")</f>
        <v> </v>
      </c>
      <c r="J1730" s="3" t="str">
        <f>IFERROR(__xludf.DUMMYFUNCTION("""COMPUTED_VALUE""")," ")</f>
        <v> </v>
      </c>
      <c r="K1730" s="3" t="str">
        <f>IFERROR(__xludf.DUMMYFUNCTION("""COMPUTED_VALUE"""),"N")</f>
        <v>N</v>
      </c>
      <c r="L1730" s="3" t="str">
        <f>IFERROR(__xludf.DUMMYFUNCTION("""COMPUTED_VALUE""")," ")</f>
        <v> </v>
      </c>
      <c r="M1730" s="3"/>
      <c r="N1730" s="5" t="str">
        <f>IFERROR(__xludf.DUMMYFUNCTION("""COMPUTED_VALUE""")," ")</f>
        <v> </v>
      </c>
      <c r="O1730" s="5"/>
    </row>
    <row r="1731">
      <c r="A1731" s="2" t="str">
        <f>IFERROR(__xludf.DUMMYFUNCTION("""COMPUTED_VALUE"""),"6204")</f>
        <v>6204</v>
      </c>
      <c r="B1731" s="2" t="str">
        <f>IFERROR(__xludf.DUMMYFUNCTION("""COMPUTED_VALUE"""),"SHILOH HOUSE")</f>
        <v>SHILOH HOUSE</v>
      </c>
      <c r="C1731" s="2" t="str">
        <f>IFERROR(__xludf.DUMMYFUNCTION("""COMPUTED_VALUE"""),"06211")</f>
        <v>06211</v>
      </c>
      <c r="D1731" s="2" t="str">
        <f>IFERROR(__xludf.DUMMYFUNCTION("""COMPUTED_VALUE"""),"Shiloh Home-Longmont")</f>
        <v>Shiloh Home-Longmont</v>
      </c>
      <c r="E1731" s="3" t="str">
        <f>IFERROR(__xludf.DUMMYFUNCTION("""COMPUTED_VALUE"""),"Y")</f>
        <v>Y</v>
      </c>
      <c r="F1731" s="3" t="str">
        <f>IFERROR(__xludf.DUMMYFUNCTION("""COMPUTED_VALUE"""),"Y")</f>
        <v>Y</v>
      </c>
      <c r="G1731" s="3" t="str">
        <f>IFERROR(__xludf.DUMMYFUNCTION("""COMPUTED_VALUE"""),"Y")</f>
        <v>Y</v>
      </c>
      <c r="H1731" s="3"/>
      <c r="I1731" s="3" t="str">
        <f>IFERROR(__xludf.DUMMYFUNCTION("""COMPUTED_VALUE""")," ")</f>
        <v> </v>
      </c>
      <c r="J1731" s="3" t="str">
        <f>IFERROR(__xludf.DUMMYFUNCTION("""COMPUTED_VALUE""")," ")</f>
        <v> </v>
      </c>
      <c r="K1731" s="3" t="str">
        <f>IFERROR(__xludf.DUMMYFUNCTION("""COMPUTED_VALUE"""),"N")</f>
        <v>N</v>
      </c>
      <c r="L1731" s="3" t="str">
        <f>IFERROR(__xludf.DUMMYFUNCTION("""COMPUTED_VALUE""")," ")</f>
        <v> </v>
      </c>
      <c r="M1731" s="3"/>
      <c r="N1731" s="5" t="str">
        <f>IFERROR(__xludf.DUMMYFUNCTION("""COMPUTED_VALUE""")," ")</f>
        <v> </v>
      </c>
      <c r="O1731" s="5"/>
    </row>
    <row r="1732">
      <c r="A1732" s="2" t="str">
        <f>IFERROR(__xludf.DUMMYFUNCTION("""COMPUTED_VALUE"""),"6204")</f>
        <v>6204</v>
      </c>
      <c r="B1732" s="2" t="str">
        <f>IFERROR(__xludf.DUMMYFUNCTION("""COMPUTED_VALUE"""),"SHILOH HOUSE")</f>
        <v>SHILOH HOUSE</v>
      </c>
      <c r="C1732" s="2" t="str">
        <f>IFERROR(__xludf.DUMMYFUNCTION("""COMPUTED_VALUE"""),"12736")</f>
        <v>12736</v>
      </c>
      <c r="D1732" s="2" t="str">
        <f>IFERROR(__xludf.DUMMYFUNCTION("""COMPUTED_VALUE"""),"Shiloh House Estes")</f>
        <v>Shiloh House Estes</v>
      </c>
      <c r="E1732" s="3" t="str">
        <f>IFERROR(__xludf.DUMMYFUNCTION("""COMPUTED_VALUE"""),"Y")</f>
        <v>Y</v>
      </c>
      <c r="F1732" s="3" t="str">
        <f>IFERROR(__xludf.DUMMYFUNCTION("""COMPUTED_VALUE"""),"Y")</f>
        <v>Y</v>
      </c>
      <c r="G1732" s="3" t="str">
        <f>IFERROR(__xludf.DUMMYFUNCTION("""COMPUTED_VALUE"""),"Y")</f>
        <v>Y</v>
      </c>
      <c r="H1732" s="3"/>
      <c r="I1732" s="3" t="str">
        <f>IFERROR(__xludf.DUMMYFUNCTION("""COMPUTED_VALUE""")," ")</f>
        <v> </v>
      </c>
      <c r="J1732" s="3" t="str">
        <f>IFERROR(__xludf.DUMMYFUNCTION("""COMPUTED_VALUE""")," ")</f>
        <v> </v>
      </c>
      <c r="K1732" s="3" t="str">
        <f>IFERROR(__xludf.DUMMYFUNCTION("""COMPUTED_VALUE"""),"N")</f>
        <v>N</v>
      </c>
      <c r="L1732" s="3" t="str">
        <f>IFERROR(__xludf.DUMMYFUNCTION("""COMPUTED_VALUE""")," ")</f>
        <v> </v>
      </c>
      <c r="M1732" s="3"/>
      <c r="N1732" s="5" t="str">
        <f>IFERROR(__xludf.DUMMYFUNCTION("""COMPUTED_VALUE""")," ")</f>
        <v> </v>
      </c>
      <c r="O1732" s="5"/>
    </row>
    <row r="1733">
      <c r="A1733" s="2" t="str">
        <f>IFERROR(__xludf.DUMMYFUNCTION("""COMPUTED_VALUE"""),"6204")</f>
        <v>6204</v>
      </c>
      <c r="B1733" s="2" t="str">
        <f>IFERROR(__xludf.DUMMYFUNCTION("""COMPUTED_VALUE"""),"SHILOH HOUSE")</f>
        <v>SHILOH HOUSE</v>
      </c>
      <c r="C1733" s="2" t="str">
        <f>IFERROR(__xludf.DUMMYFUNCTION("""COMPUTED_VALUE"""),"12737")</f>
        <v>12737</v>
      </c>
      <c r="D1733" s="2" t="str">
        <f>IFERROR(__xludf.DUMMYFUNCTION("""COMPUTED_VALUE"""),"Shiloh House Yarrow")</f>
        <v>Shiloh House Yarrow</v>
      </c>
      <c r="E1733" s="3" t="str">
        <f>IFERROR(__xludf.DUMMYFUNCTION("""COMPUTED_VALUE"""),"Y")</f>
        <v>Y</v>
      </c>
      <c r="F1733" s="3" t="str">
        <f>IFERROR(__xludf.DUMMYFUNCTION("""COMPUTED_VALUE"""),"Y")</f>
        <v>Y</v>
      </c>
      <c r="G1733" s="3" t="str">
        <f>IFERROR(__xludf.DUMMYFUNCTION("""COMPUTED_VALUE"""),"Y")</f>
        <v>Y</v>
      </c>
      <c r="H1733" s="3"/>
      <c r="I1733" s="3" t="str">
        <f>IFERROR(__xludf.DUMMYFUNCTION("""COMPUTED_VALUE""")," ")</f>
        <v> </v>
      </c>
      <c r="J1733" s="3" t="str">
        <f>IFERROR(__xludf.DUMMYFUNCTION("""COMPUTED_VALUE""")," ")</f>
        <v> </v>
      </c>
      <c r="K1733" s="3" t="str">
        <f>IFERROR(__xludf.DUMMYFUNCTION("""COMPUTED_VALUE"""),"N")</f>
        <v>N</v>
      </c>
      <c r="L1733" s="3" t="str">
        <f>IFERROR(__xludf.DUMMYFUNCTION("""COMPUTED_VALUE""")," ")</f>
        <v> </v>
      </c>
      <c r="M1733" s="3"/>
      <c r="N1733" s="5" t="str">
        <f>IFERROR(__xludf.DUMMYFUNCTION("""COMPUTED_VALUE""")," ")</f>
        <v> </v>
      </c>
      <c r="O1733" s="5"/>
    </row>
    <row r="1734">
      <c r="A1734" s="2" t="str">
        <f>IFERROR(__xludf.DUMMYFUNCTION("""COMPUTED_VALUE"""),"6204")</f>
        <v>6204</v>
      </c>
      <c r="B1734" s="2" t="str">
        <f>IFERROR(__xludf.DUMMYFUNCTION("""COMPUTED_VALUE"""),"SHILOH HOUSE")</f>
        <v>SHILOH HOUSE</v>
      </c>
      <c r="C1734" s="2" t="str">
        <f>IFERROR(__xludf.DUMMYFUNCTION("""COMPUTED_VALUE"""),"12738")</f>
        <v>12738</v>
      </c>
      <c r="D1734" s="2" t="str">
        <f>IFERROR(__xludf.DUMMYFUNCTION("""COMPUTED_VALUE"""),"Shiloh House Day Treatment")</f>
        <v>Shiloh House Day Treatment</v>
      </c>
      <c r="E1734" s="3"/>
      <c r="F1734" s="3" t="str">
        <f>IFERROR(__xludf.DUMMYFUNCTION("""COMPUTED_VALUE"""),"Y")</f>
        <v>Y</v>
      </c>
      <c r="G1734" s="3"/>
      <c r="H1734" s="3"/>
      <c r="I1734" s="3" t="str">
        <f>IFERROR(__xludf.DUMMYFUNCTION("""COMPUTED_VALUE""")," ")</f>
        <v> </v>
      </c>
      <c r="J1734" s="3" t="str">
        <f>IFERROR(__xludf.DUMMYFUNCTION("""COMPUTED_VALUE""")," ")</f>
        <v> </v>
      </c>
      <c r="K1734" s="3" t="str">
        <f>IFERROR(__xludf.DUMMYFUNCTION("""COMPUTED_VALUE"""),"N")</f>
        <v>N</v>
      </c>
      <c r="L1734" s="3" t="str">
        <f>IFERROR(__xludf.DUMMYFUNCTION("""COMPUTED_VALUE""")," ")</f>
        <v> </v>
      </c>
      <c r="M1734" s="3"/>
      <c r="N1734" s="5" t="str">
        <f>IFERROR(__xludf.DUMMYFUNCTION("""COMPUTED_VALUE""")," ")</f>
        <v> </v>
      </c>
      <c r="O1734" s="5"/>
    </row>
    <row r="1735">
      <c r="A1735" s="2" t="str">
        <f>IFERROR(__xludf.DUMMYFUNCTION("""COMPUTED_VALUE"""),"6416")</f>
        <v>6416</v>
      </c>
      <c r="B1735" s="2" t="str">
        <f>IFERROR(__xludf.DUMMYFUNCTION("""COMPUTED_VALUE"""),"THIRD WAY CENTER")</f>
        <v>THIRD WAY CENTER</v>
      </c>
      <c r="C1735" s="2" t="str">
        <f>IFERROR(__xludf.DUMMYFUNCTION("""COMPUTED_VALUE"""),"06215")</f>
        <v>06215</v>
      </c>
      <c r="D1735" s="2" t="str">
        <f>IFERROR(__xludf.DUMMYFUNCTION("""COMPUTED_VALUE"""),"Third Way Center (Joan Farley Academy - Lowry)")</f>
        <v>Third Way Center (Joan Farley Academy - Lowry)</v>
      </c>
      <c r="E1735" s="3" t="str">
        <f>IFERROR(__xludf.DUMMYFUNCTION("""COMPUTED_VALUE"""),"Y")</f>
        <v>Y</v>
      </c>
      <c r="F1735" s="3" t="str">
        <f>IFERROR(__xludf.DUMMYFUNCTION("""COMPUTED_VALUE"""),"Y")</f>
        <v>Y</v>
      </c>
      <c r="G1735" s="3"/>
      <c r="H1735" s="3"/>
      <c r="I1735" s="3" t="str">
        <f>IFERROR(__xludf.DUMMYFUNCTION("""COMPUTED_VALUE""")," ")</f>
        <v> </v>
      </c>
      <c r="J1735" s="3" t="str">
        <f>IFERROR(__xludf.DUMMYFUNCTION("""COMPUTED_VALUE""")," ")</f>
        <v> </v>
      </c>
      <c r="K1735" s="3" t="str">
        <f>IFERROR(__xludf.DUMMYFUNCTION("""COMPUTED_VALUE"""),"Y")</f>
        <v>Y</v>
      </c>
      <c r="L1735" s="3" t="str">
        <f>IFERROR(__xludf.DUMMYFUNCTION("""COMPUTED_VALUE""")," ")</f>
        <v> </v>
      </c>
      <c r="M1735" s="3"/>
      <c r="N1735" s="5" t="str">
        <f>IFERROR(__xludf.DUMMYFUNCTION("""COMPUTED_VALUE""")," ")</f>
        <v> </v>
      </c>
      <c r="O1735" s="5"/>
    </row>
    <row r="1736">
      <c r="A1736" s="2" t="str">
        <f>IFERROR(__xludf.DUMMYFUNCTION("""COMPUTED_VALUE"""),"6416")</f>
        <v>6416</v>
      </c>
      <c r="B1736" s="2" t="str">
        <f>IFERROR(__xludf.DUMMYFUNCTION("""COMPUTED_VALUE"""),"THIRD WAY CENTER")</f>
        <v>THIRD WAY CENTER</v>
      </c>
      <c r="C1736" s="2" t="str">
        <f>IFERROR(__xludf.DUMMYFUNCTION("""COMPUTED_VALUE"""),"06416")</f>
        <v>06416</v>
      </c>
      <c r="D1736" s="2" t="str">
        <f>IFERROR(__xludf.DUMMYFUNCTION("""COMPUTED_VALUE"""),"Third Way Center (Joan Farley Academy)")</f>
        <v>Third Way Center (Joan Farley Academy)</v>
      </c>
      <c r="E1736" s="3"/>
      <c r="F1736" s="3" t="str">
        <f>IFERROR(__xludf.DUMMYFUNCTION("""COMPUTED_VALUE"""),"Y")</f>
        <v>Y</v>
      </c>
      <c r="G1736" s="3"/>
      <c r="H1736" s="3"/>
      <c r="I1736" s="3" t="str">
        <f>IFERROR(__xludf.DUMMYFUNCTION("""COMPUTED_VALUE""")," ")</f>
        <v> </v>
      </c>
      <c r="J1736" s="3" t="str">
        <f>IFERROR(__xludf.DUMMYFUNCTION("""COMPUTED_VALUE""")," ")</f>
        <v> </v>
      </c>
      <c r="K1736" s="3" t="str">
        <f>IFERROR(__xludf.DUMMYFUNCTION("""COMPUTED_VALUE"""),"Y")</f>
        <v>Y</v>
      </c>
      <c r="L1736" s="3" t="str">
        <f>IFERROR(__xludf.DUMMYFUNCTION("""COMPUTED_VALUE""")," ")</f>
        <v> </v>
      </c>
      <c r="M1736" s="3"/>
      <c r="N1736" s="5" t="str">
        <f>IFERROR(__xludf.DUMMYFUNCTION("""COMPUTED_VALUE""")," ")</f>
        <v> </v>
      </c>
      <c r="O1736" s="5"/>
    </row>
    <row r="1737">
      <c r="A1737" s="2" t="str">
        <f>IFERROR(__xludf.DUMMYFUNCTION("""COMPUTED_VALUE"""),"6416")</f>
        <v>6416</v>
      </c>
      <c r="B1737" s="2" t="str">
        <f>IFERROR(__xludf.DUMMYFUNCTION("""COMPUTED_VALUE"""),"THIRD WAY CENTER")</f>
        <v>THIRD WAY CENTER</v>
      </c>
      <c r="C1737" s="2" t="str">
        <f>IFERROR(__xludf.DUMMYFUNCTION("""COMPUTED_VALUE"""),"08713")</f>
        <v>08713</v>
      </c>
      <c r="D1737" s="2" t="str">
        <f>IFERROR(__xludf.DUMMYFUNCTION("""COMPUTED_VALUE"""),"Third Way Center - Pontiac")</f>
        <v>Third Way Center - Pontiac</v>
      </c>
      <c r="E1737" s="3" t="str">
        <f>IFERROR(__xludf.DUMMYFUNCTION("""COMPUTED_VALUE"""),"Y")</f>
        <v>Y</v>
      </c>
      <c r="F1737" s="3" t="str">
        <f>IFERROR(__xludf.DUMMYFUNCTION("""COMPUTED_VALUE"""),"Y")</f>
        <v>Y</v>
      </c>
      <c r="G1737" s="3"/>
      <c r="H1737" s="3"/>
      <c r="I1737" s="3" t="str">
        <f>IFERROR(__xludf.DUMMYFUNCTION("""COMPUTED_VALUE""")," ")</f>
        <v> </v>
      </c>
      <c r="J1737" s="3" t="str">
        <f>IFERROR(__xludf.DUMMYFUNCTION("""COMPUTED_VALUE""")," ")</f>
        <v> </v>
      </c>
      <c r="K1737" s="3" t="str">
        <f>IFERROR(__xludf.DUMMYFUNCTION("""COMPUTED_VALUE"""),"Y")</f>
        <v>Y</v>
      </c>
      <c r="L1737" s="3" t="str">
        <f>IFERROR(__xludf.DUMMYFUNCTION("""COMPUTED_VALUE""")," ")</f>
        <v> </v>
      </c>
      <c r="M1737" s="3"/>
      <c r="N1737" s="5" t="str">
        <f>IFERROR(__xludf.DUMMYFUNCTION("""COMPUTED_VALUE""")," ")</f>
        <v> </v>
      </c>
      <c r="O1737" s="5"/>
    </row>
    <row r="1738">
      <c r="A1738" s="2" t="str">
        <f>IFERROR(__xludf.DUMMYFUNCTION("""COMPUTED_VALUE"""),"6416")</f>
        <v>6416</v>
      </c>
      <c r="B1738" s="2" t="str">
        <f>IFERROR(__xludf.DUMMYFUNCTION("""COMPUTED_VALUE"""),"THIRD WAY CENTER")</f>
        <v>THIRD WAY CENTER</v>
      </c>
      <c r="C1738" s="2" t="str">
        <f>IFERROR(__xludf.DUMMYFUNCTION("""COMPUTED_VALUE"""),"12746")</f>
        <v>12746</v>
      </c>
      <c r="D1738" s="2" t="str">
        <f>IFERROR(__xludf.DUMMYFUNCTION("""COMPUTED_VALUE"""),"Third Way Center - York")</f>
        <v>Third Way Center - York</v>
      </c>
      <c r="E1738" s="3" t="str">
        <f>IFERROR(__xludf.DUMMYFUNCTION("""COMPUTED_VALUE"""),"Y")</f>
        <v>Y</v>
      </c>
      <c r="F1738" s="3" t="str">
        <f>IFERROR(__xludf.DUMMYFUNCTION("""COMPUTED_VALUE"""),"Y")</f>
        <v>Y</v>
      </c>
      <c r="G1738" s="3"/>
      <c r="H1738" s="3"/>
      <c r="I1738" s="3" t="str">
        <f>IFERROR(__xludf.DUMMYFUNCTION("""COMPUTED_VALUE""")," ")</f>
        <v> </v>
      </c>
      <c r="J1738" s="3" t="str">
        <f>IFERROR(__xludf.DUMMYFUNCTION("""COMPUTED_VALUE""")," ")</f>
        <v> </v>
      </c>
      <c r="K1738" s="3" t="str">
        <f>IFERROR(__xludf.DUMMYFUNCTION("""COMPUTED_VALUE"""),"Y")</f>
        <v>Y</v>
      </c>
      <c r="L1738" s="3" t="str">
        <f>IFERROR(__xludf.DUMMYFUNCTION("""COMPUTED_VALUE""")," ")</f>
        <v> </v>
      </c>
      <c r="M1738" s="3"/>
      <c r="N1738" s="5" t="str">
        <f>IFERROR(__xludf.DUMMYFUNCTION("""COMPUTED_VALUE""")," ")</f>
        <v> </v>
      </c>
      <c r="O1738" s="5"/>
    </row>
    <row r="1739">
      <c r="A1739" s="6" t="str">
        <f>IFERROR(__xludf.DUMMYFUNCTION("""COMPUTED_VALUE"""),"6416")</f>
        <v>6416</v>
      </c>
      <c r="B1739" s="6" t="str">
        <f>IFERROR(__xludf.DUMMYFUNCTION("""COMPUTED_VALUE"""),"THIRD WAY CENTER")</f>
        <v>THIRD WAY CENTER</v>
      </c>
      <c r="C1739" s="6" t="str">
        <f>IFERROR(__xludf.DUMMYFUNCTION("""COMPUTED_VALUE"""),"12747")</f>
        <v>12747</v>
      </c>
      <c r="D1739" s="6" t="str">
        <f>IFERROR(__xludf.DUMMYFUNCTION("""COMPUTED_VALUE"""),"Third Way Center - Bannock")</f>
        <v>Third Way Center - Bannock</v>
      </c>
      <c r="E1739" s="7" t="str">
        <f>IFERROR(__xludf.DUMMYFUNCTION("""COMPUTED_VALUE"""),"Y")</f>
        <v>Y</v>
      </c>
      <c r="F1739" s="7" t="str">
        <f>IFERROR(__xludf.DUMMYFUNCTION("""COMPUTED_VALUE"""),"Y")</f>
        <v>Y</v>
      </c>
      <c r="G1739" s="7"/>
      <c r="H1739" s="7"/>
      <c r="I1739" s="7" t="str">
        <f>IFERROR(__xludf.DUMMYFUNCTION("""COMPUTED_VALUE""")," ")</f>
        <v> </v>
      </c>
      <c r="J1739" s="7" t="str">
        <f>IFERROR(__xludf.DUMMYFUNCTION("""COMPUTED_VALUE""")," ")</f>
        <v> </v>
      </c>
      <c r="K1739" s="7" t="str">
        <f>IFERROR(__xludf.DUMMYFUNCTION("""COMPUTED_VALUE"""),"Y")</f>
        <v>Y</v>
      </c>
      <c r="L1739" s="7" t="str">
        <f>IFERROR(__xludf.DUMMYFUNCTION("""COMPUTED_VALUE""")," ")</f>
        <v> </v>
      </c>
      <c r="M1739" s="7"/>
      <c r="N1739" s="7" t="str">
        <f>IFERROR(__xludf.DUMMYFUNCTION("""COMPUTED_VALUE""")," ")</f>
        <v> </v>
      </c>
      <c r="O1739" s="7" t="str">
        <f>IFERROR(__xludf.DUMMYFUNCTION("""COMPUTED_VALUE"""),"No NSLP claims")</f>
        <v>No NSLP claims</v>
      </c>
    </row>
    <row r="1740">
      <c r="A1740" s="2" t="str">
        <f>IFERROR(__xludf.DUMMYFUNCTION("""COMPUTED_VALUE"""),"8001")</f>
        <v>8001</v>
      </c>
      <c r="B1740" s="2" t="str">
        <f>IFERROR(__xludf.DUMMYFUNCTION("""COMPUTED_VALUE"""),"State of Colorado, Charter School Institute")</f>
        <v>State of Colorado, Charter School Institute</v>
      </c>
      <c r="C1740" s="2" t="str">
        <f>IFERROR(__xludf.DUMMYFUNCTION("""COMPUTED_VALUE"""),"00015")</f>
        <v>00015</v>
      </c>
      <c r="D1740" s="2" t="str">
        <f>IFERROR(__xludf.DUMMYFUNCTION("""COMPUTED_VALUE"""),"Academy of Charter Schools")</f>
        <v>Academy of Charter Schools</v>
      </c>
      <c r="E1740" s="3" t="str">
        <f>IFERROR(__xludf.DUMMYFUNCTION("""COMPUTED_VALUE"""),"Y")</f>
        <v>Y</v>
      </c>
      <c r="F1740" s="3" t="str">
        <f>IFERROR(__xludf.DUMMYFUNCTION("""COMPUTED_VALUE"""),"Y")</f>
        <v>Y</v>
      </c>
      <c r="G1740" s="3"/>
      <c r="H1740" s="3"/>
      <c r="I1740" s="3" t="str">
        <f>IFERROR(__xludf.DUMMYFUNCTION("""COMPUTED_VALUE""")," ")</f>
        <v> </v>
      </c>
      <c r="J1740" s="3" t="str">
        <f>IFERROR(__xludf.DUMMYFUNCTION("""COMPUTED_VALUE""")," ")</f>
        <v> </v>
      </c>
      <c r="K1740" s="3" t="str">
        <f>IFERROR(__xludf.DUMMYFUNCTION("""COMPUTED_VALUE"""),"Y")</f>
        <v>Y</v>
      </c>
      <c r="L1740" s="3" t="str">
        <f>IFERROR(__xludf.DUMMYFUNCTION("""COMPUTED_VALUE"""),"Group 8")</f>
        <v>Group 8</v>
      </c>
      <c r="M1740" s="3"/>
      <c r="N1740" s="5" t="str">
        <f>IFERROR(__xludf.DUMMYFUNCTION("""COMPUTED_VALUE""")," ")</f>
        <v> </v>
      </c>
      <c r="O1740" s="5"/>
    </row>
    <row r="1741">
      <c r="A1741" s="2" t="str">
        <f>IFERROR(__xludf.DUMMYFUNCTION("""COMPUTED_VALUE"""),"8001")</f>
        <v>8001</v>
      </c>
      <c r="B1741" s="2" t="str">
        <f>IFERROR(__xludf.DUMMYFUNCTION("""COMPUTED_VALUE"""),"State of Colorado, Charter School Institute")</f>
        <v>State of Colorado, Charter School Institute</v>
      </c>
      <c r="C1741" s="2" t="str">
        <f>IFERROR(__xludf.DUMMYFUNCTION("""COMPUTED_VALUE"""),"00075")</f>
        <v>00075</v>
      </c>
      <c r="D1741" s="2" t="str">
        <f>IFERROR(__xludf.DUMMYFUNCTION("""COMPUTED_VALUE"""),"Animas High School")</f>
        <v>Animas High School</v>
      </c>
      <c r="E1741" s="3" t="str">
        <f>IFERROR(__xludf.DUMMYFUNCTION("""COMPUTED_VALUE"""),"Y")</f>
        <v>Y</v>
      </c>
      <c r="F1741" s="3" t="str">
        <f>IFERROR(__xludf.DUMMYFUNCTION("""COMPUTED_VALUE"""),"Y")</f>
        <v>Y</v>
      </c>
      <c r="G1741" s="3"/>
      <c r="H1741" s="3"/>
      <c r="I1741" s="3" t="str">
        <f>IFERROR(__xludf.DUMMYFUNCTION("""COMPUTED_VALUE""")," ")</f>
        <v> </v>
      </c>
      <c r="J1741" s="3" t="str">
        <f>IFERROR(__xludf.DUMMYFUNCTION("""COMPUTED_VALUE""")," ")</f>
        <v> </v>
      </c>
      <c r="K1741" s="3" t="str">
        <f>IFERROR(__xludf.DUMMYFUNCTION("""COMPUTED_VALUE"""),"Y")</f>
        <v>Y</v>
      </c>
      <c r="L1741" s="3" t="str">
        <f>IFERROR(__xludf.DUMMYFUNCTION("""COMPUTED_VALUE"""),"Group 2")</f>
        <v>Group 2</v>
      </c>
      <c r="M1741" s="3"/>
      <c r="N1741" s="5" t="str">
        <f>IFERROR(__xludf.DUMMYFUNCTION("""COMPUTED_VALUE""")," ")</f>
        <v> </v>
      </c>
      <c r="O1741" s="5"/>
    </row>
    <row r="1742">
      <c r="A1742" s="2" t="str">
        <f>IFERROR(__xludf.DUMMYFUNCTION("""COMPUTED_VALUE"""),"8001")</f>
        <v>8001</v>
      </c>
      <c r="B1742" s="2" t="str">
        <f>IFERROR(__xludf.DUMMYFUNCTION("""COMPUTED_VALUE"""),"State of Colorado, Charter School Institute")</f>
        <v>State of Colorado, Charter School Institute</v>
      </c>
      <c r="C1742" s="2" t="str">
        <f>IFERROR(__xludf.DUMMYFUNCTION("""COMPUTED_VALUE"""),"00188")</f>
        <v>00188</v>
      </c>
      <c r="D1742" s="2" t="str">
        <f>IFERROR(__xludf.DUMMYFUNCTION("""COMPUTED_VALUE"""),"Colorado Skies Academy")</f>
        <v>Colorado Skies Academy</v>
      </c>
      <c r="E1742" s="3" t="str">
        <f>IFERROR(__xludf.DUMMYFUNCTION("""COMPUTED_VALUE"""),"Y")</f>
        <v>Y</v>
      </c>
      <c r="F1742" s="3" t="str">
        <f>IFERROR(__xludf.DUMMYFUNCTION("""COMPUTED_VALUE"""),"Y")</f>
        <v>Y</v>
      </c>
      <c r="G1742" s="3"/>
      <c r="H1742" s="3"/>
      <c r="I1742" s="3" t="str">
        <f>IFERROR(__xludf.DUMMYFUNCTION("""COMPUTED_VALUE""")," ")</f>
        <v> </v>
      </c>
      <c r="J1742" s="3" t="str">
        <f>IFERROR(__xludf.DUMMYFUNCTION("""COMPUTED_VALUE""")," ")</f>
        <v> </v>
      </c>
      <c r="K1742" s="3" t="str">
        <f>IFERROR(__xludf.DUMMYFUNCTION("""COMPUTED_VALUE"""),"Y")</f>
        <v>Y</v>
      </c>
      <c r="L1742" s="3" t="str">
        <f>IFERROR(__xludf.DUMMYFUNCTION("""COMPUTED_VALUE"""),"Group 4")</f>
        <v>Group 4</v>
      </c>
      <c r="M1742" s="3"/>
      <c r="N1742" s="5" t="str">
        <f>IFERROR(__xludf.DUMMYFUNCTION("""COMPUTED_VALUE""")," ")</f>
        <v> </v>
      </c>
      <c r="O1742" s="5"/>
    </row>
    <row r="1743">
      <c r="A1743" s="2" t="str">
        <f>IFERROR(__xludf.DUMMYFUNCTION("""COMPUTED_VALUE"""),"8001")</f>
        <v>8001</v>
      </c>
      <c r="B1743" s="2" t="str">
        <f>IFERROR(__xludf.DUMMYFUNCTION("""COMPUTED_VALUE"""),"State of Colorado, Charter School Institute")</f>
        <v>State of Colorado, Charter School Institute</v>
      </c>
      <c r="C1743" s="2" t="str">
        <f>IFERROR(__xludf.DUMMYFUNCTION("""COMPUTED_VALUE"""),"00493")</f>
        <v>00493</v>
      </c>
      <c r="D1743" s="2" t="str">
        <f>IFERROR(__xludf.DUMMYFUNCTION("""COMPUTED_VALUE"""),"Axis International Academy")</f>
        <v>Axis International Academy</v>
      </c>
      <c r="E1743" s="3" t="str">
        <f>IFERROR(__xludf.DUMMYFUNCTION("""COMPUTED_VALUE"""),"Y")</f>
        <v>Y</v>
      </c>
      <c r="F1743" s="3" t="str">
        <f>IFERROR(__xludf.DUMMYFUNCTION("""COMPUTED_VALUE"""),"Y")</f>
        <v>Y</v>
      </c>
      <c r="G1743" s="3"/>
      <c r="H1743" s="3"/>
      <c r="I1743" s="3" t="str">
        <f>IFERROR(__xludf.DUMMYFUNCTION("""COMPUTED_VALUE""")," ")</f>
        <v> </v>
      </c>
      <c r="J1743" s="3" t="str">
        <f>IFERROR(__xludf.DUMMYFUNCTION("""COMPUTED_VALUE""")," ")</f>
        <v> </v>
      </c>
      <c r="K1743" s="3" t="str">
        <f>IFERROR(__xludf.DUMMYFUNCTION("""COMPUTED_VALUE"""),"Y")</f>
        <v>Y</v>
      </c>
      <c r="L1743" s="3" t="str">
        <f>IFERROR(__xludf.DUMMYFUNCTION("""COMPUTED_VALUE"""),"Group 6")</f>
        <v>Group 6</v>
      </c>
      <c r="M1743" s="3"/>
      <c r="N1743" s="5" t="str">
        <f>IFERROR(__xludf.DUMMYFUNCTION("""COMPUTED_VALUE""")," ")</f>
        <v> </v>
      </c>
      <c r="O1743" s="5"/>
    </row>
    <row r="1744">
      <c r="A1744" s="2" t="str">
        <f>IFERROR(__xludf.DUMMYFUNCTION("""COMPUTED_VALUE"""),"8001")</f>
        <v>8001</v>
      </c>
      <c r="B1744" s="2" t="str">
        <f>IFERROR(__xludf.DUMMYFUNCTION("""COMPUTED_VALUE"""),"State of Colorado, Charter School Institute")</f>
        <v>State of Colorado, Charter School Institute</v>
      </c>
      <c r="C1744" s="2" t="str">
        <f>IFERROR(__xludf.DUMMYFUNCTION("""COMPUTED_VALUE"""),"00653")</f>
        <v>00653</v>
      </c>
      <c r="D1744" s="2" t="str">
        <f>IFERROR(__xludf.DUMMYFUNCTION("""COMPUTED_VALUE"""),"Stone Creek School")</f>
        <v>Stone Creek School</v>
      </c>
      <c r="E1744" s="3" t="str">
        <f>IFERROR(__xludf.DUMMYFUNCTION("""COMPUTED_VALUE"""),"Y")</f>
        <v>Y</v>
      </c>
      <c r="F1744" s="3" t="str">
        <f>IFERROR(__xludf.DUMMYFUNCTION("""COMPUTED_VALUE"""),"Y")</f>
        <v>Y</v>
      </c>
      <c r="G1744" s="3"/>
      <c r="H1744" s="3"/>
      <c r="I1744" s="3" t="str">
        <f>IFERROR(__xludf.DUMMYFUNCTION("""COMPUTED_VALUE""")," ")</f>
        <v> </v>
      </c>
      <c r="J1744" s="3" t="str">
        <f>IFERROR(__xludf.DUMMYFUNCTION("""COMPUTED_VALUE""")," ")</f>
        <v> </v>
      </c>
      <c r="K1744" s="3" t="str">
        <f>IFERROR(__xludf.DUMMYFUNCTION("""COMPUTED_VALUE"""),"Y")</f>
        <v>Y</v>
      </c>
      <c r="L1744" s="3" t="str">
        <f>IFERROR(__xludf.DUMMYFUNCTION("""COMPUTED_VALUE""")," ")</f>
        <v> </v>
      </c>
      <c r="M1744" s="3"/>
      <c r="N1744" s="5" t="str">
        <f>IFERROR(__xludf.DUMMYFUNCTION("""COMPUTED_VALUE""")," ")</f>
        <v> </v>
      </c>
      <c r="O1744" s="5"/>
    </row>
    <row r="1745">
      <c r="A1745" s="2" t="str">
        <f>IFERROR(__xludf.DUMMYFUNCTION("""COMPUTED_VALUE"""),"8001")</f>
        <v>8001</v>
      </c>
      <c r="B1745" s="2" t="str">
        <f>IFERROR(__xludf.DUMMYFUNCTION("""COMPUTED_VALUE"""),"State of Colorado, Charter School Institute")</f>
        <v>State of Colorado, Charter School Institute</v>
      </c>
      <c r="C1745" s="2" t="str">
        <f>IFERROR(__xludf.DUMMYFUNCTION("""COMPUTED_VALUE"""),"00657")</f>
        <v>00657</v>
      </c>
      <c r="D1745" s="2" t="str">
        <f>IFERROR(__xludf.DUMMYFUNCTION("""COMPUTED_VALUE"""),"ACADEMY OF ARTS AND KNOWLEDGE")</f>
        <v>ACADEMY OF ARTS AND KNOWLEDGE</v>
      </c>
      <c r="E1745" s="3" t="str">
        <f>IFERROR(__xludf.DUMMYFUNCTION("""COMPUTED_VALUE"""),"Y")</f>
        <v>Y</v>
      </c>
      <c r="F1745" s="3" t="str">
        <f>IFERROR(__xludf.DUMMYFUNCTION("""COMPUTED_VALUE"""),"Y")</f>
        <v>Y</v>
      </c>
      <c r="G1745" s="3"/>
      <c r="H1745" s="3"/>
      <c r="I1745" s="3" t="str">
        <f>IFERROR(__xludf.DUMMYFUNCTION("""COMPUTED_VALUE"""),"Y")</f>
        <v>Y</v>
      </c>
      <c r="J1745" s="3" t="str">
        <f>IFERROR(__xludf.DUMMYFUNCTION("""COMPUTED_VALUE""")," ")</f>
        <v> </v>
      </c>
      <c r="K1745" s="3" t="str">
        <f>IFERROR(__xludf.DUMMYFUNCTION("""COMPUTED_VALUE"""),"Y")</f>
        <v>Y</v>
      </c>
      <c r="L1745" s="3" t="str">
        <f>IFERROR(__xludf.DUMMYFUNCTION("""COMPUTED_VALUE"""),"Group 4")</f>
        <v>Group 4</v>
      </c>
      <c r="M1745" s="3"/>
      <c r="N1745" s="5" t="str">
        <f>IFERROR(__xludf.DUMMYFUNCTION("""COMPUTED_VALUE"""),"Y")</f>
        <v>Y</v>
      </c>
      <c r="O1745" s="5"/>
    </row>
    <row r="1746">
      <c r="A1746" s="2" t="str">
        <f>IFERROR(__xludf.DUMMYFUNCTION("""COMPUTED_VALUE"""),"8001")</f>
        <v>8001</v>
      </c>
      <c r="B1746" s="2" t="str">
        <f>IFERROR(__xludf.DUMMYFUNCTION("""COMPUTED_VALUE"""),"State of Colorado, Charter School Institute")</f>
        <v>State of Colorado, Charter School Institute</v>
      </c>
      <c r="C1746" s="2" t="str">
        <f>IFERROR(__xludf.DUMMYFUNCTION("""COMPUTED_VALUE"""),"01387")</f>
        <v>01387</v>
      </c>
      <c r="D1746" s="2" t="str">
        <f>IFERROR(__xludf.DUMMYFUNCTION("""COMPUTED_VALUE"""),"Colorado Early Colleges Windsor")</f>
        <v>Colorado Early Colleges Windsor</v>
      </c>
      <c r="E1746" s="3" t="str">
        <f>IFERROR(__xludf.DUMMYFUNCTION("""COMPUTED_VALUE"""),"Y")</f>
        <v>Y</v>
      </c>
      <c r="F1746" s="3" t="str">
        <f>IFERROR(__xludf.DUMMYFUNCTION("""COMPUTED_VALUE"""),"Y")</f>
        <v>Y</v>
      </c>
      <c r="G1746" s="3"/>
      <c r="H1746" s="3"/>
      <c r="I1746" s="3" t="str">
        <f>IFERROR(__xludf.DUMMYFUNCTION("""COMPUTED_VALUE""")," ")</f>
        <v> </v>
      </c>
      <c r="J1746" s="3" t="str">
        <f>IFERROR(__xludf.DUMMYFUNCTION("""COMPUTED_VALUE""")," ")</f>
        <v> </v>
      </c>
      <c r="K1746" s="3" t="str">
        <f>IFERROR(__xludf.DUMMYFUNCTION("""COMPUTED_VALUE"""),"Y")</f>
        <v>Y</v>
      </c>
      <c r="L1746" s="3" t="str">
        <f>IFERROR(__xludf.DUMMYFUNCTION("""COMPUTED_VALUE""")," ")</f>
        <v> </v>
      </c>
      <c r="M1746" s="3"/>
      <c r="N1746" s="5" t="str">
        <f>IFERROR(__xludf.DUMMYFUNCTION("""COMPUTED_VALUE""")," ")</f>
        <v> </v>
      </c>
      <c r="O1746" s="5"/>
    </row>
    <row r="1747">
      <c r="A1747" s="2" t="str">
        <f>IFERROR(__xludf.DUMMYFUNCTION("""COMPUTED_VALUE"""),"8001")</f>
        <v>8001</v>
      </c>
      <c r="B1747" s="2" t="str">
        <f>IFERROR(__xludf.DUMMYFUNCTION("""COMPUTED_VALUE"""),"State of Colorado, Charter School Institute")</f>
        <v>State of Colorado, Charter School Institute</v>
      </c>
      <c r="C1747" s="2" t="str">
        <f>IFERROR(__xludf.DUMMYFUNCTION("""COMPUTED_VALUE"""),"01505")</f>
        <v>01505</v>
      </c>
      <c r="D1747" s="2" t="str">
        <f>IFERROR(__xludf.DUMMYFUNCTION("""COMPUTED_VALUE"""),"Colorado Military Academy")</f>
        <v>Colorado Military Academy</v>
      </c>
      <c r="E1747" s="3" t="str">
        <f>IFERROR(__xludf.DUMMYFUNCTION("""COMPUTED_VALUE"""),"Y")</f>
        <v>Y</v>
      </c>
      <c r="F1747" s="3" t="str">
        <f>IFERROR(__xludf.DUMMYFUNCTION("""COMPUTED_VALUE"""),"Y")</f>
        <v>Y</v>
      </c>
      <c r="G1747" s="3"/>
      <c r="H1747" s="3"/>
      <c r="I1747" s="3" t="str">
        <f>IFERROR(__xludf.DUMMYFUNCTION("""COMPUTED_VALUE""")," ")</f>
        <v> </v>
      </c>
      <c r="J1747" s="3" t="str">
        <f>IFERROR(__xludf.DUMMYFUNCTION("""COMPUTED_VALUE""")," ")</f>
        <v> </v>
      </c>
      <c r="K1747" s="3" t="str">
        <f>IFERROR(__xludf.DUMMYFUNCTION("""COMPUTED_VALUE"""),"Y")</f>
        <v>Y</v>
      </c>
      <c r="L1747" s="3" t="str">
        <f>IFERROR(__xludf.DUMMYFUNCTION("""COMPUTED_VALUE"""),"Group 5")</f>
        <v>Group 5</v>
      </c>
      <c r="M1747" s="3"/>
      <c r="N1747" s="5" t="str">
        <f>IFERROR(__xludf.DUMMYFUNCTION("""COMPUTED_VALUE""")," ")</f>
        <v> </v>
      </c>
      <c r="O1747" s="5"/>
    </row>
    <row r="1748">
      <c r="A1748" s="2" t="str">
        <f>IFERROR(__xludf.DUMMYFUNCTION("""COMPUTED_VALUE"""),"8001")</f>
        <v>8001</v>
      </c>
      <c r="B1748" s="2" t="str">
        <f>IFERROR(__xludf.DUMMYFUNCTION("""COMPUTED_VALUE"""),"State of Colorado, Charter School Institute")</f>
        <v>State of Colorado, Charter School Institute</v>
      </c>
      <c r="C1748" s="2" t="str">
        <f>IFERROR(__xludf.DUMMYFUNCTION("""COMPUTED_VALUE"""),"01633")</f>
        <v>01633</v>
      </c>
      <c r="D1748" s="2" t="str">
        <f>IFERROR(__xludf.DUMMYFUNCTION("""COMPUTED_VALUE"""),"Colorado Early College Aurora")</f>
        <v>Colorado Early College Aurora</v>
      </c>
      <c r="E1748" s="3" t="str">
        <f>IFERROR(__xludf.DUMMYFUNCTION("""COMPUTED_VALUE"""),"Y")</f>
        <v>Y</v>
      </c>
      <c r="F1748" s="3" t="str">
        <f>IFERROR(__xludf.DUMMYFUNCTION("""COMPUTED_VALUE"""),"Y")</f>
        <v>Y</v>
      </c>
      <c r="G1748" s="3"/>
      <c r="H1748" s="3"/>
      <c r="I1748" s="3" t="str">
        <f>IFERROR(__xludf.DUMMYFUNCTION("""COMPUTED_VALUE""")," ")</f>
        <v> </v>
      </c>
      <c r="J1748" s="3" t="str">
        <f>IFERROR(__xludf.DUMMYFUNCTION("""COMPUTED_VALUE""")," ")</f>
        <v> </v>
      </c>
      <c r="K1748" s="3" t="str">
        <f>IFERROR(__xludf.DUMMYFUNCTION("""COMPUTED_VALUE"""),"Y")</f>
        <v>Y</v>
      </c>
      <c r="L1748" s="3" t="str">
        <f>IFERROR(__xludf.DUMMYFUNCTION("""COMPUTED_VALUE"""),"Group 8")</f>
        <v>Group 8</v>
      </c>
      <c r="M1748" s="3"/>
      <c r="N1748" s="5" t="str">
        <f>IFERROR(__xludf.DUMMYFUNCTION("""COMPUTED_VALUE""")," ")</f>
        <v> </v>
      </c>
      <c r="O1748" s="5"/>
    </row>
    <row r="1749">
      <c r="A1749" s="2" t="str">
        <f>IFERROR(__xludf.DUMMYFUNCTION("""COMPUTED_VALUE"""),"8001")</f>
        <v>8001</v>
      </c>
      <c r="B1749" s="2" t="str">
        <f>IFERROR(__xludf.DUMMYFUNCTION("""COMPUTED_VALUE"""),"State of Colorado, Charter School Institute")</f>
        <v>State of Colorado, Charter School Institute</v>
      </c>
      <c r="C1749" s="2" t="str">
        <f>IFERROR(__xludf.DUMMYFUNCTION("""COMPUTED_VALUE"""),"01795")</f>
        <v>01795</v>
      </c>
      <c r="D1749" s="2" t="str">
        <f>IFERROR(__xludf.DUMMYFUNCTION("""COMPUTED_VALUE"""),"Colorado Early Colleges Colorado Springs")</f>
        <v>Colorado Early Colleges Colorado Springs</v>
      </c>
      <c r="E1749" s="3" t="str">
        <f>IFERROR(__xludf.DUMMYFUNCTION("""COMPUTED_VALUE"""),"Y")</f>
        <v>Y</v>
      </c>
      <c r="F1749" s="3" t="str">
        <f>IFERROR(__xludf.DUMMYFUNCTION("""COMPUTED_VALUE"""),"Y")</f>
        <v>Y</v>
      </c>
      <c r="G1749" s="3"/>
      <c r="H1749" s="3"/>
      <c r="I1749" s="3" t="str">
        <f>IFERROR(__xludf.DUMMYFUNCTION("""COMPUTED_VALUE""")," ")</f>
        <v> </v>
      </c>
      <c r="J1749" s="3" t="str">
        <f>IFERROR(__xludf.DUMMYFUNCTION("""COMPUTED_VALUE""")," ")</f>
        <v> </v>
      </c>
      <c r="K1749" s="3" t="str">
        <f>IFERROR(__xludf.DUMMYFUNCTION("""COMPUTED_VALUE"""),"Y")</f>
        <v>Y</v>
      </c>
      <c r="L1749" s="3" t="str">
        <f>IFERROR(__xludf.DUMMYFUNCTION("""COMPUTED_VALUE"""),"Group 1")</f>
        <v>Group 1</v>
      </c>
      <c r="M1749" s="3"/>
      <c r="N1749" s="5" t="str">
        <f>IFERROR(__xludf.DUMMYFUNCTION("""COMPUTED_VALUE""")," ")</f>
        <v> </v>
      </c>
      <c r="O1749" s="5"/>
    </row>
    <row r="1750">
      <c r="A1750" s="2" t="str">
        <f>IFERROR(__xludf.DUMMYFUNCTION("""COMPUTED_VALUE"""),"8001")</f>
        <v>8001</v>
      </c>
      <c r="B1750" s="2" t="str">
        <f>IFERROR(__xludf.DUMMYFUNCTION("""COMPUTED_VALUE"""),"State of Colorado, Charter School Institute")</f>
        <v>State of Colorado, Charter School Institute</v>
      </c>
      <c r="C1750" s="2" t="str">
        <f>IFERROR(__xludf.DUMMYFUNCTION("""COMPUTED_VALUE"""),"01882")</f>
        <v>01882</v>
      </c>
      <c r="D1750" s="2" t="str">
        <f>IFERROR(__xludf.DUMMYFUNCTION("""COMPUTED_VALUE"""),"COMMUNITY LEADERSHIP ACADEMY")</f>
        <v>COMMUNITY LEADERSHIP ACADEMY</v>
      </c>
      <c r="E1750" s="3" t="str">
        <f>IFERROR(__xludf.DUMMYFUNCTION("""COMPUTED_VALUE"""),"Y")</f>
        <v>Y</v>
      </c>
      <c r="F1750" s="3" t="str">
        <f>IFERROR(__xludf.DUMMYFUNCTION("""COMPUTED_VALUE"""),"Y")</f>
        <v>Y</v>
      </c>
      <c r="G1750" s="3"/>
      <c r="H1750" s="3"/>
      <c r="I1750" s="3" t="str">
        <f>IFERROR(__xludf.DUMMYFUNCTION("""COMPUTED_VALUE"""),"Y")</f>
        <v>Y</v>
      </c>
      <c r="J1750" s="3" t="str">
        <f>IFERROR(__xludf.DUMMYFUNCTION("""COMPUTED_VALUE"""),"Y")</f>
        <v>Y</v>
      </c>
      <c r="K1750" s="3" t="str">
        <f>IFERROR(__xludf.DUMMYFUNCTION("""COMPUTED_VALUE"""),"Y")</f>
        <v>Y</v>
      </c>
      <c r="L1750" s="3" t="str">
        <f>IFERROR(__xludf.DUMMYFUNCTION("""COMPUTED_VALUE"""),"Group 5")</f>
        <v>Group 5</v>
      </c>
      <c r="M1750" s="3"/>
      <c r="N1750" s="5" t="str">
        <f>IFERROR(__xludf.DUMMYFUNCTION("""COMPUTED_VALUE""")," ")</f>
        <v> </v>
      </c>
      <c r="O1750" s="5"/>
    </row>
    <row r="1751">
      <c r="A1751" s="2" t="str">
        <f>IFERROR(__xludf.DUMMYFUNCTION("""COMPUTED_VALUE"""),"8001")</f>
        <v>8001</v>
      </c>
      <c r="B1751" s="2" t="str">
        <f>IFERROR(__xludf.DUMMYFUNCTION("""COMPUTED_VALUE"""),"State of Colorado, Charter School Institute")</f>
        <v>State of Colorado, Charter School Institute</v>
      </c>
      <c r="C1751" s="2" t="str">
        <f>IFERROR(__xludf.DUMMYFUNCTION("""COMPUTED_VALUE"""),"02067")</f>
        <v>02067</v>
      </c>
      <c r="D1751" s="2" t="str">
        <f>IFERROR(__xludf.DUMMYFUNCTION("""COMPUTED_VALUE"""),"COLORADO EARLY COLLEGE FT. COLLINS (HS/MS)")</f>
        <v>COLORADO EARLY COLLEGE FT. COLLINS (HS/MS)</v>
      </c>
      <c r="E1751" s="3" t="str">
        <f>IFERROR(__xludf.DUMMYFUNCTION("""COMPUTED_VALUE"""),"Y")</f>
        <v>Y</v>
      </c>
      <c r="F1751" s="3" t="str">
        <f>IFERROR(__xludf.DUMMYFUNCTION("""COMPUTED_VALUE"""),"Y")</f>
        <v>Y</v>
      </c>
      <c r="G1751" s="3"/>
      <c r="H1751" s="3"/>
      <c r="I1751" s="3" t="str">
        <f>IFERROR(__xludf.DUMMYFUNCTION("""COMPUTED_VALUE""")," ")</f>
        <v> </v>
      </c>
      <c r="J1751" s="3" t="str">
        <f>IFERROR(__xludf.DUMMYFUNCTION("""COMPUTED_VALUE""")," ")</f>
        <v> </v>
      </c>
      <c r="K1751" s="3" t="str">
        <f>IFERROR(__xludf.DUMMYFUNCTION("""COMPUTED_VALUE"""),"Y")</f>
        <v>Y</v>
      </c>
      <c r="L1751" s="3" t="str">
        <f>IFERROR(__xludf.DUMMYFUNCTION("""COMPUTED_VALUE"""),"Group 1")</f>
        <v>Group 1</v>
      </c>
      <c r="M1751" s="3"/>
      <c r="N1751" s="5" t="str">
        <f>IFERROR(__xludf.DUMMYFUNCTION("""COMPUTED_VALUE""")," ")</f>
        <v> </v>
      </c>
      <c r="O1751" s="5"/>
    </row>
    <row r="1752">
      <c r="A1752" s="2" t="str">
        <f>IFERROR(__xludf.DUMMYFUNCTION("""COMPUTED_VALUE"""),"8001")</f>
        <v>8001</v>
      </c>
      <c r="B1752" s="2" t="str">
        <f>IFERROR(__xludf.DUMMYFUNCTION("""COMPUTED_VALUE"""),"State of Colorado, Charter School Institute")</f>
        <v>State of Colorado, Charter School Institute</v>
      </c>
      <c r="C1752" s="2" t="str">
        <f>IFERROR(__xludf.DUMMYFUNCTION("""COMPUTED_VALUE"""),"02196")</f>
        <v>02196</v>
      </c>
      <c r="D1752" s="2" t="str">
        <f>IFERROR(__xludf.DUMMYFUNCTION("""COMPUTED_VALUE"""),"COLORADO EARLY COLLEGES DOUGLAS COUNTY")</f>
        <v>COLORADO EARLY COLLEGES DOUGLAS COUNTY</v>
      </c>
      <c r="E1752" s="3" t="str">
        <f>IFERROR(__xludf.DUMMYFUNCTION("""COMPUTED_VALUE"""),"Y")</f>
        <v>Y</v>
      </c>
      <c r="F1752" s="3" t="str">
        <f>IFERROR(__xludf.DUMMYFUNCTION("""COMPUTED_VALUE"""),"Y")</f>
        <v>Y</v>
      </c>
      <c r="G1752" s="3"/>
      <c r="H1752" s="3"/>
      <c r="I1752" s="3" t="str">
        <f>IFERROR(__xludf.DUMMYFUNCTION("""COMPUTED_VALUE""")," ")</f>
        <v> </v>
      </c>
      <c r="J1752" s="3" t="str">
        <f>IFERROR(__xludf.DUMMYFUNCTION("""COMPUTED_VALUE""")," ")</f>
        <v> </v>
      </c>
      <c r="K1752" s="3" t="str">
        <f>IFERROR(__xludf.DUMMYFUNCTION("""COMPUTED_VALUE"""),"Y")</f>
        <v>Y</v>
      </c>
      <c r="L1752" s="3" t="str">
        <f>IFERROR(__xludf.DUMMYFUNCTION("""COMPUTED_VALUE""")," ")</f>
        <v> </v>
      </c>
      <c r="M1752" s="3"/>
      <c r="N1752" s="5" t="str">
        <f>IFERROR(__xludf.DUMMYFUNCTION("""COMPUTED_VALUE""")," ")</f>
        <v> </v>
      </c>
      <c r="O1752" s="5"/>
    </row>
    <row r="1753">
      <c r="A1753" s="2" t="str">
        <f>IFERROR(__xludf.DUMMYFUNCTION("""COMPUTED_VALUE"""),"8001")</f>
        <v>8001</v>
      </c>
      <c r="B1753" s="2" t="str">
        <f>IFERROR(__xludf.DUMMYFUNCTION("""COMPUTED_VALUE"""),"State of Colorado, Charter School Institute")</f>
        <v>State of Colorado, Charter School Institute</v>
      </c>
      <c r="C1753" s="2" t="str">
        <f>IFERROR(__xludf.DUMMYFUNCTION("""COMPUTED_VALUE"""),"02905")</f>
        <v>02905</v>
      </c>
      <c r="D1753" s="2" t="str">
        <f>IFERROR(__xludf.DUMMYFUNCTION("""COMPUTED_VALUE"""),"Ascent Classical Academy Grand Junction")</f>
        <v>Ascent Classical Academy Grand Junction</v>
      </c>
      <c r="E1753" s="3" t="str">
        <f>IFERROR(__xludf.DUMMYFUNCTION("""COMPUTED_VALUE"""),"Y")</f>
        <v>Y</v>
      </c>
      <c r="F1753" s="3" t="str">
        <f>IFERROR(__xludf.DUMMYFUNCTION("""COMPUTED_VALUE"""),"Y")</f>
        <v>Y</v>
      </c>
      <c r="G1753" s="3"/>
      <c r="H1753" s="3"/>
      <c r="I1753" s="3" t="str">
        <f>IFERROR(__xludf.DUMMYFUNCTION("""COMPUTED_VALUE""")," ")</f>
        <v> </v>
      </c>
      <c r="J1753" s="3" t="str">
        <f>IFERROR(__xludf.DUMMYFUNCTION("""COMPUTED_VALUE""")," ")</f>
        <v> </v>
      </c>
      <c r="K1753" s="3" t="str">
        <f>IFERROR(__xludf.DUMMYFUNCTION("""COMPUTED_VALUE"""),"Y")</f>
        <v>Y</v>
      </c>
      <c r="L1753" s="3" t="str">
        <f>IFERROR(__xludf.DUMMYFUNCTION("""COMPUTED_VALUE""")," ")</f>
        <v> </v>
      </c>
      <c r="M1753" s="3"/>
      <c r="N1753" s="5" t="str">
        <f>IFERROR(__xludf.DUMMYFUNCTION("""COMPUTED_VALUE""")," ")</f>
        <v> </v>
      </c>
      <c r="O1753" s="5"/>
    </row>
    <row r="1754">
      <c r="A1754" s="2" t="str">
        <f>IFERROR(__xludf.DUMMYFUNCTION("""COMPUTED_VALUE"""),"8001")</f>
        <v>8001</v>
      </c>
      <c r="B1754" s="2" t="str">
        <f>IFERROR(__xludf.DUMMYFUNCTION("""COMPUTED_VALUE"""),"State of Colorado, Charter School Institute")</f>
        <v>State of Colorado, Charter School Institute</v>
      </c>
      <c r="C1754" s="2" t="str">
        <f>IFERROR(__xludf.DUMMYFUNCTION("""COMPUTED_VALUE"""),"03439")</f>
        <v>03439</v>
      </c>
      <c r="D1754" s="2" t="str">
        <f>IFERROR(__xludf.DUMMYFUNCTION("""COMPUTED_VALUE"""),"Global Village Academy - Northglenn")</f>
        <v>Global Village Academy - Northglenn</v>
      </c>
      <c r="E1754" s="3" t="str">
        <f>IFERROR(__xludf.DUMMYFUNCTION("""COMPUTED_VALUE"""),"Y")</f>
        <v>Y</v>
      </c>
      <c r="F1754" s="3" t="str">
        <f>IFERROR(__xludf.DUMMYFUNCTION("""COMPUTED_VALUE"""),"Y")</f>
        <v>Y</v>
      </c>
      <c r="G1754" s="3"/>
      <c r="H1754" s="3"/>
      <c r="I1754" s="3" t="str">
        <f>IFERROR(__xludf.DUMMYFUNCTION("""COMPUTED_VALUE""")," ")</f>
        <v> </v>
      </c>
      <c r="J1754" s="3" t="str">
        <f>IFERROR(__xludf.DUMMYFUNCTION("""COMPUTED_VALUE""")," ")</f>
        <v> </v>
      </c>
      <c r="K1754" s="3" t="str">
        <f>IFERROR(__xludf.DUMMYFUNCTION("""COMPUTED_VALUE"""),"Y")</f>
        <v>Y</v>
      </c>
      <c r="L1754" s="3" t="str">
        <f>IFERROR(__xludf.DUMMYFUNCTION("""COMPUTED_VALUE"""),"Group 6")</f>
        <v>Group 6</v>
      </c>
      <c r="M1754" s="3"/>
      <c r="N1754" s="5" t="str">
        <f>IFERROR(__xludf.DUMMYFUNCTION("""COMPUTED_VALUE""")," ")</f>
        <v> </v>
      </c>
      <c r="O1754" s="5"/>
    </row>
    <row r="1755">
      <c r="A1755" s="2" t="str">
        <f>IFERROR(__xludf.DUMMYFUNCTION("""COMPUTED_VALUE"""),"8001")</f>
        <v>8001</v>
      </c>
      <c r="B1755" s="2" t="str">
        <f>IFERROR(__xludf.DUMMYFUNCTION("""COMPUTED_VALUE"""),"State of Colorado, Charter School Institute")</f>
        <v>State of Colorado, Charter School Institute</v>
      </c>
      <c r="C1755" s="2" t="str">
        <f>IFERROR(__xludf.DUMMYFUNCTION("""COMPUTED_VALUE"""),"04699")</f>
        <v>04699</v>
      </c>
      <c r="D1755" s="2" t="str">
        <f>IFERROR(__xludf.DUMMYFUNCTION("""COMPUTED_VALUE"""),"New America School - Thornton")</f>
        <v>New America School - Thornton</v>
      </c>
      <c r="E1755" s="3" t="str">
        <f>IFERROR(__xludf.DUMMYFUNCTION("""COMPUTED_VALUE"""),"Y")</f>
        <v>Y</v>
      </c>
      <c r="F1755" s="3" t="str">
        <f>IFERROR(__xludf.DUMMYFUNCTION("""COMPUTED_VALUE"""),"Y")</f>
        <v>Y</v>
      </c>
      <c r="G1755" s="3"/>
      <c r="H1755" s="3"/>
      <c r="I1755" s="3" t="str">
        <f>IFERROR(__xludf.DUMMYFUNCTION("""COMPUTED_VALUE""")," ")</f>
        <v> </v>
      </c>
      <c r="J1755" s="3" t="str">
        <f>IFERROR(__xludf.DUMMYFUNCTION("""COMPUTED_VALUE"""),"Y")</f>
        <v>Y</v>
      </c>
      <c r="K1755" s="3" t="str">
        <f>IFERROR(__xludf.DUMMYFUNCTION("""COMPUTED_VALUE"""),"Y")</f>
        <v>Y</v>
      </c>
      <c r="L1755" s="3" t="str">
        <f>IFERROR(__xludf.DUMMYFUNCTION("""COMPUTED_VALUE"""),"Group 8")</f>
        <v>Group 8</v>
      </c>
      <c r="M1755" s="3"/>
      <c r="N1755" s="5" t="str">
        <f>IFERROR(__xludf.DUMMYFUNCTION("""COMPUTED_VALUE""")," ")</f>
        <v> </v>
      </c>
      <c r="O1755" s="5"/>
    </row>
    <row r="1756">
      <c r="A1756" s="2" t="str">
        <f>IFERROR(__xludf.DUMMYFUNCTION("""COMPUTED_VALUE"""),"8001")</f>
        <v>8001</v>
      </c>
      <c r="B1756" s="2" t="str">
        <f>IFERROR(__xludf.DUMMYFUNCTION("""COMPUTED_VALUE"""),"State of Colorado, Charter School Institute")</f>
        <v>State of Colorado, Charter School Institute</v>
      </c>
      <c r="C1756" s="2" t="str">
        <f>IFERROR(__xludf.DUMMYFUNCTION("""COMPUTED_VALUE"""),"05313")</f>
        <v>05313</v>
      </c>
      <c r="D1756" s="2" t="str">
        <f>IFERROR(__xludf.DUMMYFUNCTION("""COMPUTED_VALUE"""),"Kwiyagat Community Academy")</f>
        <v>Kwiyagat Community Academy</v>
      </c>
      <c r="E1756" s="3" t="str">
        <f>IFERROR(__xludf.DUMMYFUNCTION("""COMPUTED_VALUE"""),"Y")</f>
        <v>Y</v>
      </c>
      <c r="F1756" s="3" t="str">
        <f>IFERROR(__xludf.DUMMYFUNCTION("""COMPUTED_VALUE"""),"Y")</f>
        <v>Y</v>
      </c>
      <c r="G1756" s="3"/>
      <c r="H1756" s="3"/>
      <c r="I1756" s="3" t="str">
        <f>IFERROR(__xludf.DUMMYFUNCTION("""COMPUTED_VALUE""")," ")</f>
        <v> </v>
      </c>
      <c r="J1756" s="3" t="str">
        <f>IFERROR(__xludf.DUMMYFUNCTION("""COMPUTED_VALUE"""),"Y")</f>
        <v>Y</v>
      </c>
      <c r="K1756" s="3" t="str">
        <f>IFERROR(__xludf.DUMMYFUNCTION("""COMPUTED_VALUE"""),"Y")</f>
        <v>Y</v>
      </c>
      <c r="L1756" s="3" t="str">
        <f>IFERROR(__xludf.DUMMYFUNCTION("""COMPUTED_VALUE"""),"Group 5")</f>
        <v>Group 5</v>
      </c>
      <c r="M1756" s="3"/>
      <c r="N1756" s="5" t="str">
        <f>IFERROR(__xludf.DUMMYFUNCTION("""COMPUTED_VALUE""")," ")</f>
        <v> </v>
      </c>
      <c r="O1756" s="5"/>
    </row>
    <row r="1757">
      <c r="A1757" s="2" t="str">
        <f>IFERROR(__xludf.DUMMYFUNCTION("""COMPUTED_VALUE"""),"8001")</f>
        <v>8001</v>
      </c>
      <c r="B1757" s="2" t="str">
        <f>IFERROR(__xludf.DUMMYFUNCTION("""COMPUTED_VALUE"""),"State of Colorado, Charter School Institute")</f>
        <v>State of Colorado, Charter School Institute</v>
      </c>
      <c r="C1757" s="2" t="str">
        <f>IFERROR(__xludf.DUMMYFUNCTION("""COMPUTED_VALUE"""),"05423")</f>
        <v>05423</v>
      </c>
      <c r="D1757" s="2" t="str">
        <f>IFERROR(__xludf.DUMMYFUNCTION("""COMPUTED_VALUE"""),"Steamboat Montessori")</f>
        <v>Steamboat Montessori</v>
      </c>
      <c r="E1757" s="3"/>
      <c r="F1757" s="3" t="str">
        <f>IFERROR(__xludf.DUMMYFUNCTION("""COMPUTED_VALUE"""),"Y")</f>
        <v>Y</v>
      </c>
      <c r="G1757" s="3"/>
      <c r="H1757" s="3"/>
      <c r="I1757" s="3" t="str">
        <f>IFERROR(__xludf.DUMMYFUNCTION("""COMPUTED_VALUE""")," ")</f>
        <v> </v>
      </c>
      <c r="J1757" s="3" t="str">
        <f>IFERROR(__xludf.DUMMYFUNCTION("""COMPUTED_VALUE""")," ")</f>
        <v> </v>
      </c>
      <c r="K1757" s="3" t="str">
        <f>IFERROR(__xludf.DUMMYFUNCTION("""COMPUTED_VALUE"""),"Y")</f>
        <v>Y</v>
      </c>
      <c r="L1757" s="3" t="str">
        <f>IFERROR(__xludf.DUMMYFUNCTION("""COMPUTED_VALUE""")," ")</f>
        <v> </v>
      </c>
      <c r="M1757" s="3"/>
      <c r="N1757" s="5" t="str">
        <f>IFERROR(__xludf.DUMMYFUNCTION("""COMPUTED_VALUE""")," ")</f>
        <v> </v>
      </c>
      <c r="O1757" s="5"/>
    </row>
    <row r="1758">
      <c r="A1758" s="2" t="str">
        <f>IFERROR(__xludf.DUMMYFUNCTION("""COMPUTED_VALUE"""),"8001")</f>
        <v>8001</v>
      </c>
      <c r="B1758" s="2" t="str">
        <f>IFERROR(__xludf.DUMMYFUNCTION("""COMPUTED_VALUE"""),"State of Colorado, Charter School Institute")</f>
        <v>State of Colorado, Charter School Institute</v>
      </c>
      <c r="C1758" s="2" t="str">
        <f>IFERROR(__xludf.DUMMYFUNCTION("""COMPUTED_VALUE"""),"05499")</f>
        <v>05499</v>
      </c>
      <c r="D1758" s="2" t="str">
        <f>IFERROR(__xludf.DUMMYFUNCTION("""COMPUTED_VALUE"""),"Prospect Academy")</f>
        <v>Prospect Academy</v>
      </c>
      <c r="E1758" s="3" t="str">
        <f>IFERROR(__xludf.DUMMYFUNCTION("""COMPUTED_VALUE"""),"Y")</f>
        <v>Y</v>
      </c>
      <c r="F1758" s="3" t="str">
        <f>IFERROR(__xludf.DUMMYFUNCTION("""COMPUTED_VALUE"""),"Y")</f>
        <v>Y</v>
      </c>
      <c r="G1758" s="3"/>
      <c r="H1758" s="3"/>
      <c r="I1758" s="3" t="str">
        <f>IFERROR(__xludf.DUMMYFUNCTION("""COMPUTED_VALUE""")," ")</f>
        <v> </v>
      </c>
      <c r="J1758" s="3" t="str">
        <f>IFERROR(__xludf.DUMMYFUNCTION("""COMPUTED_VALUE""")," ")</f>
        <v> </v>
      </c>
      <c r="K1758" s="3" t="str">
        <f>IFERROR(__xludf.DUMMYFUNCTION("""COMPUTED_VALUE"""),"Y")</f>
        <v>Y</v>
      </c>
      <c r="L1758" s="3" t="str">
        <f>IFERROR(__xludf.DUMMYFUNCTION("""COMPUTED_VALUE"""),"Group 1")</f>
        <v>Group 1</v>
      </c>
      <c r="M1758" s="3"/>
      <c r="N1758" s="5" t="str">
        <f>IFERROR(__xludf.DUMMYFUNCTION("""COMPUTED_VALUE""")," ")</f>
        <v> </v>
      </c>
      <c r="O1758" s="5"/>
    </row>
    <row r="1759">
      <c r="A1759" s="2" t="str">
        <f>IFERROR(__xludf.DUMMYFUNCTION("""COMPUTED_VALUE"""),"8001")</f>
        <v>8001</v>
      </c>
      <c r="B1759" s="2" t="str">
        <f>IFERROR(__xludf.DUMMYFUNCTION("""COMPUTED_VALUE"""),"State of Colorado, Charter School Institute")</f>
        <v>State of Colorado, Charter School Institute</v>
      </c>
      <c r="C1759" s="2" t="str">
        <f>IFERROR(__xludf.DUMMYFUNCTION("""COMPUTED_VALUE"""),"05851")</f>
        <v>05851</v>
      </c>
      <c r="D1759" s="2" t="str">
        <f>IFERROR(__xludf.DUMMYFUNCTION("""COMPUTED_VALUE"""),"Mountain Song Community School")</f>
        <v>Mountain Song Community School</v>
      </c>
      <c r="E1759" s="3" t="str">
        <f>IFERROR(__xludf.DUMMYFUNCTION("""COMPUTED_VALUE"""),"Y")</f>
        <v>Y</v>
      </c>
      <c r="F1759" s="3" t="str">
        <f>IFERROR(__xludf.DUMMYFUNCTION("""COMPUTED_VALUE"""),"Y")</f>
        <v>Y</v>
      </c>
      <c r="G1759" s="3"/>
      <c r="H1759" s="3"/>
      <c r="I1759" s="3" t="str">
        <f>IFERROR(__xludf.DUMMYFUNCTION("""COMPUTED_VALUE""")," ")</f>
        <v> </v>
      </c>
      <c r="J1759" s="3" t="str">
        <f>IFERROR(__xludf.DUMMYFUNCTION("""COMPUTED_VALUE""")," ")</f>
        <v> </v>
      </c>
      <c r="K1759" s="3" t="str">
        <f>IFERROR(__xludf.DUMMYFUNCTION("""COMPUTED_VALUE"""),"Y")</f>
        <v>Y</v>
      </c>
      <c r="L1759" s="3" t="str">
        <f>IFERROR(__xludf.DUMMYFUNCTION("""COMPUTED_VALUE""")," ")</f>
        <v> </v>
      </c>
      <c r="M1759" s="3"/>
      <c r="N1759" s="5" t="str">
        <f>IFERROR(__xludf.DUMMYFUNCTION("""COMPUTED_VALUE""")," ")</f>
        <v> </v>
      </c>
      <c r="O1759" s="5"/>
    </row>
    <row r="1760">
      <c r="A1760" s="2" t="str">
        <f>IFERROR(__xludf.DUMMYFUNCTION("""COMPUTED_VALUE"""),"8001")</f>
        <v>8001</v>
      </c>
      <c r="B1760" s="2" t="str">
        <f>IFERROR(__xludf.DUMMYFUNCTION("""COMPUTED_VALUE"""),"State of Colorado, Charter School Institute")</f>
        <v>State of Colorado, Charter School Institute</v>
      </c>
      <c r="C1760" s="2" t="str">
        <f>IFERROR(__xludf.DUMMYFUNCTION("""COMPUTED_VALUE"""),"06219")</f>
        <v>06219</v>
      </c>
      <c r="D1760" s="2" t="str">
        <f>IFERROR(__xludf.DUMMYFUNCTION("""COMPUTED_VALUE"""),"New America - Aurora")</f>
        <v>New America - Aurora</v>
      </c>
      <c r="E1760" s="3" t="str">
        <f>IFERROR(__xludf.DUMMYFUNCTION("""COMPUTED_VALUE"""),"Y")</f>
        <v>Y</v>
      </c>
      <c r="F1760" s="3" t="str">
        <f>IFERROR(__xludf.DUMMYFUNCTION("""COMPUTED_VALUE"""),"Y")</f>
        <v>Y</v>
      </c>
      <c r="G1760" s="3"/>
      <c r="H1760" s="3"/>
      <c r="I1760" s="3" t="str">
        <f>IFERROR(__xludf.DUMMYFUNCTION("""COMPUTED_VALUE""")," ")</f>
        <v> </v>
      </c>
      <c r="J1760" s="3" t="str">
        <f>IFERROR(__xludf.DUMMYFUNCTION("""COMPUTED_VALUE"""),"Y")</f>
        <v>Y</v>
      </c>
      <c r="K1760" s="3" t="str">
        <f>IFERROR(__xludf.DUMMYFUNCTION("""COMPUTED_VALUE"""),"Y")</f>
        <v>Y</v>
      </c>
      <c r="L1760" s="3" t="str">
        <f>IFERROR(__xludf.DUMMYFUNCTION("""COMPUTED_VALUE"""),"Group 8")</f>
        <v>Group 8</v>
      </c>
      <c r="M1760" s="3"/>
      <c r="N1760" s="5" t="str">
        <f>IFERROR(__xludf.DUMMYFUNCTION("""COMPUTED_VALUE""")," ")</f>
        <v> </v>
      </c>
      <c r="O1760" s="5"/>
    </row>
    <row r="1761">
      <c r="A1761" s="2" t="str">
        <f>IFERROR(__xludf.DUMMYFUNCTION("""COMPUTED_VALUE"""),"8001")</f>
        <v>8001</v>
      </c>
      <c r="B1761" s="2" t="str">
        <f>IFERROR(__xludf.DUMMYFUNCTION("""COMPUTED_VALUE"""),"State of Colorado, Charter School Institute")</f>
        <v>State of Colorado, Charter School Institute</v>
      </c>
      <c r="C1761" s="2" t="str">
        <f>IFERROR(__xludf.DUMMYFUNCTION("""COMPUTED_VALUE"""),"06400")</f>
        <v>06400</v>
      </c>
      <c r="D1761" s="2" t="str">
        <f>IFERROR(__xludf.DUMMYFUNCTION("""COMPUTED_VALUE"""),"The STEAD School")</f>
        <v>The STEAD School</v>
      </c>
      <c r="E1761" s="3" t="str">
        <f>IFERROR(__xludf.DUMMYFUNCTION("""COMPUTED_VALUE"""),"Y")</f>
        <v>Y</v>
      </c>
      <c r="F1761" s="3" t="str">
        <f>IFERROR(__xludf.DUMMYFUNCTION("""COMPUTED_VALUE"""),"Y")</f>
        <v>Y</v>
      </c>
      <c r="G1761" s="3"/>
      <c r="H1761" s="3"/>
      <c r="I1761" s="3" t="str">
        <f>IFERROR(__xludf.DUMMYFUNCTION("""COMPUTED_VALUE""")," ")</f>
        <v> </v>
      </c>
      <c r="J1761" s="3" t="str">
        <f>IFERROR(__xludf.DUMMYFUNCTION("""COMPUTED_VALUE""")," ")</f>
        <v> </v>
      </c>
      <c r="K1761" s="3" t="str">
        <f>IFERROR(__xludf.DUMMYFUNCTION("""COMPUTED_VALUE"""),"Y")</f>
        <v>Y</v>
      </c>
      <c r="L1761" s="3" t="str">
        <f>IFERROR(__xludf.DUMMYFUNCTION("""COMPUTED_VALUE"""),"Group 1")</f>
        <v>Group 1</v>
      </c>
      <c r="M1761" s="3"/>
      <c r="N1761" s="5" t="str">
        <f>IFERROR(__xludf.DUMMYFUNCTION("""COMPUTED_VALUE""")," ")</f>
        <v> </v>
      </c>
      <c r="O1761" s="5"/>
    </row>
    <row r="1762">
      <c r="A1762" s="2" t="str">
        <f>IFERROR(__xludf.DUMMYFUNCTION("""COMPUTED_VALUE"""),"8001")</f>
        <v>8001</v>
      </c>
      <c r="B1762" s="2" t="str">
        <f>IFERROR(__xludf.DUMMYFUNCTION("""COMPUTED_VALUE"""),"State of Colorado, Charter School Institute")</f>
        <v>State of Colorado, Charter School Institute</v>
      </c>
      <c r="C1762" s="2" t="str">
        <f>IFERROR(__xludf.DUMMYFUNCTION("""COMPUTED_VALUE"""),"06679")</f>
        <v>06679</v>
      </c>
      <c r="D1762" s="2" t="str">
        <f>IFERROR(__xludf.DUMMYFUNCTION("""COMPUTED_VALUE"""),"Pagosa Peak Open School")</f>
        <v>Pagosa Peak Open School</v>
      </c>
      <c r="E1762" s="3" t="str">
        <f>IFERROR(__xludf.DUMMYFUNCTION("""COMPUTED_VALUE"""),"Y")</f>
        <v>Y</v>
      </c>
      <c r="F1762" s="3" t="str">
        <f>IFERROR(__xludf.DUMMYFUNCTION("""COMPUTED_VALUE"""),"Y")</f>
        <v>Y</v>
      </c>
      <c r="G1762" s="3"/>
      <c r="H1762" s="3"/>
      <c r="I1762" s="3" t="str">
        <f>IFERROR(__xludf.DUMMYFUNCTION("""COMPUTED_VALUE""")," ")</f>
        <v> </v>
      </c>
      <c r="J1762" s="3" t="str">
        <f>IFERROR(__xludf.DUMMYFUNCTION("""COMPUTED_VALUE""")," ")</f>
        <v> </v>
      </c>
      <c r="K1762" s="3" t="str">
        <f>IFERROR(__xludf.DUMMYFUNCTION("""COMPUTED_VALUE"""),"Y")</f>
        <v>Y</v>
      </c>
      <c r="L1762" s="3" t="str">
        <f>IFERROR(__xludf.DUMMYFUNCTION("""COMPUTED_VALUE"""),"Group 3")</f>
        <v>Group 3</v>
      </c>
      <c r="M1762" s="3"/>
      <c r="N1762" s="5" t="str">
        <f>IFERROR(__xludf.DUMMYFUNCTION("""COMPUTED_VALUE""")," ")</f>
        <v> </v>
      </c>
      <c r="O1762" s="5"/>
    </row>
    <row r="1763">
      <c r="A1763" s="2" t="str">
        <f>IFERROR(__xludf.DUMMYFUNCTION("""COMPUTED_VALUE"""),"8001")</f>
        <v>8001</v>
      </c>
      <c r="B1763" s="2" t="str">
        <f>IFERROR(__xludf.DUMMYFUNCTION("""COMPUTED_VALUE"""),"State of Colorado, Charter School Institute")</f>
        <v>State of Colorado, Charter School Institute</v>
      </c>
      <c r="C1763" s="2" t="str">
        <f>IFERROR(__xludf.DUMMYFUNCTION("""COMPUTED_VALUE"""),"06802")</f>
        <v>06802</v>
      </c>
      <c r="D1763" s="2" t="str">
        <f>IFERROR(__xludf.DUMMYFUNCTION("""COMPUTED_VALUE"""),"Prospect Ridge Academy")</f>
        <v>Prospect Ridge Academy</v>
      </c>
      <c r="E1763" s="3"/>
      <c r="F1763" s="3" t="str">
        <f>IFERROR(__xludf.DUMMYFUNCTION("""COMPUTED_VALUE"""),"Y")</f>
        <v>Y</v>
      </c>
      <c r="G1763" s="3"/>
      <c r="H1763" s="3"/>
      <c r="I1763" s="3" t="str">
        <f>IFERROR(__xludf.DUMMYFUNCTION("""COMPUTED_VALUE""")," ")</f>
        <v> </v>
      </c>
      <c r="J1763" s="3" t="str">
        <f>IFERROR(__xludf.DUMMYFUNCTION("""COMPUTED_VALUE""")," ")</f>
        <v> </v>
      </c>
      <c r="K1763" s="3" t="str">
        <f>IFERROR(__xludf.DUMMYFUNCTION("""COMPUTED_VALUE"""),"Y")</f>
        <v>Y</v>
      </c>
      <c r="L1763" s="3" t="str">
        <f>IFERROR(__xludf.DUMMYFUNCTION("""COMPUTED_VALUE""")," ")</f>
        <v> </v>
      </c>
      <c r="M1763" s="3"/>
      <c r="N1763" s="5" t="str">
        <f>IFERROR(__xludf.DUMMYFUNCTION("""COMPUTED_VALUE""")," ")</f>
        <v> </v>
      </c>
      <c r="O1763" s="5"/>
    </row>
    <row r="1764">
      <c r="A1764" s="2" t="str">
        <f>IFERROR(__xludf.DUMMYFUNCTION("""COMPUTED_VALUE"""),"8001")</f>
        <v>8001</v>
      </c>
      <c r="B1764" s="2" t="str">
        <f>IFERROR(__xludf.DUMMYFUNCTION("""COMPUTED_VALUE"""),"State of Colorado, Charter School Institute")</f>
        <v>State of Colorado, Charter School Institute</v>
      </c>
      <c r="C1764" s="2" t="str">
        <f>IFERROR(__xludf.DUMMYFUNCTION("""COMPUTED_VALUE"""),"06914")</f>
        <v>06914</v>
      </c>
      <c r="D1764" s="2" t="str">
        <f>IFERROR(__xludf.DUMMYFUNCTION("""COMPUTED_VALUE"""),"THE PINNACLE CHARTER SCHOOL")</f>
        <v>THE PINNACLE CHARTER SCHOOL</v>
      </c>
      <c r="E1764" s="3" t="str">
        <f>IFERROR(__xludf.DUMMYFUNCTION("""COMPUTED_VALUE"""),"Y")</f>
        <v>Y</v>
      </c>
      <c r="F1764" s="3" t="str">
        <f>IFERROR(__xludf.DUMMYFUNCTION("""COMPUTED_VALUE"""),"Y")</f>
        <v>Y</v>
      </c>
      <c r="G1764" s="3" t="str">
        <f>IFERROR(__xludf.DUMMYFUNCTION("""COMPUTED_VALUE"""),"Y")</f>
        <v>Y</v>
      </c>
      <c r="H1764" s="3"/>
      <c r="I1764" s="3" t="str">
        <f>IFERROR(__xludf.DUMMYFUNCTION("""COMPUTED_VALUE"""),"Y")</f>
        <v>Y</v>
      </c>
      <c r="J1764" s="3" t="str">
        <f>IFERROR(__xludf.DUMMYFUNCTION("""COMPUTED_VALUE"""),"Y")</f>
        <v>Y</v>
      </c>
      <c r="K1764" s="3" t="str">
        <f>IFERROR(__xludf.DUMMYFUNCTION("""COMPUTED_VALUE"""),"Y")</f>
        <v>Y</v>
      </c>
      <c r="L1764" s="3" t="str">
        <f>IFERROR(__xludf.DUMMYFUNCTION("""COMPUTED_VALUE"""),"Group 3")</f>
        <v>Group 3</v>
      </c>
      <c r="M1764" s="3"/>
      <c r="N1764" s="5" t="str">
        <f>IFERROR(__xludf.DUMMYFUNCTION("""COMPUTED_VALUE"""),"Y")</f>
        <v>Y</v>
      </c>
      <c r="O1764" s="5"/>
    </row>
    <row r="1765">
      <c r="A1765" s="2" t="str">
        <f>IFERROR(__xludf.DUMMYFUNCTION("""COMPUTED_VALUE"""),"8001")</f>
        <v>8001</v>
      </c>
      <c r="B1765" s="2" t="str">
        <f>IFERROR(__xludf.DUMMYFUNCTION("""COMPUTED_VALUE"""),"State of Colorado, Charter School Institute")</f>
        <v>State of Colorado, Charter School Institute</v>
      </c>
      <c r="C1765" s="2" t="str">
        <f>IFERROR(__xludf.DUMMYFUNCTION("""COMPUTED_VALUE"""),"07278")</f>
        <v>07278</v>
      </c>
      <c r="D1765" s="2" t="str">
        <f>IFERROR(__xludf.DUMMYFUNCTION("""COMPUTED_VALUE"""),"RICARDO FLORES MAGON ACADEMY")</f>
        <v>RICARDO FLORES MAGON ACADEMY</v>
      </c>
      <c r="E1765" s="3" t="str">
        <f>IFERROR(__xludf.DUMMYFUNCTION("""COMPUTED_VALUE"""),"Y")</f>
        <v>Y</v>
      </c>
      <c r="F1765" s="3" t="str">
        <f>IFERROR(__xludf.DUMMYFUNCTION("""COMPUTED_VALUE"""),"Y")</f>
        <v>Y</v>
      </c>
      <c r="G1765" s="3"/>
      <c r="H1765" s="3"/>
      <c r="I1765" s="3" t="str">
        <f>IFERROR(__xludf.DUMMYFUNCTION("""COMPUTED_VALUE"""),"Y")</f>
        <v>Y</v>
      </c>
      <c r="J1765" s="3" t="str">
        <f>IFERROR(__xludf.DUMMYFUNCTION("""COMPUTED_VALUE"""),"Y")</f>
        <v>Y</v>
      </c>
      <c r="K1765" s="3" t="str">
        <f>IFERROR(__xludf.DUMMYFUNCTION("""COMPUTED_VALUE"""),"Y")</f>
        <v>Y</v>
      </c>
      <c r="L1765" s="3" t="str">
        <f>IFERROR(__xludf.DUMMYFUNCTION("""COMPUTED_VALUE"""),"Group 5")</f>
        <v>Group 5</v>
      </c>
      <c r="M1765" s="3"/>
      <c r="N1765" s="5" t="str">
        <f>IFERROR(__xludf.DUMMYFUNCTION("""COMPUTED_VALUE"""),"Y")</f>
        <v>Y</v>
      </c>
      <c r="O1765" s="5"/>
    </row>
    <row r="1766">
      <c r="A1766" s="2" t="str">
        <f>IFERROR(__xludf.DUMMYFUNCTION("""COMPUTED_VALUE"""),"8001")</f>
        <v>8001</v>
      </c>
      <c r="B1766" s="2" t="str">
        <f>IFERROR(__xludf.DUMMYFUNCTION("""COMPUTED_VALUE"""),"State of Colorado, Charter School Institute")</f>
        <v>State of Colorado, Charter School Institute</v>
      </c>
      <c r="C1766" s="2" t="str">
        <f>IFERROR(__xludf.DUMMYFUNCTION("""COMPUTED_VALUE"""),"07512")</f>
        <v>07512</v>
      </c>
      <c r="D1766" s="2" t="str">
        <f>IFERROR(__xludf.DUMMYFUNCTION("""COMPUTED_VALUE"""),"Ross Montessori")</f>
        <v>Ross Montessori</v>
      </c>
      <c r="E1766" s="3"/>
      <c r="F1766" s="3" t="str">
        <f>IFERROR(__xludf.DUMMYFUNCTION("""COMPUTED_VALUE"""),"Y")</f>
        <v>Y</v>
      </c>
      <c r="G1766" s="3"/>
      <c r="H1766" s="3"/>
      <c r="I1766" s="3" t="str">
        <f>IFERROR(__xludf.DUMMYFUNCTION("""COMPUTED_VALUE""")," ")</f>
        <v> </v>
      </c>
      <c r="J1766" s="3" t="str">
        <f>IFERROR(__xludf.DUMMYFUNCTION("""COMPUTED_VALUE""")," ")</f>
        <v> </v>
      </c>
      <c r="K1766" s="3" t="str">
        <f>IFERROR(__xludf.DUMMYFUNCTION("""COMPUTED_VALUE"""),"Y")</f>
        <v>Y</v>
      </c>
      <c r="L1766" s="3" t="str">
        <f>IFERROR(__xludf.DUMMYFUNCTION("""COMPUTED_VALUE""")," ")</f>
        <v> </v>
      </c>
      <c r="M1766" s="3"/>
      <c r="N1766" s="5" t="str">
        <f>IFERROR(__xludf.DUMMYFUNCTION("""COMPUTED_VALUE""")," ")</f>
        <v> </v>
      </c>
      <c r="O1766" s="5"/>
    </row>
    <row r="1767">
      <c r="A1767" s="2" t="str">
        <f>IFERROR(__xludf.DUMMYFUNCTION("""COMPUTED_VALUE"""),"8001")</f>
        <v>8001</v>
      </c>
      <c r="B1767" s="2" t="str">
        <f>IFERROR(__xludf.DUMMYFUNCTION("""COMPUTED_VALUE"""),"State of Colorado, Charter School Institute")</f>
        <v>State of Colorado, Charter School Institute</v>
      </c>
      <c r="C1767" s="2" t="str">
        <f>IFERROR(__xludf.DUMMYFUNCTION("""COMPUTED_VALUE"""),"08948")</f>
        <v>08948</v>
      </c>
      <c r="D1767" s="2" t="str">
        <f>IFERROR(__xludf.DUMMYFUNCTION("""COMPUTED_VALUE"""),"University Prep")</f>
        <v>University Prep</v>
      </c>
      <c r="E1767" s="3" t="str">
        <f>IFERROR(__xludf.DUMMYFUNCTION("""COMPUTED_VALUE"""),"Y")</f>
        <v>Y</v>
      </c>
      <c r="F1767" s="3" t="str">
        <f>IFERROR(__xludf.DUMMYFUNCTION("""COMPUTED_VALUE"""),"Y")</f>
        <v>Y</v>
      </c>
      <c r="G1767" s="3"/>
      <c r="H1767" s="3"/>
      <c r="I1767" s="3" t="str">
        <f>IFERROR(__xludf.DUMMYFUNCTION("""COMPUTED_VALUE""")," ")</f>
        <v> </v>
      </c>
      <c r="J1767" s="3" t="str">
        <f>IFERROR(__xludf.DUMMYFUNCTION("""COMPUTED_VALUE""")," ")</f>
        <v> </v>
      </c>
      <c r="K1767" s="3" t="str">
        <f>IFERROR(__xludf.DUMMYFUNCTION("""COMPUTED_VALUE"""),"Y")</f>
        <v>Y</v>
      </c>
      <c r="L1767" s="3" t="str">
        <f>IFERROR(__xludf.DUMMYFUNCTION("""COMPUTED_VALUE""")," ")</f>
        <v> </v>
      </c>
      <c r="M1767" s="3"/>
      <c r="N1767" s="5" t="str">
        <f>IFERROR(__xludf.DUMMYFUNCTION("""COMPUTED_VALUE""")," ")</f>
        <v> </v>
      </c>
      <c r="O1767" s="5"/>
    </row>
    <row r="1768">
      <c r="A1768" s="2" t="str">
        <f>IFERROR(__xludf.DUMMYFUNCTION("""COMPUTED_VALUE"""),"8001")</f>
        <v>8001</v>
      </c>
      <c r="B1768" s="2" t="str">
        <f>IFERROR(__xludf.DUMMYFUNCTION("""COMPUTED_VALUE"""),"State of Colorado, Charter School Institute")</f>
        <v>State of Colorado, Charter School Institute</v>
      </c>
      <c r="C1768" s="2" t="str">
        <f>IFERROR(__xludf.DUMMYFUNCTION("""COMPUTED_VALUE"""),"09037")</f>
        <v>09037</v>
      </c>
      <c r="D1768" s="2" t="str">
        <f>IFERROR(__xludf.DUMMYFUNCTION("""COMPUTED_VALUE"""),"VICTORY PREPARATORY ACADEMY HIGH STATE CHARTER SCHOOL")</f>
        <v>VICTORY PREPARATORY ACADEMY HIGH STATE CHARTER SCHOOL</v>
      </c>
      <c r="E1768" s="3" t="str">
        <f>IFERROR(__xludf.DUMMYFUNCTION("""COMPUTED_VALUE"""),"Y")</f>
        <v>Y</v>
      </c>
      <c r="F1768" s="3" t="str">
        <f>IFERROR(__xludf.DUMMYFUNCTION("""COMPUTED_VALUE"""),"Y")</f>
        <v>Y</v>
      </c>
      <c r="G1768" s="3"/>
      <c r="H1768" s="3"/>
      <c r="I1768" s="3" t="str">
        <f>IFERROR(__xludf.DUMMYFUNCTION("""COMPUTED_VALUE""")," ")</f>
        <v> </v>
      </c>
      <c r="J1768" s="3" t="str">
        <f>IFERROR(__xludf.DUMMYFUNCTION("""COMPUTED_VALUE"""),"Y")</f>
        <v>Y</v>
      </c>
      <c r="K1768" s="3" t="str">
        <f>IFERROR(__xludf.DUMMYFUNCTION("""COMPUTED_VALUE"""),"Y")</f>
        <v>Y</v>
      </c>
      <c r="L1768" s="3" t="str">
        <f>IFERROR(__xludf.DUMMYFUNCTION("""COMPUTED_VALUE"""),"Group 5")</f>
        <v>Group 5</v>
      </c>
      <c r="M1768" s="3"/>
      <c r="N1768" s="5" t="str">
        <f>IFERROR(__xludf.DUMMYFUNCTION("""COMPUTED_VALUE""")," ")</f>
        <v> </v>
      </c>
      <c r="O1768" s="5"/>
    </row>
    <row r="1769">
      <c r="A1769" s="2" t="str">
        <f>IFERROR(__xludf.DUMMYFUNCTION("""COMPUTED_VALUE"""),"8001")</f>
        <v>8001</v>
      </c>
      <c r="B1769" s="2" t="str">
        <f>IFERROR(__xludf.DUMMYFUNCTION("""COMPUTED_VALUE"""),"State of Colorado, Charter School Institute")</f>
        <v>State of Colorado, Charter School Institute</v>
      </c>
      <c r="C1769" s="2" t="str">
        <f>IFERROR(__xludf.DUMMYFUNCTION("""COMPUTED_VALUE"""),"09040")</f>
        <v>09040</v>
      </c>
      <c r="D1769" s="2" t="str">
        <f>IFERROR(__xludf.DUMMYFUNCTION("""COMPUTED_VALUE"""),"VICTORY PREPARATORY ACADEMY MIDDLE STATE CHARTER SCHOOL")</f>
        <v>VICTORY PREPARATORY ACADEMY MIDDLE STATE CHARTER SCHOOL</v>
      </c>
      <c r="E1769" s="3" t="str">
        <f>IFERROR(__xludf.DUMMYFUNCTION("""COMPUTED_VALUE"""),"Y")</f>
        <v>Y</v>
      </c>
      <c r="F1769" s="3" t="str">
        <f>IFERROR(__xludf.DUMMYFUNCTION("""COMPUTED_VALUE"""),"Y")</f>
        <v>Y</v>
      </c>
      <c r="G1769" s="3"/>
      <c r="H1769" s="3"/>
      <c r="I1769" s="3" t="str">
        <f>IFERROR(__xludf.DUMMYFUNCTION("""COMPUTED_VALUE""")," ")</f>
        <v> </v>
      </c>
      <c r="J1769" s="3" t="str">
        <f>IFERROR(__xludf.DUMMYFUNCTION("""COMPUTED_VALUE"""),"Y")</f>
        <v>Y</v>
      </c>
      <c r="K1769" s="3" t="str">
        <f>IFERROR(__xludf.DUMMYFUNCTION("""COMPUTED_VALUE"""),"Y")</f>
        <v>Y</v>
      </c>
      <c r="L1769" s="3" t="str">
        <f>IFERROR(__xludf.DUMMYFUNCTION("""COMPUTED_VALUE"""),"Group 7")</f>
        <v>Group 7</v>
      </c>
      <c r="M1769" s="3"/>
      <c r="N1769" s="5" t="str">
        <f>IFERROR(__xludf.DUMMYFUNCTION("""COMPUTED_VALUE""")," ")</f>
        <v> </v>
      </c>
      <c r="O1769" s="5"/>
    </row>
    <row r="1770">
      <c r="A1770" s="2" t="str">
        <f>IFERROR(__xludf.DUMMYFUNCTION("""COMPUTED_VALUE"""),"8001")</f>
        <v>8001</v>
      </c>
      <c r="B1770" s="2" t="str">
        <f>IFERROR(__xludf.DUMMYFUNCTION("""COMPUTED_VALUE"""),"State of Colorado, Charter School Institute")</f>
        <v>State of Colorado, Charter School Institute</v>
      </c>
      <c r="C1770" s="2" t="str">
        <f>IFERROR(__xludf.DUMMYFUNCTION("""COMPUTED_VALUE"""),"09596")</f>
        <v>09596</v>
      </c>
      <c r="D1770" s="2" t="str">
        <f>IFERROR(__xludf.DUMMYFUNCTION("""COMPUTED_VALUE"""),"Wildflower Montessori Public Schools of Colorado Aurora")</f>
        <v>Wildflower Montessori Public Schools of Colorado Aurora</v>
      </c>
      <c r="E1770" s="3"/>
      <c r="F1770" s="3" t="str">
        <f>IFERROR(__xludf.DUMMYFUNCTION("""COMPUTED_VALUE"""),"Y")</f>
        <v>Y</v>
      </c>
      <c r="G1770" s="3"/>
      <c r="H1770" s="3"/>
      <c r="I1770" s="3" t="str">
        <f>IFERROR(__xludf.DUMMYFUNCTION("""COMPUTED_VALUE""")," ")</f>
        <v> </v>
      </c>
      <c r="J1770" s="3" t="str">
        <f>IFERROR(__xludf.DUMMYFUNCTION("""COMPUTED_VALUE""")," ")</f>
        <v> </v>
      </c>
      <c r="K1770" s="3" t="str">
        <f>IFERROR(__xludf.DUMMYFUNCTION("""COMPUTED_VALUE"""),"Y")</f>
        <v>Y</v>
      </c>
      <c r="L1770" s="3" t="str">
        <f>IFERROR(__xludf.DUMMYFUNCTION("""COMPUTED_VALUE""")," ")</f>
        <v> </v>
      </c>
      <c r="M1770" s="3"/>
      <c r="N1770" s="5" t="str">
        <f>IFERROR(__xludf.DUMMYFUNCTION("""COMPUTED_VALUE""")," ")</f>
        <v> </v>
      </c>
      <c r="O1770" s="5"/>
    </row>
    <row r="1771">
      <c r="A1771" s="2" t="str">
        <f>IFERROR(__xludf.DUMMYFUNCTION("""COMPUTED_VALUE"""),"8001")</f>
        <v>8001</v>
      </c>
      <c r="B1771" s="2" t="str">
        <f>IFERROR(__xludf.DUMMYFUNCTION("""COMPUTED_VALUE"""),"State of Colorado, Charter School Institute")</f>
        <v>State of Colorado, Charter School Institute</v>
      </c>
      <c r="C1771" s="2" t="str">
        <f>IFERROR(__xludf.DUMMYFUNCTION("""COMPUTED_VALUE"""),"09598")</f>
        <v>09598</v>
      </c>
      <c r="D1771" s="2" t="str">
        <f>IFERROR(__xludf.DUMMYFUNCTION("""COMPUTED_VALUE"""),"Wildflower Montessori, Cactus Bloom Community School")</f>
        <v>Wildflower Montessori, Cactus Bloom Community School</v>
      </c>
      <c r="E1771" s="3"/>
      <c r="F1771" s="3" t="str">
        <f>IFERROR(__xludf.DUMMYFUNCTION("""COMPUTED_VALUE"""),"Y")</f>
        <v>Y</v>
      </c>
      <c r="G1771" s="3"/>
      <c r="H1771" s="3"/>
      <c r="I1771" s="3" t="str">
        <f>IFERROR(__xludf.DUMMYFUNCTION("""COMPUTED_VALUE""")," ")</f>
        <v> </v>
      </c>
      <c r="J1771" s="3" t="str">
        <f>IFERROR(__xludf.DUMMYFUNCTION("""COMPUTED_VALUE""")," ")</f>
        <v> </v>
      </c>
      <c r="K1771" s="3" t="str">
        <f>IFERROR(__xludf.DUMMYFUNCTION("""COMPUTED_VALUE"""),"Y")</f>
        <v>Y</v>
      </c>
      <c r="L1771" s="3" t="str">
        <f>IFERROR(__xludf.DUMMYFUNCTION("""COMPUTED_VALUE""")," ")</f>
        <v> </v>
      </c>
      <c r="M1771" s="3"/>
      <c r="N1771" s="5" t="str">
        <f>IFERROR(__xludf.DUMMYFUNCTION("""COMPUTED_VALUE""")," ")</f>
        <v> </v>
      </c>
      <c r="O1771" s="5"/>
    </row>
    <row r="1772">
      <c r="A1772" s="2" t="str">
        <f>IFERROR(__xludf.DUMMYFUNCTION("""COMPUTED_VALUE"""),"8006")</f>
        <v>8006</v>
      </c>
      <c r="B1772" s="2" t="str">
        <f>IFERROR(__xludf.DUMMYFUNCTION("""COMPUTED_VALUE"""),"PEAK TO PEAK CHARTER SFA")</f>
        <v>PEAK TO PEAK CHARTER SFA</v>
      </c>
      <c r="C1772" s="2" t="str">
        <f>IFERROR(__xludf.DUMMYFUNCTION("""COMPUTED_VALUE"""),"06816")</f>
        <v>06816</v>
      </c>
      <c r="D1772" s="2" t="str">
        <f>IFERROR(__xludf.DUMMYFUNCTION("""COMPUTED_VALUE"""),"PEAK TO PEAK CHARTER SCHOOL")</f>
        <v>PEAK TO PEAK CHARTER SCHOOL</v>
      </c>
      <c r="E1772" s="3" t="str">
        <f>IFERROR(__xludf.DUMMYFUNCTION("""COMPUTED_VALUE"""),"Y")</f>
        <v>Y</v>
      </c>
      <c r="F1772" s="3" t="str">
        <f>IFERROR(__xludf.DUMMYFUNCTION("""COMPUTED_VALUE"""),"Y")</f>
        <v>Y</v>
      </c>
      <c r="G1772" s="3"/>
      <c r="H1772" s="3"/>
      <c r="I1772" s="3" t="str">
        <f>IFERROR(__xludf.DUMMYFUNCTION("""COMPUTED_VALUE""")," ")</f>
        <v> </v>
      </c>
      <c r="J1772" s="3" t="str">
        <f>IFERROR(__xludf.DUMMYFUNCTION("""COMPUTED_VALUE""")," ")</f>
        <v> </v>
      </c>
      <c r="K1772" s="3" t="str">
        <f>IFERROR(__xludf.DUMMYFUNCTION("""COMPUTED_VALUE"""),"Y")</f>
        <v>Y</v>
      </c>
      <c r="L1772" s="3" t="str">
        <f>IFERROR(__xludf.DUMMYFUNCTION("""COMPUTED_VALUE""")," ")</f>
        <v> </v>
      </c>
      <c r="M1772" s="3"/>
      <c r="N1772" s="5" t="str">
        <f>IFERROR(__xludf.DUMMYFUNCTION("""COMPUTED_VALUE""")," ")</f>
        <v> </v>
      </c>
      <c r="O1772" s="5"/>
    </row>
    <row r="1773">
      <c r="A1773" s="2" t="str">
        <f>IFERROR(__xludf.DUMMYFUNCTION("""COMPUTED_VALUE"""),"8008")</f>
        <v>8008</v>
      </c>
      <c r="B1773" s="2" t="str">
        <f>IFERROR(__xludf.DUMMYFUNCTION("""COMPUTED_VALUE"""),"HOPE Online")</f>
        <v>HOPE Online</v>
      </c>
      <c r="C1773" s="2" t="str">
        <f>IFERROR(__xludf.DUMMYFUNCTION("""COMPUTED_VALUE"""),"03995")</f>
        <v>03995</v>
      </c>
      <c r="D1773" s="2" t="str">
        <f>IFERROR(__xludf.DUMMYFUNCTION("""COMPUTED_VALUE"""),"HOPE ONLINE LEARNING ACADEMY CO-OP")</f>
        <v>HOPE ONLINE LEARNING ACADEMY CO-OP</v>
      </c>
      <c r="E1773" s="3" t="str">
        <f>IFERROR(__xludf.DUMMYFUNCTION("""COMPUTED_VALUE"""),"Y")</f>
        <v>Y</v>
      </c>
      <c r="F1773" s="3" t="str">
        <f>IFERROR(__xludf.DUMMYFUNCTION("""COMPUTED_VALUE"""),"Y")</f>
        <v>Y</v>
      </c>
      <c r="G1773" s="3"/>
      <c r="H1773" s="3"/>
      <c r="I1773" s="3" t="str">
        <f>IFERROR(__xludf.DUMMYFUNCTION("""COMPUTED_VALUE""")," ")</f>
        <v> </v>
      </c>
      <c r="J1773" s="3" t="str">
        <f>IFERROR(__xludf.DUMMYFUNCTION("""COMPUTED_VALUE"""),"Y")</f>
        <v>Y</v>
      </c>
      <c r="K1773" s="3" t="str">
        <f>IFERROR(__xludf.DUMMYFUNCTION("""COMPUTED_VALUE"""),"Y")</f>
        <v>Y</v>
      </c>
      <c r="L1773" s="3" t="str">
        <f>IFERROR(__xludf.DUMMYFUNCTION("""COMPUTED_VALUE"""),"Group 1")</f>
        <v>Group 1</v>
      </c>
      <c r="M1773" s="3"/>
      <c r="N1773" s="5" t="str">
        <f>IFERROR(__xludf.DUMMYFUNCTION("""COMPUTED_VALUE""")," ")</f>
        <v> </v>
      </c>
      <c r="O1773" s="5"/>
    </row>
    <row r="1774">
      <c r="A1774" s="2" t="str">
        <f>IFERROR(__xludf.DUMMYFUNCTION("""COMPUTED_VALUE"""),"8011")</f>
        <v>8011</v>
      </c>
      <c r="B1774" s="2" t="str">
        <f>IFERROR(__xludf.DUMMYFUNCTION("""COMPUTED_VALUE"""),"Sky Ranch Academy")</f>
        <v>Sky Ranch Academy</v>
      </c>
      <c r="C1774" s="2" t="str">
        <f>IFERROR(__xludf.DUMMYFUNCTION("""COMPUTED_VALUE"""),"07796")</f>
        <v>07796</v>
      </c>
      <c r="D1774" s="2" t="str">
        <f>IFERROR(__xludf.DUMMYFUNCTION("""COMPUTED_VALUE"""),"Sky Ranch Academy")</f>
        <v>Sky Ranch Academy</v>
      </c>
      <c r="E1774" s="3" t="str">
        <f>IFERROR(__xludf.DUMMYFUNCTION("""COMPUTED_VALUE"""),"Y")</f>
        <v>Y</v>
      </c>
      <c r="F1774" s="3" t="str">
        <f>IFERROR(__xludf.DUMMYFUNCTION("""COMPUTED_VALUE"""),"Y")</f>
        <v>Y</v>
      </c>
      <c r="G1774" s="3"/>
      <c r="H1774" s="3"/>
      <c r="I1774" s="3" t="str">
        <f>IFERROR(__xludf.DUMMYFUNCTION("""COMPUTED_VALUE""")," ")</f>
        <v> </v>
      </c>
      <c r="J1774" s="3" t="str">
        <f>IFERROR(__xludf.DUMMYFUNCTION("""COMPUTED_VALUE""")," ")</f>
        <v> </v>
      </c>
      <c r="K1774" s="3" t="str">
        <f>IFERROR(__xludf.DUMMYFUNCTION("""COMPUTED_VALUE"""),"Y")</f>
        <v>Y</v>
      </c>
      <c r="L1774" s="3" t="str">
        <f>IFERROR(__xludf.DUMMYFUNCTION("""COMPUTED_VALUE"""),"Group 1")</f>
        <v>Group 1</v>
      </c>
      <c r="M1774" s="3"/>
      <c r="N1774" s="5" t="str">
        <f>IFERROR(__xludf.DUMMYFUNCTION("""COMPUTED_VALUE""")," ")</f>
        <v> </v>
      </c>
      <c r="O1774" s="5"/>
    </row>
    <row r="1775">
      <c r="A1775" s="2" t="str">
        <f>IFERROR(__xludf.DUMMYFUNCTION("""COMPUTED_VALUE"""),"8012")</f>
        <v>8012</v>
      </c>
      <c r="B1775" s="2" t="str">
        <f>IFERROR(__xludf.DUMMYFUNCTION("""COMPUTED_VALUE"""),"Marble Charter School")</f>
        <v>Marble Charter School</v>
      </c>
      <c r="C1775" s="2" t="str">
        <f>IFERROR(__xludf.DUMMYFUNCTION("""COMPUTED_VALUE"""),"05577")</f>
        <v>05577</v>
      </c>
      <c r="D1775" s="2" t="str">
        <f>IFERROR(__xludf.DUMMYFUNCTION("""COMPUTED_VALUE"""),"Marble Charter Shool")</f>
        <v>Marble Charter Shool</v>
      </c>
      <c r="E1775" s="3"/>
      <c r="F1775" s="3" t="str">
        <f>IFERROR(__xludf.DUMMYFUNCTION("""COMPUTED_VALUE"""),"Y")</f>
        <v>Y</v>
      </c>
      <c r="G1775" s="3"/>
      <c r="H1775" s="3"/>
      <c r="I1775" s="3" t="str">
        <f>IFERROR(__xludf.DUMMYFUNCTION("""COMPUTED_VALUE""")," ")</f>
        <v> </v>
      </c>
      <c r="J1775" s="3" t="str">
        <f>IFERROR(__xludf.DUMMYFUNCTION("""COMPUTED_VALUE""")," ")</f>
        <v> </v>
      </c>
      <c r="K1775" s="3" t="str">
        <f>IFERROR(__xludf.DUMMYFUNCTION("""COMPUTED_VALUE"""),"Y")</f>
        <v>Y</v>
      </c>
      <c r="L1775" s="3" t="str">
        <f>IFERROR(__xludf.DUMMYFUNCTION("""COMPUTED_VALUE""")," ")</f>
        <v> </v>
      </c>
      <c r="M1775" s="3"/>
      <c r="N1775" s="5" t="str">
        <f>IFERROR(__xludf.DUMMYFUNCTION("""COMPUTED_VALUE""")," ")</f>
        <v> </v>
      </c>
      <c r="O1775" s="5"/>
    </row>
    <row r="1776">
      <c r="A1776" s="2" t="str">
        <f>IFERROR(__xludf.DUMMYFUNCTION("""COMPUTED_VALUE"""),"8013")</f>
        <v>8013</v>
      </c>
      <c r="B1776" s="2" t="str">
        <f>IFERROR(__xludf.DUMMYFUNCTION("""COMPUTED_VALUE"""),"Swallows Charter Academy")</f>
        <v>Swallows Charter Academy</v>
      </c>
      <c r="C1776" s="2" t="str">
        <f>IFERROR(__xludf.DUMMYFUNCTION("""COMPUTED_VALUE"""),"07879")</f>
        <v>07879</v>
      </c>
      <c r="D1776" s="2" t="str">
        <f>IFERROR(__xludf.DUMMYFUNCTION("""COMPUTED_VALUE"""),"Swallows Charter Academy High School")</f>
        <v>Swallows Charter Academy High School</v>
      </c>
      <c r="E1776" s="3" t="str">
        <f>IFERROR(__xludf.DUMMYFUNCTION("""COMPUTED_VALUE"""),"Y")</f>
        <v>Y</v>
      </c>
      <c r="F1776" s="3" t="str">
        <f>IFERROR(__xludf.DUMMYFUNCTION("""COMPUTED_VALUE"""),"Y")</f>
        <v>Y</v>
      </c>
      <c r="G1776" s="3"/>
      <c r="H1776" s="3"/>
      <c r="I1776" s="3" t="str">
        <f>IFERROR(__xludf.DUMMYFUNCTION("""COMPUTED_VALUE""")," ")</f>
        <v> </v>
      </c>
      <c r="J1776" s="3" t="str">
        <f>IFERROR(__xludf.DUMMYFUNCTION("""COMPUTED_VALUE""")," ")</f>
        <v> </v>
      </c>
      <c r="K1776" s="3" t="str">
        <f>IFERROR(__xludf.DUMMYFUNCTION("""COMPUTED_VALUE"""),"Y")</f>
        <v>Y</v>
      </c>
      <c r="L1776" s="3" t="str">
        <f>IFERROR(__xludf.DUMMYFUNCTION("""COMPUTED_VALUE"""),"Group 1")</f>
        <v>Group 1</v>
      </c>
      <c r="M1776" s="3"/>
      <c r="N1776" s="5" t="str">
        <f>IFERROR(__xludf.DUMMYFUNCTION("""COMPUTED_VALUE""")," ")</f>
        <v> </v>
      </c>
      <c r="O1776" s="5"/>
    </row>
    <row r="1777">
      <c r="A1777" s="2" t="str">
        <f>IFERROR(__xludf.DUMMYFUNCTION("""COMPUTED_VALUE"""),"8013")</f>
        <v>8013</v>
      </c>
      <c r="B1777" s="2" t="str">
        <f>IFERROR(__xludf.DUMMYFUNCTION("""COMPUTED_VALUE"""),"Swallows Charter Academy")</f>
        <v>Swallows Charter Academy</v>
      </c>
      <c r="C1777" s="2" t="str">
        <f>IFERROR(__xludf.DUMMYFUNCTION("""COMPUTED_VALUE"""),"08420")</f>
        <v>08420</v>
      </c>
      <c r="D1777" s="2" t="str">
        <f>IFERROR(__xludf.DUMMYFUNCTION("""COMPUTED_VALUE"""),"Swallows Charter Academy")</f>
        <v>Swallows Charter Academy</v>
      </c>
      <c r="E1777" s="3" t="str">
        <f>IFERROR(__xludf.DUMMYFUNCTION("""COMPUTED_VALUE"""),"Y")</f>
        <v>Y</v>
      </c>
      <c r="F1777" s="3" t="str">
        <f>IFERROR(__xludf.DUMMYFUNCTION("""COMPUTED_VALUE"""),"Y")</f>
        <v>Y</v>
      </c>
      <c r="G1777" s="3"/>
      <c r="H1777" s="3"/>
      <c r="I1777" s="3" t="str">
        <f>IFERROR(__xludf.DUMMYFUNCTION("""COMPUTED_VALUE""")," ")</f>
        <v> </v>
      </c>
      <c r="J1777" s="3" t="str">
        <f>IFERROR(__xludf.DUMMYFUNCTION("""COMPUTED_VALUE""")," ")</f>
        <v> </v>
      </c>
      <c r="K1777" s="3" t="str">
        <f>IFERROR(__xludf.DUMMYFUNCTION("""COMPUTED_VALUE"""),"Y")</f>
        <v>Y</v>
      </c>
      <c r="L1777" s="3" t="str">
        <f>IFERROR(__xludf.DUMMYFUNCTION("""COMPUTED_VALUE"""),"Group 1")</f>
        <v>Group 1</v>
      </c>
      <c r="M1777" s="3"/>
      <c r="N1777" s="5" t="str">
        <f>IFERROR(__xludf.DUMMYFUNCTION("""COMPUTED_VALUE""")," ")</f>
        <v> </v>
      </c>
      <c r="O1777" s="5"/>
    </row>
    <row r="1778">
      <c r="A1778" s="2" t="str">
        <f>IFERROR(__xludf.DUMMYFUNCTION("""COMPUTED_VALUE"""),"8042")</f>
        <v>8042</v>
      </c>
      <c r="B1778" s="2" t="str">
        <f>IFERROR(__xludf.DUMMYFUNCTION("""COMPUTED_VALUE"""),"CharterChoice Collaborative")</f>
        <v>CharterChoice Collaborative</v>
      </c>
      <c r="C1778" s="2" t="str">
        <f>IFERROR(__xludf.DUMMYFUNCTION("""COMPUTED_VALUE"""),"00369")</f>
        <v>00369</v>
      </c>
      <c r="D1778" s="2" t="str">
        <f>IFERROR(__xludf.DUMMYFUNCTION("""COMPUTED_VALUE"""),"ATLAS PREP MIDDLE SCHOOL")</f>
        <v>ATLAS PREP MIDDLE SCHOOL</v>
      </c>
      <c r="E1778" s="3" t="str">
        <f>IFERROR(__xludf.DUMMYFUNCTION("""COMPUTED_VALUE"""),"Y")</f>
        <v>Y</v>
      </c>
      <c r="F1778" s="3" t="str">
        <f>IFERROR(__xludf.DUMMYFUNCTION("""COMPUTED_VALUE"""),"Y")</f>
        <v>Y</v>
      </c>
      <c r="G1778" s="3"/>
      <c r="H1778" s="3"/>
      <c r="I1778" s="3" t="str">
        <f>IFERROR(__xludf.DUMMYFUNCTION("""COMPUTED_VALUE""")," ")</f>
        <v> </v>
      </c>
      <c r="J1778" s="3" t="str">
        <f>IFERROR(__xludf.DUMMYFUNCTION("""COMPUTED_VALUE"""),"Y")</f>
        <v>Y</v>
      </c>
      <c r="K1778" s="3" t="str">
        <f>IFERROR(__xludf.DUMMYFUNCTION("""COMPUTED_VALUE"""),"Y")</f>
        <v>Y</v>
      </c>
      <c r="L1778" s="3" t="str">
        <f>IFERROR(__xludf.DUMMYFUNCTION("""COMPUTED_VALUE"""),"Group 1")</f>
        <v>Group 1</v>
      </c>
      <c r="M1778" s="3"/>
      <c r="N1778" s="5" t="str">
        <f>IFERROR(__xludf.DUMMYFUNCTION("""COMPUTED_VALUE""")," ")</f>
        <v> </v>
      </c>
      <c r="O1778" s="5"/>
    </row>
    <row r="1779">
      <c r="A1779" s="2" t="str">
        <f>IFERROR(__xludf.DUMMYFUNCTION("""COMPUTED_VALUE"""),"8042")</f>
        <v>8042</v>
      </c>
      <c r="B1779" s="2" t="str">
        <f>IFERROR(__xludf.DUMMYFUNCTION("""COMPUTED_VALUE"""),"CharterChoice Collaborative")</f>
        <v>CharterChoice Collaborative</v>
      </c>
      <c r="C1779" s="2" t="str">
        <f>IFERROR(__xludf.DUMMYFUNCTION("""COMPUTED_VALUE"""),"00469")</f>
        <v>00469</v>
      </c>
      <c r="D1779" s="2" t="str">
        <f>IFERROR(__xludf.DUMMYFUNCTION("""COMPUTED_VALUE"""),"ATLAS PREP HIGH SCHOOL")</f>
        <v>ATLAS PREP HIGH SCHOOL</v>
      </c>
      <c r="E1779" s="3" t="str">
        <f>IFERROR(__xludf.DUMMYFUNCTION("""COMPUTED_VALUE"""),"Y")</f>
        <v>Y</v>
      </c>
      <c r="F1779" s="3" t="str">
        <f>IFERROR(__xludf.DUMMYFUNCTION("""COMPUTED_VALUE"""),"Y")</f>
        <v>Y</v>
      </c>
      <c r="G1779" s="3"/>
      <c r="H1779" s="3"/>
      <c r="I1779" s="3" t="str">
        <f>IFERROR(__xludf.DUMMYFUNCTION("""COMPUTED_VALUE""")," ")</f>
        <v> </v>
      </c>
      <c r="J1779" s="3" t="str">
        <f>IFERROR(__xludf.DUMMYFUNCTION("""COMPUTED_VALUE"""),"Y")</f>
        <v>Y</v>
      </c>
      <c r="K1779" s="3" t="str">
        <f>IFERROR(__xludf.DUMMYFUNCTION("""COMPUTED_VALUE"""),"Y")</f>
        <v>Y</v>
      </c>
      <c r="L1779" s="3" t="str">
        <f>IFERROR(__xludf.DUMMYFUNCTION("""COMPUTED_VALUE"""),"Group 3")</f>
        <v>Group 3</v>
      </c>
      <c r="M1779" s="3"/>
      <c r="N1779" s="5" t="str">
        <f>IFERROR(__xludf.DUMMYFUNCTION("""COMPUTED_VALUE""")," ")</f>
        <v> </v>
      </c>
      <c r="O1779" s="5"/>
    </row>
    <row r="1780">
      <c r="A1780" s="2" t="str">
        <f>IFERROR(__xludf.DUMMYFUNCTION("""COMPUTED_VALUE"""),"8042")</f>
        <v>8042</v>
      </c>
      <c r="B1780" s="2" t="str">
        <f>IFERROR(__xludf.DUMMYFUNCTION("""COMPUTED_VALUE"""),"CharterChoice Collaborative")</f>
        <v>CharterChoice Collaborative</v>
      </c>
      <c r="C1780" s="2" t="str">
        <f>IFERROR(__xludf.DUMMYFUNCTION("""COMPUTED_VALUE"""),"01345")</f>
        <v>01345</v>
      </c>
      <c r="D1780" s="2" t="str">
        <f>IFERROR(__xludf.DUMMYFUNCTION("""COMPUTED_VALUE"""),"ROCKY MOUNTAIN PREP BERKLEY")</f>
        <v>ROCKY MOUNTAIN PREP BERKLEY</v>
      </c>
      <c r="E1780" s="3" t="str">
        <f>IFERROR(__xludf.DUMMYFUNCTION("""COMPUTED_VALUE"""),"Y")</f>
        <v>Y</v>
      </c>
      <c r="F1780" s="3" t="str">
        <f>IFERROR(__xludf.DUMMYFUNCTION("""COMPUTED_VALUE"""),"Y")</f>
        <v>Y</v>
      </c>
      <c r="G1780" s="3" t="str">
        <f>IFERROR(__xludf.DUMMYFUNCTION("""COMPUTED_VALUE"""),"Y")</f>
        <v>Y</v>
      </c>
      <c r="H1780" s="3"/>
      <c r="I1780" s="3" t="str">
        <f>IFERROR(__xludf.DUMMYFUNCTION("""COMPUTED_VALUE""")," ")</f>
        <v> </v>
      </c>
      <c r="J1780" s="3" t="str">
        <f>IFERROR(__xludf.DUMMYFUNCTION("""COMPUTED_VALUE""")," ")</f>
        <v> </v>
      </c>
      <c r="K1780" s="3" t="str">
        <f>IFERROR(__xludf.DUMMYFUNCTION("""COMPUTED_VALUE"""),"Y")</f>
        <v>Y</v>
      </c>
      <c r="L1780" s="3" t="str">
        <f>IFERROR(__xludf.DUMMYFUNCTION("""COMPUTED_VALUE"""),"Group 4")</f>
        <v>Group 4</v>
      </c>
      <c r="M1780" s="3"/>
      <c r="N1780" s="5" t="str">
        <f>IFERROR(__xludf.DUMMYFUNCTION("""COMPUTED_VALUE""")," ")</f>
        <v> </v>
      </c>
      <c r="O1780" s="5"/>
    </row>
    <row r="1781">
      <c r="A1781" s="2" t="str">
        <f>IFERROR(__xludf.DUMMYFUNCTION("""COMPUTED_VALUE"""),"8042")</f>
        <v>8042</v>
      </c>
      <c r="B1781" s="2" t="str">
        <f>IFERROR(__xludf.DUMMYFUNCTION("""COMPUTED_VALUE"""),"CharterChoice Collaborative")</f>
        <v>CharterChoice Collaborative</v>
      </c>
      <c r="C1781" s="2" t="str">
        <f>IFERROR(__xludf.DUMMYFUNCTION("""COMPUTED_VALUE"""),"01371")</f>
        <v>01371</v>
      </c>
      <c r="D1781" s="2" t="str">
        <f>IFERROR(__xludf.DUMMYFUNCTION("""COMPUTED_VALUE"""),"COPERNI 3")</f>
        <v>COPERNI 3</v>
      </c>
      <c r="E1781" s="3" t="str">
        <f>IFERROR(__xludf.DUMMYFUNCTION("""COMPUTED_VALUE"""),"Y")</f>
        <v>Y</v>
      </c>
      <c r="F1781" s="3" t="str">
        <f>IFERROR(__xludf.DUMMYFUNCTION("""COMPUTED_VALUE"""),"Y")</f>
        <v>Y</v>
      </c>
      <c r="G1781" s="3" t="str">
        <f>IFERROR(__xludf.DUMMYFUNCTION("""COMPUTED_VALUE"""),"Y")</f>
        <v>Y</v>
      </c>
      <c r="H1781" s="3"/>
      <c r="I1781" s="3" t="str">
        <f>IFERROR(__xludf.DUMMYFUNCTION("""COMPUTED_VALUE""")," ")</f>
        <v> </v>
      </c>
      <c r="J1781" s="3" t="str">
        <f>IFERROR(__xludf.DUMMYFUNCTION("""COMPUTED_VALUE"""),"Y")</f>
        <v>Y</v>
      </c>
      <c r="K1781" s="3" t="str">
        <f>IFERROR(__xludf.DUMMYFUNCTION("""COMPUTED_VALUE"""),"Y")</f>
        <v>Y</v>
      </c>
      <c r="L1781" s="3" t="str">
        <f>IFERROR(__xludf.DUMMYFUNCTION("""COMPUTED_VALUE"""),"Group 1")</f>
        <v>Group 1</v>
      </c>
      <c r="M1781" s="3"/>
      <c r="N1781" s="5" t="str">
        <f>IFERROR(__xludf.DUMMYFUNCTION("""COMPUTED_VALUE"""),"Y")</f>
        <v>Y</v>
      </c>
      <c r="O1781" s="5"/>
    </row>
    <row r="1782">
      <c r="A1782" s="2" t="str">
        <f>IFERROR(__xludf.DUMMYFUNCTION("""COMPUTED_VALUE"""),"8042")</f>
        <v>8042</v>
      </c>
      <c r="B1782" s="2" t="str">
        <f>IFERROR(__xludf.DUMMYFUNCTION("""COMPUTED_VALUE"""),"CharterChoice Collaborative")</f>
        <v>CharterChoice Collaborative</v>
      </c>
      <c r="C1782" s="2" t="str">
        <f>IFERROR(__xludf.DUMMYFUNCTION("""COMPUTED_VALUE"""),"01519")</f>
        <v>01519</v>
      </c>
      <c r="D1782" s="2" t="str">
        <f>IFERROR(__xludf.DUMMYFUNCTION("""COMPUTED_VALUE"""),"Stargate Charter School")</f>
        <v>Stargate Charter School</v>
      </c>
      <c r="E1782" s="3"/>
      <c r="F1782" s="3" t="str">
        <f>IFERROR(__xludf.DUMMYFUNCTION("""COMPUTED_VALUE"""),"Y")</f>
        <v>Y</v>
      </c>
      <c r="G1782" s="3"/>
      <c r="H1782" s="3"/>
      <c r="I1782" s="3" t="str">
        <f>IFERROR(__xludf.DUMMYFUNCTION("""COMPUTED_VALUE""")," ")</f>
        <v> </v>
      </c>
      <c r="J1782" s="3" t="str">
        <f>IFERROR(__xludf.DUMMYFUNCTION("""COMPUTED_VALUE""")," ")</f>
        <v> </v>
      </c>
      <c r="K1782" s="3" t="str">
        <f>IFERROR(__xludf.DUMMYFUNCTION("""COMPUTED_VALUE"""),"Y")</f>
        <v>Y</v>
      </c>
      <c r="L1782" s="3" t="str">
        <f>IFERROR(__xludf.DUMMYFUNCTION("""COMPUTED_VALUE""")," ")</f>
        <v> </v>
      </c>
      <c r="M1782" s="3"/>
      <c r="N1782" s="5" t="str">
        <f>IFERROR(__xludf.DUMMYFUNCTION("""COMPUTED_VALUE""")," ")</f>
        <v> </v>
      </c>
      <c r="O1782" s="5"/>
    </row>
    <row r="1783">
      <c r="A1783" s="2" t="str">
        <f>IFERROR(__xludf.DUMMYFUNCTION("""COMPUTED_VALUE"""),"8042")</f>
        <v>8042</v>
      </c>
      <c r="B1783" s="2" t="str">
        <f>IFERROR(__xludf.DUMMYFUNCTION("""COMPUTED_VALUE"""),"CharterChoice Collaborative")</f>
        <v>CharterChoice Collaborative</v>
      </c>
      <c r="C1783" s="2" t="str">
        <f>IFERROR(__xludf.DUMMYFUNCTION("""COMPUTED_VALUE"""),"01561")</f>
        <v>01561</v>
      </c>
      <c r="D1783" s="2" t="str">
        <f>IFERROR(__xludf.DUMMYFUNCTION("""COMPUTED_VALUE"""),"COLORADO HIGH SCHOOL CHARTER - GES")</f>
        <v>COLORADO HIGH SCHOOL CHARTER - GES</v>
      </c>
      <c r="E1783" s="3" t="str">
        <f>IFERROR(__xludf.DUMMYFUNCTION("""COMPUTED_VALUE"""),"Y")</f>
        <v>Y</v>
      </c>
      <c r="F1783" s="3" t="str">
        <f>IFERROR(__xludf.DUMMYFUNCTION("""COMPUTED_VALUE"""),"Y")</f>
        <v>Y</v>
      </c>
      <c r="G1783" s="3"/>
      <c r="H1783" s="3"/>
      <c r="I1783" s="3" t="str">
        <f>IFERROR(__xludf.DUMMYFUNCTION("""COMPUTED_VALUE""")," ")</f>
        <v> </v>
      </c>
      <c r="J1783" s="3" t="str">
        <f>IFERROR(__xludf.DUMMYFUNCTION("""COMPUTED_VALUE"""),"Y")</f>
        <v>Y</v>
      </c>
      <c r="K1783" s="3" t="str">
        <f>IFERROR(__xludf.DUMMYFUNCTION("""COMPUTED_VALUE"""),"Y")</f>
        <v>Y</v>
      </c>
      <c r="L1783" s="3" t="str">
        <f>IFERROR(__xludf.DUMMYFUNCTION("""COMPUTED_VALUE"""),"Group 8")</f>
        <v>Group 8</v>
      </c>
      <c r="M1783" s="3"/>
      <c r="N1783" s="5" t="str">
        <f>IFERROR(__xludf.DUMMYFUNCTION("""COMPUTED_VALUE""")," ")</f>
        <v> </v>
      </c>
      <c r="O1783" s="5"/>
    </row>
    <row r="1784">
      <c r="A1784" s="2" t="str">
        <f>IFERROR(__xludf.DUMMYFUNCTION("""COMPUTED_VALUE"""),"8042")</f>
        <v>8042</v>
      </c>
      <c r="B1784" s="2" t="str">
        <f>IFERROR(__xludf.DUMMYFUNCTION("""COMPUTED_VALUE"""),"CharterChoice Collaborative")</f>
        <v>CharterChoice Collaborative</v>
      </c>
      <c r="C1784" s="2" t="str">
        <f>IFERROR(__xludf.DUMMYFUNCTION("""COMPUTED_VALUE"""),"01748")</f>
        <v>01748</v>
      </c>
      <c r="D1784" s="2" t="str">
        <f>IFERROR(__xludf.DUMMYFUNCTION("""COMPUTED_VALUE"""),"COLORADO HIGH SCHOOL - OSAGE")</f>
        <v>COLORADO HIGH SCHOOL - OSAGE</v>
      </c>
      <c r="E1784" s="3" t="str">
        <f>IFERROR(__xludf.DUMMYFUNCTION("""COMPUTED_VALUE"""),"Y")</f>
        <v>Y</v>
      </c>
      <c r="F1784" s="3" t="str">
        <f>IFERROR(__xludf.DUMMYFUNCTION("""COMPUTED_VALUE"""),"Y")</f>
        <v>Y</v>
      </c>
      <c r="G1784" s="3"/>
      <c r="H1784" s="3"/>
      <c r="I1784" s="3" t="str">
        <f>IFERROR(__xludf.DUMMYFUNCTION("""COMPUTED_VALUE""")," ")</f>
        <v> </v>
      </c>
      <c r="J1784" s="3" t="str">
        <f>IFERROR(__xludf.DUMMYFUNCTION("""COMPUTED_VALUE"""),"Y")</f>
        <v>Y</v>
      </c>
      <c r="K1784" s="3" t="str">
        <f>IFERROR(__xludf.DUMMYFUNCTION("""COMPUTED_VALUE"""),"Y")</f>
        <v>Y</v>
      </c>
      <c r="L1784" s="3" t="str">
        <f>IFERROR(__xludf.DUMMYFUNCTION("""COMPUTED_VALUE"""),"Group 6")</f>
        <v>Group 6</v>
      </c>
      <c r="M1784" s="3"/>
      <c r="N1784" s="5" t="str">
        <f>IFERROR(__xludf.DUMMYFUNCTION("""COMPUTED_VALUE""")," ")</f>
        <v> </v>
      </c>
      <c r="O1784" s="5"/>
    </row>
    <row r="1785">
      <c r="A1785" s="2" t="str">
        <f>IFERROR(__xludf.DUMMYFUNCTION("""COMPUTED_VALUE"""),"8042")</f>
        <v>8042</v>
      </c>
      <c r="B1785" s="2" t="str">
        <f>IFERROR(__xludf.DUMMYFUNCTION("""COMPUTED_VALUE"""),"CharterChoice Collaborative")</f>
        <v>CharterChoice Collaborative</v>
      </c>
      <c r="C1785" s="2" t="str">
        <f>IFERROR(__xludf.DUMMYFUNCTION("""COMPUTED_VALUE"""),"01917")</f>
        <v>01917</v>
      </c>
      <c r="D1785" s="2" t="str">
        <f>IFERROR(__xludf.DUMMYFUNCTION("""COMPUTED_VALUE"""),"Compass Community Collaborative School")</f>
        <v>Compass Community Collaborative School</v>
      </c>
      <c r="E1785" s="3"/>
      <c r="F1785" s="3" t="str">
        <f>IFERROR(__xludf.DUMMYFUNCTION("""COMPUTED_VALUE"""),"Y")</f>
        <v>Y</v>
      </c>
      <c r="G1785" s="3"/>
      <c r="H1785" s="3"/>
      <c r="I1785" s="3" t="str">
        <f>IFERROR(__xludf.DUMMYFUNCTION("""COMPUTED_VALUE""")," ")</f>
        <v> </v>
      </c>
      <c r="J1785" s="3" t="str">
        <f>IFERROR(__xludf.DUMMYFUNCTION("""COMPUTED_VALUE""")," ")</f>
        <v> </v>
      </c>
      <c r="K1785" s="3" t="str">
        <f>IFERROR(__xludf.DUMMYFUNCTION("""COMPUTED_VALUE"""),"Y")</f>
        <v>Y</v>
      </c>
      <c r="L1785" s="3" t="str">
        <f>IFERROR(__xludf.DUMMYFUNCTION("""COMPUTED_VALUE""")," ")</f>
        <v> </v>
      </c>
      <c r="M1785" s="3"/>
      <c r="N1785" s="5" t="str">
        <f>IFERROR(__xludf.DUMMYFUNCTION("""COMPUTED_VALUE""")," ")</f>
        <v> </v>
      </c>
      <c r="O1785" s="5"/>
    </row>
    <row r="1786">
      <c r="A1786" s="2" t="str">
        <f>IFERROR(__xludf.DUMMYFUNCTION("""COMPUTED_VALUE"""),"8042")</f>
        <v>8042</v>
      </c>
      <c r="B1786" s="2" t="str">
        <f>IFERROR(__xludf.DUMMYFUNCTION("""COMPUTED_VALUE"""),"CharterChoice Collaborative")</f>
        <v>CharterChoice Collaborative</v>
      </c>
      <c r="C1786" s="2" t="str">
        <f>IFERROR(__xludf.DUMMYFUNCTION("""COMPUTED_VALUE"""),"02026")</f>
        <v>02026</v>
      </c>
      <c r="D1786" s="2" t="str">
        <f>IFERROR(__xludf.DUMMYFUNCTION("""COMPUTED_VALUE"""),"DSST: Elevate Northeast High School")</f>
        <v>DSST: Elevate Northeast High School</v>
      </c>
      <c r="E1786" s="3" t="str">
        <f>IFERROR(__xludf.DUMMYFUNCTION("""COMPUTED_VALUE"""),"Y")</f>
        <v>Y</v>
      </c>
      <c r="F1786" s="3" t="str">
        <f>IFERROR(__xludf.DUMMYFUNCTION("""COMPUTED_VALUE"""),"Y")</f>
        <v>Y</v>
      </c>
      <c r="G1786" s="3"/>
      <c r="H1786" s="3"/>
      <c r="I1786" s="3" t="str">
        <f>IFERROR(__xludf.DUMMYFUNCTION("""COMPUTED_VALUE""")," ")</f>
        <v> </v>
      </c>
      <c r="J1786" s="3" t="str">
        <f>IFERROR(__xludf.DUMMYFUNCTION("""COMPUTED_VALUE"""),"Y")</f>
        <v>Y</v>
      </c>
      <c r="K1786" s="3" t="str">
        <f>IFERROR(__xludf.DUMMYFUNCTION("""COMPUTED_VALUE"""),"Y")</f>
        <v>Y</v>
      </c>
      <c r="L1786" s="3" t="str">
        <f>IFERROR(__xludf.DUMMYFUNCTION("""COMPUTED_VALUE"""),"Group 3")</f>
        <v>Group 3</v>
      </c>
      <c r="M1786" s="3"/>
      <c r="N1786" s="5" t="str">
        <f>IFERROR(__xludf.DUMMYFUNCTION("""COMPUTED_VALUE"""),"Y")</f>
        <v>Y</v>
      </c>
      <c r="O1786" s="5"/>
    </row>
    <row r="1787">
      <c r="A1787" s="2" t="str">
        <f>IFERROR(__xludf.DUMMYFUNCTION("""COMPUTED_VALUE"""),"8042")</f>
        <v>8042</v>
      </c>
      <c r="B1787" s="2" t="str">
        <f>IFERROR(__xludf.DUMMYFUNCTION("""COMPUTED_VALUE"""),"CharterChoice Collaborative")</f>
        <v>CharterChoice Collaborative</v>
      </c>
      <c r="C1787" s="2" t="str">
        <f>IFERROR(__xludf.DUMMYFUNCTION("""COMPUTED_VALUE"""),"02035")</f>
        <v>02035</v>
      </c>
      <c r="D1787" s="2" t="str">
        <f>IFERROR(__xludf.DUMMYFUNCTION("""COMPUTED_VALUE"""),"CROWN POINTE ACADEMY")</f>
        <v>CROWN POINTE ACADEMY</v>
      </c>
      <c r="E1787" s="3" t="str">
        <f>IFERROR(__xludf.DUMMYFUNCTION("""COMPUTED_VALUE"""),"Y")</f>
        <v>Y</v>
      </c>
      <c r="F1787" s="3" t="str">
        <f>IFERROR(__xludf.DUMMYFUNCTION("""COMPUTED_VALUE"""),"Y")</f>
        <v>Y</v>
      </c>
      <c r="G1787" s="3" t="str">
        <f>IFERROR(__xludf.DUMMYFUNCTION("""COMPUTED_VALUE"""),"Y")</f>
        <v>Y</v>
      </c>
      <c r="H1787" s="3"/>
      <c r="I1787" s="3" t="str">
        <f>IFERROR(__xludf.DUMMYFUNCTION("""COMPUTED_VALUE""")," ")</f>
        <v> </v>
      </c>
      <c r="J1787" s="3" t="str">
        <f>IFERROR(__xludf.DUMMYFUNCTION("""COMPUTED_VALUE""")," ")</f>
        <v> </v>
      </c>
      <c r="K1787" s="3" t="str">
        <f>IFERROR(__xludf.DUMMYFUNCTION("""COMPUTED_VALUE"""),"Y")</f>
        <v>Y</v>
      </c>
      <c r="L1787" s="3" t="str">
        <f>IFERROR(__xludf.DUMMYFUNCTION("""COMPUTED_VALUE"""),"Group 1")</f>
        <v>Group 1</v>
      </c>
      <c r="M1787" s="3"/>
      <c r="N1787" s="5" t="str">
        <f>IFERROR(__xludf.DUMMYFUNCTION("""COMPUTED_VALUE""")," ")</f>
        <v> </v>
      </c>
      <c r="O1787" s="5"/>
    </row>
    <row r="1788">
      <c r="A1788" s="2" t="str">
        <f>IFERROR(__xludf.DUMMYFUNCTION("""COMPUTED_VALUE"""),"8042")</f>
        <v>8042</v>
      </c>
      <c r="B1788" s="2" t="str">
        <f>IFERROR(__xludf.DUMMYFUNCTION("""COMPUTED_VALUE"""),"CharterChoice Collaborative")</f>
        <v>CharterChoice Collaborative</v>
      </c>
      <c r="C1788" s="2" t="str">
        <f>IFERROR(__xludf.DUMMYFUNCTION("""COMPUTED_VALUE"""),"02190")</f>
        <v>02190</v>
      </c>
      <c r="D1788" s="2" t="str">
        <f>IFERROR(__xludf.DUMMYFUNCTION("""COMPUTED_VALUE"""),"DSST: Elevate Northeast Middle School")</f>
        <v>DSST: Elevate Northeast Middle School</v>
      </c>
      <c r="E1788" s="3" t="str">
        <f>IFERROR(__xludf.DUMMYFUNCTION("""COMPUTED_VALUE"""),"Y")</f>
        <v>Y</v>
      </c>
      <c r="F1788" s="3" t="str">
        <f>IFERROR(__xludf.DUMMYFUNCTION("""COMPUTED_VALUE"""),"Y")</f>
        <v>Y</v>
      </c>
      <c r="G1788" s="3"/>
      <c r="H1788" s="3"/>
      <c r="I1788" s="3" t="str">
        <f>IFERROR(__xludf.DUMMYFUNCTION("""COMPUTED_VALUE""")," ")</f>
        <v> </v>
      </c>
      <c r="J1788" s="3" t="str">
        <f>IFERROR(__xludf.DUMMYFUNCTION("""COMPUTED_VALUE""")," ")</f>
        <v> </v>
      </c>
      <c r="K1788" s="3" t="str">
        <f>IFERROR(__xludf.DUMMYFUNCTION("""COMPUTED_VALUE"""),"Y")</f>
        <v>Y</v>
      </c>
      <c r="L1788" s="3" t="str">
        <f>IFERROR(__xludf.DUMMYFUNCTION("""COMPUTED_VALUE"""),"Group 3")</f>
        <v>Group 3</v>
      </c>
      <c r="M1788" s="3"/>
      <c r="N1788" s="5" t="str">
        <f>IFERROR(__xludf.DUMMYFUNCTION("""COMPUTED_VALUE""")," ")</f>
        <v> </v>
      </c>
      <c r="O1788" s="5"/>
    </row>
    <row r="1789">
      <c r="A1789" s="2" t="str">
        <f>IFERROR(__xludf.DUMMYFUNCTION("""COMPUTED_VALUE"""),"8042")</f>
        <v>8042</v>
      </c>
      <c r="B1789" s="2" t="str">
        <f>IFERROR(__xludf.DUMMYFUNCTION("""COMPUTED_VALUE"""),"CharterChoice Collaborative")</f>
        <v>CharterChoice Collaborative</v>
      </c>
      <c r="C1789" s="2" t="str">
        <f>IFERROR(__xludf.DUMMYFUNCTION("""COMPUTED_VALUE"""),"02207")</f>
        <v>02207</v>
      </c>
      <c r="D1789" s="2" t="str">
        <f>IFERROR(__xludf.DUMMYFUNCTION("""COMPUTED_VALUE"""),"DOWNTOWN DENVER EXPEDITIONARY SCHOOL")</f>
        <v>DOWNTOWN DENVER EXPEDITIONARY SCHOOL</v>
      </c>
      <c r="E1789" s="3" t="str">
        <f>IFERROR(__xludf.DUMMYFUNCTION("""COMPUTED_VALUE"""),"Y")</f>
        <v>Y</v>
      </c>
      <c r="F1789" s="3" t="str">
        <f>IFERROR(__xludf.DUMMYFUNCTION("""COMPUTED_VALUE"""),"Y")</f>
        <v>Y</v>
      </c>
      <c r="G1789" s="3" t="str">
        <f>IFERROR(__xludf.DUMMYFUNCTION("""COMPUTED_VALUE"""),"Y")</f>
        <v>Y</v>
      </c>
      <c r="H1789" s="3"/>
      <c r="I1789" s="3" t="str">
        <f>IFERROR(__xludf.DUMMYFUNCTION("""COMPUTED_VALUE""")," ")</f>
        <v> </v>
      </c>
      <c r="J1789" s="3" t="str">
        <f>IFERROR(__xludf.DUMMYFUNCTION("""COMPUTED_VALUE""")," ")</f>
        <v> </v>
      </c>
      <c r="K1789" s="3" t="str">
        <f>IFERROR(__xludf.DUMMYFUNCTION("""COMPUTED_VALUE"""),"Y")</f>
        <v>Y</v>
      </c>
      <c r="L1789" s="3" t="str">
        <f>IFERROR(__xludf.DUMMYFUNCTION("""COMPUTED_VALUE"""),"Group 6")</f>
        <v>Group 6</v>
      </c>
      <c r="M1789" s="3"/>
      <c r="N1789" s="5" t="str">
        <f>IFERROR(__xludf.DUMMYFUNCTION("""COMPUTED_VALUE""")," ")</f>
        <v> </v>
      </c>
      <c r="O1789" s="5"/>
    </row>
    <row r="1790">
      <c r="A1790" s="2" t="str">
        <f>IFERROR(__xludf.DUMMYFUNCTION("""COMPUTED_VALUE"""),"8042")</f>
        <v>8042</v>
      </c>
      <c r="B1790" s="2" t="str">
        <f>IFERROR(__xludf.DUMMYFUNCTION("""COMPUTED_VALUE"""),"CharterChoice Collaborative")</f>
        <v>CharterChoice Collaborative</v>
      </c>
      <c r="C1790" s="2" t="str">
        <f>IFERROR(__xludf.DUMMYFUNCTION("""COMPUTED_VALUE"""),"02799")</f>
        <v>02799</v>
      </c>
      <c r="D1790" s="2" t="str">
        <f>IFERROR(__xludf.DUMMYFUNCTION("""COMPUTED_VALUE"""),"EXCEL ACADEMY CHARTER SCHOOL")</f>
        <v>EXCEL ACADEMY CHARTER SCHOOL</v>
      </c>
      <c r="E1790" s="3" t="str">
        <f>IFERROR(__xludf.DUMMYFUNCTION("""COMPUTED_VALUE"""),"Y")</f>
        <v>Y</v>
      </c>
      <c r="F1790" s="3" t="str">
        <f>IFERROR(__xludf.DUMMYFUNCTION("""COMPUTED_VALUE"""),"Y")</f>
        <v>Y</v>
      </c>
      <c r="G1790" s="3"/>
      <c r="H1790" s="3"/>
      <c r="I1790" s="3" t="str">
        <f>IFERROR(__xludf.DUMMYFUNCTION("""COMPUTED_VALUE""")," ")</f>
        <v> </v>
      </c>
      <c r="J1790" s="3" t="str">
        <f>IFERROR(__xludf.DUMMYFUNCTION("""COMPUTED_VALUE""")," ")</f>
        <v> </v>
      </c>
      <c r="K1790" s="3" t="str">
        <f>IFERROR(__xludf.DUMMYFUNCTION("""COMPUTED_VALUE"""),"Y")</f>
        <v>Y</v>
      </c>
      <c r="L1790" s="3" t="str">
        <f>IFERROR(__xludf.DUMMYFUNCTION("""COMPUTED_VALUE"""),"Group 8")</f>
        <v>Group 8</v>
      </c>
      <c r="M1790" s="3"/>
      <c r="N1790" s="5" t="str">
        <f>IFERROR(__xludf.DUMMYFUNCTION("""COMPUTED_VALUE""")," ")</f>
        <v> </v>
      </c>
      <c r="O1790" s="5"/>
    </row>
    <row r="1791">
      <c r="A1791" s="2" t="str">
        <f>IFERROR(__xludf.DUMMYFUNCTION("""COMPUTED_VALUE"""),"8042")</f>
        <v>8042</v>
      </c>
      <c r="B1791" s="2" t="str">
        <f>IFERROR(__xludf.DUMMYFUNCTION("""COMPUTED_VALUE"""),"CharterChoice Collaborative")</f>
        <v>CharterChoice Collaborative</v>
      </c>
      <c r="C1791" s="2" t="str">
        <f>IFERROR(__xludf.DUMMYFUNCTION("""COMPUTED_VALUE"""),"04333")</f>
        <v>04333</v>
      </c>
      <c r="D1791" s="2" t="str">
        <f>IFERROR(__xludf.DUMMYFUNCTION("""COMPUTED_VALUE"""),"FIRESTONE CHARTER ACADEMY")</f>
        <v>FIRESTONE CHARTER ACADEMY</v>
      </c>
      <c r="E1791" s="3"/>
      <c r="F1791" s="3" t="str">
        <f>IFERROR(__xludf.DUMMYFUNCTION("""COMPUTED_VALUE"""),"Y")</f>
        <v>Y</v>
      </c>
      <c r="G1791" s="3"/>
      <c r="H1791" s="3"/>
      <c r="I1791" s="3" t="str">
        <f>IFERROR(__xludf.DUMMYFUNCTION("""COMPUTED_VALUE""")," ")</f>
        <v> </v>
      </c>
      <c r="J1791" s="3" t="str">
        <f>IFERROR(__xludf.DUMMYFUNCTION("""COMPUTED_VALUE""")," ")</f>
        <v> </v>
      </c>
      <c r="K1791" s="3" t="str">
        <f>IFERROR(__xludf.DUMMYFUNCTION("""COMPUTED_VALUE"""),"Y")</f>
        <v>Y</v>
      </c>
      <c r="L1791" s="3" t="str">
        <f>IFERROR(__xludf.DUMMYFUNCTION("""COMPUTED_VALUE""")," ")</f>
        <v> </v>
      </c>
      <c r="M1791" s="3"/>
      <c r="N1791" s="5" t="str">
        <f>IFERROR(__xludf.DUMMYFUNCTION("""COMPUTED_VALUE""")," ")</f>
        <v> </v>
      </c>
      <c r="O1791" s="5"/>
    </row>
    <row r="1792">
      <c r="A1792" s="2" t="str">
        <f>IFERROR(__xludf.DUMMYFUNCTION("""COMPUTED_VALUE"""),"8042")</f>
        <v>8042</v>
      </c>
      <c r="B1792" s="2" t="str">
        <f>IFERROR(__xludf.DUMMYFUNCTION("""COMPUTED_VALUE"""),"CharterChoice Collaborative")</f>
        <v>CharterChoice Collaborative</v>
      </c>
      <c r="C1792" s="2" t="str">
        <f>IFERROR(__xludf.DUMMYFUNCTION("""COMPUTED_VALUE"""),"04509")</f>
        <v>04509</v>
      </c>
      <c r="D1792" s="2" t="str">
        <f>IFERROR(__xludf.DUMMYFUNCTION("""COMPUTED_VALUE"""),"KIPP Northeast Denver Leadership Academy")</f>
        <v>KIPP Northeast Denver Leadership Academy</v>
      </c>
      <c r="E1792" s="3" t="str">
        <f>IFERROR(__xludf.DUMMYFUNCTION("""COMPUTED_VALUE"""),"Y")</f>
        <v>Y</v>
      </c>
      <c r="F1792" s="3" t="str">
        <f>IFERROR(__xludf.DUMMYFUNCTION("""COMPUTED_VALUE"""),"Y")</f>
        <v>Y</v>
      </c>
      <c r="G1792" s="3"/>
      <c r="H1792" s="3"/>
      <c r="I1792" s="3" t="str">
        <f>IFERROR(__xludf.DUMMYFUNCTION("""COMPUTED_VALUE""")," ")</f>
        <v> </v>
      </c>
      <c r="J1792" s="3" t="str">
        <f>IFERROR(__xludf.DUMMYFUNCTION("""COMPUTED_VALUE"""),"Y")</f>
        <v>Y</v>
      </c>
      <c r="K1792" s="3" t="str">
        <f>IFERROR(__xludf.DUMMYFUNCTION("""COMPUTED_VALUE"""),"Y")</f>
        <v>Y</v>
      </c>
      <c r="L1792" s="3" t="str">
        <f>IFERROR(__xludf.DUMMYFUNCTION("""COMPUTED_VALUE"""),"Group 7")</f>
        <v>Group 7</v>
      </c>
      <c r="M1792" s="3"/>
      <c r="N1792" s="5" t="str">
        <f>IFERROR(__xludf.DUMMYFUNCTION("""COMPUTED_VALUE""")," ")</f>
        <v> </v>
      </c>
      <c r="O1792" s="5"/>
    </row>
    <row r="1793">
      <c r="A1793" s="2" t="str">
        <f>IFERROR(__xludf.DUMMYFUNCTION("""COMPUTED_VALUE"""),"8042")</f>
        <v>8042</v>
      </c>
      <c r="B1793" s="2" t="str">
        <f>IFERROR(__xludf.DUMMYFUNCTION("""COMPUTED_VALUE"""),"CharterChoice Collaborative")</f>
        <v>CharterChoice Collaborative</v>
      </c>
      <c r="C1793" s="2" t="str">
        <f>IFERROR(__xludf.DUMMYFUNCTION("""COMPUTED_VALUE"""),"05146")</f>
        <v>05146</v>
      </c>
      <c r="D1793" s="2" t="str">
        <f>IFERROR(__xludf.DUMMYFUNCTION("""COMPUTED_VALUE"""),"Eastlake High School of Colorado Springs")</f>
        <v>Eastlake High School of Colorado Springs</v>
      </c>
      <c r="E1793" s="3" t="str">
        <f>IFERROR(__xludf.DUMMYFUNCTION("""COMPUTED_VALUE"""),"Y")</f>
        <v>Y</v>
      </c>
      <c r="F1793" s="3" t="str">
        <f>IFERROR(__xludf.DUMMYFUNCTION("""COMPUTED_VALUE"""),"Y")</f>
        <v>Y</v>
      </c>
      <c r="G1793" s="3"/>
      <c r="H1793" s="3"/>
      <c r="I1793" s="3" t="str">
        <f>IFERROR(__xludf.DUMMYFUNCTION("""COMPUTED_VALUE""")," ")</f>
        <v> </v>
      </c>
      <c r="J1793" s="3" t="str">
        <f>IFERROR(__xludf.DUMMYFUNCTION("""COMPUTED_VALUE"""),"Y")</f>
        <v>Y</v>
      </c>
      <c r="K1793" s="3" t="str">
        <f>IFERROR(__xludf.DUMMYFUNCTION("""COMPUTED_VALUE"""),"Y")</f>
        <v>Y</v>
      </c>
      <c r="L1793" s="3" t="str">
        <f>IFERROR(__xludf.DUMMYFUNCTION("""COMPUTED_VALUE"""),"Group 7")</f>
        <v>Group 7</v>
      </c>
      <c r="M1793" s="3"/>
      <c r="N1793" s="5" t="str">
        <f>IFERROR(__xludf.DUMMYFUNCTION("""COMPUTED_VALUE""")," ")</f>
        <v> </v>
      </c>
      <c r="O1793" s="5"/>
    </row>
    <row r="1794">
      <c r="A1794" s="2" t="str">
        <f>IFERROR(__xludf.DUMMYFUNCTION("""COMPUTED_VALUE"""),"8042")</f>
        <v>8042</v>
      </c>
      <c r="B1794" s="2" t="str">
        <f>IFERROR(__xludf.DUMMYFUNCTION("""COMPUTED_VALUE"""),"CharterChoice Collaborative")</f>
        <v>CharterChoice Collaborative</v>
      </c>
      <c r="C1794" s="2" t="str">
        <f>IFERROR(__xludf.DUMMYFUNCTION("""COMPUTED_VALUE"""),"05898")</f>
        <v>05898</v>
      </c>
      <c r="D1794" s="2" t="str">
        <f>IFERROR(__xludf.DUMMYFUNCTION("""COMPUTED_VALUE"""),"ATLAS PREP ELEMENTARY SCHOOL")</f>
        <v>ATLAS PREP ELEMENTARY SCHOOL</v>
      </c>
      <c r="E1794" s="3" t="str">
        <f>IFERROR(__xludf.DUMMYFUNCTION("""COMPUTED_VALUE"""),"Y")</f>
        <v>Y</v>
      </c>
      <c r="F1794" s="3" t="str">
        <f>IFERROR(__xludf.DUMMYFUNCTION("""COMPUTED_VALUE"""),"Y")</f>
        <v>Y</v>
      </c>
      <c r="G1794" s="3"/>
      <c r="H1794" s="3"/>
      <c r="I1794" s="3" t="str">
        <f>IFERROR(__xludf.DUMMYFUNCTION("""COMPUTED_VALUE"""),"Y")</f>
        <v>Y</v>
      </c>
      <c r="J1794" s="3" t="str">
        <f>IFERROR(__xludf.DUMMYFUNCTION("""COMPUTED_VALUE"""),"Y")</f>
        <v>Y</v>
      </c>
      <c r="K1794" s="3" t="str">
        <f>IFERROR(__xludf.DUMMYFUNCTION("""COMPUTED_VALUE"""),"Y")</f>
        <v>Y</v>
      </c>
      <c r="L1794" s="3" t="str">
        <f>IFERROR(__xludf.DUMMYFUNCTION("""COMPUTED_VALUE"""),"Group 4")</f>
        <v>Group 4</v>
      </c>
      <c r="M1794" s="3"/>
      <c r="N1794" s="5" t="str">
        <f>IFERROR(__xludf.DUMMYFUNCTION("""COMPUTED_VALUE""")," ")</f>
        <v> </v>
      </c>
      <c r="O1794" s="5"/>
    </row>
    <row r="1795">
      <c r="A1795" s="2" t="str">
        <f>IFERROR(__xludf.DUMMYFUNCTION("""COMPUTED_VALUE"""),"8042")</f>
        <v>8042</v>
      </c>
      <c r="B1795" s="2" t="str">
        <f>IFERROR(__xludf.DUMMYFUNCTION("""COMPUTED_VALUE"""),"CharterChoice Collaborative")</f>
        <v>CharterChoice Collaborative</v>
      </c>
      <c r="C1795" s="2" t="str">
        <f>IFERROR(__xludf.DUMMYFUNCTION("""COMPUTED_VALUE"""),"05917")</f>
        <v>05917</v>
      </c>
      <c r="D1795" s="2" t="str">
        <f>IFERROR(__xludf.DUMMYFUNCTION("""COMPUTED_VALUE"""),"Mountain Sage Community School")</f>
        <v>Mountain Sage Community School</v>
      </c>
      <c r="E1795" s="3"/>
      <c r="F1795" s="3" t="str">
        <f>IFERROR(__xludf.DUMMYFUNCTION("""COMPUTED_VALUE"""),"Y")</f>
        <v>Y</v>
      </c>
      <c r="G1795" s="3"/>
      <c r="H1795" s="3"/>
      <c r="I1795" s="3" t="str">
        <f>IFERROR(__xludf.DUMMYFUNCTION("""COMPUTED_VALUE""")," ")</f>
        <v> </v>
      </c>
      <c r="J1795" s="3" t="str">
        <f>IFERROR(__xludf.DUMMYFUNCTION("""COMPUTED_VALUE""")," ")</f>
        <v> </v>
      </c>
      <c r="K1795" s="3" t="str">
        <f>IFERROR(__xludf.DUMMYFUNCTION("""COMPUTED_VALUE"""),"Y")</f>
        <v>Y</v>
      </c>
      <c r="L1795" s="3" t="str">
        <f>IFERROR(__xludf.DUMMYFUNCTION("""COMPUTED_VALUE""")," ")</f>
        <v> </v>
      </c>
      <c r="M1795" s="3"/>
      <c r="N1795" s="5" t="str">
        <f>IFERROR(__xludf.DUMMYFUNCTION("""COMPUTED_VALUE""")," ")</f>
        <v> </v>
      </c>
      <c r="O1795" s="5"/>
    </row>
    <row r="1796">
      <c r="A1796" s="2" t="str">
        <f>IFERROR(__xludf.DUMMYFUNCTION("""COMPUTED_VALUE"""),"8042")</f>
        <v>8042</v>
      </c>
      <c r="B1796" s="2" t="str">
        <f>IFERROR(__xludf.DUMMYFUNCTION("""COMPUTED_VALUE"""),"CharterChoice Collaborative")</f>
        <v>CharterChoice Collaborative</v>
      </c>
      <c r="C1796" s="2" t="str">
        <f>IFERROR(__xludf.DUMMYFUNCTION("""COMPUTED_VALUE"""),"05994")</f>
        <v>05994</v>
      </c>
      <c r="D1796" s="2" t="str">
        <f>IFERROR(__xludf.DUMMYFUNCTION("""COMPUTED_VALUE"""),"MONTESSORI PEAKS CHARTER ACADEMY")</f>
        <v>MONTESSORI PEAKS CHARTER ACADEMY</v>
      </c>
      <c r="E1796" s="3" t="str">
        <f>IFERROR(__xludf.DUMMYFUNCTION("""COMPUTED_VALUE"""),"Y")</f>
        <v>Y</v>
      </c>
      <c r="F1796" s="3" t="str">
        <f>IFERROR(__xludf.DUMMYFUNCTION("""COMPUTED_VALUE"""),"Y")</f>
        <v>Y</v>
      </c>
      <c r="G1796" s="3"/>
      <c r="H1796" s="3"/>
      <c r="I1796" s="3" t="str">
        <f>IFERROR(__xludf.DUMMYFUNCTION("""COMPUTED_VALUE""")," ")</f>
        <v> </v>
      </c>
      <c r="J1796" s="3" t="str">
        <f>IFERROR(__xludf.DUMMYFUNCTION("""COMPUTED_VALUE""")," ")</f>
        <v> </v>
      </c>
      <c r="K1796" s="3" t="str">
        <f>IFERROR(__xludf.DUMMYFUNCTION("""COMPUTED_VALUE"""),"Y")</f>
        <v>Y</v>
      </c>
      <c r="L1796" s="3" t="str">
        <f>IFERROR(__xludf.DUMMYFUNCTION("""COMPUTED_VALUE"""),"Group 2")</f>
        <v>Group 2</v>
      </c>
      <c r="M1796" s="3"/>
      <c r="N1796" s="5" t="str">
        <f>IFERROR(__xludf.DUMMYFUNCTION("""COMPUTED_VALUE""")," ")</f>
        <v> </v>
      </c>
      <c r="O1796" s="5"/>
    </row>
    <row r="1797">
      <c r="A1797" s="2" t="str">
        <f>IFERROR(__xludf.DUMMYFUNCTION("""COMPUTED_VALUE"""),"8042")</f>
        <v>8042</v>
      </c>
      <c r="B1797" s="2" t="str">
        <f>IFERROR(__xludf.DUMMYFUNCTION("""COMPUTED_VALUE"""),"CharterChoice Collaborative")</f>
        <v>CharterChoice Collaborative</v>
      </c>
      <c r="C1797" s="2" t="str">
        <f>IFERROR(__xludf.DUMMYFUNCTION("""COMPUTED_VALUE"""),"06139")</f>
        <v>06139</v>
      </c>
      <c r="D1797" s="2" t="str">
        <f>IFERROR(__xludf.DUMMYFUNCTION("""COMPUTED_VALUE"""),"Mountain Phoenix Community School")</f>
        <v>Mountain Phoenix Community School</v>
      </c>
      <c r="E1797" s="3"/>
      <c r="F1797" s="3" t="str">
        <f>IFERROR(__xludf.DUMMYFUNCTION("""COMPUTED_VALUE"""),"Y")</f>
        <v>Y</v>
      </c>
      <c r="G1797" s="3"/>
      <c r="H1797" s="3"/>
      <c r="I1797" s="3" t="str">
        <f>IFERROR(__xludf.DUMMYFUNCTION("""COMPUTED_VALUE""")," ")</f>
        <v> </v>
      </c>
      <c r="J1797" s="3" t="str">
        <f>IFERROR(__xludf.DUMMYFUNCTION("""COMPUTED_VALUE""")," ")</f>
        <v> </v>
      </c>
      <c r="K1797" s="3" t="str">
        <f>IFERROR(__xludf.DUMMYFUNCTION("""COMPUTED_VALUE"""),"Y")</f>
        <v>Y</v>
      </c>
      <c r="L1797" s="3" t="str">
        <f>IFERROR(__xludf.DUMMYFUNCTION("""COMPUTED_VALUE""")," ")</f>
        <v> </v>
      </c>
      <c r="M1797" s="3"/>
      <c r="N1797" s="5" t="str">
        <f>IFERROR(__xludf.DUMMYFUNCTION("""COMPUTED_VALUE""")," ")</f>
        <v> </v>
      </c>
      <c r="O1797" s="5"/>
    </row>
    <row r="1798">
      <c r="A1798" s="2" t="str">
        <f>IFERROR(__xludf.DUMMYFUNCTION("""COMPUTED_VALUE"""),"8042")</f>
        <v>8042</v>
      </c>
      <c r="B1798" s="2" t="str">
        <f>IFERROR(__xludf.DUMMYFUNCTION("""COMPUTED_VALUE"""),"CharterChoice Collaborative")</f>
        <v>CharterChoice Collaborative</v>
      </c>
      <c r="C1798" s="2" t="str">
        <f>IFERROR(__xludf.DUMMYFUNCTION("""COMPUTED_VALUE"""),"06226")</f>
        <v>06226</v>
      </c>
      <c r="D1798" s="2" t="str">
        <f>IFERROR(__xludf.DUMMYFUNCTION("""COMPUTED_VALUE"""),"CIVICA Colorado")</f>
        <v>CIVICA Colorado</v>
      </c>
      <c r="E1798" s="3" t="str">
        <f>IFERROR(__xludf.DUMMYFUNCTION("""COMPUTED_VALUE"""),"Y")</f>
        <v>Y</v>
      </c>
      <c r="F1798" s="3" t="str">
        <f>IFERROR(__xludf.DUMMYFUNCTION("""COMPUTED_VALUE"""),"Y")</f>
        <v>Y</v>
      </c>
      <c r="G1798" s="3"/>
      <c r="H1798" s="3"/>
      <c r="I1798" s="3" t="str">
        <f>IFERROR(__xludf.DUMMYFUNCTION("""COMPUTED_VALUE""")," ")</f>
        <v> </v>
      </c>
      <c r="J1798" s="3" t="str">
        <f>IFERROR(__xludf.DUMMYFUNCTION("""COMPUTED_VALUE""")," ")</f>
        <v> </v>
      </c>
      <c r="K1798" s="3" t="str">
        <f>IFERROR(__xludf.DUMMYFUNCTION("""COMPUTED_VALUE"""),"Y")</f>
        <v>Y</v>
      </c>
      <c r="L1798" s="3" t="str">
        <f>IFERROR(__xludf.DUMMYFUNCTION("""COMPUTED_VALUE"""),"Group 8")</f>
        <v>Group 8</v>
      </c>
      <c r="M1798" s="3"/>
      <c r="N1798" s="5" t="str">
        <f>IFERROR(__xludf.DUMMYFUNCTION("""COMPUTED_VALUE""")," ")</f>
        <v> </v>
      </c>
      <c r="O1798" s="5"/>
    </row>
    <row r="1799">
      <c r="A1799" s="2" t="str">
        <f>IFERROR(__xludf.DUMMYFUNCTION("""COMPUTED_VALUE"""),"8042")</f>
        <v>8042</v>
      </c>
      <c r="B1799" s="2" t="str">
        <f>IFERROR(__xludf.DUMMYFUNCTION("""COMPUTED_VALUE"""),"CharterChoice Collaborative")</f>
        <v>CharterChoice Collaborative</v>
      </c>
      <c r="C1799" s="2" t="str">
        <f>IFERROR(__xludf.DUMMYFUNCTION("""COMPUTED_VALUE"""),"07047")</f>
        <v>07047</v>
      </c>
      <c r="D1799" s="2" t="str">
        <f>IFERROR(__xludf.DUMMYFUNCTION("""COMPUTED_VALUE"""),"Platte River Charter Academy")</f>
        <v>Platte River Charter Academy</v>
      </c>
      <c r="E1799" s="3"/>
      <c r="F1799" s="3" t="str">
        <f>IFERROR(__xludf.DUMMYFUNCTION("""COMPUTED_VALUE"""),"Y")</f>
        <v>Y</v>
      </c>
      <c r="G1799" s="3"/>
      <c r="H1799" s="3"/>
      <c r="I1799" s="3" t="str">
        <f>IFERROR(__xludf.DUMMYFUNCTION("""COMPUTED_VALUE""")," ")</f>
        <v> </v>
      </c>
      <c r="J1799" s="3" t="str">
        <f>IFERROR(__xludf.DUMMYFUNCTION("""COMPUTED_VALUE""")," ")</f>
        <v> </v>
      </c>
      <c r="K1799" s="3" t="str">
        <f>IFERROR(__xludf.DUMMYFUNCTION("""COMPUTED_VALUE"""),"Y")</f>
        <v>Y</v>
      </c>
      <c r="L1799" s="3" t="str">
        <f>IFERROR(__xludf.DUMMYFUNCTION("""COMPUTED_VALUE""")," ")</f>
        <v> </v>
      </c>
      <c r="M1799" s="3"/>
      <c r="N1799" s="5" t="str">
        <f>IFERROR(__xludf.DUMMYFUNCTION("""COMPUTED_VALUE""")," ")</f>
        <v> </v>
      </c>
      <c r="O1799" s="5"/>
    </row>
    <row r="1800">
      <c r="A1800" s="2" t="str">
        <f>IFERROR(__xludf.DUMMYFUNCTION("""COMPUTED_VALUE"""),"8042")</f>
        <v>8042</v>
      </c>
      <c r="B1800" s="2" t="str">
        <f>IFERROR(__xludf.DUMMYFUNCTION("""COMPUTED_VALUE"""),"CharterChoice Collaborative")</f>
        <v>CharterChoice Collaborative</v>
      </c>
      <c r="C1800" s="2" t="str">
        <f>IFERROR(__xludf.DUMMYFUNCTION("""COMPUTED_VALUE"""),"07233")</f>
        <v>07233</v>
      </c>
      <c r="D1800" s="2" t="str">
        <f>IFERROR(__xludf.DUMMYFUNCTION("""COMPUTED_VALUE"""),"ROCKY MOUNTAIN PREP- FLETCHER")</f>
        <v>ROCKY MOUNTAIN PREP- FLETCHER</v>
      </c>
      <c r="E1800" s="3" t="str">
        <f>IFERROR(__xludf.DUMMYFUNCTION("""COMPUTED_VALUE"""),"Y")</f>
        <v>Y</v>
      </c>
      <c r="F1800" s="3" t="str">
        <f>IFERROR(__xludf.DUMMYFUNCTION("""COMPUTED_VALUE"""),"Y")</f>
        <v>Y</v>
      </c>
      <c r="G1800" s="3" t="str">
        <f>IFERROR(__xludf.DUMMYFUNCTION("""COMPUTED_VALUE"""),"Y")</f>
        <v>Y</v>
      </c>
      <c r="H1800" s="3"/>
      <c r="I1800" s="3" t="str">
        <f>IFERROR(__xludf.DUMMYFUNCTION("""COMPUTED_VALUE""")," ")</f>
        <v> </v>
      </c>
      <c r="J1800" s="3" t="str">
        <f>IFERROR(__xludf.DUMMYFUNCTION("""COMPUTED_VALUE"""),"Y")</f>
        <v>Y</v>
      </c>
      <c r="K1800" s="3" t="str">
        <f>IFERROR(__xludf.DUMMYFUNCTION("""COMPUTED_VALUE"""),"Y")</f>
        <v>Y</v>
      </c>
      <c r="L1800" s="3" t="str">
        <f>IFERROR(__xludf.DUMMYFUNCTION("""COMPUTED_VALUE"""),"Group 4")</f>
        <v>Group 4</v>
      </c>
      <c r="M1800" s="3"/>
      <c r="N1800" s="5" t="str">
        <f>IFERROR(__xludf.DUMMYFUNCTION("""COMPUTED_VALUE""")," ")</f>
        <v> </v>
      </c>
      <c r="O1800" s="5"/>
    </row>
    <row r="1801">
      <c r="A1801" s="2" t="str">
        <f>IFERROR(__xludf.DUMMYFUNCTION("""COMPUTED_VALUE"""),"8042")</f>
        <v>8042</v>
      </c>
      <c r="B1801" s="2" t="str">
        <f>IFERROR(__xludf.DUMMYFUNCTION("""COMPUTED_VALUE"""),"CharterChoice Collaborative")</f>
        <v>CharterChoice Collaborative</v>
      </c>
      <c r="C1801" s="2" t="str">
        <f>IFERROR(__xludf.DUMMYFUNCTION("""COMPUTED_VALUE"""),"07241")</f>
        <v>07241</v>
      </c>
      <c r="D1801" s="2" t="str">
        <f>IFERROR(__xludf.DUMMYFUNCTION("""COMPUTED_VALUE"""),"ROCKY MOUNTAIN PREP - CREEKSIDE")</f>
        <v>ROCKY MOUNTAIN PREP - CREEKSIDE</v>
      </c>
      <c r="E1801" s="3" t="str">
        <f>IFERROR(__xludf.DUMMYFUNCTION("""COMPUTED_VALUE"""),"Y")</f>
        <v>Y</v>
      </c>
      <c r="F1801" s="3" t="str">
        <f>IFERROR(__xludf.DUMMYFUNCTION("""COMPUTED_VALUE"""),"Y")</f>
        <v>Y</v>
      </c>
      <c r="G1801" s="3" t="str">
        <f>IFERROR(__xludf.DUMMYFUNCTION("""COMPUTED_VALUE"""),"Y")</f>
        <v>Y</v>
      </c>
      <c r="H1801" s="3"/>
      <c r="I1801" s="3" t="str">
        <f>IFERROR(__xludf.DUMMYFUNCTION("""COMPUTED_VALUE""")," ")</f>
        <v> </v>
      </c>
      <c r="J1801" s="3" t="str">
        <f>IFERROR(__xludf.DUMMYFUNCTION("""COMPUTED_VALUE"""),"Y")</f>
        <v>Y</v>
      </c>
      <c r="K1801" s="3" t="str">
        <f>IFERROR(__xludf.DUMMYFUNCTION("""COMPUTED_VALUE"""),"Y")</f>
        <v>Y</v>
      </c>
      <c r="L1801" s="3" t="str">
        <f>IFERROR(__xludf.DUMMYFUNCTION("""COMPUTED_VALUE"""),"Group 4")</f>
        <v>Group 4</v>
      </c>
      <c r="M1801" s="3"/>
      <c r="N1801" s="5" t="str">
        <f>IFERROR(__xludf.DUMMYFUNCTION("""COMPUTED_VALUE""")," ")</f>
        <v> </v>
      </c>
      <c r="O1801" s="5"/>
    </row>
    <row r="1802">
      <c r="A1802" s="2" t="str">
        <f>IFERROR(__xludf.DUMMYFUNCTION("""COMPUTED_VALUE"""),"8042")</f>
        <v>8042</v>
      </c>
      <c r="B1802" s="2" t="str">
        <f>IFERROR(__xludf.DUMMYFUNCTION("""COMPUTED_VALUE"""),"CharterChoice Collaborative")</f>
        <v>CharterChoice Collaborative</v>
      </c>
      <c r="C1802" s="2" t="str">
        <f>IFERROR(__xludf.DUMMYFUNCTION("""COMPUTED_VALUE"""),"07463")</f>
        <v>07463</v>
      </c>
      <c r="D1802" s="2" t="str">
        <f>IFERROR(__xludf.DUMMYFUNCTION("""COMPUTED_VALUE"""),"ROCKY MOUNTAIN CLASSICAL ACADEMY")</f>
        <v>ROCKY MOUNTAIN CLASSICAL ACADEMY</v>
      </c>
      <c r="E1802" s="3" t="str">
        <f>IFERROR(__xludf.DUMMYFUNCTION("""COMPUTED_VALUE"""),"Y")</f>
        <v>Y</v>
      </c>
      <c r="F1802" s="3" t="str">
        <f>IFERROR(__xludf.DUMMYFUNCTION("""COMPUTED_VALUE"""),"Y")</f>
        <v>Y</v>
      </c>
      <c r="G1802" s="3"/>
      <c r="H1802" s="3"/>
      <c r="I1802" s="3" t="str">
        <f>IFERROR(__xludf.DUMMYFUNCTION("""COMPUTED_VALUE""")," ")</f>
        <v> </v>
      </c>
      <c r="J1802" s="3" t="str">
        <f>IFERROR(__xludf.DUMMYFUNCTION("""COMPUTED_VALUE""")," ")</f>
        <v> </v>
      </c>
      <c r="K1802" s="3" t="str">
        <f>IFERROR(__xludf.DUMMYFUNCTION("""COMPUTED_VALUE"""),"Y")</f>
        <v>Y</v>
      </c>
      <c r="L1802" s="3" t="str">
        <f>IFERROR(__xludf.DUMMYFUNCTION("""COMPUTED_VALUE"""),"Group 7")</f>
        <v>Group 7</v>
      </c>
      <c r="M1802" s="3"/>
      <c r="N1802" s="5" t="str">
        <f>IFERROR(__xludf.DUMMYFUNCTION("""COMPUTED_VALUE""")," ")</f>
        <v> </v>
      </c>
      <c r="O1802" s="5"/>
    </row>
    <row r="1803">
      <c r="A1803" s="2" t="str">
        <f>IFERROR(__xludf.DUMMYFUNCTION("""COMPUTED_VALUE"""),"8042")</f>
        <v>8042</v>
      </c>
      <c r="B1803" s="2" t="str">
        <f>IFERROR(__xludf.DUMMYFUNCTION("""COMPUTED_VALUE"""),"CharterChoice Collaborative")</f>
        <v>CharterChoice Collaborative</v>
      </c>
      <c r="C1803" s="2" t="str">
        <f>IFERROR(__xludf.DUMMYFUNCTION("""COMPUTED_VALUE"""),"07471")</f>
        <v>07471</v>
      </c>
      <c r="D1803" s="2" t="str">
        <f>IFERROR(__xludf.DUMMYFUNCTION("""COMPUTED_VALUE"""),"ROCKY MOUNTAIN PREP - SOUTHWEST")</f>
        <v>ROCKY MOUNTAIN PREP - SOUTHWEST</v>
      </c>
      <c r="E1803" s="3" t="str">
        <f>IFERROR(__xludf.DUMMYFUNCTION("""COMPUTED_VALUE"""),"Y")</f>
        <v>Y</v>
      </c>
      <c r="F1803" s="3" t="str">
        <f>IFERROR(__xludf.DUMMYFUNCTION("""COMPUTED_VALUE"""),"Y")</f>
        <v>Y</v>
      </c>
      <c r="G1803" s="3" t="str">
        <f>IFERROR(__xludf.DUMMYFUNCTION("""COMPUTED_VALUE"""),"Y")</f>
        <v>Y</v>
      </c>
      <c r="H1803" s="3"/>
      <c r="I1803" s="3" t="str">
        <f>IFERROR(__xludf.DUMMYFUNCTION("""COMPUTED_VALUE""")," ")</f>
        <v> </v>
      </c>
      <c r="J1803" s="3" t="str">
        <f>IFERROR(__xludf.DUMMYFUNCTION("""COMPUTED_VALUE"""),"Y")</f>
        <v>Y</v>
      </c>
      <c r="K1803" s="3" t="str">
        <f>IFERROR(__xludf.DUMMYFUNCTION("""COMPUTED_VALUE"""),"Y")</f>
        <v>Y</v>
      </c>
      <c r="L1803" s="3" t="str">
        <f>IFERROR(__xludf.DUMMYFUNCTION("""COMPUTED_VALUE"""),"Group 1")</f>
        <v>Group 1</v>
      </c>
      <c r="M1803" s="3"/>
      <c r="N1803" s="5" t="str">
        <f>IFERROR(__xludf.DUMMYFUNCTION("""COMPUTED_VALUE""")," ")</f>
        <v> </v>
      </c>
      <c r="O1803" s="5"/>
    </row>
    <row r="1804">
      <c r="A1804" s="2" t="str">
        <f>IFERROR(__xludf.DUMMYFUNCTION("""COMPUTED_VALUE"""),"8042")</f>
        <v>8042</v>
      </c>
      <c r="B1804" s="2" t="str">
        <f>IFERROR(__xludf.DUMMYFUNCTION("""COMPUTED_VALUE"""),"CharterChoice Collaborative")</f>
        <v>CharterChoice Collaborative</v>
      </c>
      <c r="C1804" s="2" t="str">
        <f>IFERROR(__xludf.DUMMYFUNCTION("""COMPUTED_VALUE"""),"07973")</f>
        <v>07973</v>
      </c>
      <c r="D1804" s="2" t="str">
        <f>IFERROR(__xludf.DUMMYFUNCTION("""COMPUTED_VALUE"""),"STRIVE PREP- RISE")</f>
        <v>STRIVE PREP- RISE</v>
      </c>
      <c r="E1804" s="3" t="str">
        <f>IFERROR(__xludf.DUMMYFUNCTION("""COMPUTED_VALUE"""),"Y")</f>
        <v>Y</v>
      </c>
      <c r="F1804" s="3" t="str">
        <f>IFERROR(__xludf.DUMMYFUNCTION("""COMPUTED_VALUE"""),"Y")</f>
        <v>Y</v>
      </c>
      <c r="G1804" s="3"/>
      <c r="H1804" s="3"/>
      <c r="I1804" s="3" t="str">
        <f>IFERROR(__xludf.DUMMYFUNCTION("""COMPUTED_VALUE""")," ")</f>
        <v> </v>
      </c>
      <c r="J1804" s="3" t="str">
        <f>IFERROR(__xludf.DUMMYFUNCTION("""COMPUTED_VALUE"""),"Y")</f>
        <v>Y</v>
      </c>
      <c r="K1804" s="3" t="str">
        <f>IFERROR(__xludf.DUMMYFUNCTION("""COMPUTED_VALUE"""),"Y")</f>
        <v>Y</v>
      </c>
      <c r="L1804" s="3" t="str">
        <f>IFERROR(__xludf.DUMMYFUNCTION("""COMPUTED_VALUE"""),"Group 8")</f>
        <v>Group 8</v>
      </c>
      <c r="M1804" s="3"/>
      <c r="N1804" s="5"/>
      <c r="O1804" s="5"/>
    </row>
    <row r="1805">
      <c r="A1805" s="2" t="str">
        <f>IFERROR(__xludf.DUMMYFUNCTION("""COMPUTED_VALUE"""),"8042")</f>
        <v>8042</v>
      </c>
      <c r="B1805" s="2" t="str">
        <f>IFERROR(__xludf.DUMMYFUNCTION("""COMPUTED_VALUE"""),"CharterChoice Collaborative")</f>
        <v>CharterChoice Collaborative</v>
      </c>
      <c r="C1805" s="2" t="str">
        <f>IFERROR(__xludf.DUMMYFUNCTION("""COMPUTED_VALUE"""),"08085")</f>
        <v>08085</v>
      </c>
      <c r="D1805" s="2" t="str">
        <f>IFERROR(__xludf.DUMMYFUNCTION("""COMPUTED_VALUE"""),"STRIVE PREP- FEDERAL")</f>
        <v>STRIVE PREP- FEDERAL</v>
      </c>
      <c r="E1805" s="3" t="str">
        <f>IFERROR(__xludf.DUMMYFUNCTION("""COMPUTED_VALUE"""),"Y")</f>
        <v>Y</v>
      </c>
      <c r="F1805" s="3" t="str">
        <f>IFERROR(__xludf.DUMMYFUNCTION("""COMPUTED_VALUE"""),"Y")</f>
        <v>Y</v>
      </c>
      <c r="G1805" s="3"/>
      <c r="H1805" s="3"/>
      <c r="I1805" s="3" t="str">
        <f>IFERROR(__xludf.DUMMYFUNCTION("""COMPUTED_VALUE""")," ")</f>
        <v> </v>
      </c>
      <c r="J1805" s="3" t="str">
        <f>IFERROR(__xludf.DUMMYFUNCTION("""COMPUTED_VALUE"""),"Y")</f>
        <v>Y</v>
      </c>
      <c r="K1805" s="3" t="str">
        <f>IFERROR(__xludf.DUMMYFUNCTION("""COMPUTED_VALUE"""),"Y")</f>
        <v>Y</v>
      </c>
      <c r="L1805" s="3" t="str">
        <f>IFERROR(__xludf.DUMMYFUNCTION("""COMPUTED_VALUE"""),"Group 1")</f>
        <v>Group 1</v>
      </c>
      <c r="M1805" s="3"/>
      <c r="N1805" s="5" t="str">
        <f>IFERROR(__xludf.DUMMYFUNCTION("""COMPUTED_VALUE""")," ")</f>
        <v> </v>
      </c>
      <c r="O1805" s="5"/>
    </row>
    <row r="1806">
      <c r="A1806" s="2" t="str">
        <f>IFERROR(__xludf.DUMMYFUNCTION("""COMPUTED_VALUE"""),"8042")</f>
        <v>8042</v>
      </c>
      <c r="B1806" s="2" t="str">
        <f>IFERROR(__xludf.DUMMYFUNCTION("""COMPUTED_VALUE"""),"CharterChoice Collaborative")</f>
        <v>CharterChoice Collaborative</v>
      </c>
      <c r="C1806" s="2" t="str">
        <f>IFERROR(__xludf.DUMMYFUNCTION("""COMPUTED_VALUE"""),"08401")</f>
        <v>08401</v>
      </c>
      <c r="D1806" s="2" t="str">
        <f>IFERROR(__xludf.DUMMYFUNCTION("""COMPUTED_VALUE"""),"STRIVE PREP- RUBY HILL")</f>
        <v>STRIVE PREP- RUBY HILL</v>
      </c>
      <c r="E1806" s="3" t="str">
        <f>IFERROR(__xludf.DUMMYFUNCTION("""COMPUTED_VALUE"""),"Y")</f>
        <v>Y</v>
      </c>
      <c r="F1806" s="3" t="str">
        <f>IFERROR(__xludf.DUMMYFUNCTION("""COMPUTED_VALUE"""),"Y")</f>
        <v>Y</v>
      </c>
      <c r="G1806" s="3" t="str">
        <f>IFERROR(__xludf.DUMMYFUNCTION("""COMPUTED_VALUE"""),"Y")</f>
        <v>Y</v>
      </c>
      <c r="H1806" s="3"/>
      <c r="I1806" s="3" t="str">
        <f>IFERROR(__xludf.DUMMYFUNCTION("""COMPUTED_VALUE""")," ")</f>
        <v> </v>
      </c>
      <c r="J1806" s="3" t="str">
        <f>IFERROR(__xludf.DUMMYFUNCTION("""COMPUTED_VALUE"""),"Y")</f>
        <v>Y</v>
      </c>
      <c r="K1806" s="3" t="str">
        <f>IFERROR(__xludf.DUMMYFUNCTION("""COMPUTED_VALUE"""),"Y")</f>
        <v>Y</v>
      </c>
      <c r="L1806" s="3" t="str">
        <f>IFERROR(__xludf.DUMMYFUNCTION("""COMPUTED_VALUE"""),"Group 1")</f>
        <v>Group 1</v>
      </c>
      <c r="M1806" s="3"/>
      <c r="N1806" s="3" t="str">
        <f>IFERROR(__xludf.DUMMYFUNCTION("""COMPUTED_VALUE""")," ")</f>
        <v> </v>
      </c>
      <c r="O1806" s="3"/>
    </row>
    <row r="1807">
      <c r="A1807" s="2" t="str">
        <f>IFERROR(__xludf.DUMMYFUNCTION("""COMPUTED_VALUE"""),"8042")</f>
        <v>8042</v>
      </c>
      <c r="B1807" s="2" t="str">
        <f>IFERROR(__xludf.DUMMYFUNCTION("""COMPUTED_VALUE"""),"CharterChoice Collaborative")</f>
        <v>CharterChoice Collaborative</v>
      </c>
      <c r="C1807" s="2" t="str">
        <f>IFERROR(__xludf.DUMMYFUNCTION("""COMPUTED_VALUE"""),"09336")</f>
        <v>09336</v>
      </c>
      <c r="D1807" s="2" t="str">
        <f>IFERROR(__xludf.DUMMYFUNCTION("""COMPUTED_VALUE"""),"STRIVE PREP- SUNNYSIDE")</f>
        <v>STRIVE PREP- SUNNYSIDE</v>
      </c>
      <c r="E1807" s="3" t="str">
        <f>IFERROR(__xludf.DUMMYFUNCTION("""COMPUTED_VALUE"""),"Y")</f>
        <v>Y</v>
      </c>
      <c r="F1807" s="3" t="str">
        <f>IFERROR(__xludf.DUMMYFUNCTION("""COMPUTED_VALUE"""),"Y")</f>
        <v>Y</v>
      </c>
      <c r="G1807" s="3"/>
      <c r="H1807" s="3"/>
      <c r="I1807" s="3" t="str">
        <f>IFERROR(__xludf.DUMMYFUNCTION("""COMPUTED_VALUE""")," ")</f>
        <v> </v>
      </c>
      <c r="J1807" s="3" t="str">
        <f>IFERROR(__xludf.DUMMYFUNCTION("""COMPUTED_VALUE"""),"Y")</f>
        <v>Y</v>
      </c>
      <c r="K1807" s="3" t="str">
        <f>IFERROR(__xludf.DUMMYFUNCTION("""COMPUTED_VALUE"""),"Y")</f>
        <v>Y</v>
      </c>
      <c r="L1807" s="3" t="str">
        <f>IFERROR(__xludf.DUMMYFUNCTION("""COMPUTED_VALUE"""),"Group 3")</f>
        <v>Group 3</v>
      </c>
      <c r="M1807" s="3"/>
      <c r="N1807" s="5" t="str">
        <f>IFERROR(__xludf.DUMMYFUNCTION("""COMPUTED_VALUE""")," ")</f>
        <v> </v>
      </c>
      <c r="O1807" s="5"/>
    </row>
    <row r="1808">
      <c r="A1808" s="2" t="str">
        <f>IFERROR(__xludf.DUMMYFUNCTION("""COMPUTED_VALUE"""),"8042")</f>
        <v>8042</v>
      </c>
      <c r="B1808" s="2" t="str">
        <f>IFERROR(__xludf.DUMMYFUNCTION("""COMPUTED_VALUE"""),"CharterChoice Collaborative")</f>
        <v>CharterChoice Collaborative</v>
      </c>
      <c r="C1808" s="2" t="str">
        <f>IFERROR(__xludf.DUMMYFUNCTION("""COMPUTED_VALUE"""),"09389")</f>
        <v>09389</v>
      </c>
      <c r="D1808" s="2" t="str">
        <f>IFERROR(__xludf.DUMMYFUNCTION("""COMPUTED_VALUE"""),"STRIVE PREP- WESTWOOD")</f>
        <v>STRIVE PREP- WESTWOOD</v>
      </c>
      <c r="E1808" s="3" t="str">
        <f>IFERROR(__xludf.DUMMYFUNCTION("""COMPUTED_VALUE"""),"Y")</f>
        <v>Y</v>
      </c>
      <c r="F1808" s="3" t="str">
        <f>IFERROR(__xludf.DUMMYFUNCTION("""COMPUTED_VALUE"""),"Y")</f>
        <v>Y</v>
      </c>
      <c r="G1808" s="3"/>
      <c r="H1808" s="3"/>
      <c r="I1808" s="3" t="str">
        <f>IFERROR(__xludf.DUMMYFUNCTION("""COMPUTED_VALUE""")," ")</f>
        <v> </v>
      </c>
      <c r="J1808" s="3" t="str">
        <f>IFERROR(__xludf.DUMMYFUNCTION("""COMPUTED_VALUE"""),"Y")</f>
        <v>Y</v>
      </c>
      <c r="K1808" s="3" t="str">
        <f>IFERROR(__xludf.DUMMYFUNCTION("""COMPUTED_VALUE"""),"Y")</f>
        <v>Y</v>
      </c>
      <c r="L1808" s="3" t="str">
        <f>IFERROR(__xludf.DUMMYFUNCTION("""COMPUTED_VALUE"""),"Group 1")</f>
        <v>Group 1</v>
      </c>
      <c r="M1808" s="3"/>
      <c r="N1808" s="5" t="str">
        <f>IFERROR(__xludf.DUMMYFUNCTION("""COMPUTED_VALUE""")," ")</f>
        <v> </v>
      </c>
      <c r="O1808" s="5"/>
    </row>
    <row r="1809">
      <c r="A1809" s="2" t="str">
        <f>IFERROR(__xludf.DUMMYFUNCTION("""COMPUTED_VALUE"""),"8042")</f>
        <v>8042</v>
      </c>
      <c r="B1809" s="2" t="str">
        <f>IFERROR(__xludf.DUMMYFUNCTION("""COMPUTED_VALUE"""),"CharterChoice Collaborative")</f>
        <v>CharterChoice Collaborative</v>
      </c>
      <c r="C1809" s="2" t="str">
        <f>IFERROR(__xludf.DUMMYFUNCTION("""COMPUTED_VALUE"""),"09431")</f>
        <v>09431</v>
      </c>
      <c r="D1809" s="2" t="str">
        <f>IFERROR(__xludf.DUMMYFUNCTION("""COMPUTED_VALUE"""),"WESTGATE COMMUNITY CENTER")</f>
        <v>WESTGATE COMMUNITY CENTER</v>
      </c>
      <c r="E1809" s="3"/>
      <c r="F1809" s="3" t="str">
        <f>IFERROR(__xludf.DUMMYFUNCTION("""COMPUTED_VALUE"""),"Y")</f>
        <v>Y</v>
      </c>
      <c r="G1809" s="3"/>
      <c r="H1809" s="3"/>
      <c r="I1809" s="3" t="str">
        <f>IFERROR(__xludf.DUMMYFUNCTION("""COMPUTED_VALUE""")," ")</f>
        <v> </v>
      </c>
      <c r="J1809" s="3" t="str">
        <f>IFERROR(__xludf.DUMMYFUNCTION("""COMPUTED_VALUE""")," ")</f>
        <v> </v>
      </c>
      <c r="K1809" s="3" t="str">
        <f>IFERROR(__xludf.DUMMYFUNCTION("""COMPUTED_VALUE"""),"Y")</f>
        <v>Y</v>
      </c>
      <c r="L1809" s="3" t="str">
        <f>IFERROR(__xludf.DUMMYFUNCTION("""COMPUTED_VALUE""")," ")</f>
        <v> </v>
      </c>
      <c r="M1809" s="3"/>
      <c r="N1809" s="5" t="str">
        <f>IFERROR(__xludf.DUMMYFUNCTION("""COMPUTED_VALUE""")," ")</f>
        <v> </v>
      </c>
      <c r="O1809" s="5"/>
    </row>
    <row r="1810">
      <c r="A1810" s="2" t="str">
        <f>IFERROR(__xludf.DUMMYFUNCTION("""COMPUTED_VALUE"""),"8042")</f>
        <v>8042</v>
      </c>
      <c r="B1810" s="2" t="str">
        <f>IFERROR(__xludf.DUMMYFUNCTION("""COMPUTED_VALUE"""),"CharterChoice Collaborative")</f>
        <v>CharterChoice Collaborative</v>
      </c>
      <c r="C1810" s="2" t="str">
        <f>IFERROR(__xludf.DUMMYFUNCTION("""COMPUTED_VALUE"""),"09639")</f>
        <v>09639</v>
      </c>
      <c r="D1810" s="2" t="str">
        <f>IFERROR(__xludf.DUMMYFUNCTION("""COMPUTED_VALUE"""),"STRIVE PREP- SMART ACADEMY")</f>
        <v>STRIVE PREP- SMART ACADEMY</v>
      </c>
      <c r="E1810" s="3" t="str">
        <f>IFERROR(__xludf.DUMMYFUNCTION("""COMPUTED_VALUE"""),"Y")</f>
        <v>Y</v>
      </c>
      <c r="F1810" s="3" t="str">
        <f>IFERROR(__xludf.DUMMYFUNCTION("""COMPUTED_VALUE"""),"Y")</f>
        <v>Y</v>
      </c>
      <c r="G1810" s="3"/>
      <c r="H1810" s="3"/>
      <c r="I1810" s="3" t="str">
        <f>IFERROR(__xludf.DUMMYFUNCTION("""COMPUTED_VALUE""")," ")</f>
        <v> </v>
      </c>
      <c r="J1810" s="3" t="str">
        <f>IFERROR(__xludf.DUMMYFUNCTION("""COMPUTED_VALUE"""),"Y")</f>
        <v>Y</v>
      </c>
      <c r="K1810" s="3" t="str">
        <f>IFERROR(__xludf.DUMMYFUNCTION("""COMPUTED_VALUE"""),"Y")</f>
        <v>Y</v>
      </c>
      <c r="L1810" s="3" t="str">
        <f>IFERROR(__xludf.DUMMYFUNCTION("""COMPUTED_VALUE"""),"Group 2")</f>
        <v>Group 2</v>
      </c>
      <c r="M1810" s="3"/>
      <c r="N1810" s="5"/>
      <c r="O1810" s="5"/>
    </row>
    <row r="1811">
      <c r="A1811" s="2" t="str">
        <f>IFERROR(__xludf.DUMMYFUNCTION("""COMPUTED_VALUE"""),"8104")</f>
        <v>8104</v>
      </c>
      <c r="B1811" s="2" t="str">
        <f>IFERROR(__xludf.DUMMYFUNCTION("""COMPUTED_VALUE"""),"DIVISION OF YOUTH SERVICES")</f>
        <v>DIVISION OF YOUTH SERVICES</v>
      </c>
      <c r="C1811" s="2" t="str">
        <f>IFERROR(__xludf.DUMMYFUNCTION("""COMPUTED_VALUE"""),"02688")</f>
        <v>02688</v>
      </c>
      <c r="D1811" s="2" t="str">
        <f>IFERROR(__xludf.DUMMYFUNCTION("""COMPUTED_VALUE"""),"LOOKOUT MOUNTAIN YOUTH SERVICES CENTER")</f>
        <v>LOOKOUT MOUNTAIN YOUTH SERVICES CENTER</v>
      </c>
      <c r="E1811" s="3" t="str">
        <f>IFERROR(__xludf.DUMMYFUNCTION("""COMPUTED_VALUE"""),"Y")</f>
        <v>Y</v>
      </c>
      <c r="F1811" s="3" t="str">
        <f>IFERROR(__xludf.DUMMYFUNCTION("""COMPUTED_VALUE"""),"Y")</f>
        <v>Y</v>
      </c>
      <c r="G1811" s="3" t="str">
        <f>IFERROR(__xludf.DUMMYFUNCTION("""COMPUTED_VALUE"""),"Y")</f>
        <v>Y</v>
      </c>
      <c r="H1811" s="3"/>
      <c r="I1811" s="3" t="str">
        <f>IFERROR(__xludf.DUMMYFUNCTION("""COMPUTED_VALUE""")," ")</f>
        <v> </v>
      </c>
      <c r="J1811" s="3" t="str">
        <f>IFERROR(__xludf.DUMMYFUNCTION("""COMPUTED_VALUE""")," ")</f>
        <v> </v>
      </c>
      <c r="K1811" s="3" t="str">
        <f>IFERROR(__xludf.DUMMYFUNCTION("""COMPUTED_VALUE"""),"Y")</f>
        <v>Y</v>
      </c>
      <c r="L1811" s="3" t="str">
        <f>IFERROR(__xludf.DUMMYFUNCTION("""COMPUTED_VALUE""")," ")</f>
        <v> </v>
      </c>
      <c r="M1811" s="3"/>
      <c r="N1811" s="5" t="str">
        <f>IFERROR(__xludf.DUMMYFUNCTION("""COMPUTED_VALUE""")," ")</f>
        <v> </v>
      </c>
      <c r="O1811" s="5"/>
    </row>
    <row r="1812">
      <c r="A1812" s="2" t="str">
        <f>IFERROR(__xludf.DUMMYFUNCTION("""COMPUTED_VALUE"""),"8104")</f>
        <v>8104</v>
      </c>
      <c r="B1812" s="2" t="str">
        <f>IFERROR(__xludf.DUMMYFUNCTION("""COMPUTED_VALUE"""),"DIVISION OF YOUTH SERVICES")</f>
        <v>DIVISION OF YOUTH SERVICES</v>
      </c>
      <c r="C1812" s="2" t="str">
        <f>IFERROR(__xludf.DUMMYFUNCTION("""COMPUTED_VALUE"""),"02689")</f>
        <v>02689</v>
      </c>
      <c r="D1812" s="2" t="str">
        <f>IFERROR(__xludf.DUMMYFUNCTION("""COMPUTED_VALUE"""),"SPRING CREEK SERVICES CENTER")</f>
        <v>SPRING CREEK SERVICES CENTER</v>
      </c>
      <c r="E1812" s="3" t="str">
        <f>IFERROR(__xludf.DUMMYFUNCTION("""COMPUTED_VALUE"""),"Y")</f>
        <v>Y</v>
      </c>
      <c r="F1812" s="3" t="str">
        <f>IFERROR(__xludf.DUMMYFUNCTION("""COMPUTED_VALUE"""),"Y")</f>
        <v>Y</v>
      </c>
      <c r="G1812" s="3" t="str">
        <f>IFERROR(__xludf.DUMMYFUNCTION("""COMPUTED_VALUE"""),"Y")</f>
        <v>Y</v>
      </c>
      <c r="H1812" s="3"/>
      <c r="I1812" s="3" t="str">
        <f>IFERROR(__xludf.DUMMYFUNCTION("""COMPUTED_VALUE""")," ")</f>
        <v> </v>
      </c>
      <c r="J1812" s="3" t="str">
        <f>IFERROR(__xludf.DUMMYFUNCTION("""COMPUTED_VALUE""")," ")</f>
        <v> </v>
      </c>
      <c r="K1812" s="3" t="str">
        <f>IFERROR(__xludf.DUMMYFUNCTION("""COMPUTED_VALUE"""),"Y")</f>
        <v>Y</v>
      </c>
      <c r="L1812" s="3" t="str">
        <f>IFERROR(__xludf.DUMMYFUNCTION("""COMPUTED_VALUE""")," ")</f>
        <v> </v>
      </c>
      <c r="M1812" s="3"/>
      <c r="N1812" s="5" t="str">
        <f>IFERROR(__xludf.DUMMYFUNCTION("""COMPUTED_VALUE""")," ")</f>
        <v> </v>
      </c>
      <c r="O1812" s="5"/>
    </row>
    <row r="1813">
      <c r="A1813" s="2" t="str">
        <f>IFERROR(__xludf.DUMMYFUNCTION("""COMPUTED_VALUE"""),"8104")</f>
        <v>8104</v>
      </c>
      <c r="B1813" s="2" t="str">
        <f>IFERROR(__xludf.DUMMYFUNCTION("""COMPUTED_VALUE"""),"DIVISION OF YOUTH SERVICES")</f>
        <v>DIVISION OF YOUTH SERVICES</v>
      </c>
      <c r="C1813" s="2" t="str">
        <f>IFERROR(__xludf.DUMMYFUNCTION("""COMPUTED_VALUE"""),"02690")</f>
        <v>02690</v>
      </c>
      <c r="D1813" s="2" t="str">
        <f>IFERROR(__xludf.DUMMYFUNCTION("""COMPUTED_VALUE"""),"GRAND MESA YOUTH SERVICES CENTER")</f>
        <v>GRAND MESA YOUTH SERVICES CENTER</v>
      </c>
      <c r="E1813" s="3" t="str">
        <f>IFERROR(__xludf.DUMMYFUNCTION("""COMPUTED_VALUE"""),"Y")</f>
        <v>Y</v>
      </c>
      <c r="F1813" s="3" t="str">
        <f>IFERROR(__xludf.DUMMYFUNCTION("""COMPUTED_VALUE"""),"Y")</f>
        <v>Y</v>
      </c>
      <c r="G1813" s="3" t="str">
        <f>IFERROR(__xludf.DUMMYFUNCTION("""COMPUTED_VALUE"""),"Y")</f>
        <v>Y</v>
      </c>
      <c r="H1813" s="3"/>
      <c r="I1813" s="3" t="str">
        <f>IFERROR(__xludf.DUMMYFUNCTION("""COMPUTED_VALUE""")," ")</f>
        <v> </v>
      </c>
      <c r="J1813" s="3" t="str">
        <f>IFERROR(__xludf.DUMMYFUNCTION("""COMPUTED_VALUE""")," ")</f>
        <v> </v>
      </c>
      <c r="K1813" s="3" t="str">
        <f>IFERROR(__xludf.DUMMYFUNCTION("""COMPUTED_VALUE"""),"Y")</f>
        <v>Y</v>
      </c>
      <c r="L1813" s="3" t="str">
        <f>IFERROR(__xludf.DUMMYFUNCTION("""COMPUTED_VALUE""")," ")</f>
        <v> </v>
      </c>
      <c r="M1813" s="3"/>
      <c r="N1813" s="5" t="str">
        <f>IFERROR(__xludf.DUMMYFUNCTION("""COMPUTED_VALUE""")," ")</f>
        <v> </v>
      </c>
      <c r="O1813" s="5"/>
    </row>
    <row r="1814">
      <c r="A1814" s="2" t="str">
        <f>IFERROR(__xludf.DUMMYFUNCTION("""COMPUTED_VALUE"""),"8104")</f>
        <v>8104</v>
      </c>
      <c r="B1814" s="2" t="str">
        <f>IFERROR(__xludf.DUMMYFUNCTION("""COMPUTED_VALUE"""),"DIVISION OF YOUTH SERVICES")</f>
        <v>DIVISION OF YOUTH SERVICES</v>
      </c>
      <c r="C1814" s="2" t="str">
        <f>IFERROR(__xludf.DUMMYFUNCTION("""COMPUTED_VALUE"""),"02691")</f>
        <v>02691</v>
      </c>
      <c r="D1814" s="2" t="str">
        <f>IFERROR(__xludf.DUMMYFUNCTION("""COMPUTED_VALUE"""),"MOUNT VIEW YOUTH SERVICES CENTER")</f>
        <v>MOUNT VIEW YOUTH SERVICES CENTER</v>
      </c>
      <c r="E1814" s="3" t="str">
        <f>IFERROR(__xludf.DUMMYFUNCTION("""COMPUTED_VALUE"""),"Y")</f>
        <v>Y</v>
      </c>
      <c r="F1814" s="3" t="str">
        <f>IFERROR(__xludf.DUMMYFUNCTION("""COMPUTED_VALUE"""),"Y")</f>
        <v>Y</v>
      </c>
      <c r="G1814" s="3" t="str">
        <f>IFERROR(__xludf.DUMMYFUNCTION("""COMPUTED_VALUE"""),"Y")</f>
        <v>Y</v>
      </c>
      <c r="H1814" s="3"/>
      <c r="I1814" s="3" t="str">
        <f>IFERROR(__xludf.DUMMYFUNCTION("""COMPUTED_VALUE""")," ")</f>
        <v> </v>
      </c>
      <c r="J1814" s="3" t="str">
        <f>IFERROR(__xludf.DUMMYFUNCTION("""COMPUTED_VALUE""")," ")</f>
        <v> </v>
      </c>
      <c r="K1814" s="3" t="str">
        <f>IFERROR(__xludf.DUMMYFUNCTION("""COMPUTED_VALUE"""),"Y")</f>
        <v>Y</v>
      </c>
      <c r="L1814" s="3" t="str">
        <f>IFERROR(__xludf.DUMMYFUNCTION("""COMPUTED_VALUE""")," ")</f>
        <v> </v>
      </c>
      <c r="M1814" s="3"/>
      <c r="N1814" s="5" t="str">
        <f>IFERROR(__xludf.DUMMYFUNCTION("""COMPUTED_VALUE""")," ")</f>
        <v> </v>
      </c>
      <c r="O1814" s="5"/>
    </row>
    <row r="1815">
      <c r="A1815" s="2" t="str">
        <f>IFERROR(__xludf.DUMMYFUNCTION("""COMPUTED_VALUE"""),"8104")</f>
        <v>8104</v>
      </c>
      <c r="B1815" s="2" t="str">
        <f>IFERROR(__xludf.DUMMYFUNCTION("""COMPUTED_VALUE"""),"DIVISION OF YOUTH SERVICES")</f>
        <v>DIVISION OF YOUTH SERVICES</v>
      </c>
      <c r="C1815" s="2" t="str">
        <f>IFERROR(__xludf.DUMMYFUNCTION("""COMPUTED_VALUE"""),"02692")</f>
        <v>02692</v>
      </c>
      <c r="D1815" s="2" t="str">
        <f>IFERROR(__xludf.DUMMYFUNCTION("""COMPUTED_VALUE"""),"PLATTE VALLEY YOUTH SERVICES CENTER")</f>
        <v>PLATTE VALLEY YOUTH SERVICES CENTER</v>
      </c>
      <c r="E1815" s="3" t="str">
        <f>IFERROR(__xludf.DUMMYFUNCTION("""COMPUTED_VALUE"""),"Y")</f>
        <v>Y</v>
      </c>
      <c r="F1815" s="3" t="str">
        <f>IFERROR(__xludf.DUMMYFUNCTION("""COMPUTED_VALUE"""),"Y")</f>
        <v>Y</v>
      </c>
      <c r="G1815" s="3" t="str">
        <f>IFERROR(__xludf.DUMMYFUNCTION("""COMPUTED_VALUE"""),"Y")</f>
        <v>Y</v>
      </c>
      <c r="H1815" s="3"/>
      <c r="I1815" s="3" t="str">
        <f>IFERROR(__xludf.DUMMYFUNCTION("""COMPUTED_VALUE""")," ")</f>
        <v> </v>
      </c>
      <c r="J1815" s="3" t="str">
        <f>IFERROR(__xludf.DUMMYFUNCTION("""COMPUTED_VALUE""")," ")</f>
        <v> </v>
      </c>
      <c r="K1815" s="3" t="str">
        <f>IFERROR(__xludf.DUMMYFUNCTION("""COMPUTED_VALUE"""),"Y")</f>
        <v>Y</v>
      </c>
      <c r="L1815" s="3" t="str">
        <f>IFERROR(__xludf.DUMMYFUNCTION("""COMPUTED_VALUE""")," ")</f>
        <v> </v>
      </c>
      <c r="M1815" s="3"/>
      <c r="N1815" s="5" t="str">
        <f>IFERROR(__xludf.DUMMYFUNCTION("""COMPUTED_VALUE""")," ")</f>
        <v> </v>
      </c>
      <c r="O1815" s="5"/>
    </row>
    <row r="1816">
      <c r="A1816" s="2" t="str">
        <f>IFERROR(__xludf.DUMMYFUNCTION("""COMPUTED_VALUE"""),"8104")</f>
        <v>8104</v>
      </c>
      <c r="B1816" s="2" t="str">
        <f>IFERROR(__xludf.DUMMYFUNCTION("""COMPUTED_VALUE"""),"DIVISION OF YOUTH SERVICES")</f>
        <v>DIVISION OF YOUTH SERVICES</v>
      </c>
      <c r="C1816" s="2" t="str">
        <f>IFERROR(__xludf.DUMMYFUNCTION("""COMPUTED_VALUE"""),"09801")</f>
        <v>09801</v>
      </c>
      <c r="D1816" s="2" t="str">
        <f>IFERROR(__xludf.DUMMYFUNCTION("""COMPUTED_VALUE"""),"Prairie Vista Youth Services Center")</f>
        <v>Prairie Vista Youth Services Center</v>
      </c>
      <c r="E1816" s="3" t="str">
        <f>IFERROR(__xludf.DUMMYFUNCTION("""COMPUTED_VALUE"""),"Y")</f>
        <v>Y</v>
      </c>
      <c r="F1816" s="3" t="str">
        <f>IFERROR(__xludf.DUMMYFUNCTION("""COMPUTED_VALUE"""),"Y")</f>
        <v>Y</v>
      </c>
      <c r="G1816" s="3" t="str">
        <f>IFERROR(__xludf.DUMMYFUNCTION("""COMPUTED_VALUE"""),"Y")</f>
        <v>Y</v>
      </c>
      <c r="H1816" s="3"/>
      <c r="I1816" s="3" t="str">
        <f>IFERROR(__xludf.DUMMYFUNCTION("""COMPUTED_VALUE""")," ")</f>
        <v> </v>
      </c>
      <c r="J1816" s="3" t="str">
        <f>IFERROR(__xludf.DUMMYFUNCTION("""COMPUTED_VALUE""")," ")</f>
        <v> </v>
      </c>
      <c r="K1816" s="3" t="str">
        <f>IFERROR(__xludf.DUMMYFUNCTION("""COMPUTED_VALUE"""),"Y")</f>
        <v>Y</v>
      </c>
      <c r="L1816" s="3" t="str">
        <f>IFERROR(__xludf.DUMMYFUNCTION("""COMPUTED_VALUE""")," ")</f>
        <v> </v>
      </c>
      <c r="M1816" s="3"/>
      <c r="N1816" s="5" t="str">
        <f>IFERROR(__xludf.DUMMYFUNCTION("""COMPUTED_VALUE""")," ")</f>
        <v> </v>
      </c>
      <c r="O1816" s="5"/>
    </row>
    <row r="1817">
      <c r="A1817" s="11" t="str">
        <f>IFERROR(__xludf.DUMMYFUNCTION("""COMPUTED_VALUE"""),"8104")</f>
        <v>8104</v>
      </c>
      <c r="B1817" s="11" t="str">
        <f>IFERROR(__xludf.DUMMYFUNCTION("""COMPUTED_VALUE"""),"DIVISION OF YOUTH SERVICES")</f>
        <v>DIVISION OF YOUTH SERVICES</v>
      </c>
      <c r="C1817" s="11" t="str">
        <f>IFERROR(__xludf.DUMMYFUNCTION("""COMPUTED_VALUE"""),"09802")</f>
        <v>09802</v>
      </c>
      <c r="D1817" s="11" t="str">
        <f>IFERROR(__xludf.DUMMYFUNCTION("""COMPUTED_VALUE"""),"MARVIN FOOTE YOUTH SERVICES CENTER")</f>
        <v>MARVIN FOOTE YOUTH SERVICES CENTER</v>
      </c>
      <c r="E1817" s="5" t="str">
        <f>IFERROR(__xludf.DUMMYFUNCTION("""COMPUTED_VALUE"""),"Y")</f>
        <v>Y</v>
      </c>
      <c r="F1817" s="5" t="str">
        <f>IFERROR(__xludf.DUMMYFUNCTION("""COMPUTED_VALUE"""),"Y")</f>
        <v>Y</v>
      </c>
      <c r="G1817" s="5" t="str">
        <f>IFERROR(__xludf.DUMMYFUNCTION("""COMPUTED_VALUE"""),"Y")</f>
        <v>Y</v>
      </c>
      <c r="H1817" s="5"/>
      <c r="I1817" s="5" t="str">
        <f>IFERROR(__xludf.DUMMYFUNCTION("""COMPUTED_VALUE""")," ")</f>
        <v> </v>
      </c>
      <c r="J1817" s="5" t="str">
        <f>IFERROR(__xludf.DUMMYFUNCTION("""COMPUTED_VALUE""")," ")</f>
        <v> </v>
      </c>
      <c r="K1817" s="5" t="str">
        <f>IFERROR(__xludf.DUMMYFUNCTION("""COMPUTED_VALUE"""),"Y")</f>
        <v>Y</v>
      </c>
      <c r="L1817" s="5" t="str">
        <f>IFERROR(__xludf.DUMMYFUNCTION("""COMPUTED_VALUE""")," ")</f>
        <v> </v>
      </c>
      <c r="M1817" s="5"/>
      <c r="N1817" s="5" t="str">
        <f>IFERROR(__xludf.DUMMYFUNCTION("""COMPUTED_VALUE""")," ")</f>
        <v> </v>
      </c>
      <c r="O1817" s="5"/>
    </row>
    <row r="1818">
      <c r="A1818" s="2" t="str">
        <f>IFERROR(__xludf.DUMMYFUNCTION("""COMPUTED_VALUE"""),"8104")</f>
        <v>8104</v>
      </c>
      <c r="B1818" s="2" t="str">
        <f>IFERROR(__xludf.DUMMYFUNCTION("""COMPUTED_VALUE"""),"DIVISION OF YOUTH SERVICES")</f>
        <v>DIVISION OF YOUTH SERVICES</v>
      </c>
      <c r="C1818" s="11" t="str">
        <f>IFERROR(__xludf.DUMMYFUNCTION("""COMPUTED_VALUE"""),"09803")</f>
        <v>09803</v>
      </c>
      <c r="D1818" s="11" t="str">
        <f>IFERROR(__xludf.DUMMYFUNCTION("""COMPUTED_VALUE"""),"GILLIAM YOUTH SERVICES CENTER")</f>
        <v>GILLIAM YOUTH SERVICES CENTER</v>
      </c>
      <c r="E1818" s="5" t="str">
        <f>IFERROR(__xludf.DUMMYFUNCTION("""COMPUTED_VALUE"""),"Y")</f>
        <v>Y</v>
      </c>
      <c r="F1818" s="5" t="str">
        <f>IFERROR(__xludf.DUMMYFUNCTION("""COMPUTED_VALUE"""),"Y")</f>
        <v>Y</v>
      </c>
      <c r="G1818" s="3" t="str">
        <f>IFERROR(__xludf.DUMMYFUNCTION("""COMPUTED_VALUE"""),"Y")</f>
        <v>Y</v>
      </c>
      <c r="H1818" s="3"/>
      <c r="I1818" s="3" t="str">
        <f>IFERROR(__xludf.DUMMYFUNCTION("""COMPUTED_VALUE""")," ")</f>
        <v> </v>
      </c>
      <c r="J1818" s="3" t="str">
        <f>IFERROR(__xludf.DUMMYFUNCTION("""COMPUTED_VALUE""")," ")</f>
        <v> </v>
      </c>
      <c r="K1818" s="3" t="str">
        <f>IFERROR(__xludf.DUMMYFUNCTION("""COMPUTED_VALUE"""),"Y")</f>
        <v>Y</v>
      </c>
      <c r="L1818" s="3" t="str">
        <f>IFERROR(__xludf.DUMMYFUNCTION("""COMPUTED_VALUE""")," ")</f>
        <v> </v>
      </c>
      <c r="M1818" s="3"/>
      <c r="N1818" s="5" t="str">
        <f>IFERROR(__xludf.DUMMYFUNCTION("""COMPUTED_VALUE""")," ")</f>
        <v> </v>
      </c>
      <c r="O1818" s="5"/>
    </row>
    <row r="1819">
      <c r="A1819" s="2" t="str">
        <f>IFERROR(__xludf.DUMMYFUNCTION("""COMPUTED_VALUE"""),"8104")</f>
        <v>8104</v>
      </c>
      <c r="B1819" s="2" t="str">
        <f>IFERROR(__xludf.DUMMYFUNCTION("""COMPUTED_VALUE"""),"DIVISION OF YOUTH SERVICES")</f>
        <v>DIVISION OF YOUTH SERVICES</v>
      </c>
      <c r="C1819" s="11" t="str">
        <f>IFERROR(__xludf.DUMMYFUNCTION("""COMPUTED_VALUE"""),"09804")</f>
        <v>09804</v>
      </c>
      <c r="D1819" s="11" t="str">
        <f>IFERROR(__xludf.DUMMYFUNCTION("""COMPUTED_VALUE"""),"Zebulon Pike")</f>
        <v>Zebulon Pike</v>
      </c>
      <c r="E1819" s="5" t="str">
        <f>IFERROR(__xludf.DUMMYFUNCTION("""COMPUTED_VALUE"""),"Y")</f>
        <v>Y</v>
      </c>
      <c r="F1819" s="5" t="str">
        <f>IFERROR(__xludf.DUMMYFUNCTION("""COMPUTED_VALUE"""),"Y")</f>
        <v>Y</v>
      </c>
      <c r="G1819" s="3" t="str">
        <f>IFERROR(__xludf.DUMMYFUNCTION("""COMPUTED_VALUE"""),"Y")</f>
        <v>Y</v>
      </c>
      <c r="H1819" s="3"/>
      <c r="I1819" s="3" t="str">
        <f>IFERROR(__xludf.DUMMYFUNCTION("""COMPUTED_VALUE""")," ")</f>
        <v> </v>
      </c>
      <c r="J1819" s="3" t="str">
        <f>IFERROR(__xludf.DUMMYFUNCTION("""COMPUTED_VALUE""")," ")</f>
        <v> </v>
      </c>
      <c r="K1819" s="3" t="str">
        <f>IFERROR(__xludf.DUMMYFUNCTION("""COMPUTED_VALUE"""),"Y")</f>
        <v>Y</v>
      </c>
      <c r="L1819" s="3" t="str">
        <f>IFERROR(__xludf.DUMMYFUNCTION("""COMPUTED_VALUE""")," ")</f>
        <v> </v>
      </c>
      <c r="M1819" s="3"/>
      <c r="N1819" s="5" t="str">
        <f>IFERROR(__xludf.DUMMYFUNCTION("""COMPUTED_VALUE""")," ")</f>
        <v> </v>
      </c>
      <c r="O1819" s="5"/>
    </row>
    <row r="1820">
      <c r="A1820" s="2" t="str">
        <f>IFERROR(__xludf.DUMMYFUNCTION("""COMPUTED_VALUE"""),"8104")</f>
        <v>8104</v>
      </c>
      <c r="B1820" s="2" t="str">
        <f>IFERROR(__xludf.DUMMYFUNCTION("""COMPUTED_VALUE"""),"DIVISION OF YOUTH SERVICES")</f>
        <v>DIVISION OF YOUTH SERVICES</v>
      </c>
      <c r="C1820" s="11" t="str">
        <f>IFERROR(__xludf.DUMMYFUNCTION("""COMPUTED_VALUE"""),"09808")</f>
        <v>09808</v>
      </c>
      <c r="D1820" s="11" t="str">
        <f>IFERROR(__xludf.DUMMYFUNCTION("""COMPUTED_VALUE"""),"PUEBLO YOUTH SERVICES CENTER")</f>
        <v>PUEBLO YOUTH SERVICES CENTER</v>
      </c>
      <c r="E1820" s="5" t="str">
        <f>IFERROR(__xludf.DUMMYFUNCTION("""COMPUTED_VALUE"""),"Y")</f>
        <v>Y</v>
      </c>
      <c r="F1820" s="5" t="str">
        <f>IFERROR(__xludf.DUMMYFUNCTION("""COMPUTED_VALUE"""),"Y")</f>
        <v>Y</v>
      </c>
      <c r="G1820" s="3" t="str">
        <f>IFERROR(__xludf.DUMMYFUNCTION("""COMPUTED_VALUE"""),"Y")</f>
        <v>Y</v>
      </c>
      <c r="H1820" s="3"/>
      <c r="I1820" s="3" t="str">
        <f>IFERROR(__xludf.DUMMYFUNCTION("""COMPUTED_VALUE""")," ")</f>
        <v> </v>
      </c>
      <c r="J1820" s="3" t="str">
        <f>IFERROR(__xludf.DUMMYFUNCTION("""COMPUTED_VALUE""")," ")</f>
        <v> </v>
      </c>
      <c r="K1820" s="3" t="str">
        <f>IFERROR(__xludf.DUMMYFUNCTION("""COMPUTED_VALUE"""),"Y")</f>
        <v>Y</v>
      </c>
      <c r="L1820" s="3" t="str">
        <f>IFERROR(__xludf.DUMMYFUNCTION("""COMPUTED_VALUE""")," ")</f>
        <v> </v>
      </c>
      <c r="M1820" s="3"/>
      <c r="N1820" s="5" t="str">
        <f>IFERROR(__xludf.DUMMYFUNCTION("""COMPUTED_VALUE""")," ")</f>
        <v> </v>
      </c>
      <c r="O1820" s="5"/>
    </row>
    <row r="1821">
      <c r="A1821" s="2" t="str">
        <f>IFERROR(__xludf.DUMMYFUNCTION("""COMPUTED_VALUE"""),"8608")</f>
        <v>8608</v>
      </c>
      <c r="B1821" s="2" t="str">
        <f>IFERROR(__xludf.DUMMYFUNCTION("""COMPUTED_VALUE"""),"ARRUPE JESUIT HIGH SCHOOL")</f>
        <v>ARRUPE JESUIT HIGH SCHOOL</v>
      </c>
      <c r="C1821" s="11" t="str">
        <f>IFERROR(__xludf.DUMMYFUNCTION("""COMPUTED_VALUE"""),"08608")</f>
        <v>08608</v>
      </c>
      <c r="D1821" s="11" t="str">
        <f>IFERROR(__xludf.DUMMYFUNCTION("""COMPUTED_VALUE"""),"Arrupe Jesuit High School")</f>
        <v>Arrupe Jesuit High School</v>
      </c>
      <c r="E1821" s="5" t="str">
        <f>IFERROR(__xludf.DUMMYFUNCTION("""COMPUTED_VALUE"""),"Y")</f>
        <v>Y</v>
      </c>
      <c r="F1821" s="5" t="str">
        <f>IFERROR(__xludf.DUMMYFUNCTION("""COMPUTED_VALUE"""),"Y")</f>
        <v>Y</v>
      </c>
      <c r="G1821" s="3"/>
      <c r="H1821" s="3"/>
      <c r="I1821" s="3" t="str">
        <f>IFERROR(__xludf.DUMMYFUNCTION("""COMPUTED_VALUE""")," ")</f>
        <v> </v>
      </c>
      <c r="J1821" s="3" t="str">
        <f>IFERROR(__xludf.DUMMYFUNCTION("""COMPUTED_VALUE""")," ")</f>
        <v> </v>
      </c>
      <c r="K1821" s="3" t="str">
        <f>IFERROR(__xludf.DUMMYFUNCTION("""COMPUTED_VALUE"""),"Not eligibile")</f>
        <v>Not eligibile</v>
      </c>
      <c r="L1821" s="3" t="str">
        <f>IFERROR(__xludf.DUMMYFUNCTION("""COMPUTED_VALUE""")," ")</f>
        <v> </v>
      </c>
      <c r="M1821" s="3"/>
      <c r="N1821" s="5" t="str">
        <f>IFERROR(__xludf.DUMMYFUNCTION("""COMPUTED_VALUE""")," ")</f>
        <v> </v>
      </c>
      <c r="O1821" s="5"/>
    </row>
    <row r="1822">
      <c r="A1822" s="2" t="str">
        <f>IFERROR(__xludf.DUMMYFUNCTION("""COMPUTED_VALUE"""),"8634")</f>
        <v>8634</v>
      </c>
      <c r="B1822" s="2" t="str">
        <f>IFERROR(__xludf.DUMMYFUNCTION("""COMPUTED_VALUE"""),"GOOD SHEPHERD CATHOLIC SCHOOL")</f>
        <v>GOOD SHEPHERD CATHOLIC SCHOOL</v>
      </c>
      <c r="C1822" s="11" t="str">
        <f>IFERROR(__xludf.DUMMYFUNCTION("""COMPUTED_VALUE"""),"08634")</f>
        <v>08634</v>
      </c>
      <c r="D1822" s="11" t="str">
        <f>IFERROR(__xludf.DUMMYFUNCTION("""COMPUTED_VALUE"""),"Good Shepherd Catholic School")</f>
        <v>Good Shepherd Catholic School</v>
      </c>
      <c r="E1822" s="5"/>
      <c r="F1822" s="5"/>
      <c r="G1822" s="3"/>
      <c r="H1822" s="3" t="str">
        <f>IFERROR(__xludf.DUMMYFUNCTION("""COMPUTED_VALUE"""),"Milk only")</f>
        <v>Milk only</v>
      </c>
      <c r="I1822" s="3" t="str">
        <f>IFERROR(__xludf.DUMMYFUNCTION("""COMPUTED_VALUE""")," ")</f>
        <v> </v>
      </c>
      <c r="J1822" s="3" t="str">
        <f>IFERROR(__xludf.DUMMYFUNCTION("""COMPUTED_VALUE""")," ")</f>
        <v> </v>
      </c>
      <c r="K1822" s="3" t="str">
        <f>IFERROR(__xludf.DUMMYFUNCTION("""COMPUTED_VALUE"""),"Not eligibile")</f>
        <v>Not eligibile</v>
      </c>
      <c r="L1822" s="3" t="str">
        <f>IFERROR(__xludf.DUMMYFUNCTION("""COMPUTED_VALUE""")," ")</f>
        <v> </v>
      </c>
      <c r="M1822" s="3"/>
      <c r="N1822" s="5" t="str">
        <f>IFERROR(__xludf.DUMMYFUNCTION("""COMPUTED_VALUE""")," ")</f>
        <v> </v>
      </c>
      <c r="O1822" s="5"/>
    </row>
    <row r="1823">
      <c r="A1823" s="2" t="str">
        <f>IFERROR(__xludf.DUMMYFUNCTION("""COMPUTED_VALUE"""),"8636")</f>
        <v>8636</v>
      </c>
      <c r="B1823" s="2" t="str">
        <f>IFERROR(__xludf.DUMMYFUNCTION("""COMPUTED_VALUE"""),"NATIVITY OF OUR LORD")</f>
        <v>NATIVITY OF OUR LORD</v>
      </c>
      <c r="C1823" s="2" t="str">
        <f>IFERROR(__xludf.DUMMYFUNCTION("""COMPUTED_VALUE"""),"08636")</f>
        <v>08636</v>
      </c>
      <c r="D1823" s="2" t="str">
        <f>IFERROR(__xludf.DUMMYFUNCTION("""COMPUTED_VALUE"""),"Nativity of Our Lord Catholic")</f>
        <v>Nativity of Our Lord Catholic</v>
      </c>
      <c r="E1823" s="3"/>
      <c r="F1823" s="3"/>
      <c r="G1823" s="3"/>
      <c r="H1823" s="3" t="str">
        <f>IFERROR(__xludf.DUMMYFUNCTION("""COMPUTED_VALUE"""),"Milk only")</f>
        <v>Milk only</v>
      </c>
      <c r="I1823" s="3" t="str">
        <f>IFERROR(__xludf.DUMMYFUNCTION("""COMPUTED_VALUE""")," ")</f>
        <v> </v>
      </c>
      <c r="J1823" s="3" t="str">
        <f>IFERROR(__xludf.DUMMYFUNCTION("""COMPUTED_VALUE""")," ")</f>
        <v> </v>
      </c>
      <c r="K1823" s="3" t="str">
        <f>IFERROR(__xludf.DUMMYFUNCTION("""COMPUTED_VALUE"""),"Not eligibile")</f>
        <v>Not eligibile</v>
      </c>
      <c r="L1823" s="3" t="str">
        <f>IFERROR(__xludf.DUMMYFUNCTION("""COMPUTED_VALUE""")," ")</f>
        <v> </v>
      </c>
      <c r="M1823" s="3"/>
      <c r="N1823" s="5" t="str">
        <f>IFERROR(__xludf.DUMMYFUNCTION("""COMPUTED_VALUE""")," ")</f>
        <v> </v>
      </c>
      <c r="O1823" s="5"/>
    </row>
    <row r="1824">
      <c r="A1824" s="2" t="str">
        <f>IFERROR(__xludf.DUMMYFUNCTION("""COMPUTED_VALUE"""),"8652")</f>
        <v>8652</v>
      </c>
      <c r="B1824" s="2" t="str">
        <f>IFERROR(__xludf.DUMMYFUNCTION("""COMPUTED_VALUE"""),"MOST PRECIOUS BLOOD SCHOOL")</f>
        <v>MOST PRECIOUS BLOOD SCHOOL</v>
      </c>
      <c r="C1824" s="2" t="str">
        <f>IFERROR(__xludf.DUMMYFUNCTION("""COMPUTED_VALUE"""),"08652")</f>
        <v>08652</v>
      </c>
      <c r="D1824" s="2" t="str">
        <f>IFERROR(__xludf.DUMMYFUNCTION("""COMPUTED_VALUE"""),"Most Precious Blood")</f>
        <v>Most Precious Blood</v>
      </c>
      <c r="E1824" s="3"/>
      <c r="F1824" s="3"/>
      <c r="G1824" s="3"/>
      <c r="H1824" s="3" t="str">
        <f>IFERROR(__xludf.DUMMYFUNCTION("""COMPUTED_VALUE"""),"Milk only")</f>
        <v>Milk only</v>
      </c>
      <c r="I1824" s="3" t="str">
        <f>IFERROR(__xludf.DUMMYFUNCTION("""COMPUTED_VALUE""")," ")</f>
        <v> </v>
      </c>
      <c r="J1824" s="3" t="str">
        <f>IFERROR(__xludf.DUMMYFUNCTION("""COMPUTED_VALUE""")," ")</f>
        <v> </v>
      </c>
      <c r="K1824" s="3" t="str">
        <f>IFERROR(__xludf.DUMMYFUNCTION("""COMPUTED_VALUE"""),"Not eligibile")</f>
        <v>Not eligibile</v>
      </c>
      <c r="L1824" s="3" t="str">
        <f>IFERROR(__xludf.DUMMYFUNCTION("""COMPUTED_VALUE""")," ")</f>
        <v> </v>
      </c>
      <c r="M1824" s="3"/>
      <c r="N1824" s="5" t="str">
        <f>IFERROR(__xludf.DUMMYFUNCTION("""COMPUTED_VALUE""")," ")</f>
        <v> </v>
      </c>
      <c r="O1824" s="5"/>
    </row>
    <row r="1825">
      <c r="A1825" s="2" t="str">
        <f>IFERROR(__xludf.DUMMYFUNCTION("""COMPUTED_VALUE"""),"8655")</f>
        <v>8655</v>
      </c>
      <c r="B1825" s="2" t="str">
        <f>IFERROR(__xludf.DUMMYFUNCTION("""COMPUTED_VALUE"""),"NOTRE DAME CATHOLIC SCHOOL")</f>
        <v>NOTRE DAME CATHOLIC SCHOOL</v>
      </c>
      <c r="C1825" s="2" t="str">
        <f>IFERROR(__xludf.DUMMYFUNCTION("""COMPUTED_VALUE"""),"08655")</f>
        <v>08655</v>
      </c>
      <c r="D1825" s="2" t="str">
        <f>IFERROR(__xludf.DUMMYFUNCTION("""COMPUTED_VALUE"""),"Notre Dame Parish School")</f>
        <v>Notre Dame Parish School</v>
      </c>
      <c r="E1825" s="3"/>
      <c r="F1825" s="3"/>
      <c r="G1825" s="3"/>
      <c r="H1825" s="3" t="str">
        <f>IFERROR(__xludf.DUMMYFUNCTION("""COMPUTED_VALUE"""),"Milk only")</f>
        <v>Milk only</v>
      </c>
      <c r="I1825" s="3" t="str">
        <f>IFERROR(__xludf.DUMMYFUNCTION("""COMPUTED_VALUE""")," ")</f>
        <v> </v>
      </c>
      <c r="J1825" s="3" t="str">
        <f>IFERROR(__xludf.DUMMYFUNCTION("""COMPUTED_VALUE""")," ")</f>
        <v> </v>
      </c>
      <c r="K1825" s="3" t="str">
        <f>IFERROR(__xludf.DUMMYFUNCTION("""COMPUTED_VALUE"""),"Not eligibile")</f>
        <v>Not eligibile</v>
      </c>
      <c r="L1825" s="3" t="str">
        <f>IFERROR(__xludf.DUMMYFUNCTION("""COMPUTED_VALUE""")," ")</f>
        <v> </v>
      </c>
      <c r="M1825" s="3"/>
      <c r="N1825" s="5" t="str">
        <f>IFERROR(__xludf.DUMMYFUNCTION("""COMPUTED_VALUE""")," ")</f>
        <v> </v>
      </c>
      <c r="O1825" s="5"/>
    </row>
    <row r="1826">
      <c r="A1826" s="2" t="str">
        <f>IFERROR(__xludf.DUMMYFUNCTION("""COMPUTED_VALUE"""),"8658")</f>
        <v>8658</v>
      </c>
      <c r="B1826" s="2" t="str">
        <f>IFERROR(__xludf.DUMMYFUNCTION("""COMPUTED_VALUE"""),"ESCUELA DE GUADALUPE")</f>
        <v>ESCUELA DE GUADALUPE</v>
      </c>
      <c r="C1826" s="2" t="str">
        <f>IFERROR(__xludf.DUMMYFUNCTION("""COMPUTED_VALUE"""),"08658")</f>
        <v>08658</v>
      </c>
      <c r="D1826" s="2" t="str">
        <f>IFERROR(__xludf.DUMMYFUNCTION("""COMPUTED_VALUE"""),"Escuela de Guadalupe")</f>
        <v>Escuela de Guadalupe</v>
      </c>
      <c r="E1826" s="3"/>
      <c r="F1826" s="3" t="str">
        <f>IFERROR(__xludf.DUMMYFUNCTION("""COMPUTED_VALUE"""),"Y")</f>
        <v>Y</v>
      </c>
      <c r="G1826" s="3"/>
      <c r="H1826" s="3"/>
      <c r="I1826" s="3" t="str">
        <f>IFERROR(__xludf.DUMMYFUNCTION("""COMPUTED_VALUE""")," ")</f>
        <v> </v>
      </c>
      <c r="J1826" s="3" t="str">
        <f>IFERROR(__xludf.DUMMYFUNCTION("""COMPUTED_VALUE""")," ")</f>
        <v> </v>
      </c>
      <c r="K1826" s="3" t="str">
        <f>IFERROR(__xludf.DUMMYFUNCTION("""COMPUTED_VALUE"""),"Not eligibile")</f>
        <v>Not eligibile</v>
      </c>
      <c r="L1826" s="3" t="str">
        <f>IFERROR(__xludf.DUMMYFUNCTION("""COMPUTED_VALUE""")," ")</f>
        <v> </v>
      </c>
      <c r="M1826" s="3"/>
      <c r="N1826" s="5" t="str">
        <f>IFERROR(__xludf.DUMMYFUNCTION("""COMPUTED_VALUE""")," ")</f>
        <v> </v>
      </c>
      <c r="O1826" s="5"/>
    </row>
    <row r="1827">
      <c r="A1827" s="2" t="str">
        <f>IFERROR(__xludf.DUMMYFUNCTION("""COMPUTED_VALUE"""),"8673")</f>
        <v>8673</v>
      </c>
      <c r="B1827" s="2" t="str">
        <f>IFERROR(__xludf.DUMMYFUNCTION("""COMPUTED_VALUE"""),"ST. ROSE OF LIMA")</f>
        <v>ST. ROSE OF LIMA</v>
      </c>
      <c r="C1827" s="2" t="str">
        <f>IFERROR(__xludf.DUMMYFUNCTION("""COMPUTED_VALUE"""),"08673")</f>
        <v>08673</v>
      </c>
      <c r="D1827" s="2" t="str">
        <f>IFERROR(__xludf.DUMMYFUNCTION("""COMPUTED_VALUE"""),"St. Rose of Lima")</f>
        <v>St. Rose of Lima</v>
      </c>
      <c r="E1827" s="3" t="str">
        <f>IFERROR(__xludf.DUMMYFUNCTION("""COMPUTED_VALUE"""),"Y")</f>
        <v>Y</v>
      </c>
      <c r="F1827" s="3" t="str">
        <f>IFERROR(__xludf.DUMMYFUNCTION("""COMPUTED_VALUE"""),"Y")</f>
        <v>Y</v>
      </c>
      <c r="G1827" s="3" t="str">
        <f>IFERROR(__xludf.DUMMYFUNCTION("""COMPUTED_VALUE"""),"Y")</f>
        <v>Y</v>
      </c>
      <c r="H1827" s="3"/>
      <c r="I1827" s="3" t="str">
        <f>IFERROR(__xludf.DUMMYFUNCTION("""COMPUTED_VALUE"""),"Y")</f>
        <v>Y</v>
      </c>
      <c r="J1827" s="3" t="str">
        <f>IFERROR(__xludf.DUMMYFUNCTION("""COMPUTED_VALUE""")," ")</f>
        <v> </v>
      </c>
      <c r="K1827" s="3" t="str">
        <f>IFERROR(__xludf.DUMMYFUNCTION("""COMPUTED_VALUE"""),"Not eligibile")</f>
        <v>Not eligibile</v>
      </c>
      <c r="L1827" s="3" t="str">
        <f>IFERROR(__xludf.DUMMYFUNCTION("""COMPUTED_VALUE""")," ")</f>
        <v> </v>
      </c>
      <c r="M1827" s="3" t="str">
        <f>IFERROR(__xludf.DUMMYFUNCTION("""COMPUTED_VALUE"""),"Extension year")</f>
        <v>Extension year</v>
      </c>
      <c r="N1827" s="5" t="str">
        <f>IFERROR(__xludf.DUMMYFUNCTION("""COMPUTED_VALUE""")," ")</f>
        <v> </v>
      </c>
      <c r="O1827" s="5"/>
    </row>
    <row r="1828">
      <c r="A1828" s="2" t="str">
        <f>IFERROR(__xludf.DUMMYFUNCTION("""COMPUTED_VALUE"""),"8693")</f>
        <v>8693</v>
      </c>
      <c r="B1828" s="2" t="str">
        <f>IFERROR(__xludf.DUMMYFUNCTION("""COMPUTED_VALUE"""),"CORPUS CHRISTI SCHOOL")</f>
        <v>CORPUS CHRISTI SCHOOL</v>
      </c>
      <c r="C1828" s="2" t="str">
        <f>IFERROR(__xludf.DUMMYFUNCTION("""COMPUTED_VALUE"""),"08693")</f>
        <v>08693</v>
      </c>
      <c r="D1828" s="2" t="str">
        <f>IFERROR(__xludf.DUMMYFUNCTION("""COMPUTED_VALUE"""),"Corpus Christi Catholic School")</f>
        <v>Corpus Christi Catholic School</v>
      </c>
      <c r="E1828" s="3"/>
      <c r="F1828" s="3" t="str">
        <f>IFERROR(__xludf.DUMMYFUNCTION("""COMPUTED_VALUE"""),"Y")</f>
        <v>Y</v>
      </c>
      <c r="G1828" s="3"/>
      <c r="H1828" s="3"/>
      <c r="I1828" s="3" t="str">
        <f>IFERROR(__xludf.DUMMYFUNCTION("""COMPUTED_VALUE""")," ")</f>
        <v> </v>
      </c>
      <c r="J1828" s="3" t="str">
        <f>IFERROR(__xludf.DUMMYFUNCTION("""COMPUTED_VALUE""")," ")</f>
        <v> </v>
      </c>
      <c r="K1828" s="3" t="str">
        <f>IFERROR(__xludf.DUMMYFUNCTION("""COMPUTED_VALUE"""),"Not eligibile")</f>
        <v>Not eligibile</v>
      </c>
      <c r="L1828" s="3" t="str">
        <f>IFERROR(__xludf.DUMMYFUNCTION("""COMPUTED_VALUE""")," ")</f>
        <v> </v>
      </c>
      <c r="M1828" s="3"/>
      <c r="N1828" s="3" t="str">
        <f>IFERROR(__xludf.DUMMYFUNCTION("""COMPUTED_VALUE""")," ")</f>
        <v> </v>
      </c>
      <c r="O1828" s="3"/>
    </row>
    <row r="1829">
      <c r="A1829" s="2" t="str">
        <f>IFERROR(__xludf.DUMMYFUNCTION("""COMPUTED_VALUE"""),"8694")</f>
        <v>8694</v>
      </c>
      <c r="B1829" s="2" t="str">
        <f>IFERROR(__xludf.DUMMYFUNCTION("""COMPUTED_VALUE"""),"DIVINE REDEEMER")</f>
        <v>DIVINE REDEEMER</v>
      </c>
      <c r="C1829" s="2" t="str">
        <f>IFERROR(__xludf.DUMMYFUNCTION("""COMPUTED_VALUE"""),"08694")</f>
        <v>08694</v>
      </c>
      <c r="D1829" s="2" t="str">
        <f>IFERROR(__xludf.DUMMYFUNCTION("""COMPUTED_VALUE"""),"Divine Redeemer Catholic School")</f>
        <v>Divine Redeemer Catholic School</v>
      </c>
      <c r="E1829" s="3"/>
      <c r="F1829" s="3" t="str">
        <f>IFERROR(__xludf.DUMMYFUNCTION("""COMPUTED_VALUE"""),"Y")</f>
        <v>Y</v>
      </c>
      <c r="G1829" s="3"/>
      <c r="H1829" s="3"/>
      <c r="I1829" s="3" t="str">
        <f>IFERROR(__xludf.DUMMYFUNCTION("""COMPUTED_VALUE""")," ")</f>
        <v> </v>
      </c>
      <c r="J1829" s="3" t="str">
        <f>IFERROR(__xludf.DUMMYFUNCTION("""COMPUTED_VALUE""")," ")</f>
        <v> </v>
      </c>
      <c r="K1829" s="3" t="str">
        <f>IFERROR(__xludf.DUMMYFUNCTION("""COMPUTED_VALUE"""),"Not eligibile")</f>
        <v>Not eligibile</v>
      </c>
      <c r="L1829" s="3" t="str">
        <f>IFERROR(__xludf.DUMMYFUNCTION("""COMPUTED_VALUE""")," ")</f>
        <v> </v>
      </c>
      <c r="M1829" s="3"/>
      <c r="N1829" s="3" t="str">
        <f>IFERROR(__xludf.DUMMYFUNCTION("""COMPUTED_VALUE""")," ")</f>
        <v> </v>
      </c>
      <c r="O1829" s="3"/>
    </row>
    <row r="1830">
      <c r="A1830" s="2" t="str">
        <f>IFERROR(__xludf.DUMMYFUNCTION("""COMPUTED_VALUE"""),"8706")</f>
        <v>8706</v>
      </c>
      <c r="B1830" s="2" t="str">
        <f>IFERROR(__xludf.DUMMYFUNCTION("""COMPUTED_VALUE"""),"ST. PAUL CATHOLIC SCHOOL")</f>
        <v>ST. PAUL CATHOLIC SCHOOL</v>
      </c>
      <c r="C1830" s="2" t="str">
        <f>IFERROR(__xludf.DUMMYFUNCTION("""COMPUTED_VALUE"""),"08706")</f>
        <v>08706</v>
      </c>
      <c r="D1830" s="2" t="str">
        <f>IFERROR(__xludf.DUMMYFUNCTION("""COMPUTED_VALUE"""),"St. Paul Catholic School")</f>
        <v>St. Paul Catholic School</v>
      </c>
      <c r="E1830" s="3"/>
      <c r="F1830" s="3"/>
      <c r="G1830" s="3"/>
      <c r="H1830" s="3" t="str">
        <f>IFERROR(__xludf.DUMMYFUNCTION("""COMPUTED_VALUE"""),"Milk only")</f>
        <v>Milk only</v>
      </c>
      <c r="I1830" s="3" t="str">
        <f>IFERROR(__xludf.DUMMYFUNCTION("""COMPUTED_VALUE""")," ")</f>
        <v> </v>
      </c>
      <c r="J1830" s="3" t="str">
        <f>IFERROR(__xludf.DUMMYFUNCTION("""COMPUTED_VALUE""")," ")</f>
        <v> </v>
      </c>
      <c r="K1830" s="3" t="str">
        <f>IFERROR(__xludf.DUMMYFUNCTION("""COMPUTED_VALUE"""),"Not eligibile")</f>
        <v>Not eligibile</v>
      </c>
      <c r="L1830" s="3" t="str">
        <f>IFERROR(__xludf.DUMMYFUNCTION("""COMPUTED_VALUE""")," ")</f>
        <v> </v>
      </c>
      <c r="M1830" s="3"/>
      <c r="N1830" s="3" t="str">
        <f>IFERROR(__xludf.DUMMYFUNCTION("""COMPUTED_VALUE""")," ")</f>
        <v> </v>
      </c>
      <c r="O1830" s="3"/>
    </row>
    <row r="1831">
      <c r="A1831" s="2" t="str">
        <f>IFERROR(__xludf.DUMMYFUNCTION("""COMPUTED_VALUE"""),"8707")</f>
        <v>8707</v>
      </c>
      <c r="B1831" s="2" t="str">
        <f>IFERROR(__xludf.DUMMYFUNCTION("""COMPUTED_VALUE"""),"PEACE WITH CHRIST SCHOOL")</f>
        <v>PEACE WITH CHRIST SCHOOL</v>
      </c>
      <c r="C1831" s="2" t="str">
        <f>IFERROR(__xludf.DUMMYFUNCTION("""COMPUTED_VALUE"""),"08707")</f>
        <v>08707</v>
      </c>
      <c r="D1831" s="2" t="str">
        <f>IFERROR(__xludf.DUMMYFUNCTION("""COMPUTED_VALUE"""),"Peace With Christ Christian School")</f>
        <v>Peace With Christ Christian School</v>
      </c>
      <c r="E1831" s="3"/>
      <c r="F1831" s="3"/>
      <c r="G1831" s="3"/>
      <c r="H1831" s="3" t="str">
        <f>IFERROR(__xludf.DUMMYFUNCTION("""COMPUTED_VALUE"""),"Milk only")</f>
        <v>Milk only</v>
      </c>
      <c r="I1831" s="3" t="str">
        <f>IFERROR(__xludf.DUMMYFUNCTION("""COMPUTED_VALUE""")," ")</f>
        <v> </v>
      </c>
      <c r="J1831" s="3" t="str">
        <f>IFERROR(__xludf.DUMMYFUNCTION("""COMPUTED_VALUE""")," ")</f>
        <v> </v>
      </c>
      <c r="K1831" s="3" t="str">
        <f>IFERROR(__xludf.DUMMYFUNCTION("""COMPUTED_VALUE"""),"Not eligibile")</f>
        <v>Not eligibile</v>
      </c>
      <c r="L1831" s="3" t="str">
        <f>IFERROR(__xludf.DUMMYFUNCTION("""COMPUTED_VALUE""")," ")</f>
        <v> </v>
      </c>
      <c r="M1831" s="3"/>
      <c r="N1831" s="3" t="str">
        <f>IFERROR(__xludf.DUMMYFUNCTION("""COMPUTED_VALUE""")," ")</f>
        <v> </v>
      </c>
      <c r="O1831" s="3"/>
    </row>
    <row r="1832">
      <c r="A1832" s="2" t="str">
        <f>IFERROR(__xludf.DUMMYFUNCTION("""COMPUTED_VALUE"""),"8719")</f>
        <v>8719</v>
      </c>
      <c r="B1832" s="2" t="str">
        <f>IFERROR(__xludf.DUMMYFUNCTION("""COMPUTED_VALUE"""),"BETHLEHEM LUTHERAN PARISH")</f>
        <v>BETHLEHEM LUTHERAN PARISH</v>
      </c>
      <c r="C1832" s="2" t="str">
        <f>IFERROR(__xludf.DUMMYFUNCTION("""COMPUTED_VALUE"""),"08719")</f>
        <v>08719</v>
      </c>
      <c r="D1832" s="2" t="str">
        <f>IFERROR(__xludf.DUMMYFUNCTION("""COMPUTED_VALUE"""),"Bethlehem Lutheran Parish")</f>
        <v>Bethlehem Lutheran Parish</v>
      </c>
      <c r="E1832" s="3"/>
      <c r="F1832" s="3" t="str">
        <f>IFERROR(__xludf.DUMMYFUNCTION("""COMPUTED_VALUE"""),"Y")</f>
        <v>Y</v>
      </c>
      <c r="G1832" s="3"/>
      <c r="H1832" s="3"/>
      <c r="I1832" s="3" t="str">
        <f>IFERROR(__xludf.DUMMYFUNCTION("""COMPUTED_VALUE""")," ")</f>
        <v> </v>
      </c>
      <c r="J1832" s="3" t="str">
        <f>IFERROR(__xludf.DUMMYFUNCTION("""COMPUTED_VALUE""")," ")</f>
        <v> </v>
      </c>
      <c r="K1832" s="3" t="str">
        <f>IFERROR(__xludf.DUMMYFUNCTION("""COMPUTED_VALUE"""),"Not eligibile")</f>
        <v>Not eligibile</v>
      </c>
      <c r="L1832" s="3" t="str">
        <f>IFERROR(__xludf.DUMMYFUNCTION("""COMPUTED_VALUE""")," ")</f>
        <v> </v>
      </c>
      <c r="M1832" s="3"/>
      <c r="N1832" s="3" t="str">
        <f>IFERROR(__xludf.DUMMYFUNCTION("""COMPUTED_VALUE""")," ")</f>
        <v> </v>
      </c>
      <c r="O1832" s="3"/>
    </row>
    <row r="1833">
      <c r="A1833" s="2" t="str">
        <f>IFERROR(__xludf.DUMMYFUNCTION("""COMPUTED_VALUE"""),"8741")</f>
        <v>8741</v>
      </c>
      <c r="B1833" s="2" t="str">
        <f>IFERROR(__xludf.DUMMYFUNCTION("""COMPUTED_VALUE"""),"SHRINE OF ST. ANNE SCHOOL")</f>
        <v>SHRINE OF ST. ANNE SCHOOL</v>
      </c>
      <c r="C1833" s="2" t="str">
        <f>IFERROR(__xludf.DUMMYFUNCTION("""COMPUTED_VALUE"""),"08741")</f>
        <v>08741</v>
      </c>
      <c r="D1833" s="2" t="str">
        <f>IFERROR(__xludf.DUMMYFUNCTION("""COMPUTED_VALUE"""),"Shrine of St Anne")</f>
        <v>Shrine of St Anne</v>
      </c>
      <c r="E1833" s="3"/>
      <c r="F1833" s="3"/>
      <c r="G1833" s="3"/>
      <c r="H1833" s="3" t="str">
        <f>IFERROR(__xludf.DUMMYFUNCTION("""COMPUTED_VALUE"""),"Milk only")</f>
        <v>Milk only</v>
      </c>
      <c r="I1833" s="3" t="str">
        <f>IFERROR(__xludf.DUMMYFUNCTION("""COMPUTED_VALUE""")," ")</f>
        <v> </v>
      </c>
      <c r="J1833" s="3" t="str">
        <f>IFERROR(__xludf.DUMMYFUNCTION("""COMPUTED_VALUE""")," ")</f>
        <v> </v>
      </c>
      <c r="K1833" s="3" t="str">
        <f>IFERROR(__xludf.DUMMYFUNCTION("""COMPUTED_VALUE"""),"Not eligibile")</f>
        <v>Not eligibile</v>
      </c>
      <c r="L1833" s="3" t="str">
        <f>IFERROR(__xludf.DUMMYFUNCTION("""COMPUTED_VALUE""")," ")</f>
        <v> </v>
      </c>
      <c r="M1833" s="3"/>
      <c r="N1833" s="3" t="str">
        <f>IFERROR(__xludf.DUMMYFUNCTION("""COMPUTED_VALUE""")," ")</f>
        <v> </v>
      </c>
      <c r="O1833" s="3"/>
    </row>
    <row r="1834">
      <c r="A1834" s="2" t="str">
        <f>IFERROR(__xludf.DUMMYFUNCTION("""COMPUTED_VALUE"""),"8743")</f>
        <v>8743</v>
      </c>
      <c r="B1834" s="2" t="str">
        <f>IFERROR(__xludf.DUMMYFUNCTION("""COMPUTED_VALUE"""),"STS. PETER AND PAUL SCHOOL")</f>
        <v>STS. PETER AND PAUL SCHOOL</v>
      </c>
      <c r="C1834" s="2" t="str">
        <f>IFERROR(__xludf.DUMMYFUNCTION("""COMPUTED_VALUE"""),"08743")</f>
        <v>08743</v>
      </c>
      <c r="D1834" s="2" t="str">
        <f>IFERROR(__xludf.DUMMYFUNCTION("""COMPUTED_VALUE"""),"Saints Peter and Paul Catholic School")</f>
        <v>Saints Peter and Paul Catholic School</v>
      </c>
      <c r="E1834" s="3"/>
      <c r="F1834" s="3"/>
      <c r="G1834" s="3"/>
      <c r="H1834" s="3" t="str">
        <f>IFERROR(__xludf.DUMMYFUNCTION("""COMPUTED_VALUE"""),"Milk only")</f>
        <v>Milk only</v>
      </c>
      <c r="I1834" s="3" t="str">
        <f>IFERROR(__xludf.DUMMYFUNCTION("""COMPUTED_VALUE""")," ")</f>
        <v> </v>
      </c>
      <c r="J1834" s="3" t="str">
        <f>IFERROR(__xludf.DUMMYFUNCTION("""COMPUTED_VALUE""")," ")</f>
        <v> </v>
      </c>
      <c r="K1834" s="3" t="str">
        <f>IFERROR(__xludf.DUMMYFUNCTION("""COMPUTED_VALUE"""),"Not eligibile")</f>
        <v>Not eligibile</v>
      </c>
      <c r="L1834" s="3" t="str">
        <f>IFERROR(__xludf.DUMMYFUNCTION("""COMPUTED_VALUE""")," ")</f>
        <v> </v>
      </c>
      <c r="M1834" s="3"/>
      <c r="N1834" s="3" t="str">
        <f>IFERROR(__xludf.DUMMYFUNCTION("""COMPUTED_VALUE""")," ")</f>
        <v> </v>
      </c>
      <c r="O1834" s="3"/>
    </row>
    <row r="1835">
      <c r="A1835" s="2" t="str">
        <f>IFERROR(__xludf.DUMMYFUNCTION("""COMPUTED_VALUE"""),"8759")</f>
        <v>8759</v>
      </c>
      <c r="B1835" s="2" t="str">
        <f>IFERROR(__xludf.DUMMYFUNCTION("""COMPUTED_VALUE"""),"ST. JOHN THE EVANGELIST SCHOOL")</f>
        <v>ST. JOHN THE EVANGELIST SCHOOL</v>
      </c>
      <c r="C1835" s="2" t="str">
        <f>IFERROR(__xludf.DUMMYFUNCTION("""COMPUTED_VALUE"""),"08759")</f>
        <v>08759</v>
      </c>
      <c r="D1835" s="2" t="str">
        <f>IFERROR(__xludf.DUMMYFUNCTION("""COMPUTED_VALUE"""),"St John the Evangelist")</f>
        <v>St John the Evangelist</v>
      </c>
      <c r="E1835" s="3"/>
      <c r="F1835" s="3" t="str">
        <f>IFERROR(__xludf.DUMMYFUNCTION("""COMPUTED_VALUE"""),"Y")</f>
        <v>Y</v>
      </c>
      <c r="G1835" s="3"/>
      <c r="H1835" s="3"/>
      <c r="I1835" s="3" t="str">
        <f>IFERROR(__xludf.DUMMYFUNCTION("""COMPUTED_VALUE""")," ")</f>
        <v> </v>
      </c>
      <c r="J1835" s="3" t="str">
        <f>IFERROR(__xludf.DUMMYFUNCTION("""COMPUTED_VALUE""")," ")</f>
        <v> </v>
      </c>
      <c r="K1835" s="3" t="str">
        <f>IFERROR(__xludf.DUMMYFUNCTION("""COMPUTED_VALUE"""),"Not eligibile")</f>
        <v>Not eligibile</v>
      </c>
      <c r="L1835" s="3" t="str">
        <f>IFERROR(__xludf.DUMMYFUNCTION("""COMPUTED_VALUE""")," ")</f>
        <v> </v>
      </c>
      <c r="M1835" s="3"/>
      <c r="N1835" s="3" t="str">
        <f>IFERROR(__xludf.DUMMYFUNCTION("""COMPUTED_VALUE""")," ")</f>
        <v> </v>
      </c>
      <c r="O1835" s="3"/>
    </row>
    <row r="1836">
      <c r="A1836" s="2" t="str">
        <f>IFERROR(__xludf.DUMMYFUNCTION("""COMPUTED_VALUE"""),"8761")</f>
        <v>8761</v>
      </c>
      <c r="B1836" s="2" t="str">
        <f>IFERROR(__xludf.DUMMYFUNCTION("""COMPUTED_VALUE"""),"Cornell Corrections of California")</f>
        <v>Cornell Corrections of California</v>
      </c>
      <c r="C1836" s="2" t="str">
        <f>IFERROR(__xludf.DUMMYFUNCTION("""COMPUTED_VALUE"""),"06199")</f>
        <v>06199</v>
      </c>
      <c r="D1836" s="2" t="str">
        <f>IFERROR(__xludf.DUMMYFUNCTION("""COMPUTED_VALUE"""),"Southern Peaks Regional Treatment Center")</f>
        <v>Southern Peaks Regional Treatment Center</v>
      </c>
      <c r="E1836" s="3" t="str">
        <f>IFERROR(__xludf.DUMMYFUNCTION("""COMPUTED_VALUE"""),"Y")</f>
        <v>Y</v>
      </c>
      <c r="F1836" s="3" t="str">
        <f>IFERROR(__xludf.DUMMYFUNCTION("""COMPUTED_VALUE"""),"Y")</f>
        <v>Y</v>
      </c>
      <c r="G1836" s="3" t="str">
        <f>IFERROR(__xludf.DUMMYFUNCTION("""COMPUTED_VALUE"""),"Y")</f>
        <v>Y</v>
      </c>
      <c r="H1836" s="3"/>
      <c r="I1836" s="3" t="str">
        <f>IFERROR(__xludf.DUMMYFUNCTION("""COMPUTED_VALUE""")," ")</f>
        <v> </v>
      </c>
      <c r="J1836" s="3" t="str">
        <f>IFERROR(__xludf.DUMMYFUNCTION("""COMPUTED_VALUE""")," ")</f>
        <v> </v>
      </c>
      <c r="K1836" s="3" t="str">
        <f>IFERROR(__xludf.DUMMYFUNCTION("""COMPUTED_VALUE"""),"Y")</f>
        <v>Y</v>
      </c>
      <c r="L1836" s="3" t="str">
        <f>IFERROR(__xludf.DUMMYFUNCTION("""COMPUTED_VALUE""")," ")</f>
        <v> </v>
      </c>
      <c r="M1836" s="3"/>
      <c r="N1836" s="3" t="str">
        <f>IFERROR(__xludf.DUMMYFUNCTION("""COMPUTED_VALUE""")," ")</f>
        <v> </v>
      </c>
      <c r="O1836" s="3"/>
    </row>
    <row r="1837">
      <c r="A1837" s="2" t="str">
        <f>IFERROR(__xludf.DUMMYFUNCTION("""COMPUTED_VALUE"""),"9000")</f>
        <v>9000</v>
      </c>
      <c r="B1837" s="2" t="str">
        <f>IFERROR(__xludf.DUMMYFUNCTION("""COMPUTED_VALUE"""),"COLO SCHOOL F/T DEAF AND THE BLIND")</f>
        <v>COLO SCHOOL F/T DEAF AND THE BLIND</v>
      </c>
      <c r="C1837" s="2" t="str">
        <f>IFERROR(__xludf.DUMMYFUNCTION("""COMPUTED_VALUE"""),"01924")</f>
        <v>01924</v>
      </c>
      <c r="D1837" s="2" t="str">
        <f>IFERROR(__xludf.DUMMYFUNCTION("""COMPUTED_VALUE"""),"Colorado School for the Deaf and Blind")</f>
        <v>Colorado School for the Deaf and Blind</v>
      </c>
      <c r="E1837" s="3" t="str">
        <f>IFERROR(__xludf.DUMMYFUNCTION("""COMPUTED_VALUE"""),"Y")</f>
        <v>Y</v>
      </c>
      <c r="F1837" s="3" t="str">
        <f>IFERROR(__xludf.DUMMYFUNCTION("""COMPUTED_VALUE"""),"Y")</f>
        <v>Y</v>
      </c>
      <c r="G1837" s="3"/>
      <c r="H1837" s="3"/>
      <c r="I1837" s="3" t="str">
        <f>IFERROR(__xludf.DUMMYFUNCTION("""COMPUTED_VALUE""")," ")</f>
        <v> </v>
      </c>
      <c r="J1837" s="3" t="str">
        <f>IFERROR(__xludf.DUMMYFUNCTION("""COMPUTED_VALUE""")," ")</f>
        <v> </v>
      </c>
      <c r="K1837" s="3" t="str">
        <f>IFERROR(__xludf.DUMMYFUNCTION("""COMPUTED_VALUE"""),"Y")</f>
        <v>Y</v>
      </c>
      <c r="L1837" s="3" t="str">
        <f>IFERROR(__xludf.DUMMYFUNCTION("""COMPUTED_VALUE""")," ")</f>
        <v> </v>
      </c>
      <c r="M1837" s="3"/>
      <c r="N1837" s="3" t="str">
        <f>IFERROR(__xludf.DUMMYFUNCTION("""COMPUTED_VALUE""")," ")</f>
        <v> </v>
      </c>
      <c r="O1837" s="3"/>
    </row>
    <row r="1838">
      <c r="A1838" s="2" t="str">
        <f>IFERROR(__xludf.DUMMYFUNCTION("""COMPUTED_VALUE"""),"9589")</f>
        <v>9589</v>
      </c>
      <c r="B1838" s="2" t="str">
        <f>IFERROR(__xludf.DUMMYFUNCTION("""COMPUTED_VALUE"""),"Windsor Charter Academy")</f>
        <v>Windsor Charter Academy</v>
      </c>
      <c r="C1838" s="2" t="str">
        <f>IFERROR(__xludf.DUMMYFUNCTION("""COMPUTED_VALUE"""),"09393")</f>
        <v>09393</v>
      </c>
      <c r="D1838" s="2" t="str">
        <f>IFERROR(__xludf.DUMMYFUNCTION("""COMPUTED_VALUE"""),"Windsor Charter Academy Early College High School")</f>
        <v>Windsor Charter Academy Early College High School</v>
      </c>
      <c r="E1838" s="3" t="str">
        <f>IFERROR(__xludf.DUMMYFUNCTION("""COMPUTED_VALUE"""),"Y")</f>
        <v>Y</v>
      </c>
      <c r="F1838" s="3" t="str">
        <f>IFERROR(__xludf.DUMMYFUNCTION("""COMPUTED_VALUE"""),"Y")</f>
        <v>Y</v>
      </c>
      <c r="G1838" s="3"/>
      <c r="H1838" s="3"/>
      <c r="I1838" s="3" t="str">
        <f>IFERROR(__xludf.DUMMYFUNCTION("""COMPUTED_VALUE""")," ")</f>
        <v> </v>
      </c>
      <c r="J1838" s="3" t="str">
        <f>IFERROR(__xludf.DUMMYFUNCTION("""COMPUTED_VALUE""")," ")</f>
        <v> </v>
      </c>
      <c r="K1838" s="3" t="str">
        <f>IFERROR(__xludf.DUMMYFUNCTION("""COMPUTED_VALUE"""),"Y")</f>
        <v>Y</v>
      </c>
      <c r="L1838" s="3" t="str">
        <f>IFERROR(__xludf.DUMMYFUNCTION("""COMPUTED_VALUE""")," ")</f>
        <v> </v>
      </c>
      <c r="M1838" s="3"/>
      <c r="N1838" s="3" t="str">
        <f>IFERROR(__xludf.DUMMYFUNCTION("""COMPUTED_VALUE""")," ")</f>
        <v> </v>
      </c>
      <c r="O1838" s="3"/>
    </row>
    <row r="1839">
      <c r="A1839" s="2" t="str">
        <f>IFERROR(__xludf.DUMMYFUNCTION("""COMPUTED_VALUE"""),"9589")</f>
        <v>9589</v>
      </c>
      <c r="B1839" s="2" t="str">
        <f>IFERROR(__xludf.DUMMYFUNCTION("""COMPUTED_VALUE"""),"Windsor Charter Academy")</f>
        <v>Windsor Charter Academy</v>
      </c>
      <c r="C1839" s="2" t="str">
        <f>IFERROR(__xludf.DUMMYFUNCTION("""COMPUTED_VALUE"""),"09563")</f>
        <v>09563</v>
      </c>
      <c r="D1839" s="2" t="str">
        <f>IFERROR(__xludf.DUMMYFUNCTION("""COMPUTED_VALUE"""),"Windsor Charter Academy Middle School")</f>
        <v>Windsor Charter Academy Middle School</v>
      </c>
      <c r="E1839" s="3" t="str">
        <f>IFERROR(__xludf.DUMMYFUNCTION("""COMPUTED_VALUE"""),"Y")</f>
        <v>Y</v>
      </c>
      <c r="F1839" s="3" t="str">
        <f>IFERROR(__xludf.DUMMYFUNCTION("""COMPUTED_VALUE"""),"Y")</f>
        <v>Y</v>
      </c>
      <c r="G1839" s="3"/>
      <c r="H1839" s="3"/>
      <c r="I1839" s="3" t="str">
        <f>IFERROR(__xludf.DUMMYFUNCTION("""COMPUTED_VALUE""")," ")</f>
        <v> </v>
      </c>
      <c r="J1839" s="3" t="str">
        <f>IFERROR(__xludf.DUMMYFUNCTION("""COMPUTED_VALUE""")," ")</f>
        <v> </v>
      </c>
      <c r="K1839" s="3" t="str">
        <f>IFERROR(__xludf.DUMMYFUNCTION("""COMPUTED_VALUE"""),"Y")</f>
        <v>Y</v>
      </c>
      <c r="L1839" s="3" t="str">
        <f>IFERROR(__xludf.DUMMYFUNCTION("""COMPUTED_VALUE""")," ")</f>
        <v> </v>
      </c>
      <c r="M1839" s="3"/>
      <c r="N1839" s="3" t="str">
        <f>IFERROR(__xludf.DUMMYFUNCTION("""COMPUTED_VALUE""")," ")</f>
        <v> </v>
      </c>
      <c r="O1839" s="3"/>
    </row>
    <row r="1840">
      <c r="A1840" s="2" t="str">
        <f>IFERROR(__xludf.DUMMYFUNCTION("""COMPUTED_VALUE"""),"9589")</f>
        <v>9589</v>
      </c>
      <c r="B1840" s="2" t="str">
        <f>IFERROR(__xludf.DUMMYFUNCTION("""COMPUTED_VALUE"""),"Windsor Charter Academy")</f>
        <v>Windsor Charter Academy</v>
      </c>
      <c r="C1840" s="2" t="str">
        <f>IFERROR(__xludf.DUMMYFUNCTION("""COMPUTED_VALUE"""),"09665")</f>
        <v>09665</v>
      </c>
      <c r="D1840" s="2" t="str">
        <f>IFERROR(__xludf.DUMMYFUNCTION("""COMPUTED_VALUE"""),"Windsor Charter Academy Elementary School")</f>
        <v>Windsor Charter Academy Elementary School</v>
      </c>
      <c r="E1840" s="3"/>
      <c r="F1840" s="3" t="str">
        <f>IFERROR(__xludf.DUMMYFUNCTION("""COMPUTED_VALUE"""),"Y")</f>
        <v>Y</v>
      </c>
      <c r="G1840" s="3"/>
      <c r="H1840" s="3"/>
      <c r="I1840" s="3" t="str">
        <f>IFERROR(__xludf.DUMMYFUNCTION("""COMPUTED_VALUE""")," ")</f>
        <v> </v>
      </c>
      <c r="J1840" s="3" t="str">
        <f>IFERROR(__xludf.DUMMYFUNCTION("""COMPUTED_VALUE""")," ")</f>
        <v> </v>
      </c>
      <c r="K1840" s="3" t="str">
        <f>IFERROR(__xludf.DUMMYFUNCTION("""COMPUTED_VALUE"""),"Y")</f>
        <v>Y</v>
      </c>
      <c r="L1840" s="3" t="str">
        <f>IFERROR(__xludf.DUMMYFUNCTION("""COMPUTED_VALUE""")," ")</f>
        <v> </v>
      </c>
      <c r="M1840" s="3"/>
      <c r="N1840" s="3" t="str">
        <f>IFERROR(__xludf.DUMMYFUNCTION("""COMPUTED_VALUE""")," ")</f>
        <v> </v>
      </c>
      <c r="O1840" s="3"/>
    </row>
    <row r="1841">
      <c r="A1841" s="2"/>
      <c r="B1841" s="2"/>
      <c r="C1841" s="2"/>
      <c r="D1841" s="2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</row>
    <row r="1842">
      <c r="A1842" s="2"/>
      <c r="B1842" s="2"/>
      <c r="C1842" s="2"/>
      <c r="D1842" s="2"/>
      <c r="E1842" s="3"/>
      <c r="F1842" s="3"/>
      <c r="G1842" s="3"/>
      <c r="H1842" s="3"/>
      <c r="I1842" s="3"/>
      <c r="J1842" s="3" t="str">
        <f>IFERROR(__xludf.DUMMYFUNCTION("""COMPUTED_VALUE"""),"*mandated to BAB, https://www.cde.state.co.us/nutrition/school-breakfast-program#breakfastafterthebell")</f>
        <v>*mandated to BAB, https://www.cde.state.co.us/nutrition/school-breakfast-program#breakfastafterthebell</v>
      </c>
      <c r="K1842" s="3"/>
      <c r="L1842" s="3"/>
      <c r="M1842" s="3"/>
      <c r="N1842" s="3"/>
      <c r="O1842" s="3"/>
    </row>
    <row r="1843">
      <c r="A1843" s="2"/>
      <c r="B1843" s="2"/>
      <c r="C1843" s="2"/>
      <c r="D1843" s="12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</row>
    <row r="1844">
      <c r="A1844" s="2"/>
      <c r="B1844" s="2"/>
      <c r="C1844" s="2"/>
      <c r="D1844" s="12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</row>
    <row r="1845">
      <c r="A1845" s="2"/>
      <c r="B1845" s="2"/>
      <c r="C1845" s="2"/>
      <c r="D1845" s="12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</row>
    <row r="1846">
      <c r="A1846" s="2"/>
      <c r="B1846" s="2"/>
      <c r="C1846" s="2"/>
      <c r="D1846" s="12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</row>
    <row r="1847">
      <c r="A1847" s="2"/>
      <c r="B1847" s="2"/>
      <c r="C1847" s="2"/>
      <c r="D1847" s="12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</row>
    <row r="1848">
      <c r="A1848" s="2"/>
      <c r="B1848" s="2"/>
      <c r="C1848" s="2"/>
      <c r="D1848" s="12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</row>
    <row r="1849">
      <c r="A1849" s="2"/>
      <c r="B1849" s="2"/>
      <c r="C1849" s="2"/>
      <c r="D1849" s="12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</row>
    <row r="1850">
      <c r="A1850" s="2"/>
      <c r="B1850" s="2"/>
      <c r="C1850" s="2"/>
      <c r="D1850" s="12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</row>
    <row r="1851">
      <c r="A1851" s="2"/>
      <c r="B1851" s="2"/>
      <c r="C1851" s="2"/>
      <c r="D1851" s="12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</row>
    <row r="1852">
      <c r="A1852" s="2"/>
      <c r="B1852" s="2"/>
      <c r="C1852" s="2"/>
      <c r="D1852" s="12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</row>
    <row r="1853">
      <c r="A1853" s="2"/>
      <c r="B1853" s="2"/>
      <c r="C1853" s="2"/>
      <c r="D1853" s="12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</row>
    <row r="1854">
      <c r="A1854" s="2"/>
      <c r="B1854" s="2"/>
      <c r="C1854" s="2"/>
      <c r="D1854" s="12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</row>
    <row r="1855">
      <c r="A1855" s="2"/>
      <c r="B1855" s="2"/>
      <c r="C1855" s="2"/>
      <c r="D1855" s="12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</row>
    <row r="1856">
      <c r="A1856" s="2"/>
      <c r="B1856" s="2"/>
      <c r="C1856" s="2"/>
      <c r="D1856" s="12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</row>
    <row r="1857">
      <c r="A1857" s="2"/>
      <c r="B1857" s="2"/>
      <c r="C1857" s="2"/>
      <c r="D1857" s="12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</row>
    <row r="1858">
      <c r="A1858" s="2"/>
      <c r="B1858" s="2"/>
      <c r="C1858" s="2"/>
      <c r="D1858" s="12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</row>
    <row r="1859">
      <c r="A1859" s="2"/>
      <c r="B1859" s="2"/>
      <c r="C1859" s="2"/>
      <c r="D1859" s="12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</row>
    <row r="1860">
      <c r="A1860" s="2"/>
      <c r="B1860" s="2"/>
      <c r="C1860" s="2"/>
      <c r="D1860" s="12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</row>
    <row r="1861">
      <c r="A1861" s="2"/>
      <c r="B1861" s="2"/>
      <c r="C1861" s="2"/>
      <c r="D1861" s="12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</row>
    <row r="1862">
      <c r="A1862" s="2"/>
      <c r="B1862" s="2"/>
      <c r="C1862" s="2"/>
      <c r="D1862" s="12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</row>
    <row r="1863">
      <c r="A1863" s="2"/>
      <c r="B1863" s="2"/>
      <c r="C1863" s="2"/>
      <c r="D1863" s="12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</row>
    <row r="1864">
      <c r="A1864" s="2"/>
      <c r="B1864" s="2"/>
      <c r="C1864" s="2"/>
      <c r="D1864" s="12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</row>
    <row r="1865">
      <c r="A1865" s="2"/>
      <c r="B1865" s="2"/>
      <c r="C1865" s="2"/>
      <c r="D1865" s="12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</row>
    <row r="1866">
      <c r="A1866" s="2"/>
      <c r="B1866" s="2"/>
      <c r="C1866" s="2"/>
      <c r="D1866" s="12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</row>
    <row r="1867">
      <c r="A1867" s="2"/>
      <c r="B1867" s="2"/>
      <c r="C1867" s="2"/>
      <c r="D1867" s="12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</row>
    <row r="1868">
      <c r="A1868" s="2"/>
      <c r="B1868" s="2"/>
      <c r="C1868" s="2"/>
      <c r="D1868" s="12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</row>
    <row r="1869">
      <c r="A1869" s="2"/>
      <c r="B1869" s="2"/>
      <c r="C1869" s="2"/>
      <c r="D1869" s="12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</row>
    <row r="1870">
      <c r="A1870" s="2"/>
      <c r="B1870" s="2"/>
      <c r="C1870" s="2"/>
      <c r="D1870" s="12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</row>
    <row r="1871">
      <c r="A1871" s="2"/>
      <c r="B1871" s="2"/>
      <c r="C1871" s="2"/>
      <c r="D1871" s="12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</row>
    <row r="1872">
      <c r="A1872" s="2"/>
      <c r="B1872" s="2"/>
      <c r="C1872" s="2"/>
      <c r="D1872" s="12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</row>
    <row r="1873">
      <c r="A1873" s="2"/>
      <c r="B1873" s="2"/>
      <c r="C1873" s="2"/>
      <c r="D1873" s="12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</row>
    <row r="1874">
      <c r="A1874" s="2"/>
      <c r="B1874" s="2"/>
      <c r="C1874" s="2"/>
      <c r="D1874" s="12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</row>
    <row r="1875">
      <c r="A1875" s="2"/>
      <c r="B1875" s="2"/>
      <c r="C1875" s="2"/>
      <c r="D1875" s="12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</row>
    <row r="1876">
      <c r="A1876" s="2"/>
      <c r="B1876" s="2"/>
      <c r="C1876" s="2"/>
      <c r="D1876" s="12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</row>
    <row r="1877">
      <c r="A1877" s="2"/>
      <c r="B1877" s="2"/>
      <c r="C1877" s="2"/>
      <c r="D1877" s="12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</row>
    <row r="1878">
      <c r="A1878" s="2"/>
      <c r="B1878" s="2"/>
      <c r="C1878" s="2"/>
      <c r="D1878" s="12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</row>
    <row r="1879">
      <c r="A1879" s="2"/>
      <c r="B1879" s="2"/>
      <c r="C1879" s="2"/>
      <c r="D1879" s="12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</row>
    <row r="1880">
      <c r="A1880" s="2"/>
      <c r="B1880" s="2"/>
      <c r="C1880" s="2"/>
      <c r="D1880" s="12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</row>
    <row r="1881">
      <c r="A1881" s="2"/>
      <c r="B1881" s="2"/>
      <c r="C1881" s="2"/>
      <c r="D1881" s="12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</row>
    <row r="1882">
      <c r="A1882" s="2"/>
      <c r="B1882" s="2"/>
      <c r="C1882" s="2"/>
      <c r="D1882" s="12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</row>
    <row r="1883">
      <c r="A1883" s="2"/>
      <c r="B1883" s="2"/>
      <c r="C1883" s="2"/>
      <c r="D1883" s="12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</row>
    <row r="1884">
      <c r="A1884" s="2"/>
      <c r="B1884" s="2"/>
      <c r="C1884" s="2"/>
      <c r="D1884" s="12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</row>
    <row r="1885">
      <c r="A1885" s="2"/>
      <c r="B1885" s="2"/>
      <c r="C1885" s="2"/>
      <c r="D1885" s="12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</row>
    <row r="1886">
      <c r="A1886" s="2"/>
      <c r="B1886" s="2"/>
      <c r="C1886" s="2"/>
      <c r="D1886" s="12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</row>
    <row r="1887">
      <c r="A1887" s="2"/>
      <c r="B1887" s="2"/>
      <c r="C1887" s="2"/>
      <c r="D1887" s="12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</row>
    <row r="1888">
      <c r="A1888" s="2"/>
      <c r="B1888" s="2"/>
      <c r="C1888" s="2"/>
      <c r="D1888" s="12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</row>
    <row r="1889">
      <c r="A1889" s="2"/>
      <c r="B1889" s="2"/>
      <c r="C1889" s="2"/>
      <c r="D1889" s="12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</row>
    <row r="1890">
      <c r="A1890" s="2"/>
      <c r="B1890" s="2"/>
      <c r="C1890" s="2"/>
      <c r="D1890" s="12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</row>
    <row r="1891">
      <c r="A1891" s="2"/>
      <c r="B1891" s="2"/>
      <c r="C1891" s="2"/>
      <c r="D1891" s="12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</row>
    <row r="1892">
      <c r="A1892" s="2"/>
      <c r="B1892" s="2"/>
      <c r="C1892" s="2"/>
      <c r="D1892" s="12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</row>
    <row r="1893">
      <c r="A1893" s="2"/>
      <c r="B1893" s="2"/>
      <c r="C1893" s="2"/>
      <c r="D1893" s="12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</row>
    <row r="1894">
      <c r="A1894" s="2"/>
      <c r="B1894" s="2"/>
      <c r="C1894" s="2"/>
      <c r="D1894" s="12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</row>
    <row r="1895">
      <c r="A1895" s="2"/>
      <c r="B1895" s="2"/>
      <c r="C1895" s="2"/>
      <c r="D1895" s="12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</row>
    <row r="1896">
      <c r="A1896" s="2"/>
      <c r="B1896" s="2"/>
      <c r="C1896" s="2"/>
      <c r="D1896" s="12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</row>
    <row r="1897">
      <c r="A1897" s="2"/>
      <c r="B1897" s="2"/>
      <c r="C1897" s="2"/>
      <c r="D1897" s="12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</row>
    <row r="1898">
      <c r="A1898" s="2"/>
      <c r="B1898" s="2"/>
      <c r="C1898" s="2"/>
      <c r="D1898" s="12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</row>
    <row r="1899">
      <c r="A1899" s="2"/>
      <c r="B1899" s="2"/>
      <c r="C1899" s="2"/>
      <c r="D1899" s="12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</row>
    <row r="1900">
      <c r="A1900" s="2"/>
      <c r="B1900" s="2"/>
      <c r="C1900" s="2"/>
      <c r="D1900" s="12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</row>
    <row r="1901">
      <c r="A1901" s="2"/>
      <c r="B1901" s="2"/>
      <c r="C1901" s="2"/>
      <c r="D1901" s="12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</row>
    <row r="1902">
      <c r="A1902" s="2"/>
      <c r="B1902" s="2"/>
      <c r="C1902" s="2"/>
      <c r="D1902" s="12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</row>
    <row r="1903">
      <c r="A1903" s="2"/>
      <c r="B1903" s="2"/>
      <c r="C1903" s="2"/>
      <c r="D1903" s="12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</row>
    <row r="1904">
      <c r="A1904" s="2"/>
      <c r="B1904" s="2"/>
      <c r="C1904" s="2"/>
      <c r="D1904" s="12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</row>
    <row r="1905">
      <c r="A1905" s="2"/>
      <c r="B1905" s="2"/>
      <c r="C1905" s="2"/>
      <c r="D1905" s="12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</row>
    <row r="1906">
      <c r="A1906" s="2"/>
      <c r="B1906" s="2"/>
      <c r="C1906" s="2"/>
      <c r="D1906" s="12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</row>
    <row r="1907">
      <c r="A1907" s="2"/>
      <c r="B1907" s="2"/>
      <c r="C1907" s="2"/>
      <c r="D1907" s="12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</row>
    <row r="1908">
      <c r="A1908" s="2"/>
      <c r="B1908" s="2"/>
      <c r="C1908" s="2"/>
      <c r="D1908" s="12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</row>
    <row r="1909">
      <c r="A1909" s="2"/>
      <c r="B1909" s="2"/>
      <c r="C1909" s="2"/>
      <c r="D1909" s="12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</row>
    <row r="1910">
      <c r="A1910" s="2"/>
      <c r="B1910" s="2"/>
      <c r="C1910" s="2"/>
      <c r="D1910" s="12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</row>
    <row r="1911">
      <c r="A1911" s="2"/>
      <c r="B1911" s="2"/>
      <c r="C1911" s="2"/>
      <c r="D1911" s="12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</row>
    <row r="1912">
      <c r="A1912" s="2"/>
      <c r="B1912" s="2"/>
      <c r="C1912" s="2"/>
      <c r="D1912" s="12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</row>
    <row r="1913">
      <c r="A1913" s="2"/>
      <c r="B1913" s="2"/>
      <c r="C1913" s="2"/>
      <c r="D1913" s="12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</row>
    <row r="1914">
      <c r="A1914" s="2"/>
      <c r="B1914" s="2"/>
      <c r="C1914" s="2"/>
      <c r="D1914" s="12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</row>
    <row r="1915">
      <c r="A1915" s="2"/>
      <c r="B1915" s="2"/>
      <c r="C1915" s="2"/>
      <c r="D1915" s="12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</row>
    <row r="1916">
      <c r="A1916" s="2"/>
      <c r="B1916" s="2"/>
      <c r="C1916" s="2"/>
      <c r="D1916" s="12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</row>
    <row r="1917">
      <c r="A1917" s="2"/>
      <c r="B1917" s="2"/>
      <c r="C1917" s="2"/>
      <c r="D1917" s="12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</row>
    <row r="1918">
      <c r="A1918" s="2"/>
      <c r="B1918" s="2"/>
      <c r="C1918" s="2"/>
      <c r="D1918" s="12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</row>
    <row r="1919">
      <c r="A1919" s="2"/>
      <c r="B1919" s="2"/>
      <c r="C1919" s="2"/>
      <c r="D1919" s="12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</row>
    <row r="1920">
      <c r="A1920" s="2"/>
      <c r="B1920" s="2"/>
      <c r="C1920" s="2"/>
      <c r="D1920" s="12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</row>
    <row r="1921">
      <c r="A1921" s="2"/>
      <c r="B1921" s="2"/>
      <c r="C1921" s="2"/>
      <c r="D1921" s="12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</row>
    <row r="1922">
      <c r="A1922" s="2"/>
      <c r="B1922" s="2"/>
      <c r="C1922" s="2"/>
      <c r="D1922" s="12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</row>
    <row r="1923">
      <c r="A1923" s="2"/>
      <c r="B1923" s="2"/>
      <c r="C1923" s="2"/>
      <c r="D1923" s="12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</row>
    <row r="1924">
      <c r="A1924" s="2"/>
      <c r="B1924" s="2"/>
      <c r="C1924" s="2"/>
      <c r="D1924" s="12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</row>
    <row r="1925">
      <c r="A1925" s="2"/>
      <c r="B1925" s="2"/>
      <c r="C1925" s="2"/>
      <c r="D1925" s="12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</row>
    <row r="1926">
      <c r="A1926" s="2"/>
      <c r="B1926" s="2"/>
      <c r="C1926" s="2"/>
      <c r="D1926" s="12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</row>
    <row r="1927">
      <c r="A1927" s="2"/>
      <c r="B1927" s="2"/>
      <c r="C1927" s="2"/>
      <c r="D1927" s="12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</row>
    <row r="1928">
      <c r="A1928" s="2"/>
      <c r="B1928" s="2"/>
      <c r="C1928" s="2"/>
      <c r="D1928" s="12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</row>
    <row r="1929">
      <c r="A1929" s="2"/>
      <c r="B1929" s="2"/>
      <c r="C1929" s="2"/>
      <c r="D1929" s="12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</row>
    <row r="1930">
      <c r="A1930" s="2"/>
      <c r="B1930" s="2"/>
      <c r="C1930" s="2"/>
      <c r="D1930" s="12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</row>
    <row r="1931">
      <c r="A1931" s="2"/>
      <c r="B1931" s="2"/>
      <c r="C1931" s="2"/>
      <c r="D1931" s="12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</row>
    <row r="1932">
      <c r="A1932" s="2"/>
      <c r="B1932" s="2"/>
      <c r="C1932" s="2"/>
      <c r="D1932" s="12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</row>
    <row r="1933">
      <c r="A1933" s="2"/>
      <c r="B1933" s="2"/>
      <c r="C1933" s="2"/>
      <c r="D1933" s="12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</row>
    <row r="1934">
      <c r="A1934" s="2"/>
      <c r="B1934" s="2"/>
      <c r="C1934" s="2"/>
      <c r="D1934" s="12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</row>
    <row r="1935">
      <c r="A1935" s="2"/>
      <c r="B1935" s="2"/>
      <c r="C1935" s="2"/>
      <c r="D1935" s="12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</row>
    <row r="1936">
      <c r="A1936" s="2"/>
      <c r="B1936" s="2"/>
      <c r="C1936" s="2"/>
      <c r="D1936" s="12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</row>
    <row r="1937">
      <c r="A1937" s="2"/>
      <c r="B1937" s="2"/>
      <c r="C1937" s="2"/>
      <c r="D1937" s="12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</row>
    <row r="1938">
      <c r="A1938" s="2"/>
      <c r="B1938" s="2"/>
      <c r="C1938" s="2"/>
      <c r="D1938" s="12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</row>
    <row r="1939">
      <c r="A1939" s="2"/>
      <c r="B1939" s="2"/>
      <c r="C1939" s="2"/>
      <c r="D1939" s="12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</row>
    <row r="1940">
      <c r="A1940" s="2"/>
      <c r="B1940" s="2"/>
      <c r="C1940" s="2"/>
      <c r="D1940" s="12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</row>
    <row r="1941">
      <c r="A1941" s="2"/>
      <c r="B1941" s="2"/>
      <c r="C1941" s="2"/>
      <c r="D1941" s="12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</row>
    <row r="1942">
      <c r="A1942" s="2"/>
      <c r="B1942" s="2"/>
      <c r="C1942" s="2"/>
      <c r="D1942" s="12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</row>
    <row r="1943">
      <c r="A1943" s="2"/>
      <c r="B1943" s="2"/>
      <c r="C1943" s="2"/>
      <c r="D1943" s="12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</row>
    <row r="1944">
      <c r="A1944" s="2"/>
      <c r="B1944" s="2"/>
      <c r="C1944" s="2"/>
      <c r="D1944" s="12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</row>
    <row r="1945">
      <c r="A1945" s="2"/>
      <c r="B1945" s="2"/>
      <c r="C1945" s="2"/>
      <c r="D1945" s="12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</row>
    <row r="1946">
      <c r="A1946" s="2"/>
      <c r="B1946" s="2"/>
      <c r="C1946" s="2"/>
      <c r="D1946" s="12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</row>
    <row r="1947">
      <c r="A1947" s="2"/>
      <c r="B1947" s="2"/>
      <c r="C1947" s="2"/>
      <c r="D1947" s="12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</row>
    <row r="1948">
      <c r="A1948" s="2"/>
      <c r="B1948" s="2"/>
      <c r="C1948" s="2"/>
      <c r="D1948" s="12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</row>
    <row r="1949">
      <c r="A1949" s="2"/>
      <c r="B1949" s="2"/>
      <c r="C1949" s="2"/>
      <c r="D1949" s="12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</row>
    <row r="1950">
      <c r="A1950" s="2"/>
      <c r="B1950" s="2"/>
      <c r="C1950" s="2"/>
      <c r="D1950" s="12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</row>
    <row r="1951">
      <c r="A1951" s="2"/>
      <c r="B1951" s="2"/>
      <c r="C1951" s="2"/>
      <c r="D1951" s="12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</row>
    <row r="1952">
      <c r="A1952" s="2"/>
      <c r="B1952" s="2"/>
      <c r="C1952" s="2"/>
      <c r="D1952" s="12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</row>
    <row r="1953">
      <c r="A1953" s="2"/>
      <c r="B1953" s="2"/>
      <c r="C1953" s="2"/>
      <c r="D1953" s="12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</row>
    <row r="1954">
      <c r="A1954" s="2"/>
      <c r="B1954" s="2"/>
      <c r="C1954" s="2"/>
      <c r="D1954" s="12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</row>
    <row r="1955">
      <c r="A1955" s="2"/>
      <c r="B1955" s="2"/>
      <c r="C1955" s="2"/>
      <c r="D1955" s="12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</row>
    <row r="1956">
      <c r="A1956" s="2"/>
      <c r="B1956" s="2"/>
      <c r="C1956" s="2"/>
      <c r="D1956" s="12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</row>
    <row r="1957">
      <c r="A1957" s="2"/>
      <c r="B1957" s="2"/>
      <c r="C1957" s="2"/>
      <c r="D1957" s="12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</row>
    <row r="1958">
      <c r="A1958" s="2"/>
      <c r="B1958" s="2"/>
      <c r="C1958" s="2"/>
      <c r="D1958" s="12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</row>
    <row r="1959">
      <c r="A1959" s="2"/>
      <c r="B1959" s="2"/>
      <c r="C1959" s="2"/>
      <c r="D1959" s="12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</row>
    <row r="1960">
      <c r="A1960" s="2"/>
      <c r="B1960" s="2"/>
      <c r="C1960" s="2"/>
      <c r="D1960" s="12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</row>
    <row r="1961">
      <c r="A1961" s="2"/>
      <c r="B1961" s="2"/>
      <c r="C1961" s="2"/>
      <c r="D1961" s="12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</row>
    <row r="1962">
      <c r="A1962" s="2"/>
      <c r="B1962" s="2"/>
      <c r="C1962" s="2"/>
      <c r="D1962" s="12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</row>
    <row r="1963">
      <c r="A1963" s="2"/>
      <c r="B1963" s="2"/>
      <c r="C1963" s="2"/>
      <c r="D1963" s="12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</row>
    <row r="1964">
      <c r="A1964" s="2"/>
      <c r="B1964" s="2"/>
      <c r="C1964" s="2"/>
      <c r="D1964" s="12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</row>
    <row r="1965">
      <c r="A1965" s="2"/>
      <c r="B1965" s="2"/>
      <c r="C1965" s="2"/>
      <c r="D1965" s="12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</row>
    <row r="1966">
      <c r="A1966" s="2"/>
      <c r="B1966" s="2"/>
      <c r="C1966" s="2"/>
      <c r="D1966" s="12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</row>
    <row r="1967">
      <c r="A1967" s="2"/>
      <c r="B1967" s="2"/>
      <c r="C1967" s="2"/>
      <c r="D1967" s="12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</row>
    <row r="1968">
      <c r="A1968" s="2"/>
      <c r="B1968" s="2"/>
      <c r="C1968" s="2"/>
      <c r="D1968" s="12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</row>
    <row r="1969">
      <c r="A1969" s="2"/>
      <c r="B1969" s="2"/>
      <c r="C1969" s="2"/>
      <c r="D1969" s="12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</row>
    <row r="1970">
      <c r="A1970" s="2"/>
      <c r="B1970" s="2"/>
      <c r="C1970" s="2"/>
      <c r="D1970" s="12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</row>
    <row r="1971">
      <c r="A1971" s="2"/>
      <c r="B1971" s="2"/>
      <c r="C1971" s="2"/>
      <c r="D1971" s="12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</row>
    <row r="1972">
      <c r="A1972" s="2"/>
      <c r="B1972" s="2"/>
      <c r="C1972" s="2"/>
      <c r="D1972" s="12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</row>
    <row r="1973">
      <c r="A1973" s="2"/>
      <c r="B1973" s="2"/>
      <c r="C1973" s="2"/>
      <c r="D1973" s="12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</row>
    <row r="1974">
      <c r="A1974" s="2"/>
      <c r="B1974" s="2"/>
      <c r="C1974" s="2"/>
      <c r="D1974" s="12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</row>
    <row r="1975">
      <c r="A1975" s="2"/>
      <c r="B1975" s="2"/>
      <c r="C1975" s="2"/>
      <c r="D1975" s="12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</row>
    <row r="1976">
      <c r="A1976" s="2"/>
      <c r="B1976" s="2"/>
      <c r="C1976" s="2"/>
      <c r="D1976" s="12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</row>
    <row r="1977">
      <c r="A1977" s="2"/>
      <c r="B1977" s="2"/>
      <c r="C1977" s="2"/>
      <c r="D1977" s="12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</row>
    <row r="1978">
      <c r="A1978" s="2"/>
      <c r="B1978" s="2"/>
      <c r="C1978" s="2"/>
      <c r="D1978" s="12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</row>
    <row r="1979">
      <c r="A1979" s="2"/>
      <c r="B1979" s="2"/>
      <c r="C1979" s="2"/>
      <c r="D1979" s="12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</row>
    <row r="1980">
      <c r="A1980" s="2"/>
      <c r="B1980" s="2"/>
      <c r="C1980" s="2"/>
      <c r="D1980" s="12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</row>
    <row r="1981">
      <c r="A1981" s="2"/>
      <c r="B1981" s="2"/>
      <c r="C1981" s="2"/>
      <c r="D1981" s="12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</row>
    <row r="1982">
      <c r="A1982" s="2"/>
      <c r="B1982" s="2"/>
      <c r="C1982" s="2"/>
      <c r="D1982" s="12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</row>
    <row r="1983">
      <c r="A1983" s="2"/>
      <c r="B1983" s="2"/>
      <c r="C1983" s="2"/>
      <c r="D1983" s="12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</row>
    <row r="1984">
      <c r="A1984" s="2"/>
      <c r="B1984" s="2"/>
      <c r="C1984" s="2"/>
      <c r="D1984" s="12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</row>
    <row r="1985">
      <c r="A1985" s="2"/>
      <c r="B1985" s="2"/>
      <c r="C1985" s="2"/>
      <c r="D1985" s="12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</row>
    <row r="1986">
      <c r="A1986" s="2"/>
      <c r="B1986" s="2"/>
      <c r="C1986" s="2"/>
      <c r="D1986" s="12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</row>
    <row r="1987">
      <c r="A1987" s="2"/>
      <c r="B1987" s="2"/>
      <c r="C1987" s="2"/>
      <c r="D1987" s="12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</row>
    <row r="1988">
      <c r="A1988" s="2"/>
      <c r="B1988" s="2"/>
      <c r="C1988" s="2"/>
      <c r="D1988" s="12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</row>
    <row r="1989">
      <c r="A1989" s="2"/>
      <c r="B1989" s="2"/>
      <c r="C1989" s="2"/>
      <c r="D1989" s="12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</row>
    <row r="1990">
      <c r="A1990" s="2"/>
      <c r="B1990" s="2"/>
      <c r="C1990" s="2"/>
      <c r="D1990" s="12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</row>
    <row r="1991">
      <c r="A1991" s="2"/>
      <c r="B1991" s="2"/>
      <c r="C1991" s="2"/>
      <c r="D1991" s="12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</row>
    <row r="1992">
      <c r="A1992" s="2"/>
      <c r="B1992" s="2"/>
      <c r="C1992" s="2"/>
      <c r="D1992" s="12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</row>
    <row r="1993">
      <c r="A1993" s="2"/>
      <c r="B1993" s="2"/>
      <c r="C1993" s="2"/>
      <c r="D1993" s="12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</row>
    <row r="1994">
      <c r="A1994" s="2"/>
      <c r="B1994" s="2"/>
      <c r="C1994" s="2"/>
      <c r="D1994" s="12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</row>
    <row r="1995">
      <c r="A1995" s="2"/>
      <c r="B1995" s="2"/>
      <c r="C1995" s="2"/>
      <c r="D1995" s="12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</row>
    <row r="1996">
      <c r="A1996" s="2"/>
      <c r="B1996" s="2"/>
      <c r="C1996" s="2"/>
      <c r="D1996" s="12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</row>
    <row r="1997">
      <c r="A1997" s="2"/>
      <c r="B1997" s="2"/>
      <c r="C1997" s="2"/>
      <c r="D1997" s="12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</row>
    <row r="1998">
      <c r="A1998" s="2"/>
      <c r="B1998" s="2"/>
      <c r="C1998" s="2"/>
      <c r="D1998" s="12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</row>
    <row r="1999">
      <c r="A1999" s="2"/>
      <c r="B1999" s="2"/>
      <c r="C1999" s="2"/>
      <c r="D1999" s="12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</row>
    <row r="2000">
      <c r="A2000" s="2"/>
      <c r="B2000" s="2"/>
      <c r="C2000" s="2"/>
      <c r="D2000" s="12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</row>
    <row r="2001">
      <c r="A2001" s="2"/>
      <c r="B2001" s="2"/>
      <c r="C2001" s="2"/>
      <c r="D2001" s="12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</row>
    <row r="2002">
      <c r="A2002" s="2"/>
      <c r="B2002" s="2"/>
      <c r="C2002" s="2"/>
      <c r="D2002" s="12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</row>
    <row r="2003">
      <c r="A2003" s="2"/>
      <c r="B2003" s="2"/>
      <c r="C2003" s="2"/>
      <c r="D2003" s="12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</row>
    <row r="2004">
      <c r="A2004" s="2"/>
      <c r="B2004" s="2"/>
      <c r="C2004" s="2"/>
      <c r="D2004" s="12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</row>
    <row r="2005">
      <c r="A2005" s="2"/>
      <c r="B2005" s="2"/>
      <c r="C2005" s="2"/>
      <c r="D2005" s="12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</row>
    <row r="2006">
      <c r="A2006" s="2"/>
      <c r="B2006" s="2"/>
      <c r="C2006" s="2"/>
      <c r="D2006" s="12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</row>
    <row r="2007">
      <c r="A2007" s="2"/>
      <c r="B2007" s="2"/>
      <c r="C2007" s="2"/>
      <c r="D2007" s="12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</row>
    <row r="2008">
      <c r="A2008" s="2"/>
      <c r="B2008" s="2"/>
      <c r="C2008" s="2"/>
      <c r="D2008" s="12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</row>
    <row r="2009">
      <c r="A2009" s="2"/>
      <c r="B2009" s="2"/>
      <c r="C2009" s="2"/>
      <c r="D2009" s="12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</row>
    <row r="2010">
      <c r="A2010" s="2"/>
      <c r="B2010" s="2"/>
      <c r="C2010" s="2"/>
      <c r="D2010" s="12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</row>
    <row r="2011">
      <c r="A2011" s="2"/>
      <c r="B2011" s="2"/>
      <c r="C2011" s="2"/>
      <c r="D2011" s="12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</row>
    <row r="2012">
      <c r="A2012" s="2"/>
      <c r="B2012" s="2"/>
      <c r="C2012" s="2"/>
      <c r="D2012" s="12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</row>
    <row r="2013">
      <c r="A2013" s="2"/>
      <c r="B2013" s="2"/>
      <c r="C2013" s="2"/>
      <c r="D2013" s="12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</row>
    <row r="2014">
      <c r="A2014" s="2"/>
      <c r="B2014" s="2"/>
      <c r="C2014" s="2"/>
      <c r="D2014" s="12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</row>
    <row r="2015">
      <c r="A2015" s="2"/>
      <c r="B2015" s="2"/>
      <c r="C2015" s="2"/>
      <c r="D2015" s="12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</row>
    <row r="2016">
      <c r="A2016" s="2"/>
      <c r="B2016" s="2"/>
      <c r="C2016" s="2"/>
      <c r="D2016" s="12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</row>
    <row r="2017">
      <c r="A2017" s="2"/>
      <c r="B2017" s="2"/>
      <c r="C2017" s="2"/>
      <c r="D2017" s="12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</row>
    <row r="2018">
      <c r="A2018" s="2"/>
      <c r="B2018" s="2"/>
      <c r="C2018" s="2"/>
      <c r="D2018" s="12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</row>
    <row r="2019">
      <c r="A2019" s="2"/>
      <c r="B2019" s="2"/>
      <c r="C2019" s="2"/>
      <c r="D2019" s="12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</row>
    <row r="2020">
      <c r="A2020" s="2"/>
      <c r="B2020" s="2"/>
      <c r="C2020" s="2"/>
      <c r="D2020" s="12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</row>
    <row r="2021">
      <c r="A2021" s="2"/>
      <c r="B2021" s="2"/>
      <c r="C2021" s="2"/>
      <c r="D2021" s="12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</row>
    <row r="2022">
      <c r="A2022" s="2"/>
      <c r="B2022" s="2"/>
      <c r="C2022" s="2"/>
      <c r="D2022" s="12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</row>
    <row r="2023">
      <c r="A2023" s="2"/>
      <c r="B2023" s="2"/>
      <c r="C2023" s="2"/>
      <c r="D2023" s="12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</row>
    <row r="2024">
      <c r="A2024" s="2"/>
      <c r="B2024" s="2"/>
      <c r="C2024" s="2"/>
      <c r="D2024" s="12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</row>
    <row r="2025">
      <c r="A2025" s="2"/>
      <c r="B2025" s="2"/>
      <c r="C2025" s="2"/>
      <c r="D2025" s="12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</row>
    <row r="2026">
      <c r="A2026" s="2"/>
      <c r="B2026" s="2"/>
      <c r="C2026" s="2"/>
      <c r="D2026" s="12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</row>
    <row r="2027">
      <c r="A2027" s="2"/>
      <c r="B2027" s="2"/>
      <c r="C2027" s="2"/>
      <c r="D2027" s="12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</row>
    <row r="2028">
      <c r="A2028" s="2"/>
      <c r="B2028" s="2"/>
      <c r="C2028" s="2"/>
      <c r="D2028" s="12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</row>
    <row r="2029">
      <c r="A2029" s="2"/>
      <c r="B2029" s="2"/>
      <c r="C2029" s="2"/>
      <c r="D2029" s="12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</row>
    <row r="2030">
      <c r="A2030" s="2"/>
      <c r="B2030" s="2"/>
      <c r="C2030" s="2"/>
      <c r="D2030" s="12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</row>
    <row r="2031">
      <c r="A2031" s="2"/>
      <c r="B2031" s="2"/>
      <c r="C2031" s="2"/>
      <c r="D2031" s="12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</row>
    <row r="2032">
      <c r="A2032" s="2"/>
      <c r="B2032" s="2"/>
      <c r="C2032" s="2"/>
      <c r="D2032" s="12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</row>
    <row r="2033">
      <c r="A2033" s="2"/>
      <c r="B2033" s="2"/>
      <c r="C2033" s="2"/>
      <c r="D2033" s="12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</row>
    <row r="2034">
      <c r="A2034" s="2"/>
      <c r="B2034" s="2"/>
      <c r="C2034" s="2"/>
      <c r="D2034" s="12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</row>
    <row r="2035">
      <c r="A2035" s="2"/>
      <c r="B2035" s="2"/>
      <c r="C2035" s="2"/>
      <c r="D2035" s="12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</row>
    <row r="2036">
      <c r="A2036" s="2"/>
      <c r="B2036" s="2"/>
      <c r="C2036" s="2"/>
      <c r="D2036" s="12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</row>
    <row r="2037">
      <c r="A2037" s="2"/>
      <c r="B2037" s="2"/>
      <c r="C2037" s="2"/>
      <c r="D2037" s="12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</row>
    <row r="2038">
      <c r="A2038" s="2"/>
      <c r="B2038" s="2"/>
      <c r="C2038" s="2"/>
      <c r="D2038" s="12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</row>
    <row r="2039">
      <c r="A2039" s="2"/>
      <c r="B2039" s="2"/>
      <c r="C2039" s="2"/>
      <c r="D2039" s="12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</row>
    <row r="2040">
      <c r="A2040" s="2"/>
      <c r="B2040" s="2"/>
      <c r="C2040" s="2"/>
      <c r="D2040" s="12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</row>
    <row r="2041">
      <c r="A2041" s="2"/>
      <c r="B2041" s="2"/>
      <c r="C2041" s="2"/>
      <c r="D2041" s="12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</row>
    <row r="2042">
      <c r="A2042" s="2"/>
      <c r="B2042" s="2"/>
      <c r="C2042" s="2"/>
      <c r="D2042" s="12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</row>
    <row r="2043">
      <c r="A2043" s="2"/>
      <c r="B2043" s="2"/>
      <c r="C2043" s="2"/>
      <c r="D2043" s="12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</row>
    <row r="2044">
      <c r="A2044" s="2"/>
      <c r="B2044" s="2"/>
      <c r="C2044" s="2"/>
      <c r="D2044" s="12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</row>
    <row r="2045">
      <c r="A2045" s="2"/>
      <c r="B2045" s="2"/>
      <c r="C2045" s="2"/>
      <c r="D2045" s="12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</row>
    <row r="2046">
      <c r="A2046" s="2"/>
      <c r="B2046" s="2"/>
      <c r="C2046" s="2"/>
      <c r="D2046" s="12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</row>
    <row r="2047">
      <c r="A2047" s="2"/>
      <c r="B2047" s="2"/>
      <c r="C2047" s="2"/>
      <c r="D2047" s="12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</row>
    <row r="2048">
      <c r="A2048" s="2"/>
      <c r="B2048" s="2"/>
      <c r="C2048" s="2"/>
      <c r="D2048" s="12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</row>
    <row r="2049">
      <c r="A2049" s="2"/>
      <c r="B2049" s="2"/>
      <c r="C2049" s="2"/>
      <c r="D2049" s="12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</row>
    <row r="2050">
      <c r="A2050" s="2"/>
      <c r="B2050" s="2"/>
      <c r="C2050" s="2"/>
      <c r="D2050" s="12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</row>
    <row r="2051">
      <c r="A2051" s="2"/>
      <c r="B2051" s="2"/>
      <c r="C2051" s="2"/>
      <c r="D2051" s="12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</row>
    <row r="2052">
      <c r="A2052" s="2"/>
      <c r="B2052" s="2"/>
      <c r="C2052" s="2"/>
      <c r="D2052" s="12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</row>
    <row r="2053">
      <c r="A2053" s="2"/>
      <c r="B2053" s="2"/>
      <c r="C2053" s="2"/>
      <c r="D2053" s="12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</row>
    <row r="2054">
      <c r="A2054" s="2"/>
      <c r="B2054" s="2"/>
      <c r="C2054" s="2"/>
      <c r="D2054" s="12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</row>
    <row r="2055">
      <c r="A2055" s="2"/>
      <c r="B2055" s="2"/>
      <c r="C2055" s="2"/>
      <c r="D2055" s="12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</row>
    <row r="2056">
      <c r="A2056" s="2"/>
      <c r="B2056" s="2"/>
      <c r="C2056" s="2"/>
      <c r="D2056" s="12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</row>
    <row r="2057">
      <c r="A2057" s="2"/>
      <c r="B2057" s="2"/>
      <c r="C2057" s="2"/>
      <c r="D2057" s="12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</row>
    <row r="2058">
      <c r="A2058" s="2"/>
      <c r="B2058" s="2"/>
      <c r="C2058" s="2"/>
      <c r="D2058" s="12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</row>
    <row r="2059">
      <c r="A2059" s="2"/>
      <c r="B2059" s="2"/>
      <c r="C2059" s="2"/>
      <c r="D2059" s="12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</row>
    <row r="2060">
      <c r="A2060" s="2"/>
      <c r="B2060" s="2"/>
      <c r="C2060" s="2"/>
      <c r="D2060" s="12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</row>
    <row r="2061">
      <c r="A2061" s="2"/>
      <c r="B2061" s="2"/>
      <c r="C2061" s="2"/>
      <c r="D2061" s="12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</row>
    <row r="2062">
      <c r="A2062" s="2"/>
      <c r="B2062" s="2"/>
      <c r="C2062" s="2"/>
      <c r="D2062" s="12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</row>
    <row r="2063">
      <c r="A2063" s="2"/>
      <c r="B2063" s="2"/>
      <c r="C2063" s="2"/>
      <c r="D2063" s="12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</row>
    <row r="2064">
      <c r="A2064" s="2"/>
      <c r="B2064" s="2"/>
      <c r="C2064" s="2"/>
      <c r="D2064" s="12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</row>
    <row r="2065">
      <c r="A2065" s="2"/>
      <c r="B2065" s="2"/>
      <c r="C2065" s="2"/>
      <c r="D2065" s="12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</row>
    <row r="2066">
      <c r="A2066" s="2"/>
      <c r="B2066" s="2"/>
      <c r="C2066" s="2"/>
      <c r="D2066" s="12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</row>
    <row r="2067">
      <c r="A2067" s="2"/>
      <c r="B2067" s="2"/>
      <c r="C2067" s="2"/>
      <c r="D2067" s="12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</row>
    <row r="2068">
      <c r="A2068" s="2"/>
      <c r="B2068" s="2"/>
      <c r="C2068" s="2"/>
      <c r="D2068" s="12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</row>
    <row r="2069">
      <c r="A2069" s="2"/>
      <c r="B2069" s="2"/>
      <c r="C2069" s="2"/>
      <c r="D2069" s="12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</row>
    <row r="2070">
      <c r="A2070" s="2"/>
      <c r="B2070" s="2"/>
      <c r="C2070" s="2"/>
      <c r="D2070" s="12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</row>
    <row r="2071">
      <c r="A2071" s="2"/>
      <c r="B2071" s="2"/>
      <c r="C2071" s="2"/>
      <c r="D2071" s="12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</row>
    <row r="2072">
      <c r="A2072" s="2"/>
      <c r="B2072" s="2"/>
      <c r="C2072" s="2"/>
      <c r="D2072" s="12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</row>
    <row r="2073">
      <c r="A2073" s="2"/>
      <c r="B2073" s="2"/>
      <c r="C2073" s="2"/>
      <c r="D2073" s="12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</row>
    <row r="2074">
      <c r="A2074" s="2"/>
      <c r="B2074" s="2"/>
      <c r="C2074" s="2"/>
      <c r="D2074" s="12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</row>
    <row r="2075">
      <c r="A2075" s="2"/>
      <c r="B2075" s="2"/>
      <c r="C2075" s="2"/>
      <c r="D2075" s="12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</row>
    <row r="2076">
      <c r="A2076" s="2"/>
      <c r="B2076" s="2"/>
      <c r="C2076" s="2"/>
      <c r="D2076" s="12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</row>
    <row r="2077">
      <c r="A2077" s="2"/>
      <c r="B2077" s="2"/>
      <c r="C2077" s="2"/>
      <c r="D2077" s="12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</row>
    <row r="2078">
      <c r="A2078" s="2"/>
      <c r="B2078" s="2"/>
      <c r="C2078" s="2"/>
      <c r="D2078" s="12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</row>
    <row r="2079">
      <c r="A2079" s="2"/>
      <c r="B2079" s="2"/>
      <c r="C2079" s="2"/>
      <c r="D2079" s="12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</row>
    <row r="2080">
      <c r="A2080" s="2"/>
      <c r="B2080" s="2"/>
      <c r="C2080" s="2"/>
      <c r="D2080" s="12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</row>
    <row r="2081">
      <c r="A2081" s="2"/>
      <c r="B2081" s="2"/>
      <c r="C2081" s="2"/>
      <c r="D2081" s="12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</row>
    <row r="2082">
      <c r="A2082" s="2"/>
      <c r="B2082" s="2"/>
      <c r="C2082" s="2"/>
      <c r="D2082" s="12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</row>
    <row r="2083">
      <c r="A2083" s="2"/>
      <c r="B2083" s="2"/>
      <c r="C2083" s="2"/>
      <c r="D2083" s="12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</row>
    <row r="2084">
      <c r="A2084" s="2"/>
      <c r="B2084" s="2"/>
      <c r="C2084" s="2"/>
      <c r="D2084" s="12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</row>
    <row r="2085">
      <c r="A2085" s="2"/>
      <c r="B2085" s="2"/>
      <c r="C2085" s="2"/>
      <c r="D2085" s="12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</row>
    <row r="2086">
      <c r="A2086" s="2"/>
      <c r="B2086" s="2"/>
      <c r="C2086" s="2"/>
      <c r="D2086" s="12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</row>
    <row r="2087">
      <c r="A2087" s="2"/>
      <c r="B2087" s="2"/>
      <c r="C2087" s="2"/>
      <c r="D2087" s="12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</row>
    <row r="2088">
      <c r="A2088" s="2"/>
      <c r="B2088" s="2"/>
      <c r="C2088" s="2"/>
      <c r="D2088" s="12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</row>
    <row r="2089">
      <c r="A2089" s="2"/>
      <c r="B2089" s="2"/>
      <c r="C2089" s="2"/>
      <c r="D2089" s="12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</row>
    <row r="2090">
      <c r="A2090" s="2"/>
      <c r="B2090" s="2"/>
      <c r="C2090" s="2"/>
      <c r="D2090" s="12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</row>
    <row r="2091">
      <c r="A2091" s="2"/>
      <c r="B2091" s="2"/>
      <c r="C2091" s="2"/>
      <c r="D2091" s="12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</row>
    <row r="2092">
      <c r="A2092" s="2"/>
      <c r="B2092" s="2"/>
      <c r="C2092" s="2"/>
      <c r="D2092" s="12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</row>
    <row r="2093">
      <c r="A2093" s="2"/>
      <c r="B2093" s="2"/>
      <c r="C2093" s="2"/>
      <c r="D2093" s="12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</row>
    <row r="2094">
      <c r="A2094" s="2"/>
      <c r="B2094" s="2"/>
      <c r="C2094" s="2"/>
      <c r="D2094" s="12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</row>
    <row r="2095">
      <c r="A2095" s="2"/>
      <c r="B2095" s="2"/>
      <c r="C2095" s="2"/>
      <c r="D2095" s="12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</row>
    <row r="2096">
      <c r="A2096" s="2"/>
      <c r="B2096" s="2"/>
      <c r="C2096" s="2"/>
      <c r="D2096" s="12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</row>
    <row r="2097">
      <c r="A2097" s="2"/>
      <c r="B2097" s="2"/>
      <c r="C2097" s="2"/>
      <c r="D2097" s="12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</row>
    <row r="2098">
      <c r="A2098" s="2"/>
      <c r="B2098" s="2"/>
      <c r="C2098" s="2"/>
      <c r="D2098" s="12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</row>
    <row r="2099">
      <c r="A2099" s="2"/>
      <c r="B2099" s="2"/>
      <c r="C2099" s="2"/>
      <c r="D2099" s="12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</row>
    <row r="2100">
      <c r="A2100" s="2"/>
      <c r="B2100" s="2"/>
      <c r="C2100" s="2"/>
      <c r="D2100" s="12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</row>
    <row r="2101">
      <c r="A2101" s="2"/>
      <c r="B2101" s="2"/>
      <c r="C2101" s="2"/>
      <c r="D2101" s="12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</row>
    <row r="2102">
      <c r="A2102" s="2"/>
      <c r="B2102" s="2"/>
      <c r="C2102" s="2"/>
      <c r="D2102" s="12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</row>
    <row r="2103">
      <c r="A2103" s="2"/>
      <c r="B2103" s="2"/>
      <c r="C2103" s="2"/>
      <c r="D2103" s="12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</row>
    <row r="2104">
      <c r="A2104" s="2"/>
      <c r="B2104" s="2"/>
      <c r="C2104" s="2"/>
      <c r="D2104" s="12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</row>
    <row r="2105">
      <c r="A2105" s="2"/>
      <c r="B2105" s="2"/>
      <c r="C2105" s="2"/>
      <c r="D2105" s="12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</row>
    <row r="2106">
      <c r="A2106" s="2"/>
      <c r="B2106" s="2"/>
      <c r="C2106" s="2"/>
      <c r="D2106" s="12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</row>
    <row r="2107">
      <c r="A2107" s="2"/>
      <c r="B2107" s="2"/>
      <c r="C2107" s="2"/>
      <c r="D2107" s="12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</row>
    <row r="2108">
      <c r="A2108" s="2"/>
      <c r="B2108" s="2"/>
      <c r="C2108" s="2"/>
      <c r="D2108" s="12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</row>
    <row r="2109">
      <c r="A2109" s="2"/>
      <c r="B2109" s="2"/>
      <c r="C2109" s="2"/>
      <c r="D2109" s="12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</row>
    <row r="2110">
      <c r="A2110" s="2"/>
      <c r="B2110" s="2"/>
      <c r="C2110" s="2"/>
      <c r="D2110" s="12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</row>
    <row r="2111">
      <c r="A2111" s="2"/>
      <c r="B2111" s="2"/>
      <c r="C2111" s="2"/>
      <c r="D2111" s="12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</row>
    <row r="2112">
      <c r="A2112" s="2"/>
      <c r="B2112" s="2"/>
      <c r="C2112" s="2"/>
      <c r="D2112" s="12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</row>
    <row r="2113">
      <c r="A2113" s="2"/>
      <c r="B2113" s="2"/>
      <c r="C2113" s="2"/>
      <c r="D2113" s="12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</row>
    <row r="2114">
      <c r="A2114" s="2"/>
      <c r="B2114" s="2"/>
      <c r="C2114" s="2"/>
      <c r="D2114" s="12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</row>
    <row r="2115">
      <c r="A2115" s="2"/>
      <c r="B2115" s="2"/>
      <c r="C2115" s="2"/>
      <c r="D2115" s="12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</row>
    <row r="2116">
      <c r="A2116" s="2"/>
      <c r="B2116" s="2"/>
      <c r="C2116" s="2"/>
      <c r="D2116" s="12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</row>
    <row r="2117">
      <c r="A2117" s="2"/>
      <c r="B2117" s="2"/>
      <c r="C2117" s="2"/>
      <c r="D2117" s="12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</row>
    <row r="2118">
      <c r="A2118" s="2"/>
      <c r="B2118" s="2"/>
      <c r="C2118" s="2"/>
      <c r="D2118" s="12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</row>
    <row r="2119">
      <c r="A2119" s="2"/>
      <c r="B2119" s="2"/>
      <c r="C2119" s="2"/>
      <c r="D2119" s="12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</row>
    <row r="2120">
      <c r="A2120" s="2"/>
      <c r="B2120" s="2"/>
      <c r="C2120" s="2"/>
      <c r="D2120" s="12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</row>
    <row r="2121">
      <c r="A2121" s="2"/>
      <c r="B2121" s="2"/>
      <c r="C2121" s="2"/>
      <c r="D2121" s="12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</row>
    <row r="2122">
      <c r="A2122" s="2"/>
      <c r="B2122" s="2"/>
      <c r="C2122" s="2"/>
      <c r="D2122" s="12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</row>
    <row r="2123">
      <c r="A2123" s="2"/>
      <c r="B2123" s="2"/>
      <c r="C2123" s="2"/>
      <c r="D2123" s="12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</row>
    <row r="2124">
      <c r="A2124" s="2"/>
      <c r="B2124" s="2"/>
      <c r="C2124" s="2"/>
      <c r="D2124" s="12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</row>
    <row r="2125">
      <c r="A2125" s="2"/>
      <c r="B2125" s="2"/>
      <c r="C2125" s="2"/>
      <c r="D2125" s="12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</row>
    <row r="2126">
      <c r="A2126" s="2"/>
      <c r="B2126" s="2"/>
      <c r="C2126" s="2"/>
      <c r="D2126" s="12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</row>
    <row r="2127">
      <c r="A2127" s="2"/>
      <c r="B2127" s="2"/>
      <c r="C2127" s="2"/>
      <c r="D2127" s="12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</row>
    <row r="2128">
      <c r="A2128" s="2"/>
      <c r="B2128" s="2"/>
      <c r="C2128" s="2"/>
      <c r="D2128" s="12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</row>
    <row r="2129">
      <c r="A2129" s="2"/>
      <c r="B2129" s="2"/>
      <c r="C2129" s="2"/>
      <c r="D2129" s="12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</row>
    <row r="2130">
      <c r="A2130" s="2"/>
      <c r="B2130" s="2"/>
      <c r="C2130" s="2"/>
      <c r="D2130" s="12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</row>
    <row r="2131">
      <c r="A2131" s="2"/>
      <c r="B2131" s="2"/>
      <c r="C2131" s="2"/>
      <c r="D2131" s="12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</row>
    <row r="2132">
      <c r="A2132" s="2"/>
      <c r="B2132" s="2"/>
      <c r="C2132" s="2"/>
      <c r="D2132" s="12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</row>
    <row r="2133">
      <c r="A2133" s="2"/>
      <c r="B2133" s="2"/>
      <c r="C2133" s="2"/>
      <c r="D2133" s="12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</row>
    <row r="2134">
      <c r="A2134" s="2"/>
      <c r="B2134" s="2"/>
      <c r="C2134" s="2"/>
      <c r="D2134" s="12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</row>
    <row r="2135">
      <c r="A2135" s="2"/>
      <c r="B2135" s="2"/>
      <c r="C2135" s="2"/>
      <c r="D2135" s="12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</row>
    <row r="2136">
      <c r="A2136" s="2"/>
      <c r="B2136" s="2"/>
      <c r="C2136" s="2"/>
      <c r="D2136" s="12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</row>
    <row r="2137">
      <c r="A2137" s="2"/>
      <c r="B2137" s="2"/>
      <c r="C2137" s="2"/>
      <c r="D2137" s="12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</row>
    <row r="2138">
      <c r="A2138" s="2"/>
      <c r="B2138" s="2"/>
      <c r="C2138" s="2"/>
      <c r="D2138" s="12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</row>
    <row r="2139">
      <c r="A2139" s="2"/>
      <c r="B2139" s="2"/>
      <c r="C2139" s="2"/>
      <c r="D2139" s="12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</row>
    <row r="2140">
      <c r="A2140" s="2"/>
      <c r="B2140" s="2"/>
      <c r="C2140" s="2"/>
      <c r="D2140" s="12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</row>
    <row r="2141">
      <c r="A2141" s="2"/>
      <c r="B2141" s="2"/>
      <c r="C2141" s="2"/>
      <c r="D2141" s="12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</row>
    <row r="2142">
      <c r="A2142" s="2"/>
      <c r="B2142" s="2"/>
      <c r="C2142" s="2"/>
      <c r="D2142" s="12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</row>
    <row r="2143">
      <c r="A2143" s="2"/>
      <c r="B2143" s="2"/>
      <c r="C2143" s="2"/>
      <c r="D2143" s="12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</row>
    <row r="2144">
      <c r="A2144" s="2"/>
      <c r="B2144" s="2"/>
      <c r="C2144" s="2"/>
      <c r="D2144" s="12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</row>
    <row r="2145">
      <c r="A2145" s="2"/>
      <c r="B2145" s="2"/>
      <c r="C2145" s="2"/>
      <c r="D2145" s="12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</row>
    <row r="2146">
      <c r="A2146" s="2"/>
      <c r="B2146" s="2"/>
      <c r="C2146" s="2"/>
      <c r="D2146" s="12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</row>
    <row r="2147">
      <c r="A2147" s="2"/>
      <c r="B2147" s="2"/>
      <c r="C2147" s="2"/>
      <c r="D2147" s="12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</row>
    <row r="2148">
      <c r="A2148" s="2"/>
      <c r="B2148" s="2"/>
      <c r="C2148" s="2"/>
      <c r="D2148" s="12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</row>
    <row r="2149">
      <c r="A2149" s="2"/>
      <c r="B2149" s="2"/>
      <c r="C2149" s="2"/>
      <c r="D2149" s="12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</row>
    <row r="2150">
      <c r="A2150" s="2"/>
      <c r="B2150" s="2"/>
      <c r="C2150" s="2"/>
      <c r="D2150" s="12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</row>
    <row r="2151">
      <c r="A2151" s="2"/>
      <c r="B2151" s="2"/>
      <c r="C2151" s="2"/>
      <c r="D2151" s="12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</row>
    <row r="2152">
      <c r="A2152" s="2"/>
      <c r="B2152" s="2"/>
      <c r="C2152" s="2"/>
      <c r="D2152" s="12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</row>
    <row r="2153">
      <c r="A2153" s="2"/>
      <c r="B2153" s="2"/>
      <c r="C2153" s="2"/>
      <c r="D2153" s="12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</row>
    <row r="2154">
      <c r="A2154" s="2"/>
      <c r="B2154" s="2"/>
      <c r="C2154" s="2"/>
      <c r="D2154" s="12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</row>
    <row r="2155">
      <c r="A2155" s="2"/>
      <c r="B2155" s="2"/>
      <c r="C2155" s="2"/>
      <c r="D2155" s="12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</row>
    <row r="2156">
      <c r="A2156" s="2"/>
      <c r="B2156" s="2"/>
      <c r="C2156" s="2"/>
      <c r="D2156" s="12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</row>
    <row r="2157">
      <c r="A2157" s="2"/>
      <c r="B2157" s="2"/>
      <c r="C2157" s="2"/>
      <c r="D2157" s="12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</row>
    <row r="2158">
      <c r="A2158" s="2"/>
      <c r="B2158" s="2"/>
      <c r="C2158" s="2"/>
      <c r="D2158" s="12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</row>
    <row r="2159">
      <c r="A2159" s="2"/>
      <c r="B2159" s="2"/>
      <c r="C2159" s="2"/>
      <c r="D2159" s="12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</row>
    <row r="2160">
      <c r="A2160" s="2"/>
      <c r="B2160" s="2"/>
      <c r="C2160" s="2"/>
      <c r="D2160" s="12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</row>
    <row r="2161">
      <c r="A2161" s="2"/>
      <c r="B2161" s="2"/>
      <c r="C2161" s="2"/>
      <c r="D2161" s="12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</row>
    <row r="2162">
      <c r="A2162" s="2"/>
      <c r="B2162" s="2"/>
      <c r="C2162" s="2"/>
      <c r="D2162" s="12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</row>
    <row r="2163">
      <c r="A2163" s="2"/>
      <c r="B2163" s="2"/>
      <c r="C2163" s="2"/>
      <c r="D2163" s="12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</row>
    <row r="2164">
      <c r="A2164" s="2"/>
      <c r="B2164" s="2"/>
      <c r="C2164" s="2"/>
      <c r="D2164" s="12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</row>
    <row r="2165">
      <c r="A2165" s="2"/>
      <c r="B2165" s="2"/>
      <c r="C2165" s="2"/>
      <c r="D2165" s="12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</row>
    <row r="2166">
      <c r="A2166" s="2"/>
      <c r="B2166" s="2"/>
      <c r="C2166" s="2"/>
      <c r="D2166" s="12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</row>
    <row r="2167">
      <c r="A2167" s="2"/>
      <c r="B2167" s="2"/>
      <c r="C2167" s="2"/>
      <c r="D2167" s="12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</row>
    <row r="2168">
      <c r="A2168" s="2"/>
      <c r="B2168" s="2"/>
      <c r="C2168" s="2"/>
      <c r="D2168" s="12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</row>
    <row r="2169">
      <c r="A2169" s="2"/>
      <c r="B2169" s="2"/>
      <c r="C2169" s="2"/>
      <c r="D2169" s="12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</row>
    <row r="2170">
      <c r="A2170" s="2"/>
      <c r="B2170" s="2"/>
      <c r="C2170" s="2"/>
      <c r="D2170" s="12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</row>
    <row r="2171">
      <c r="A2171" s="2"/>
      <c r="B2171" s="2"/>
      <c r="C2171" s="2"/>
      <c r="D2171" s="12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</row>
    <row r="2172">
      <c r="A2172" s="2"/>
      <c r="B2172" s="2"/>
      <c r="C2172" s="2"/>
      <c r="D2172" s="12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</row>
    <row r="2173">
      <c r="A2173" s="2"/>
      <c r="B2173" s="2"/>
      <c r="C2173" s="2"/>
      <c r="D2173" s="12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</row>
    <row r="2174">
      <c r="A2174" s="2"/>
      <c r="B2174" s="2"/>
      <c r="C2174" s="2"/>
      <c r="D2174" s="12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</row>
    <row r="2175">
      <c r="A2175" s="2"/>
      <c r="B2175" s="2"/>
      <c r="C2175" s="2"/>
      <c r="D2175" s="12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</row>
    <row r="2176">
      <c r="A2176" s="2"/>
      <c r="B2176" s="2"/>
      <c r="C2176" s="2"/>
      <c r="D2176" s="12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</row>
    <row r="2177">
      <c r="A2177" s="2"/>
      <c r="B2177" s="2"/>
      <c r="C2177" s="2"/>
      <c r="D2177" s="12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</row>
    <row r="2178">
      <c r="A2178" s="2"/>
      <c r="B2178" s="2"/>
      <c r="C2178" s="2"/>
      <c r="D2178" s="12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</row>
    <row r="2179">
      <c r="A2179" s="2"/>
      <c r="B2179" s="2"/>
      <c r="C2179" s="2"/>
      <c r="D2179" s="12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</row>
    <row r="2180">
      <c r="A2180" s="2"/>
      <c r="B2180" s="2"/>
      <c r="C2180" s="2"/>
      <c r="D2180" s="12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</row>
    <row r="2181">
      <c r="A2181" s="2"/>
      <c r="B2181" s="2"/>
      <c r="C2181" s="2"/>
      <c r="D2181" s="12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</row>
    <row r="2182">
      <c r="A2182" s="2"/>
      <c r="B2182" s="2"/>
      <c r="C2182" s="2"/>
      <c r="D2182" s="12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</row>
    <row r="2183">
      <c r="A2183" s="2"/>
      <c r="B2183" s="2"/>
      <c r="C2183" s="2"/>
      <c r="D2183" s="12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</row>
    <row r="2184">
      <c r="A2184" s="2"/>
      <c r="B2184" s="2"/>
      <c r="C2184" s="2"/>
      <c r="D2184" s="12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</row>
    <row r="2185">
      <c r="A2185" s="2"/>
      <c r="B2185" s="2"/>
      <c r="C2185" s="2"/>
      <c r="D2185" s="12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</row>
    <row r="2186">
      <c r="A2186" s="2"/>
      <c r="B2186" s="2"/>
      <c r="C2186" s="2"/>
      <c r="D2186" s="12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</row>
    <row r="2187">
      <c r="A2187" s="2"/>
      <c r="B2187" s="2"/>
      <c r="C2187" s="2"/>
      <c r="D2187" s="12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</row>
    <row r="2188">
      <c r="A2188" s="2"/>
      <c r="B2188" s="2"/>
      <c r="C2188" s="2"/>
      <c r="D2188" s="12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</row>
    <row r="2189">
      <c r="A2189" s="2"/>
      <c r="B2189" s="2"/>
      <c r="C2189" s="2"/>
      <c r="D2189" s="12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</row>
    <row r="2190">
      <c r="A2190" s="2"/>
      <c r="B2190" s="2"/>
      <c r="C2190" s="2"/>
      <c r="D2190" s="12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</row>
    <row r="2191">
      <c r="A2191" s="2"/>
      <c r="B2191" s="2"/>
      <c r="C2191" s="2"/>
      <c r="D2191" s="12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</row>
    <row r="2192">
      <c r="A2192" s="2"/>
      <c r="B2192" s="2"/>
      <c r="C2192" s="2"/>
      <c r="D2192" s="12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</row>
    <row r="2193">
      <c r="A2193" s="2"/>
      <c r="B2193" s="2"/>
      <c r="C2193" s="2"/>
      <c r="D2193" s="12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</row>
    <row r="2194">
      <c r="A2194" s="2"/>
      <c r="B2194" s="2"/>
      <c r="C2194" s="2"/>
      <c r="D2194" s="12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</row>
    <row r="2195">
      <c r="A2195" s="2"/>
      <c r="B2195" s="2"/>
      <c r="C2195" s="2"/>
      <c r="D2195" s="12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</row>
    <row r="2196">
      <c r="A2196" s="2"/>
      <c r="B2196" s="2"/>
      <c r="C2196" s="2"/>
      <c r="D2196" s="12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</row>
    <row r="2197">
      <c r="A2197" s="2"/>
      <c r="B2197" s="2"/>
      <c r="C2197" s="2"/>
      <c r="D2197" s="12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</row>
    <row r="2198">
      <c r="A2198" s="2"/>
      <c r="B2198" s="2"/>
      <c r="C2198" s="2"/>
      <c r="D2198" s="12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</row>
    <row r="2199">
      <c r="A2199" s="2"/>
      <c r="B2199" s="2"/>
      <c r="C2199" s="2"/>
      <c r="D2199" s="12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</row>
    <row r="2200">
      <c r="A2200" s="2"/>
      <c r="B2200" s="2"/>
      <c r="C2200" s="2"/>
      <c r="D2200" s="12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</row>
    <row r="2201">
      <c r="A2201" s="2"/>
      <c r="B2201" s="2"/>
      <c r="C2201" s="2"/>
      <c r="D2201" s="12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</row>
    <row r="2202">
      <c r="A2202" s="2"/>
      <c r="B2202" s="2"/>
      <c r="C2202" s="2"/>
      <c r="D2202" s="12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</row>
    <row r="2203">
      <c r="A2203" s="2"/>
      <c r="B2203" s="2"/>
      <c r="C2203" s="2"/>
      <c r="D2203" s="12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</row>
    <row r="2204">
      <c r="A2204" s="2"/>
      <c r="B2204" s="2"/>
      <c r="C2204" s="2"/>
      <c r="D2204" s="12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</row>
    <row r="2205">
      <c r="A2205" s="2"/>
      <c r="B2205" s="2"/>
      <c r="C2205" s="2"/>
      <c r="D2205" s="12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</row>
    <row r="2206">
      <c r="A2206" s="2"/>
      <c r="B2206" s="2"/>
      <c r="C2206" s="2"/>
      <c r="D2206" s="12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</row>
    <row r="2207">
      <c r="A2207" s="2"/>
      <c r="B2207" s="2"/>
      <c r="C2207" s="2"/>
      <c r="D2207" s="12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</row>
    <row r="2208">
      <c r="A2208" s="2"/>
      <c r="B2208" s="2"/>
      <c r="C2208" s="2"/>
      <c r="D2208" s="12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</row>
    <row r="2209">
      <c r="A2209" s="2"/>
      <c r="B2209" s="2"/>
      <c r="C2209" s="2"/>
      <c r="D2209" s="12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</row>
    <row r="2210">
      <c r="A2210" s="2"/>
      <c r="B2210" s="2"/>
      <c r="C2210" s="2"/>
      <c r="D2210" s="12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</row>
    <row r="2211">
      <c r="A2211" s="2"/>
      <c r="B2211" s="2"/>
      <c r="C2211" s="2"/>
      <c r="D2211" s="12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</row>
    <row r="2212">
      <c r="A2212" s="2"/>
      <c r="B2212" s="2"/>
      <c r="C2212" s="2"/>
      <c r="D2212" s="12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</row>
    <row r="2213">
      <c r="A2213" s="2"/>
      <c r="B2213" s="2"/>
      <c r="C2213" s="2"/>
      <c r="D2213" s="12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</row>
    <row r="2214">
      <c r="A2214" s="2"/>
      <c r="B2214" s="2"/>
      <c r="C2214" s="2"/>
      <c r="D2214" s="12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</row>
    <row r="2215">
      <c r="A2215" s="2"/>
      <c r="B2215" s="2"/>
      <c r="C2215" s="2"/>
      <c r="D2215" s="12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</row>
    <row r="2216">
      <c r="A2216" s="2"/>
      <c r="B2216" s="2"/>
      <c r="C2216" s="2"/>
      <c r="D2216" s="12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</row>
    <row r="2217">
      <c r="A2217" s="2"/>
      <c r="B2217" s="2"/>
      <c r="C2217" s="2"/>
      <c r="D2217" s="12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</row>
    <row r="2218">
      <c r="A2218" s="2"/>
      <c r="B2218" s="2"/>
      <c r="C2218" s="2"/>
      <c r="D2218" s="12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</row>
    <row r="2219">
      <c r="A2219" s="2"/>
      <c r="B2219" s="2"/>
      <c r="C2219" s="2"/>
      <c r="D2219" s="12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</row>
    <row r="2220">
      <c r="A2220" s="2"/>
      <c r="B2220" s="2"/>
      <c r="C2220" s="2"/>
      <c r="D2220" s="12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</row>
    <row r="2221">
      <c r="A2221" s="2"/>
      <c r="B2221" s="2"/>
      <c r="C2221" s="2"/>
      <c r="D2221" s="12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</row>
    <row r="2222">
      <c r="A2222" s="2"/>
      <c r="B2222" s="2"/>
      <c r="C2222" s="2"/>
      <c r="D2222" s="12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</row>
    <row r="2223">
      <c r="A2223" s="2"/>
      <c r="B2223" s="2"/>
      <c r="C2223" s="2"/>
      <c r="D2223" s="12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</row>
    <row r="2224">
      <c r="A2224" s="2"/>
      <c r="B2224" s="2"/>
      <c r="C2224" s="2"/>
      <c r="D2224" s="12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</row>
    <row r="2225">
      <c r="A2225" s="2"/>
      <c r="B2225" s="2"/>
      <c r="C2225" s="2"/>
      <c r="D2225" s="12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</row>
    <row r="2226">
      <c r="A2226" s="2"/>
      <c r="B2226" s="2"/>
      <c r="C2226" s="2"/>
      <c r="D2226" s="12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</row>
    <row r="2227">
      <c r="A2227" s="2"/>
      <c r="B2227" s="2"/>
      <c r="C2227" s="2"/>
      <c r="D2227" s="12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</row>
    <row r="2228">
      <c r="A2228" s="2"/>
      <c r="B2228" s="2"/>
      <c r="C2228" s="2"/>
      <c r="D2228" s="12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</row>
    <row r="2229">
      <c r="A2229" s="2"/>
      <c r="B2229" s="2"/>
      <c r="C2229" s="2"/>
      <c r="D2229" s="12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</row>
    <row r="2230">
      <c r="A2230" s="2"/>
      <c r="B2230" s="2"/>
      <c r="C2230" s="2"/>
      <c r="D2230" s="12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</row>
    <row r="2231">
      <c r="A2231" s="2"/>
      <c r="B2231" s="2"/>
      <c r="C2231" s="2"/>
      <c r="D2231" s="12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</row>
    <row r="2232">
      <c r="A2232" s="2"/>
      <c r="B2232" s="2"/>
      <c r="C2232" s="2"/>
      <c r="D2232" s="12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</row>
    <row r="2233">
      <c r="A2233" s="2"/>
      <c r="B2233" s="2"/>
      <c r="C2233" s="2"/>
      <c r="D2233" s="12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</row>
    <row r="2234">
      <c r="A2234" s="2"/>
      <c r="B2234" s="2"/>
      <c r="C2234" s="2"/>
      <c r="D2234" s="12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</row>
    <row r="2235">
      <c r="A2235" s="2"/>
      <c r="B2235" s="2"/>
      <c r="C2235" s="2"/>
      <c r="D2235" s="12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</row>
    <row r="2236">
      <c r="A2236" s="2"/>
      <c r="B2236" s="2"/>
      <c r="C2236" s="2"/>
      <c r="D2236" s="12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</row>
    <row r="2237">
      <c r="A2237" s="2"/>
      <c r="B2237" s="2"/>
      <c r="C2237" s="2"/>
      <c r="D2237" s="12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</row>
    <row r="2238">
      <c r="A2238" s="2"/>
      <c r="B2238" s="2"/>
      <c r="C2238" s="2"/>
      <c r="D2238" s="12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</row>
    <row r="2239">
      <c r="A2239" s="2"/>
      <c r="B2239" s="2"/>
      <c r="C2239" s="2"/>
      <c r="D2239" s="12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</row>
    <row r="2240">
      <c r="A2240" s="2"/>
      <c r="B2240" s="2"/>
      <c r="C2240" s="2"/>
      <c r="D2240" s="12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</row>
    <row r="2241">
      <c r="A2241" s="2"/>
      <c r="B2241" s="2"/>
      <c r="C2241" s="2"/>
      <c r="D2241" s="12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</row>
    <row r="2242">
      <c r="A2242" s="2"/>
      <c r="B2242" s="2"/>
      <c r="C2242" s="2"/>
      <c r="D2242" s="12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</row>
    <row r="2243">
      <c r="A2243" s="2"/>
      <c r="B2243" s="2"/>
      <c r="C2243" s="2"/>
      <c r="D2243" s="12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</row>
    <row r="2244">
      <c r="A2244" s="2"/>
      <c r="B2244" s="2"/>
      <c r="C2244" s="2"/>
      <c r="D2244" s="12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</row>
    <row r="2245">
      <c r="A2245" s="2"/>
      <c r="B2245" s="2"/>
      <c r="C2245" s="2"/>
      <c r="D2245" s="12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</row>
    <row r="2246">
      <c r="A2246" s="2"/>
      <c r="B2246" s="2"/>
      <c r="C2246" s="2"/>
      <c r="D2246" s="12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</row>
    <row r="2247">
      <c r="A2247" s="2"/>
      <c r="B2247" s="2"/>
      <c r="C2247" s="2"/>
      <c r="D2247" s="12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</row>
    <row r="2248">
      <c r="A2248" s="2"/>
      <c r="B2248" s="2"/>
      <c r="C2248" s="2"/>
      <c r="D2248" s="12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</row>
    <row r="2249">
      <c r="A2249" s="2"/>
      <c r="B2249" s="2"/>
      <c r="C2249" s="2"/>
      <c r="D2249" s="12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</row>
    <row r="2250">
      <c r="A2250" s="2"/>
      <c r="B2250" s="2"/>
      <c r="C2250" s="2"/>
      <c r="D2250" s="12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</row>
    <row r="2251">
      <c r="A2251" s="2"/>
      <c r="B2251" s="2"/>
      <c r="C2251" s="2"/>
      <c r="D2251" s="12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</row>
    <row r="2252">
      <c r="A2252" s="2"/>
      <c r="B2252" s="2"/>
      <c r="C2252" s="2"/>
      <c r="D2252" s="12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</row>
    <row r="2253">
      <c r="A2253" s="2"/>
      <c r="B2253" s="2"/>
      <c r="C2253" s="2"/>
      <c r="D2253" s="12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</row>
    <row r="2254">
      <c r="A2254" s="2"/>
      <c r="B2254" s="2"/>
      <c r="C2254" s="2"/>
      <c r="D2254" s="12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</row>
    <row r="2255">
      <c r="A2255" s="2"/>
      <c r="B2255" s="2"/>
      <c r="C2255" s="2"/>
      <c r="D2255" s="12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</row>
    <row r="2256">
      <c r="A2256" s="2"/>
      <c r="B2256" s="2"/>
      <c r="C2256" s="2"/>
      <c r="D2256" s="12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</row>
    <row r="2257">
      <c r="A2257" s="2"/>
      <c r="B2257" s="2"/>
      <c r="C2257" s="2"/>
      <c r="D2257" s="12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</row>
    <row r="2258">
      <c r="A2258" s="2"/>
      <c r="B2258" s="2"/>
      <c r="C2258" s="2"/>
      <c r="D2258" s="12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</row>
    <row r="2259">
      <c r="A2259" s="2"/>
      <c r="B2259" s="2"/>
      <c r="C2259" s="2"/>
      <c r="D2259" s="12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</row>
    <row r="2260">
      <c r="A2260" s="2"/>
      <c r="B2260" s="2"/>
      <c r="C2260" s="2"/>
      <c r="D2260" s="12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</row>
    <row r="2261">
      <c r="A2261" s="2"/>
      <c r="B2261" s="2"/>
      <c r="C2261" s="2"/>
      <c r="D2261" s="12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</row>
    <row r="2262">
      <c r="A2262" s="2"/>
      <c r="B2262" s="2"/>
      <c r="C2262" s="2"/>
      <c r="D2262" s="12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</row>
    <row r="2263">
      <c r="A2263" s="2"/>
      <c r="B2263" s="2"/>
      <c r="C2263" s="2"/>
      <c r="D2263" s="12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</row>
    <row r="2264">
      <c r="A2264" s="2"/>
      <c r="B2264" s="2"/>
      <c r="C2264" s="2"/>
      <c r="D2264" s="12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</row>
    <row r="2265">
      <c r="A2265" s="2"/>
      <c r="B2265" s="2"/>
      <c r="C2265" s="2"/>
      <c r="D2265" s="12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</row>
    <row r="2266">
      <c r="A2266" s="2"/>
      <c r="B2266" s="2"/>
      <c r="C2266" s="2"/>
      <c r="D2266" s="12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</row>
    <row r="2267">
      <c r="A2267" s="2"/>
      <c r="B2267" s="2"/>
      <c r="C2267" s="2"/>
      <c r="D2267" s="12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</row>
    <row r="2268">
      <c r="A2268" s="2"/>
      <c r="B2268" s="2"/>
      <c r="C2268" s="2"/>
      <c r="D2268" s="12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</row>
    <row r="2269">
      <c r="A2269" s="2"/>
      <c r="B2269" s="2"/>
      <c r="C2269" s="2"/>
      <c r="D2269" s="12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</row>
    <row r="2270">
      <c r="A2270" s="2"/>
      <c r="B2270" s="2"/>
      <c r="C2270" s="2"/>
      <c r="D2270" s="12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</row>
    <row r="2271">
      <c r="A2271" s="2"/>
      <c r="B2271" s="2"/>
      <c r="C2271" s="2"/>
      <c r="D2271" s="12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</row>
    <row r="2272">
      <c r="A2272" s="2"/>
      <c r="B2272" s="2"/>
      <c r="C2272" s="2"/>
      <c r="D2272" s="12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</row>
    <row r="2273">
      <c r="A2273" s="2"/>
      <c r="B2273" s="2"/>
      <c r="C2273" s="2"/>
      <c r="D2273" s="12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</row>
    <row r="2274">
      <c r="A2274" s="2"/>
      <c r="B2274" s="2"/>
      <c r="C2274" s="2"/>
      <c r="D2274" s="12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</row>
    <row r="2275">
      <c r="A2275" s="2"/>
      <c r="B2275" s="2"/>
      <c r="C2275" s="2"/>
      <c r="D2275" s="12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</row>
    <row r="2276">
      <c r="A2276" s="2"/>
      <c r="B2276" s="2"/>
      <c r="C2276" s="2"/>
      <c r="D2276" s="12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</row>
    <row r="2277">
      <c r="A2277" s="2"/>
      <c r="B2277" s="2"/>
      <c r="C2277" s="2"/>
      <c r="D2277" s="12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</row>
    <row r="2278">
      <c r="A2278" s="2"/>
      <c r="B2278" s="2"/>
      <c r="C2278" s="2"/>
      <c r="D2278" s="12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</row>
    <row r="2279">
      <c r="A2279" s="2"/>
      <c r="B2279" s="2"/>
      <c r="C2279" s="2"/>
      <c r="D2279" s="12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</row>
    <row r="2280">
      <c r="A2280" s="2"/>
      <c r="B2280" s="2"/>
      <c r="C2280" s="2"/>
      <c r="D2280" s="12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</row>
    <row r="2281">
      <c r="A2281" s="2"/>
      <c r="B2281" s="2"/>
      <c r="C2281" s="2"/>
      <c r="D2281" s="12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</row>
    <row r="2282">
      <c r="A2282" s="2"/>
      <c r="B2282" s="2"/>
      <c r="C2282" s="2"/>
      <c r="D2282" s="12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</row>
    <row r="2283">
      <c r="A2283" s="2"/>
      <c r="B2283" s="2"/>
      <c r="C2283" s="2"/>
      <c r="D2283" s="12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</row>
    <row r="2284">
      <c r="A2284" s="2"/>
      <c r="B2284" s="2"/>
      <c r="C2284" s="2"/>
      <c r="D2284" s="12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</row>
    <row r="2285">
      <c r="A2285" s="2"/>
      <c r="B2285" s="2"/>
      <c r="C2285" s="2"/>
      <c r="D2285" s="12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</row>
    <row r="2286">
      <c r="A2286" s="2"/>
      <c r="B2286" s="2"/>
      <c r="C2286" s="2"/>
      <c r="D2286" s="12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</row>
    <row r="2287">
      <c r="A2287" s="2"/>
      <c r="B2287" s="2"/>
      <c r="C2287" s="2"/>
      <c r="D2287" s="12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</row>
    <row r="2288">
      <c r="A2288" s="2"/>
      <c r="B2288" s="2"/>
      <c r="C2288" s="2"/>
      <c r="D2288" s="12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</row>
    <row r="2289">
      <c r="A2289" s="2"/>
      <c r="B2289" s="2"/>
      <c r="C2289" s="2"/>
      <c r="D2289" s="12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</row>
    <row r="2290">
      <c r="A2290" s="2"/>
      <c r="B2290" s="2"/>
      <c r="C2290" s="2"/>
      <c r="D2290" s="12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</row>
    <row r="2291">
      <c r="A2291" s="2"/>
      <c r="B2291" s="2"/>
      <c r="C2291" s="2"/>
      <c r="D2291" s="12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</row>
    <row r="2292">
      <c r="A2292" s="2"/>
      <c r="B2292" s="2"/>
      <c r="C2292" s="2"/>
      <c r="D2292" s="12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</row>
    <row r="2293">
      <c r="A2293" s="2"/>
      <c r="B2293" s="2"/>
      <c r="C2293" s="2"/>
      <c r="D2293" s="12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</row>
    <row r="2294">
      <c r="A2294" s="2"/>
      <c r="B2294" s="2"/>
      <c r="C2294" s="2"/>
      <c r="D2294" s="12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</row>
    <row r="2295">
      <c r="A2295" s="2"/>
      <c r="B2295" s="2"/>
      <c r="C2295" s="2"/>
      <c r="D2295" s="12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</row>
    <row r="2296">
      <c r="A2296" s="2"/>
      <c r="B2296" s="2"/>
      <c r="C2296" s="2"/>
      <c r="D2296" s="12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</row>
    <row r="2297">
      <c r="A2297" s="2"/>
      <c r="B2297" s="2"/>
      <c r="C2297" s="2"/>
      <c r="D2297" s="12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</row>
    <row r="2298">
      <c r="A2298" s="2"/>
      <c r="B2298" s="2"/>
      <c r="C2298" s="2"/>
      <c r="D2298" s="12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</row>
    <row r="2299">
      <c r="A2299" s="2"/>
      <c r="B2299" s="2"/>
      <c r="C2299" s="2"/>
      <c r="D2299" s="12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</row>
    <row r="2300">
      <c r="A2300" s="2"/>
      <c r="B2300" s="2"/>
      <c r="C2300" s="2"/>
      <c r="D2300" s="12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</row>
    <row r="2301">
      <c r="A2301" s="2"/>
      <c r="B2301" s="2"/>
      <c r="C2301" s="2"/>
      <c r="D2301" s="12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</row>
    <row r="2302">
      <c r="A2302" s="2"/>
      <c r="B2302" s="2"/>
      <c r="C2302" s="2"/>
      <c r="D2302" s="12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</row>
    <row r="2303">
      <c r="A2303" s="2"/>
      <c r="B2303" s="2"/>
      <c r="C2303" s="2"/>
      <c r="D2303" s="12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</row>
    <row r="2304">
      <c r="A2304" s="2"/>
      <c r="B2304" s="2"/>
      <c r="C2304" s="2"/>
      <c r="D2304" s="12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</row>
    <row r="2305">
      <c r="A2305" s="2"/>
      <c r="B2305" s="2"/>
      <c r="C2305" s="2"/>
      <c r="D2305" s="12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</row>
    <row r="2306">
      <c r="A2306" s="2"/>
      <c r="B2306" s="2"/>
      <c r="C2306" s="2"/>
      <c r="D2306" s="12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</row>
    <row r="2307">
      <c r="A2307" s="2"/>
      <c r="B2307" s="2"/>
      <c r="C2307" s="2"/>
      <c r="D2307" s="12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</row>
    <row r="2308">
      <c r="A2308" s="2"/>
      <c r="B2308" s="2"/>
      <c r="C2308" s="2"/>
      <c r="D2308" s="12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</row>
    <row r="2309">
      <c r="A2309" s="2"/>
      <c r="B2309" s="2"/>
      <c r="C2309" s="2"/>
      <c r="D2309" s="12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</row>
    <row r="2310">
      <c r="A2310" s="2"/>
      <c r="B2310" s="2"/>
      <c r="C2310" s="2"/>
      <c r="D2310" s="12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</row>
    <row r="2311">
      <c r="A2311" s="2"/>
      <c r="B2311" s="2"/>
      <c r="C2311" s="2"/>
      <c r="D2311" s="12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</row>
    <row r="2312">
      <c r="A2312" s="2"/>
      <c r="B2312" s="2"/>
      <c r="C2312" s="2"/>
      <c r="D2312" s="12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</row>
    <row r="2313">
      <c r="A2313" s="2"/>
      <c r="B2313" s="2"/>
      <c r="C2313" s="2"/>
      <c r="D2313" s="12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</row>
    <row r="2314">
      <c r="A2314" s="2"/>
      <c r="B2314" s="2"/>
      <c r="C2314" s="2"/>
      <c r="D2314" s="12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</row>
    <row r="2315">
      <c r="A2315" s="2"/>
      <c r="B2315" s="2"/>
      <c r="C2315" s="2"/>
      <c r="D2315" s="12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</row>
    <row r="2316">
      <c r="A2316" s="2"/>
      <c r="B2316" s="2"/>
      <c r="C2316" s="2"/>
      <c r="D2316" s="12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</row>
    <row r="2317">
      <c r="A2317" s="2"/>
      <c r="B2317" s="2"/>
      <c r="C2317" s="2"/>
      <c r="D2317" s="12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</row>
    <row r="2318">
      <c r="A2318" s="2"/>
      <c r="B2318" s="2"/>
      <c r="C2318" s="2"/>
      <c r="D2318" s="12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</row>
    <row r="2319">
      <c r="A2319" s="2"/>
      <c r="B2319" s="2"/>
      <c r="C2319" s="2"/>
      <c r="D2319" s="12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</row>
    <row r="2320">
      <c r="A2320" s="2"/>
      <c r="B2320" s="2"/>
      <c r="C2320" s="2"/>
      <c r="D2320" s="12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</row>
    <row r="2321">
      <c r="A2321" s="2"/>
      <c r="B2321" s="2"/>
      <c r="C2321" s="2"/>
      <c r="D2321" s="12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</row>
    <row r="2322">
      <c r="A2322" s="2"/>
      <c r="B2322" s="2"/>
      <c r="C2322" s="2"/>
      <c r="D2322" s="12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</row>
    <row r="2323">
      <c r="A2323" s="2"/>
      <c r="B2323" s="2"/>
      <c r="C2323" s="2"/>
      <c r="D2323" s="12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</row>
    <row r="2324">
      <c r="A2324" s="2"/>
      <c r="B2324" s="2"/>
      <c r="C2324" s="2"/>
      <c r="D2324" s="12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</row>
    <row r="2325">
      <c r="A2325" s="2"/>
      <c r="B2325" s="2"/>
      <c r="C2325" s="2"/>
      <c r="D2325" s="12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</row>
    <row r="2326">
      <c r="A2326" s="2"/>
      <c r="B2326" s="2"/>
      <c r="C2326" s="2"/>
      <c r="D2326" s="12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</row>
    <row r="2327">
      <c r="A2327" s="2"/>
      <c r="B2327" s="2"/>
      <c r="C2327" s="2"/>
      <c r="D2327" s="12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</row>
    <row r="2328">
      <c r="A2328" s="2"/>
      <c r="B2328" s="2"/>
      <c r="C2328" s="2"/>
      <c r="D2328" s="12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</row>
    <row r="2329">
      <c r="A2329" s="2"/>
      <c r="B2329" s="2"/>
      <c r="C2329" s="2"/>
      <c r="D2329" s="12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</row>
    <row r="2330">
      <c r="A2330" s="2"/>
      <c r="B2330" s="2"/>
      <c r="C2330" s="2"/>
      <c r="D2330" s="12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</row>
    <row r="2331">
      <c r="A2331" s="2"/>
      <c r="B2331" s="2"/>
      <c r="C2331" s="2"/>
      <c r="D2331" s="12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</row>
    <row r="2332">
      <c r="A2332" s="2"/>
      <c r="B2332" s="2"/>
      <c r="C2332" s="2"/>
      <c r="D2332" s="12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</row>
    <row r="2333">
      <c r="A2333" s="2"/>
      <c r="B2333" s="2"/>
      <c r="C2333" s="2"/>
      <c r="D2333" s="12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</row>
    <row r="2334">
      <c r="A2334" s="2"/>
      <c r="B2334" s="2"/>
      <c r="C2334" s="2"/>
      <c r="D2334" s="12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</row>
    <row r="2335">
      <c r="A2335" s="2"/>
      <c r="B2335" s="2"/>
      <c r="C2335" s="2"/>
      <c r="D2335" s="12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</row>
    <row r="2336">
      <c r="A2336" s="2"/>
      <c r="B2336" s="2"/>
      <c r="C2336" s="2"/>
      <c r="D2336" s="12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</row>
    <row r="2337">
      <c r="A2337" s="2"/>
      <c r="B2337" s="2"/>
      <c r="C2337" s="2"/>
      <c r="D2337" s="12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</row>
    <row r="2338">
      <c r="A2338" s="2"/>
      <c r="B2338" s="2"/>
      <c r="C2338" s="2"/>
      <c r="D2338" s="12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</row>
    <row r="2339">
      <c r="A2339" s="2"/>
      <c r="B2339" s="2"/>
      <c r="C2339" s="2"/>
      <c r="D2339" s="12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</row>
    <row r="2340">
      <c r="A2340" s="2"/>
      <c r="B2340" s="2"/>
      <c r="C2340" s="2"/>
      <c r="D2340" s="12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</row>
    <row r="2341">
      <c r="A2341" s="2"/>
      <c r="B2341" s="2"/>
      <c r="C2341" s="2"/>
      <c r="D2341" s="12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</row>
    <row r="2342">
      <c r="A2342" s="2"/>
      <c r="B2342" s="2"/>
      <c r="C2342" s="2"/>
      <c r="D2342" s="12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</row>
    <row r="2343">
      <c r="A2343" s="2"/>
      <c r="B2343" s="2"/>
      <c r="C2343" s="2"/>
      <c r="D2343" s="12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</row>
    <row r="2344">
      <c r="A2344" s="2"/>
      <c r="B2344" s="2"/>
      <c r="C2344" s="2"/>
      <c r="D2344" s="12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</row>
  </sheetData>
  <autoFilter ref="$A$1:$O$184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1.75"/>
    <col customWidth="1" min="2" max="2" width="32.75"/>
    <col customWidth="1" min="3" max="3" width="8.38"/>
    <col customWidth="1" min="4" max="4" width="60.75"/>
    <col customWidth="1" min="5" max="5" width="8.25"/>
    <col customWidth="1" min="6" max="6" width="10.75"/>
    <col customWidth="1" min="7" max="7" width="15.75"/>
    <col customWidth="1" min="8" max="8" width="20.75"/>
    <col customWidth="1" min="9" max="9" width="23.5"/>
  </cols>
  <sheetData>
    <row r="1">
      <c r="A1" s="1" t="str">
        <f>IFERROR(__xludf.DUMMYFUNCTION("importrange(""https://docs.google.com/spreadsheets/d/1DFSlwt9ZlRKT_PkoQJfzrg8zKlOpfXCy8ogf6GGmJUE/edit?gid=1240402359#gid=1240402359"", ""CEP Schedule SY25!A:I"")"),"Sponsor #")</f>
        <v>Sponsor #</v>
      </c>
      <c r="B1" s="1" t="str">
        <f>IFERROR(__xludf.DUMMYFUNCTION("""COMPUTED_VALUE"""),"Sponsor Name")</f>
        <v>Sponsor Name</v>
      </c>
      <c r="C1" s="1" t="str">
        <f>IFERROR(__xludf.DUMMYFUNCTION("""COMPUTED_VALUE"""),"Site Code")</f>
        <v>Site Code</v>
      </c>
      <c r="D1" s="1" t="str">
        <f>IFERROR(__xludf.DUMMYFUNCTION("""COMPUTED_VALUE"""),"Site Name")</f>
        <v>Site Name</v>
      </c>
      <c r="E1" s="1" t="str">
        <f>IFERROR(__xludf.DUMMYFUNCTION("""COMPUTED_VALUE"""),"Group")</f>
        <v>Group</v>
      </c>
      <c r="F1" s="1" t="str">
        <f>IFERROR(__xludf.DUMMYFUNCTION("""COMPUTED_VALUE"""),"Base Year")</f>
        <v>Base Year</v>
      </c>
      <c r="G1" s="1" t="str">
        <f>IFERROR(__xludf.DUMMYFUNCTION("""COMPUTED_VALUE"""),"Data Year")</f>
        <v>Data Year</v>
      </c>
      <c r="H1" s="1" t="str">
        <f>IFERROR(__xludf.DUMMYFUNCTION("""COMPUTED_VALUE"""),"Group Free Claiming %")</f>
        <v>Group Free Claiming %</v>
      </c>
      <c r="I1" s="1" t="str">
        <f>IFERROR(__xludf.DUMMYFUNCTION("""COMPUTED_VALUE"""),"Paid Claiming %")</f>
        <v>Paid Claiming %</v>
      </c>
    </row>
    <row r="2">
      <c r="A2" s="13" t="str">
        <f>IFERROR(__xludf.DUMMYFUNCTION("""COMPUTED_VALUE"""),"0010")</f>
        <v>0010</v>
      </c>
      <c r="B2" s="13" t="str">
        <f>IFERROR(__xludf.DUMMYFUNCTION("""COMPUTED_VALUE"""),"MAPLETON 1")</f>
        <v>MAPLETON 1</v>
      </c>
      <c r="C2" s="14" t="str">
        <f>IFERROR(__xludf.DUMMYFUNCTION("""COMPUTED_VALUE"""),"00504")</f>
        <v>00504</v>
      </c>
      <c r="D2" s="13" t="str">
        <f>IFERROR(__xludf.DUMMYFUNCTION("""COMPUTED_VALUE"""),"WELBY COMMUNITY SCHOOL")</f>
        <v>WELBY COMMUNITY SCHOOL</v>
      </c>
      <c r="E2" s="13" t="str">
        <f>IFERROR(__xludf.DUMMYFUNCTION("""COMPUTED_VALUE"""),"Group 1")</f>
        <v>Group 1</v>
      </c>
      <c r="F2" s="13" t="str">
        <f>IFERROR(__xludf.DUMMYFUNCTION("""COMPUTED_VALUE"""),"2024 - 2025")</f>
        <v>2024 - 2025</v>
      </c>
      <c r="G2" s="13" t="str">
        <f>IFERROR(__xludf.DUMMYFUNCTION("""COMPUTED_VALUE"""),"2023 - 2024")</f>
        <v>2023 - 2024</v>
      </c>
      <c r="H2" s="13">
        <f>IFERROR(__xludf.DUMMYFUNCTION("""COMPUTED_VALUE"""),84.13)</f>
        <v>84.13</v>
      </c>
      <c r="I2" s="15">
        <f>IFERROR(__xludf.DUMMYFUNCTION("""COMPUTED_VALUE"""),15.870000000000005)</f>
        <v>15.87</v>
      </c>
    </row>
    <row r="3">
      <c r="A3" s="13" t="str">
        <f>IFERROR(__xludf.DUMMYFUNCTION("""COMPUTED_VALUE"""),"0010")</f>
        <v>0010</v>
      </c>
      <c r="B3" s="13" t="str">
        <f>IFERROR(__xludf.DUMMYFUNCTION("""COMPUTED_VALUE"""),"MAPLETON 1")</f>
        <v>MAPLETON 1</v>
      </c>
      <c r="C3" s="14" t="str">
        <f>IFERROR(__xludf.DUMMYFUNCTION("""COMPUTED_VALUE"""),"00506")</f>
        <v>00506</v>
      </c>
      <c r="D3" s="13" t="str">
        <f>IFERROR(__xludf.DUMMYFUNCTION("""COMPUTED_VALUE"""),"EXPLORE ELEMENTARY")</f>
        <v>EXPLORE ELEMENTARY</v>
      </c>
      <c r="E3" s="13" t="str">
        <f>IFERROR(__xludf.DUMMYFUNCTION("""COMPUTED_VALUE"""),"Group 1")</f>
        <v>Group 1</v>
      </c>
      <c r="F3" s="13" t="str">
        <f>IFERROR(__xludf.DUMMYFUNCTION("""COMPUTED_VALUE"""),"2024 - 2025")</f>
        <v>2024 - 2025</v>
      </c>
      <c r="G3" s="13" t="str">
        <f>IFERROR(__xludf.DUMMYFUNCTION("""COMPUTED_VALUE"""),"2023 - 2024")</f>
        <v>2023 - 2024</v>
      </c>
      <c r="H3" s="13">
        <f>IFERROR(__xludf.DUMMYFUNCTION("""COMPUTED_VALUE"""),84.13)</f>
        <v>84.13</v>
      </c>
      <c r="I3" s="15">
        <f>IFERROR(__xludf.DUMMYFUNCTION("""COMPUTED_VALUE"""),15.870000000000005)</f>
        <v>15.87</v>
      </c>
    </row>
    <row r="4">
      <c r="A4" s="13" t="str">
        <f>IFERROR(__xludf.DUMMYFUNCTION("""COMPUTED_VALUE"""),"0010")</f>
        <v>0010</v>
      </c>
      <c r="B4" s="13" t="str">
        <f>IFERROR(__xludf.DUMMYFUNCTION("""COMPUTED_VALUE"""),"MAPLETON 1")</f>
        <v>MAPLETON 1</v>
      </c>
      <c r="C4" s="14" t="str">
        <f>IFERROR(__xludf.DUMMYFUNCTION("""COMPUTED_VALUE"""),"02768")</f>
        <v>02768</v>
      </c>
      <c r="D4" s="13" t="str">
        <f>IFERROR(__xludf.DUMMYFUNCTION("""COMPUTED_VALUE"""),"Preschool on Poze")</f>
        <v>Preschool on Poze</v>
      </c>
      <c r="E4" s="13" t="str">
        <f>IFERROR(__xludf.DUMMYFUNCTION("""COMPUTED_VALUE"""),"Group 1")</f>
        <v>Group 1</v>
      </c>
      <c r="F4" s="13" t="str">
        <f>IFERROR(__xludf.DUMMYFUNCTION("""COMPUTED_VALUE"""),"2024 - 2025")</f>
        <v>2024 - 2025</v>
      </c>
      <c r="G4" s="13" t="str">
        <f>IFERROR(__xludf.DUMMYFUNCTION("""COMPUTED_VALUE"""),"2023 - 2024")</f>
        <v>2023 - 2024</v>
      </c>
      <c r="H4" s="13">
        <f>IFERROR(__xludf.DUMMYFUNCTION("""COMPUTED_VALUE"""),84.13)</f>
        <v>84.13</v>
      </c>
      <c r="I4" s="15">
        <f>IFERROR(__xludf.DUMMYFUNCTION("""COMPUTED_VALUE"""),15.870000000000005)</f>
        <v>15.87</v>
      </c>
    </row>
    <row r="5">
      <c r="A5" s="13" t="str">
        <f>IFERROR(__xludf.DUMMYFUNCTION("""COMPUTED_VALUE"""),"0010")</f>
        <v>0010</v>
      </c>
      <c r="B5" s="13" t="str">
        <f>IFERROR(__xludf.DUMMYFUNCTION("""COMPUTED_VALUE"""),"MAPLETON 1")</f>
        <v>MAPLETON 1</v>
      </c>
      <c r="C5" s="14" t="str">
        <f>IFERROR(__xludf.DUMMYFUNCTION("""COMPUTED_VALUE"""),"00507")</f>
        <v>00507</v>
      </c>
      <c r="D5" s="13" t="str">
        <f>IFERROR(__xludf.DUMMYFUNCTION("""COMPUTED_VALUE"""),"ADVENTURE ELEMENTARY")</f>
        <v>ADVENTURE ELEMENTARY</v>
      </c>
      <c r="E5" s="13" t="str">
        <f>IFERROR(__xludf.DUMMYFUNCTION("""COMPUTED_VALUE"""),"Group 2")</f>
        <v>Group 2</v>
      </c>
      <c r="F5" s="13" t="str">
        <f>IFERROR(__xludf.DUMMYFUNCTION("""COMPUTED_VALUE"""),"2024 - 2025")</f>
        <v>2024 - 2025</v>
      </c>
      <c r="G5" s="13" t="str">
        <f>IFERROR(__xludf.DUMMYFUNCTION("""COMPUTED_VALUE"""),"2023 - 2024")</f>
        <v>2023 - 2024</v>
      </c>
      <c r="H5" s="13">
        <f>IFERROR(__xludf.DUMMYFUNCTION("""COMPUTED_VALUE"""),85.9)</f>
        <v>85.9</v>
      </c>
      <c r="I5" s="15">
        <f>IFERROR(__xludf.DUMMYFUNCTION("""COMPUTED_VALUE"""),14.099999999999994)</f>
        <v>14.1</v>
      </c>
    </row>
    <row r="6">
      <c r="A6" s="13" t="str">
        <f>IFERROR(__xludf.DUMMYFUNCTION("""COMPUTED_VALUE"""),"0010")</f>
        <v>0010</v>
      </c>
      <c r="B6" s="13" t="str">
        <f>IFERROR(__xludf.DUMMYFUNCTION("""COMPUTED_VALUE"""),"MAPLETON 1")</f>
        <v>MAPLETON 1</v>
      </c>
      <c r="C6" s="14" t="str">
        <f>IFERROR(__xludf.DUMMYFUNCTION("""COMPUTED_VALUE"""),"00503")</f>
        <v>00503</v>
      </c>
      <c r="D6" s="13" t="str">
        <f>IFERROR(__xludf.DUMMYFUNCTION("""COMPUTED_VALUE"""),"YORK INTERNATIONAL")</f>
        <v>YORK INTERNATIONAL</v>
      </c>
      <c r="E6" s="13" t="str">
        <f>IFERROR(__xludf.DUMMYFUNCTION("""COMPUTED_VALUE"""),"Group 3")</f>
        <v>Group 3</v>
      </c>
      <c r="F6" s="13" t="str">
        <f>IFERROR(__xludf.DUMMYFUNCTION("""COMPUTED_VALUE"""),"2024 - 2025")</f>
        <v>2024 - 2025</v>
      </c>
      <c r="G6" s="13" t="str">
        <f>IFERROR(__xludf.DUMMYFUNCTION("""COMPUTED_VALUE"""),"2023 - 2024")</f>
        <v>2023 - 2024</v>
      </c>
      <c r="H6" s="13">
        <f>IFERROR(__xludf.DUMMYFUNCTION("""COMPUTED_VALUE"""),79.18)</f>
        <v>79.18</v>
      </c>
      <c r="I6" s="15">
        <f>IFERROR(__xludf.DUMMYFUNCTION("""COMPUTED_VALUE"""),20.819999999999993)</f>
        <v>20.82</v>
      </c>
    </row>
    <row r="7">
      <c r="A7" s="13" t="str">
        <f>IFERROR(__xludf.DUMMYFUNCTION("""COMPUTED_VALUE"""),"0010")</f>
        <v>0010</v>
      </c>
      <c r="B7" s="13" t="str">
        <f>IFERROR(__xludf.DUMMYFUNCTION("""COMPUTED_VALUE"""),"MAPLETON 1")</f>
        <v>MAPLETON 1</v>
      </c>
      <c r="C7" s="14" t="str">
        <f>IFERROR(__xludf.DUMMYFUNCTION("""COMPUTED_VALUE"""),"06315")</f>
        <v>06315</v>
      </c>
      <c r="D7" s="13" t="str">
        <f>IFERROR(__xludf.DUMMYFUNCTION("""COMPUTED_VALUE"""),"NORTH VALLEY SCHOOL FOR YOUNG ADULTS")</f>
        <v>NORTH VALLEY SCHOOL FOR YOUNG ADULTS</v>
      </c>
      <c r="E7" s="13" t="str">
        <f>IFERROR(__xludf.DUMMYFUNCTION("""COMPUTED_VALUE"""),"Group 3")</f>
        <v>Group 3</v>
      </c>
      <c r="F7" s="13" t="str">
        <f>IFERROR(__xludf.DUMMYFUNCTION("""COMPUTED_VALUE"""),"2024 - 2025")</f>
        <v>2024 - 2025</v>
      </c>
      <c r="G7" s="13" t="str">
        <f>IFERROR(__xludf.DUMMYFUNCTION("""COMPUTED_VALUE"""),"2023 - 2024")</f>
        <v>2023 - 2024</v>
      </c>
      <c r="H7" s="13">
        <f>IFERROR(__xludf.DUMMYFUNCTION("""COMPUTED_VALUE"""),79.18)</f>
        <v>79.18</v>
      </c>
      <c r="I7" s="15">
        <f>IFERROR(__xludf.DUMMYFUNCTION("""COMPUTED_VALUE"""),20.819999999999993)</f>
        <v>20.82</v>
      </c>
    </row>
    <row r="8">
      <c r="A8" s="13" t="str">
        <f>IFERROR(__xludf.DUMMYFUNCTION("""COMPUTED_VALUE"""),"0010")</f>
        <v>0010</v>
      </c>
      <c r="B8" s="13" t="str">
        <f>IFERROR(__xludf.DUMMYFUNCTION("""COMPUTED_VALUE"""),"MAPLETON 1")</f>
        <v>MAPLETON 1</v>
      </c>
      <c r="C8" s="14" t="str">
        <f>IFERROR(__xludf.DUMMYFUNCTION("""COMPUTED_VALUE"""),"00187")</f>
        <v>00187</v>
      </c>
      <c r="D8" s="13" t="str">
        <f>IFERROR(__xludf.DUMMYFUNCTION("""COMPUTED_VALUE"""),"MAPLETON EXPEDITIONARY SCHOOL OF THE ARTS")</f>
        <v>MAPLETON EXPEDITIONARY SCHOOL OF THE ARTS</v>
      </c>
      <c r="E8" s="13" t="str">
        <f>IFERROR(__xludf.DUMMYFUNCTION("""COMPUTED_VALUE"""),"Group 4")</f>
        <v>Group 4</v>
      </c>
      <c r="F8" s="13" t="str">
        <f>IFERROR(__xludf.DUMMYFUNCTION("""COMPUTED_VALUE"""),"2024 - 2025")</f>
        <v>2024 - 2025</v>
      </c>
      <c r="G8" s="13" t="str">
        <f>IFERROR(__xludf.DUMMYFUNCTION("""COMPUTED_VALUE"""),"2023 - 2024")</f>
        <v>2023 - 2024</v>
      </c>
      <c r="H8" s="13">
        <f>IFERROR(__xludf.DUMMYFUNCTION("""COMPUTED_VALUE"""),75.94)</f>
        <v>75.94</v>
      </c>
      <c r="I8" s="15">
        <f>IFERROR(__xludf.DUMMYFUNCTION("""COMPUTED_VALUE"""),24.060000000000002)</f>
        <v>24.06</v>
      </c>
    </row>
    <row r="9">
      <c r="A9" s="13" t="str">
        <f>IFERROR(__xludf.DUMMYFUNCTION("""COMPUTED_VALUE"""),"0010")</f>
        <v>0010</v>
      </c>
      <c r="B9" s="13" t="str">
        <f>IFERROR(__xludf.DUMMYFUNCTION("""COMPUTED_VALUE"""),"MAPLETON 1")</f>
        <v>MAPLETON 1</v>
      </c>
      <c r="C9" s="14" t="str">
        <f>IFERROR(__xludf.DUMMYFUNCTION("""COMPUTED_VALUE"""),"00263")</f>
        <v>00263</v>
      </c>
      <c r="D9" s="13" t="str">
        <f>IFERROR(__xludf.DUMMYFUNCTION("""COMPUTED_VALUE"""),"GLOBAL LEADERSHIP ACADEMY")</f>
        <v>GLOBAL LEADERSHIP ACADEMY</v>
      </c>
      <c r="E9" s="13" t="str">
        <f>IFERROR(__xludf.DUMMYFUNCTION("""COMPUTED_VALUE"""),"Group 5")</f>
        <v>Group 5</v>
      </c>
      <c r="F9" s="13" t="str">
        <f>IFERROR(__xludf.DUMMYFUNCTION("""COMPUTED_VALUE"""),"2024 - 2025")</f>
        <v>2024 - 2025</v>
      </c>
      <c r="G9" s="13" t="str">
        <f>IFERROR(__xludf.DUMMYFUNCTION("""COMPUTED_VALUE"""),"2023 - 2024")</f>
        <v>2023 - 2024</v>
      </c>
      <c r="H9" s="13">
        <f>IFERROR(__xludf.DUMMYFUNCTION("""COMPUTED_VALUE"""),81.01)</f>
        <v>81.01</v>
      </c>
      <c r="I9" s="15">
        <f>IFERROR(__xludf.DUMMYFUNCTION("""COMPUTED_VALUE"""),18.989999999999995)</f>
        <v>18.99</v>
      </c>
    </row>
    <row r="10">
      <c r="A10" s="13" t="str">
        <f>IFERROR(__xludf.DUMMYFUNCTION("""COMPUTED_VALUE"""),"0010")</f>
        <v>0010</v>
      </c>
      <c r="B10" s="13" t="str">
        <f>IFERROR(__xludf.DUMMYFUNCTION("""COMPUTED_VALUE"""),"MAPLETON 1")</f>
        <v>MAPLETON 1</v>
      </c>
      <c r="C10" s="14" t="str">
        <f>IFERROR(__xludf.DUMMYFUNCTION("""COMPUTED_VALUE"""),"08823")</f>
        <v>08823</v>
      </c>
      <c r="D10" s="13" t="str">
        <f>IFERROR(__xludf.DUMMYFUNCTION("""COMPUTED_VALUE"""),"Trailside Academy")</f>
        <v>Trailside Academy</v>
      </c>
      <c r="E10" s="13" t="str">
        <f>IFERROR(__xludf.DUMMYFUNCTION("""COMPUTED_VALUE"""),"Group 5")</f>
        <v>Group 5</v>
      </c>
      <c r="F10" s="13" t="str">
        <f>IFERROR(__xludf.DUMMYFUNCTION("""COMPUTED_VALUE"""),"2024 - 2025")</f>
        <v>2024 - 2025</v>
      </c>
      <c r="G10" s="13" t="str">
        <f>IFERROR(__xludf.DUMMYFUNCTION("""COMPUTED_VALUE"""),"2023 - 2024")</f>
        <v>2023 - 2024</v>
      </c>
      <c r="H10" s="13">
        <f>IFERROR(__xludf.DUMMYFUNCTION("""COMPUTED_VALUE"""),81.01)</f>
        <v>81.01</v>
      </c>
      <c r="I10" s="15">
        <f>IFERROR(__xludf.DUMMYFUNCTION("""COMPUTED_VALUE"""),18.989999999999995)</f>
        <v>18.99</v>
      </c>
    </row>
    <row r="11">
      <c r="A11" s="13" t="str">
        <f>IFERROR(__xludf.DUMMYFUNCTION("""COMPUTED_VALUE"""),"0010")</f>
        <v>0010</v>
      </c>
      <c r="B11" s="13" t="str">
        <f>IFERROR(__xludf.DUMMYFUNCTION("""COMPUTED_VALUE"""),"MAPLETON 1")</f>
        <v>MAPLETON 1</v>
      </c>
      <c r="C11" s="14" t="str">
        <f>IFERROR(__xludf.DUMMYFUNCTION("""COMPUTED_VALUE"""),"00502")</f>
        <v>00502</v>
      </c>
      <c r="D11" s="13" t="str">
        <f>IFERROR(__xludf.DUMMYFUNCTION("""COMPUTED_VALUE"""),"MEADOW COMMUNITY SCHOOL")</f>
        <v>MEADOW COMMUNITY SCHOOL</v>
      </c>
      <c r="E11" s="13" t="str">
        <f>IFERROR(__xludf.DUMMYFUNCTION("""COMPUTED_VALUE"""),"Group 6")</f>
        <v>Group 6</v>
      </c>
      <c r="F11" s="13" t="str">
        <f>IFERROR(__xludf.DUMMYFUNCTION("""COMPUTED_VALUE"""),"2024 - 2025")</f>
        <v>2024 - 2025</v>
      </c>
      <c r="G11" s="13" t="str">
        <f>IFERROR(__xludf.DUMMYFUNCTION("""COMPUTED_VALUE"""),"2023 - 2024")</f>
        <v>2023 - 2024</v>
      </c>
      <c r="H11" s="13">
        <f>IFERROR(__xludf.DUMMYFUNCTION("""COMPUTED_VALUE"""),94.62)</f>
        <v>94.62</v>
      </c>
      <c r="I11" s="15">
        <f>IFERROR(__xludf.DUMMYFUNCTION("""COMPUTED_VALUE"""),5.3799999999999955)</f>
        <v>5.38</v>
      </c>
    </row>
    <row r="12">
      <c r="A12" s="13" t="str">
        <f>IFERROR(__xludf.DUMMYFUNCTION("""COMPUTED_VALUE"""),"0010")</f>
        <v>0010</v>
      </c>
      <c r="B12" s="13" t="str">
        <f>IFERROR(__xludf.DUMMYFUNCTION("""COMPUTED_VALUE"""),"MAPLETON 1")</f>
        <v>MAPLETON 1</v>
      </c>
      <c r="C12" s="14" t="str">
        <f>IFERROR(__xludf.DUMMYFUNCTION("""COMPUTED_VALUE"""),"00509")</f>
        <v>00509</v>
      </c>
      <c r="D12" s="13" t="str">
        <f>IFERROR(__xludf.DUMMYFUNCTION("""COMPUTED_VALUE"""),"CLAYTON PARTNERSHIP SCHOOL")</f>
        <v>CLAYTON PARTNERSHIP SCHOOL</v>
      </c>
      <c r="E12" s="13" t="str">
        <f>IFERROR(__xludf.DUMMYFUNCTION("""COMPUTED_VALUE"""),"Group 6")</f>
        <v>Group 6</v>
      </c>
      <c r="F12" s="13" t="str">
        <f>IFERROR(__xludf.DUMMYFUNCTION("""COMPUTED_VALUE"""),"2024 - 2025")</f>
        <v>2024 - 2025</v>
      </c>
      <c r="G12" s="13" t="str">
        <f>IFERROR(__xludf.DUMMYFUNCTION("""COMPUTED_VALUE"""),"2023 - 2024")</f>
        <v>2023 - 2024</v>
      </c>
      <c r="H12" s="13">
        <f>IFERROR(__xludf.DUMMYFUNCTION("""COMPUTED_VALUE"""),94.62)</f>
        <v>94.62</v>
      </c>
      <c r="I12" s="15">
        <f>IFERROR(__xludf.DUMMYFUNCTION("""COMPUTED_VALUE"""),5.3799999999999955)</f>
        <v>5.38</v>
      </c>
    </row>
    <row r="13">
      <c r="A13" s="13" t="str">
        <f>IFERROR(__xludf.DUMMYFUNCTION("""COMPUTED_VALUE"""),"0010")</f>
        <v>0010</v>
      </c>
      <c r="B13" s="13" t="str">
        <f>IFERROR(__xludf.DUMMYFUNCTION("""COMPUTED_VALUE"""),"MAPLETON 1")</f>
        <v>MAPLETON 1</v>
      </c>
      <c r="C13" s="14" t="str">
        <f>IFERROR(__xludf.DUMMYFUNCTION("""COMPUTED_VALUE"""),"00501")</f>
        <v>00501</v>
      </c>
      <c r="D13" s="13" t="str">
        <f>IFERROR(__xludf.DUMMYFUNCTION("""COMPUTED_VALUE"""),"MONTEREY COMMUNITY SCHOOL")</f>
        <v>MONTEREY COMMUNITY SCHOOL</v>
      </c>
      <c r="E13" s="13" t="str">
        <f>IFERROR(__xludf.DUMMYFUNCTION("""COMPUTED_VALUE"""),"Group 7")</f>
        <v>Group 7</v>
      </c>
      <c r="F13" s="13" t="str">
        <f>IFERROR(__xludf.DUMMYFUNCTION("""COMPUTED_VALUE"""),"2024 - 2025")</f>
        <v>2024 - 2025</v>
      </c>
      <c r="G13" s="13" t="str">
        <f>IFERROR(__xludf.DUMMYFUNCTION("""COMPUTED_VALUE"""),"2023 - 2024")</f>
        <v>2023 - 2024</v>
      </c>
      <c r="H13" s="13">
        <f>IFERROR(__xludf.DUMMYFUNCTION("""COMPUTED_VALUE"""),89.46)</f>
        <v>89.46</v>
      </c>
      <c r="I13" s="15">
        <f>IFERROR(__xludf.DUMMYFUNCTION("""COMPUTED_VALUE"""),10.540000000000006)</f>
        <v>10.54</v>
      </c>
    </row>
    <row r="14">
      <c r="A14" s="13" t="str">
        <f>IFERROR(__xludf.DUMMYFUNCTION("""COMPUTED_VALUE"""),"0010")</f>
        <v>0010</v>
      </c>
      <c r="B14" s="13" t="str">
        <f>IFERROR(__xludf.DUMMYFUNCTION("""COMPUTED_VALUE"""),"MAPLETON 1")</f>
        <v>MAPLETON 1</v>
      </c>
      <c r="C14" s="14" t="str">
        <f>IFERROR(__xludf.DUMMYFUNCTION("""COMPUTED_VALUE"""),"03590")</f>
        <v>03590</v>
      </c>
      <c r="D14" s="13" t="str">
        <f>IFERROR(__xludf.DUMMYFUNCTION("""COMPUTED_VALUE"""),"Global Intermediate Academy")</f>
        <v>Global Intermediate Academy</v>
      </c>
      <c r="E14" s="13" t="str">
        <f>IFERROR(__xludf.DUMMYFUNCTION("""COMPUTED_VALUE"""),"Group 7")</f>
        <v>Group 7</v>
      </c>
      <c r="F14" s="13" t="str">
        <f>IFERROR(__xludf.DUMMYFUNCTION("""COMPUTED_VALUE"""),"2024 - 2025")</f>
        <v>2024 - 2025</v>
      </c>
      <c r="G14" s="13" t="str">
        <f>IFERROR(__xludf.DUMMYFUNCTION("""COMPUTED_VALUE"""),"2023 - 2024")</f>
        <v>2023 - 2024</v>
      </c>
      <c r="H14" s="13">
        <f>IFERROR(__xludf.DUMMYFUNCTION("""COMPUTED_VALUE"""),89.46)</f>
        <v>89.46</v>
      </c>
      <c r="I14" s="15">
        <f>IFERROR(__xludf.DUMMYFUNCTION("""COMPUTED_VALUE"""),10.540000000000006)</f>
        <v>10.54</v>
      </c>
    </row>
    <row r="15">
      <c r="A15" s="13" t="str">
        <f>IFERROR(__xludf.DUMMYFUNCTION("""COMPUTED_VALUE"""),"0010")</f>
        <v>0010</v>
      </c>
      <c r="B15" s="13" t="str">
        <f>IFERROR(__xludf.DUMMYFUNCTION("""COMPUTED_VALUE"""),"MAPLETON 1")</f>
        <v>MAPLETON 1</v>
      </c>
      <c r="C15" s="14" t="str">
        <f>IFERROR(__xludf.DUMMYFUNCTION("""COMPUTED_VALUE"""),"00505")</f>
        <v>00505</v>
      </c>
      <c r="D15" s="13" t="str">
        <f>IFERROR(__xludf.DUMMYFUNCTION("""COMPUTED_VALUE"""),"ACHIEVE ACADEMY")</f>
        <v>ACHIEVE ACADEMY</v>
      </c>
      <c r="E15" s="13" t="str">
        <f>IFERROR(__xludf.DUMMYFUNCTION("""COMPUTED_VALUE"""),"Group 8")</f>
        <v>Group 8</v>
      </c>
      <c r="F15" s="13" t="str">
        <f>IFERROR(__xludf.DUMMYFUNCTION("""COMPUTED_VALUE"""),"2024 - 2025")</f>
        <v>2024 - 2025</v>
      </c>
      <c r="G15" s="13" t="str">
        <f>IFERROR(__xludf.DUMMYFUNCTION("""COMPUTED_VALUE"""),"2023 - 2024")</f>
        <v>2023 - 2024</v>
      </c>
      <c r="H15" s="13">
        <f>IFERROR(__xludf.DUMMYFUNCTION("""COMPUTED_VALUE"""),89.57)</f>
        <v>89.57</v>
      </c>
      <c r="I15" s="15">
        <f>IFERROR(__xludf.DUMMYFUNCTION("""COMPUTED_VALUE"""),10.430000000000007)</f>
        <v>10.43</v>
      </c>
    </row>
    <row r="16">
      <c r="A16" s="13" t="str">
        <f>IFERROR(__xludf.DUMMYFUNCTION("""COMPUTED_VALUE"""),"0010")</f>
        <v>0010</v>
      </c>
      <c r="B16" s="13" t="str">
        <f>IFERROR(__xludf.DUMMYFUNCTION("""COMPUTED_VALUE"""),"MAPLETON 1")</f>
        <v>MAPLETON 1</v>
      </c>
      <c r="C16" s="14" t="str">
        <f>IFERROR(__xludf.DUMMYFUNCTION("""COMPUTED_VALUE"""),"03623")</f>
        <v>03623</v>
      </c>
      <c r="D16" s="13" t="str">
        <f>IFERROR(__xludf.DUMMYFUNCTION("""COMPUTED_VALUE"""),"Global Primary Academy")</f>
        <v>Global Primary Academy</v>
      </c>
      <c r="E16" s="13" t="str">
        <f>IFERROR(__xludf.DUMMYFUNCTION("""COMPUTED_VALUE"""),"Group 8")</f>
        <v>Group 8</v>
      </c>
      <c r="F16" s="13" t="str">
        <f>IFERROR(__xludf.DUMMYFUNCTION("""COMPUTED_VALUE"""),"2024 - 2025")</f>
        <v>2024 - 2025</v>
      </c>
      <c r="G16" s="13" t="str">
        <f>IFERROR(__xludf.DUMMYFUNCTION("""COMPUTED_VALUE"""),"2023 - 2024")</f>
        <v>2023 - 2024</v>
      </c>
      <c r="H16" s="13">
        <f>IFERROR(__xludf.DUMMYFUNCTION("""COMPUTED_VALUE"""),89.57)</f>
        <v>89.57</v>
      </c>
      <c r="I16" s="15">
        <f>IFERROR(__xludf.DUMMYFUNCTION("""COMPUTED_VALUE"""),10.430000000000007)</f>
        <v>10.43</v>
      </c>
    </row>
    <row r="17">
      <c r="A17" s="13" t="str">
        <f>IFERROR(__xludf.DUMMYFUNCTION("""COMPUTED_VALUE"""),"0010")</f>
        <v>0010</v>
      </c>
      <c r="B17" s="13" t="str">
        <f>IFERROR(__xludf.DUMMYFUNCTION("""COMPUTED_VALUE"""),"MAPLETON 1")</f>
        <v>MAPLETON 1</v>
      </c>
      <c r="C17" s="14" t="str">
        <f>IFERROR(__xludf.DUMMYFUNCTION("""COMPUTED_VALUE"""),"00212")</f>
        <v>00212</v>
      </c>
      <c r="D17" s="13" t="str">
        <f>IFERROR(__xludf.DUMMYFUNCTION("""COMPUTED_VALUE"""),"MAPLETON EARLY CAREER PREPARATION")</f>
        <v>MAPLETON EARLY CAREER PREPARATION</v>
      </c>
      <c r="E17" s="13" t="str">
        <f>IFERROR(__xludf.DUMMYFUNCTION("""COMPUTED_VALUE"""),"Group 9")</f>
        <v>Group 9</v>
      </c>
      <c r="F17" s="13" t="str">
        <f>IFERROR(__xludf.DUMMYFUNCTION("""COMPUTED_VALUE"""),"2024 - 2025")</f>
        <v>2024 - 2025</v>
      </c>
      <c r="G17" s="13" t="str">
        <f>IFERROR(__xludf.DUMMYFUNCTION("""COMPUTED_VALUE"""),"2023 - 2024")</f>
        <v>2023 - 2024</v>
      </c>
      <c r="H17" s="13">
        <f>IFERROR(__xludf.DUMMYFUNCTION("""COMPUTED_VALUE"""),76.08)</f>
        <v>76.08</v>
      </c>
      <c r="I17" s="15">
        <f>IFERROR(__xludf.DUMMYFUNCTION("""COMPUTED_VALUE"""),23.92)</f>
        <v>23.92</v>
      </c>
    </row>
    <row r="18">
      <c r="A18" s="13" t="str">
        <f>IFERROR(__xludf.DUMMYFUNCTION("""COMPUTED_VALUE"""),"0010")</f>
        <v>0010</v>
      </c>
      <c r="B18" s="13" t="str">
        <f>IFERROR(__xludf.DUMMYFUNCTION("""COMPUTED_VALUE"""),"MAPLETON 1")</f>
        <v>MAPLETON 1</v>
      </c>
      <c r="C18" s="14" t="str">
        <f>IFERROR(__xludf.DUMMYFUNCTION("""COMPUTED_VALUE"""),"00309")</f>
        <v>00309</v>
      </c>
      <c r="D18" s="13" t="str">
        <f>IFERROR(__xludf.DUMMYFUNCTION("""COMPUTED_VALUE"""),"ACADEMY HIGH SCHOOL")</f>
        <v>ACADEMY HIGH SCHOOL</v>
      </c>
      <c r="E18" s="13" t="str">
        <f>IFERROR(__xludf.DUMMYFUNCTION("""COMPUTED_VALUE"""),"Group 9")</f>
        <v>Group 9</v>
      </c>
      <c r="F18" s="13" t="str">
        <f>IFERROR(__xludf.DUMMYFUNCTION("""COMPUTED_VALUE"""),"2024 - 2025")</f>
        <v>2024 - 2025</v>
      </c>
      <c r="G18" s="13" t="str">
        <f>IFERROR(__xludf.DUMMYFUNCTION("""COMPUTED_VALUE"""),"2023 - 2024")</f>
        <v>2023 - 2024</v>
      </c>
      <c r="H18" s="13">
        <f>IFERROR(__xludf.DUMMYFUNCTION("""COMPUTED_VALUE"""),76.08)</f>
        <v>76.08</v>
      </c>
      <c r="I18" s="15">
        <f>IFERROR(__xludf.DUMMYFUNCTION("""COMPUTED_VALUE"""),23.92)</f>
        <v>23.92</v>
      </c>
    </row>
    <row r="19">
      <c r="A19" s="13" t="str">
        <f>IFERROR(__xludf.DUMMYFUNCTION("""COMPUTED_VALUE"""),"0010")</f>
        <v>0010</v>
      </c>
      <c r="B19" s="13" t="str">
        <f>IFERROR(__xludf.DUMMYFUNCTION("""COMPUTED_VALUE"""),"MAPLETON 1")</f>
        <v>MAPLETON 1</v>
      </c>
      <c r="C19" s="14" t="str">
        <f>IFERROR(__xludf.DUMMYFUNCTION("""COMPUTED_VALUE"""),"06917")</f>
        <v>06917</v>
      </c>
      <c r="D19" s="13" t="str">
        <f>IFERROR(__xludf.DUMMYFUNCTION("""COMPUTED_VALUE"""),"Performing Arts School on Broadway")</f>
        <v>Performing Arts School on Broadway</v>
      </c>
      <c r="E19" s="13" t="str">
        <f>IFERROR(__xludf.DUMMYFUNCTION("""COMPUTED_VALUE"""),"Group 9")</f>
        <v>Group 9</v>
      </c>
      <c r="F19" s="13" t="str">
        <f>IFERROR(__xludf.DUMMYFUNCTION("""COMPUTED_VALUE"""),"2024 - 2025")</f>
        <v>2024 - 2025</v>
      </c>
      <c r="G19" s="13" t="str">
        <f>IFERROR(__xludf.DUMMYFUNCTION("""COMPUTED_VALUE"""),"2023 - 2024")</f>
        <v>2023 - 2024</v>
      </c>
      <c r="H19" s="13">
        <f>IFERROR(__xludf.DUMMYFUNCTION("""COMPUTED_VALUE"""),76.08)</f>
        <v>76.08</v>
      </c>
      <c r="I19" s="15">
        <f>IFERROR(__xludf.DUMMYFUNCTION("""COMPUTED_VALUE"""),23.92)</f>
        <v>23.92</v>
      </c>
    </row>
    <row r="20">
      <c r="A20" s="13" t="str">
        <f>IFERROR(__xludf.DUMMYFUNCTION("""COMPUTED_VALUE"""),"0010")</f>
        <v>0010</v>
      </c>
      <c r="B20" s="13" t="str">
        <f>IFERROR(__xludf.DUMMYFUNCTION("""COMPUTED_VALUE"""),"MAPLETON 1")</f>
        <v>MAPLETON 1</v>
      </c>
      <c r="C20" s="14" t="str">
        <f>IFERROR(__xludf.DUMMYFUNCTION("""COMPUTED_VALUE"""),"06916")</f>
        <v>06916</v>
      </c>
      <c r="D20" s="13" t="str">
        <f>IFERROR(__xludf.DUMMYFUNCTION("""COMPUTED_VALUE"""),"Valley View Innovation School")</f>
        <v>Valley View Innovation School</v>
      </c>
      <c r="E20" s="13" t="str">
        <f>IFERROR(__xludf.DUMMYFUNCTION("""COMPUTED_VALUE"""),"Group 9")</f>
        <v>Group 9</v>
      </c>
      <c r="F20" s="13" t="str">
        <f>IFERROR(__xludf.DUMMYFUNCTION("""COMPUTED_VALUE"""),"2024 - 2025")</f>
        <v>2024 - 2025</v>
      </c>
      <c r="G20" s="13" t="str">
        <f>IFERROR(__xludf.DUMMYFUNCTION("""COMPUTED_VALUE"""),"2023 - 2024")</f>
        <v>2023 - 2024</v>
      </c>
      <c r="H20" s="13">
        <f>IFERROR(__xludf.DUMMYFUNCTION("""COMPUTED_VALUE"""),76.08)</f>
        <v>76.08</v>
      </c>
      <c r="I20" s="15">
        <f>IFERROR(__xludf.DUMMYFUNCTION("""COMPUTED_VALUE"""),23.92)</f>
        <v>23.92</v>
      </c>
    </row>
    <row r="21">
      <c r="A21" s="13" t="str">
        <f>IFERROR(__xludf.DUMMYFUNCTION("""COMPUTED_VALUE"""),"0020")</f>
        <v>0020</v>
      </c>
      <c r="B21" s="13" t="str">
        <f>IFERROR(__xludf.DUMMYFUNCTION("""COMPUTED_VALUE"""),"Adams 12 Five Star Schools")</f>
        <v>Adams 12 Five Star Schools</v>
      </c>
      <c r="C21" s="14" t="str">
        <f>IFERROR(__xludf.DUMMYFUNCTION("""COMPUTED_VALUE"""),"00057")</f>
        <v>00057</v>
      </c>
      <c r="D21" s="13" t="str">
        <f>IFERROR(__xludf.DUMMYFUNCTION("""COMPUTED_VALUE"""),"ROCKY TOP MIDDLE SCHOOL")</f>
        <v>ROCKY TOP MIDDLE SCHOOL</v>
      </c>
      <c r="E21" s="13" t="str">
        <f>IFERROR(__xludf.DUMMYFUNCTION("""COMPUTED_VALUE"""),"Group 1")</f>
        <v>Group 1</v>
      </c>
      <c r="F21" s="13" t="str">
        <f>IFERROR(__xludf.DUMMYFUNCTION("""COMPUTED_VALUE"""),"2024 - 2025")</f>
        <v>2024 - 2025</v>
      </c>
      <c r="G21" s="13" t="str">
        <f>IFERROR(__xludf.DUMMYFUNCTION("""COMPUTED_VALUE"""),"2023 - 2024")</f>
        <v>2023 - 2024</v>
      </c>
      <c r="H21" s="13">
        <f>IFERROR(__xludf.DUMMYFUNCTION("""COMPUTED_VALUE"""),48.78)</f>
        <v>48.78</v>
      </c>
      <c r="I21" s="15">
        <f>IFERROR(__xludf.DUMMYFUNCTION("""COMPUTED_VALUE"""),51.22)</f>
        <v>51.22</v>
      </c>
    </row>
    <row r="22">
      <c r="A22" s="13" t="str">
        <f>IFERROR(__xludf.DUMMYFUNCTION("""COMPUTED_VALUE"""),"0020")</f>
        <v>0020</v>
      </c>
      <c r="B22" s="13" t="str">
        <f>IFERROR(__xludf.DUMMYFUNCTION("""COMPUTED_VALUE"""),"Adams 12 Five Star Schools")</f>
        <v>Adams 12 Five Star Schools</v>
      </c>
      <c r="C22" s="14" t="str">
        <f>IFERROR(__xludf.DUMMYFUNCTION("""COMPUTED_VALUE"""),"02361")</f>
        <v>02361</v>
      </c>
      <c r="D22" s="13" t="str">
        <f>IFERROR(__xludf.DUMMYFUNCTION("""COMPUTED_VALUE"""),"EAGLEVIEW ELEMENTARY SCHOOL")</f>
        <v>EAGLEVIEW ELEMENTARY SCHOOL</v>
      </c>
      <c r="E22" s="13" t="str">
        <f>IFERROR(__xludf.DUMMYFUNCTION("""COMPUTED_VALUE"""),"Group 1")</f>
        <v>Group 1</v>
      </c>
      <c r="F22" s="13" t="str">
        <f>IFERROR(__xludf.DUMMYFUNCTION("""COMPUTED_VALUE"""),"2024 - 2025")</f>
        <v>2024 - 2025</v>
      </c>
      <c r="G22" s="13" t="str">
        <f>IFERROR(__xludf.DUMMYFUNCTION("""COMPUTED_VALUE"""),"2023 - 2024")</f>
        <v>2023 - 2024</v>
      </c>
      <c r="H22" s="13">
        <f>IFERROR(__xludf.DUMMYFUNCTION("""COMPUTED_VALUE"""),48.78)</f>
        <v>48.78</v>
      </c>
      <c r="I22" s="15">
        <f>IFERROR(__xludf.DUMMYFUNCTION("""COMPUTED_VALUE"""),51.22)</f>
        <v>51.22</v>
      </c>
    </row>
    <row r="23">
      <c r="A23" s="13" t="str">
        <f>IFERROR(__xludf.DUMMYFUNCTION("""COMPUTED_VALUE"""),"0020")</f>
        <v>0020</v>
      </c>
      <c r="B23" s="13" t="str">
        <f>IFERROR(__xludf.DUMMYFUNCTION("""COMPUTED_VALUE"""),"Adams 12 Five Star Schools")</f>
        <v>Adams 12 Five Star Schools</v>
      </c>
      <c r="C23" s="14" t="str">
        <f>IFERROR(__xludf.DUMMYFUNCTION("""COMPUTED_VALUE"""),"04172")</f>
        <v>04172</v>
      </c>
      <c r="D23" s="13" t="str">
        <f>IFERROR(__xludf.DUMMYFUNCTION("""COMPUTED_VALUE"""),"HULSTROM OPTIONS K-8 SCHOOL")</f>
        <v>HULSTROM OPTIONS K-8 SCHOOL</v>
      </c>
      <c r="E23" s="13" t="str">
        <f>IFERROR(__xludf.DUMMYFUNCTION("""COMPUTED_VALUE"""),"Group 1")</f>
        <v>Group 1</v>
      </c>
      <c r="F23" s="13" t="str">
        <f>IFERROR(__xludf.DUMMYFUNCTION("""COMPUTED_VALUE"""),"2024 - 2025")</f>
        <v>2024 - 2025</v>
      </c>
      <c r="G23" s="13" t="str">
        <f>IFERROR(__xludf.DUMMYFUNCTION("""COMPUTED_VALUE"""),"2023 - 2024")</f>
        <v>2023 - 2024</v>
      </c>
      <c r="H23" s="13">
        <f>IFERROR(__xludf.DUMMYFUNCTION("""COMPUTED_VALUE"""),48.78)</f>
        <v>48.78</v>
      </c>
      <c r="I23" s="15">
        <f>IFERROR(__xludf.DUMMYFUNCTION("""COMPUTED_VALUE"""),51.22)</f>
        <v>51.22</v>
      </c>
    </row>
    <row r="24">
      <c r="A24" s="13" t="str">
        <f>IFERROR(__xludf.DUMMYFUNCTION("""COMPUTED_VALUE"""),"0020")</f>
        <v>0020</v>
      </c>
      <c r="B24" s="13" t="str">
        <f>IFERROR(__xludf.DUMMYFUNCTION("""COMPUTED_VALUE"""),"Adams 12 Five Star Schools")</f>
        <v>Adams 12 Five Star Schools</v>
      </c>
      <c r="C24" s="14" t="str">
        <f>IFERROR(__xludf.DUMMYFUNCTION("""COMPUTED_VALUE"""),"05816")</f>
        <v>05816</v>
      </c>
      <c r="D24" s="13" t="str">
        <f>IFERROR(__xludf.DUMMYFUNCTION("""COMPUTED_VALUE"""),"THORNTON HIGH SCHOOL")</f>
        <v>THORNTON HIGH SCHOOL</v>
      </c>
      <c r="E24" s="13" t="str">
        <f>IFERROR(__xludf.DUMMYFUNCTION("""COMPUTED_VALUE"""),"Group 1")</f>
        <v>Group 1</v>
      </c>
      <c r="F24" s="13" t="str">
        <f>IFERROR(__xludf.DUMMYFUNCTION("""COMPUTED_VALUE"""),"2024 - 2025")</f>
        <v>2024 - 2025</v>
      </c>
      <c r="G24" s="13" t="str">
        <f>IFERROR(__xludf.DUMMYFUNCTION("""COMPUTED_VALUE"""),"2023 - 2024")</f>
        <v>2023 - 2024</v>
      </c>
      <c r="H24" s="13">
        <f>IFERROR(__xludf.DUMMYFUNCTION("""COMPUTED_VALUE"""),48.78)</f>
        <v>48.78</v>
      </c>
      <c r="I24" s="15">
        <f>IFERROR(__xludf.DUMMYFUNCTION("""COMPUTED_VALUE"""),51.22)</f>
        <v>51.22</v>
      </c>
    </row>
    <row r="25">
      <c r="A25" s="13" t="str">
        <f>IFERROR(__xludf.DUMMYFUNCTION("""COMPUTED_VALUE"""),"0020")</f>
        <v>0020</v>
      </c>
      <c r="B25" s="13" t="str">
        <f>IFERROR(__xludf.DUMMYFUNCTION("""COMPUTED_VALUE"""),"Adams 12 Five Star Schools")</f>
        <v>Adams 12 Five Star Schools</v>
      </c>
      <c r="C25" s="14" t="str">
        <f>IFERROR(__xludf.DUMMYFUNCTION("""COMPUTED_VALUE"""),"06150")</f>
        <v>06150</v>
      </c>
      <c r="D25" s="13" t="str">
        <f>IFERROR(__xludf.DUMMYFUNCTION("""COMPUTED_VALUE"""),"MOUNTAIN VIEW ELEMENTARY SCHOOL")</f>
        <v>MOUNTAIN VIEW ELEMENTARY SCHOOL</v>
      </c>
      <c r="E25" s="13" t="str">
        <f>IFERROR(__xludf.DUMMYFUNCTION("""COMPUTED_VALUE"""),"Group 1")</f>
        <v>Group 1</v>
      </c>
      <c r="F25" s="13" t="str">
        <f>IFERROR(__xludf.DUMMYFUNCTION("""COMPUTED_VALUE"""),"2024 - 2025")</f>
        <v>2024 - 2025</v>
      </c>
      <c r="G25" s="13" t="str">
        <f>IFERROR(__xludf.DUMMYFUNCTION("""COMPUTED_VALUE"""),"2023 - 2024")</f>
        <v>2023 - 2024</v>
      </c>
      <c r="H25" s="13">
        <f>IFERROR(__xludf.DUMMYFUNCTION("""COMPUTED_VALUE"""),48.78)</f>
        <v>48.78</v>
      </c>
      <c r="I25" s="15">
        <f>IFERROR(__xludf.DUMMYFUNCTION("""COMPUTED_VALUE"""),51.22)</f>
        <v>51.22</v>
      </c>
    </row>
    <row r="26">
      <c r="A26" s="13" t="str">
        <f>IFERROR(__xludf.DUMMYFUNCTION("""COMPUTED_VALUE"""),"0020")</f>
        <v>0020</v>
      </c>
      <c r="B26" s="13" t="str">
        <f>IFERROR(__xludf.DUMMYFUNCTION("""COMPUTED_VALUE"""),"Adams 12 Five Star Schools")</f>
        <v>Adams 12 Five Star Schools</v>
      </c>
      <c r="C26" s="14" t="str">
        <f>IFERROR(__xludf.DUMMYFUNCTION("""COMPUTED_VALUE"""),"08275")</f>
        <v>08275</v>
      </c>
      <c r="D26" s="13" t="str">
        <f>IFERROR(__xludf.DUMMYFUNCTION("""COMPUTED_VALUE"""),"STEM LAB")</f>
        <v>STEM LAB</v>
      </c>
      <c r="E26" s="13" t="str">
        <f>IFERROR(__xludf.DUMMYFUNCTION("""COMPUTED_VALUE"""),"Group 1")</f>
        <v>Group 1</v>
      </c>
      <c r="F26" s="13" t="str">
        <f>IFERROR(__xludf.DUMMYFUNCTION("""COMPUTED_VALUE"""),"2024 - 2025")</f>
        <v>2024 - 2025</v>
      </c>
      <c r="G26" s="13" t="str">
        <f>IFERROR(__xludf.DUMMYFUNCTION("""COMPUTED_VALUE"""),"2023 - 2024")</f>
        <v>2023 - 2024</v>
      </c>
      <c r="H26" s="13">
        <f>IFERROR(__xludf.DUMMYFUNCTION("""COMPUTED_VALUE"""),48.78)</f>
        <v>48.78</v>
      </c>
      <c r="I26" s="15">
        <f>IFERROR(__xludf.DUMMYFUNCTION("""COMPUTED_VALUE"""),51.22)</f>
        <v>51.22</v>
      </c>
    </row>
    <row r="27">
      <c r="A27" s="13" t="str">
        <f>IFERROR(__xludf.DUMMYFUNCTION("""COMPUTED_VALUE"""),"0020")</f>
        <v>0020</v>
      </c>
      <c r="B27" s="13" t="str">
        <f>IFERROR(__xludf.DUMMYFUNCTION("""COMPUTED_VALUE"""),"Adams 12 Five Star Schools")</f>
        <v>Adams 12 Five Star Schools</v>
      </c>
      <c r="C27" s="14" t="str">
        <f>IFERROR(__xludf.DUMMYFUNCTION("""COMPUTED_VALUE"""),"05418")</f>
        <v>05418</v>
      </c>
      <c r="D27" s="13" t="str">
        <f>IFERROR(__xludf.DUMMYFUNCTION("""COMPUTED_VALUE"""),"MALLEY DRIVE ELEMENTARY SCHOOL")</f>
        <v>MALLEY DRIVE ELEMENTARY SCHOOL</v>
      </c>
      <c r="E27" s="13" t="str">
        <f>IFERROR(__xludf.DUMMYFUNCTION("""COMPUTED_VALUE"""),"Group 10")</f>
        <v>Group 10</v>
      </c>
      <c r="F27" s="13" t="str">
        <f>IFERROR(__xludf.DUMMYFUNCTION("""COMPUTED_VALUE"""),"2024 - 2025")</f>
        <v>2024 - 2025</v>
      </c>
      <c r="G27" s="13" t="str">
        <f>IFERROR(__xludf.DUMMYFUNCTION("""COMPUTED_VALUE"""),"2023 - 2024")</f>
        <v>2023 - 2024</v>
      </c>
      <c r="H27" s="13">
        <f>IFERROR(__xludf.DUMMYFUNCTION("""COMPUTED_VALUE"""),99.25)</f>
        <v>99.25</v>
      </c>
      <c r="I27" s="15">
        <f>IFERROR(__xludf.DUMMYFUNCTION("""COMPUTED_VALUE"""),0.75)</f>
        <v>0.75</v>
      </c>
    </row>
    <row r="28">
      <c r="A28" s="13" t="str">
        <f>IFERROR(__xludf.DUMMYFUNCTION("""COMPUTED_VALUE"""),"0020")</f>
        <v>0020</v>
      </c>
      <c r="B28" s="13" t="str">
        <f>IFERROR(__xludf.DUMMYFUNCTION("""COMPUTED_VALUE"""),"Adams 12 Five Star Schools")</f>
        <v>Adams 12 Five Star Schools</v>
      </c>
      <c r="C28" s="14" t="str">
        <f>IFERROR(__xludf.DUMMYFUNCTION("""COMPUTED_VALUE"""),"08225")</f>
        <v>08225</v>
      </c>
      <c r="D28" s="13" t="str">
        <f>IFERROR(__xludf.DUMMYFUNCTION("""COMPUTED_VALUE"""),"STELLAR ELEMENTARY SCHOOL")</f>
        <v>STELLAR ELEMENTARY SCHOOL</v>
      </c>
      <c r="E28" s="13" t="str">
        <f>IFERROR(__xludf.DUMMYFUNCTION("""COMPUTED_VALUE"""),"Group 10")</f>
        <v>Group 10</v>
      </c>
      <c r="F28" s="13" t="str">
        <f>IFERROR(__xludf.DUMMYFUNCTION("""COMPUTED_VALUE"""),"2024 - 2025")</f>
        <v>2024 - 2025</v>
      </c>
      <c r="G28" s="13" t="str">
        <f>IFERROR(__xludf.DUMMYFUNCTION("""COMPUTED_VALUE"""),"2023 - 2024")</f>
        <v>2023 - 2024</v>
      </c>
      <c r="H28" s="13">
        <f>IFERROR(__xludf.DUMMYFUNCTION("""COMPUTED_VALUE"""),99.25)</f>
        <v>99.25</v>
      </c>
      <c r="I28" s="15">
        <f>IFERROR(__xludf.DUMMYFUNCTION("""COMPUTED_VALUE"""),0.75)</f>
        <v>0.75</v>
      </c>
    </row>
    <row r="29">
      <c r="A29" s="13" t="str">
        <f>IFERROR(__xludf.DUMMYFUNCTION("""COMPUTED_VALUE"""),"0020")</f>
        <v>0020</v>
      </c>
      <c r="B29" s="13" t="str">
        <f>IFERROR(__xludf.DUMMYFUNCTION("""COMPUTED_VALUE"""),"Adams 12 Five Star Schools")</f>
        <v>Adams 12 Five Star Schools</v>
      </c>
      <c r="C29" s="14" t="str">
        <f>IFERROR(__xludf.DUMMYFUNCTION("""COMPUTED_VALUE"""),"08361")</f>
        <v>08361</v>
      </c>
      <c r="D29" s="13" t="str">
        <f>IFERROR(__xludf.DUMMYFUNCTION("""COMPUTED_VALUE"""),"STUKEY ELEMENTARY SCHOOL")</f>
        <v>STUKEY ELEMENTARY SCHOOL</v>
      </c>
      <c r="E29" s="13" t="str">
        <f>IFERROR(__xludf.DUMMYFUNCTION("""COMPUTED_VALUE"""),"Group 10")</f>
        <v>Group 10</v>
      </c>
      <c r="F29" s="13" t="str">
        <f>IFERROR(__xludf.DUMMYFUNCTION("""COMPUTED_VALUE"""),"2024 - 2025")</f>
        <v>2024 - 2025</v>
      </c>
      <c r="G29" s="13" t="str">
        <f>IFERROR(__xludf.DUMMYFUNCTION("""COMPUTED_VALUE"""),"2023 - 2024")</f>
        <v>2023 - 2024</v>
      </c>
      <c r="H29" s="13">
        <f>IFERROR(__xludf.DUMMYFUNCTION("""COMPUTED_VALUE"""),99.25)</f>
        <v>99.25</v>
      </c>
      <c r="I29" s="15">
        <f>IFERROR(__xludf.DUMMYFUNCTION("""COMPUTED_VALUE"""),0.75)</f>
        <v>0.75</v>
      </c>
    </row>
    <row r="30">
      <c r="A30" s="13" t="str">
        <f>IFERROR(__xludf.DUMMYFUNCTION("""COMPUTED_VALUE"""),"0020")</f>
        <v>0020</v>
      </c>
      <c r="B30" s="13" t="str">
        <f>IFERROR(__xludf.DUMMYFUNCTION("""COMPUTED_VALUE"""),"Adams 12 Five Star Schools")</f>
        <v>Adams 12 Five Star Schools</v>
      </c>
      <c r="C30" s="14" t="str">
        <f>IFERROR(__xludf.DUMMYFUNCTION("""COMPUTED_VALUE"""),"00014")</f>
        <v>00014</v>
      </c>
      <c r="D30" s="13" t="str">
        <f>IFERROR(__xludf.DUMMYFUNCTION("""COMPUTED_VALUE"""),"GLACIER PEAK ELEMENTARY SCHOOL")</f>
        <v>GLACIER PEAK ELEMENTARY SCHOOL</v>
      </c>
      <c r="E30" s="13" t="str">
        <f>IFERROR(__xludf.DUMMYFUNCTION("""COMPUTED_VALUE"""),"Group 11")</f>
        <v>Group 11</v>
      </c>
      <c r="F30" s="13" t="str">
        <f>IFERROR(__xludf.DUMMYFUNCTION("""COMPUTED_VALUE"""),"2024 - 2025")</f>
        <v>2024 - 2025</v>
      </c>
      <c r="G30" s="13" t="str">
        <f>IFERROR(__xludf.DUMMYFUNCTION("""COMPUTED_VALUE"""),"2023 - 2024")</f>
        <v>2023 - 2024</v>
      </c>
      <c r="H30" s="13">
        <f>IFERROR(__xludf.DUMMYFUNCTION("""COMPUTED_VALUE"""),80.88)</f>
        <v>80.88</v>
      </c>
      <c r="I30" s="15">
        <f>IFERROR(__xludf.DUMMYFUNCTION("""COMPUTED_VALUE"""),19.120000000000005)</f>
        <v>19.12</v>
      </c>
    </row>
    <row r="31">
      <c r="A31" s="13" t="str">
        <f>IFERROR(__xludf.DUMMYFUNCTION("""COMPUTED_VALUE"""),"0020")</f>
        <v>0020</v>
      </c>
      <c r="B31" s="13" t="str">
        <f>IFERROR(__xludf.DUMMYFUNCTION("""COMPUTED_VALUE"""),"Adams 12 Five Star Schools")</f>
        <v>Adams 12 Five Star Schools</v>
      </c>
      <c r="C31" s="14" t="str">
        <f>IFERROR(__xludf.DUMMYFUNCTION("""COMPUTED_VALUE"""),"00210")</f>
        <v>00210</v>
      </c>
      <c r="D31" s="13" t="str">
        <f>IFERROR(__xludf.DUMMYFUNCTION("""COMPUTED_VALUE"""),"VANTAGE POINT")</f>
        <v>VANTAGE POINT</v>
      </c>
      <c r="E31" s="13" t="str">
        <f>IFERROR(__xludf.DUMMYFUNCTION("""COMPUTED_VALUE"""),"Group 11")</f>
        <v>Group 11</v>
      </c>
      <c r="F31" s="13" t="str">
        <f>IFERROR(__xludf.DUMMYFUNCTION("""COMPUTED_VALUE"""),"2024 - 2025")</f>
        <v>2024 - 2025</v>
      </c>
      <c r="G31" s="13" t="str">
        <f>IFERROR(__xludf.DUMMYFUNCTION("""COMPUTED_VALUE"""),"2023 - 2024")</f>
        <v>2023 - 2024</v>
      </c>
      <c r="H31" s="13">
        <f>IFERROR(__xludf.DUMMYFUNCTION("""COMPUTED_VALUE"""),80.88)</f>
        <v>80.88</v>
      </c>
      <c r="I31" s="15">
        <f>IFERROR(__xludf.DUMMYFUNCTION("""COMPUTED_VALUE"""),19.120000000000005)</f>
        <v>19.12</v>
      </c>
    </row>
    <row r="32">
      <c r="A32" s="13" t="str">
        <f>IFERROR(__xludf.DUMMYFUNCTION("""COMPUTED_VALUE"""),"0020")</f>
        <v>0020</v>
      </c>
      <c r="B32" s="13" t="str">
        <f>IFERROR(__xludf.DUMMYFUNCTION("""COMPUTED_VALUE"""),"Adams 12 Five Star Schools")</f>
        <v>Adams 12 Five Star Schools</v>
      </c>
      <c r="C32" s="14" t="str">
        <f>IFERROR(__xludf.DUMMYFUNCTION("""COMPUTED_VALUE"""),"02584")</f>
        <v>02584</v>
      </c>
      <c r="D32" s="13" t="str">
        <f>IFERROR(__xludf.DUMMYFUNCTION("""COMPUTED_VALUE"""),"RIVERDALE ELEMENTARY SCHOOL")</f>
        <v>RIVERDALE ELEMENTARY SCHOOL</v>
      </c>
      <c r="E32" s="13" t="str">
        <f>IFERROR(__xludf.DUMMYFUNCTION("""COMPUTED_VALUE"""),"Group 11")</f>
        <v>Group 11</v>
      </c>
      <c r="F32" s="13" t="str">
        <f>IFERROR(__xludf.DUMMYFUNCTION("""COMPUTED_VALUE"""),"2024 - 2025")</f>
        <v>2024 - 2025</v>
      </c>
      <c r="G32" s="13" t="str">
        <f>IFERROR(__xludf.DUMMYFUNCTION("""COMPUTED_VALUE"""),"2023 - 2024")</f>
        <v>2023 - 2024</v>
      </c>
      <c r="H32" s="13">
        <f>IFERROR(__xludf.DUMMYFUNCTION("""COMPUTED_VALUE"""),80.88)</f>
        <v>80.88</v>
      </c>
      <c r="I32" s="15">
        <f>IFERROR(__xludf.DUMMYFUNCTION("""COMPUTED_VALUE"""),19.120000000000005)</f>
        <v>19.12</v>
      </c>
    </row>
    <row r="33">
      <c r="A33" s="13" t="str">
        <f>IFERROR(__xludf.DUMMYFUNCTION("""COMPUTED_VALUE"""),"0020")</f>
        <v>0020</v>
      </c>
      <c r="B33" s="13" t="str">
        <f>IFERROR(__xludf.DUMMYFUNCTION("""COMPUTED_VALUE"""),"Adams 12 Five Star Schools")</f>
        <v>Adams 12 Five Star Schools</v>
      </c>
      <c r="C33" s="14" t="str">
        <f>IFERROR(__xludf.DUMMYFUNCTION("""COMPUTED_VALUE"""),"02578")</f>
        <v>02578</v>
      </c>
      <c r="D33" s="13" t="str">
        <f>IFERROR(__xludf.DUMMYFUNCTION("""COMPUTED_VALUE"""),"SKYVIEW ELEMENTARY SCHOOL")</f>
        <v>SKYVIEW ELEMENTARY SCHOOL</v>
      </c>
      <c r="E33" s="13" t="str">
        <f>IFERROR(__xludf.DUMMYFUNCTION("""COMPUTED_VALUE"""),"Group 12")</f>
        <v>Group 12</v>
      </c>
      <c r="F33" s="13" t="str">
        <f>IFERROR(__xludf.DUMMYFUNCTION("""COMPUTED_VALUE"""),"2024 - 2025")</f>
        <v>2024 - 2025</v>
      </c>
      <c r="G33" s="13" t="str">
        <f>IFERROR(__xludf.DUMMYFUNCTION("""COMPUTED_VALUE"""),"2023 - 2024")</f>
        <v>2023 - 2024</v>
      </c>
      <c r="H33" s="13">
        <f>IFERROR(__xludf.DUMMYFUNCTION("""COMPUTED_VALUE"""),96.72)</f>
        <v>96.72</v>
      </c>
      <c r="I33" s="15">
        <f>IFERROR(__xludf.DUMMYFUNCTION("""COMPUTED_VALUE"""),3.280000000000001)</f>
        <v>3.28</v>
      </c>
    </row>
    <row r="34">
      <c r="A34" s="13" t="str">
        <f>IFERROR(__xludf.DUMMYFUNCTION("""COMPUTED_VALUE"""),"0020")</f>
        <v>0020</v>
      </c>
      <c r="B34" s="13" t="str">
        <f>IFERROR(__xludf.DUMMYFUNCTION("""COMPUTED_VALUE"""),"Adams 12 Five Star Schools")</f>
        <v>Adams 12 Five Star Schools</v>
      </c>
      <c r="C34" s="14" t="str">
        <f>IFERROR(__xludf.DUMMYFUNCTION("""COMPUTED_VALUE"""),"02918")</f>
        <v>02918</v>
      </c>
      <c r="D34" s="13" t="str">
        <f>IFERROR(__xludf.DUMMYFUNCTION("""COMPUTED_VALUE"""),"FEDERAL HEIGHTS ELEMENTARY SCHOOL")</f>
        <v>FEDERAL HEIGHTS ELEMENTARY SCHOOL</v>
      </c>
      <c r="E34" s="13" t="str">
        <f>IFERROR(__xludf.DUMMYFUNCTION("""COMPUTED_VALUE"""),"Group 12")</f>
        <v>Group 12</v>
      </c>
      <c r="F34" s="13" t="str">
        <f>IFERROR(__xludf.DUMMYFUNCTION("""COMPUTED_VALUE"""),"2024 - 2025")</f>
        <v>2024 - 2025</v>
      </c>
      <c r="G34" s="13" t="str">
        <f>IFERROR(__xludf.DUMMYFUNCTION("""COMPUTED_VALUE"""),"2023 - 2024")</f>
        <v>2023 - 2024</v>
      </c>
      <c r="H34" s="13">
        <f>IFERROR(__xludf.DUMMYFUNCTION("""COMPUTED_VALUE"""),96.72)</f>
        <v>96.72</v>
      </c>
      <c r="I34" s="15">
        <f>IFERROR(__xludf.DUMMYFUNCTION("""COMPUTED_VALUE"""),3.280000000000001)</f>
        <v>3.28</v>
      </c>
    </row>
    <row r="35">
      <c r="A35" s="13" t="str">
        <f>IFERROR(__xludf.DUMMYFUNCTION("""COMPUTED_VALUE"""),"0020")</f>
        <v>0020</v>
      </c>
      <c r="B35" s="13" t="str">
        <f>IFERROR(__xludf.DUMMYFUNCTION("""COMPUTED_VALUE"""),"Adams 12 Five Star Schools")</f>
        <v>Adams 12 Five Star Schools</v>
      </c>
      <c r="C35" s="14" t="str">
        <f>IFERROR(__xludf.DUMMYFUNCTION("""COMPUTED_VALUE"""),"06376")</f>
        <v>06376</v>
      </c>
      <c r="D35" s="13" t="str">
        <f>IFERROR(__xludf.DUMMYFUNCTION("""COMPUTED_VALUE"""),"NORTH STAR ELEMENTARY SCHOOL")</f>
        <v>NORTH STAR ELEMENTARY SCHOOL</v>
      </c>
      <c r="E35" s="13" t="str">
        <f>IFERROR(__xludf.DUMMYFUNCTION("""COMPUTED_VALUE"""),"Group 12")</f>
        <v>Group 12</v>
      </c>
      <c r="F35" s="13" t="str">
        <f>IFERROR(__xludf.DUMMYFUNCTION("""COMPUTED_VALUE"""),"2024 - 2025")</f>
        <v>2024 - 2025</v>
      </c>
      <c r="G35" s="13" t="str">
        <f>IFERROR(__xludf.DUMMYFUNCTION("""COMPUTED_VALUE"""),"2023 - 2024")</f>
        <v>2023 - 2024</v>
      </c>
      <c r="H35" s="13">
        <f>IFERROR(__xludf.DUMMYFUNCTION("""COMPUTED_VALUE"""),96.72)</f>
        <v>96.72</v>
      </c>
      <c r="I35" s="15">
        <f>IFERROR(__xludf.DUMMYFUNCTION("""COMPUTED_VALUE"""),3.280000000000001)</f>
        <v>3.28</v>
      </c>
    </row>
    <row r="36">
      <c r="A36" s="13" t="str">
        <f>IFERROR(__xludf.DUMMYFUNCTION("""COMPUTED_VALUE"""),"0020")</f>
        <v>0020</v>
      </c>
      <c r="B36" s="13" t="str">
        <f>IFERROR(__xludf.DUMMYFUNCTION("""COMPUTED_VALUE"""),"Adams 12 Five Star Schools")</f>
        <v>Adams 12 Five Star Schools</v>
      </c>
      <c r="C36" s="14" t="str">
        <f>IFERROR(__xludf.DUMMYFUNCTION("""COMPUTED_VALUE"""),"05706")</f>
        <v>05706</v>
      </c>
      <c r="D36" s="13" t="str">
        <f>IFERROR(__xludf.DUMMYFUNCTION("""COMPUTED_VALUE"""),"MC ELWAIN ELEMENTARY SCHOOL")</f>
        <v>MC ELWAIN ELEMENTARY SCHOOL</v>
      </c>
      <c r="E36" s="13" t="str">
        <f>IFERROR(__xludf.DUMMYFUNCTION("""COMPUTED_VALUE"""),"Group 13")</f>
        <v>Group 13</v>
      </c>
      <c r="F36" s="13" t="str">
        <f>IFERROR(__xludf.DUMMYFUNCTION("""COMPUTED_VALUE"""),"2024 - 2025")</f>
        <v>2024 - 2025</v>
      </c>
      <c r="G36" s="13" t="str">
        <f>IFERROR(__xludf.DUMMYFUNCTION("""COMPUTED_VALUE"""),"2023 - 2024")</f>
        <v>2023 - 2024</v>
      </c>
      <c r="H36" s="13">
        <f>IFERROR(__xludf.DUMMYFUNCTION("""COMPUTED_VALUE"""),100.0)</f>
        <v>100</v>
      </c>
      <c r="I36" s="15">
        <f>IFERROR(__xludf.DUMMYFUNCTION("""COMPUTED_VALUE"""),0.0)</f>
        <v>0</v>
      </c>
    </row>
    <row r="37">
      <c r="A37" s="13" t="str">
        <f>IFERROR(__xludf.DUMMYFUNCTION("""COMPUTED_VALUE"""),"0020")</f>
        <v>0020</v>
      </c>
      <c r="B37" s="13" t="str">
        <f>IFERROR(__xludf.DUMMYFUNCTION("""COMPUTED_VALUE"""),"Adams 12 Five Star Schools")</f>
        <v>Adams 12 Five Star Schools</v>
      </c>
      <c r="C37" s="14" t="str">
        <f>IFERROR(__xludf.DUMMYFUNCTION("""COMPUTED_VALUE"""),"09494")</f>
        <v>09494</v>
      </c>
      <c r="D37" s="13" t="str">
        <f>IFERROR(__xludf.DUMMYFUNCTION("""COMPUTED_VALUE"""),"WESTVIEW ELEMENTARY SCHOOL")</f>
        <v>WESTVIEW ELEMENTARY SCHOOL</v>
      </c>
      <c r="E37" s="13" t="str">
        <f>IFERROR(__xludf.DUMMYFUNCTION("""COMPUTED_VALUE"""),"Group 13")</f>
        <v>Group 13</v>
      </c>
      <c r="F37" s="13" t="str">
        <f>IFERROR(__xludf.DUMMYFUNCTION("""COMPUTED_VALUE"""),"2024 - 2025")</f>
        <v>2024 - 2025</v>
      </c>
      <c r="G37" s="13" t="str">
        <f>IFERROR(__xludf.DUMMYFUNCTION("""COMPUTED_VALUE"""),"2023 - 2024")</f>
        <v>2023 - 2024</v>
      </c>
      <c r="H37" s="13">
        <f>IFERROR(__xludf.DUMMYFUNCTION("""COMPUTED_VALUE"""),100.0)</f>
        <v>100</v>
      </c>
      <c r="I37" s="15">
        <f>IFERROR(__xludf.DUMMYFUNCTION("""COMPUTED_VALUE"""),0.0)</f>
        <v>0</v>
      </c>
    </row>
    <row r="38">
      <c r="A38" s="13" t="str">
        <f>IFERROR(__xludf.DUMMYFUNCTION("""COMPUTED_VALUE"""),"0020")</f>
        <v>0020</v>
      </c>
      <c r="B38" s="13" t="str">
        <f>IFERROR(__xludf.DUMMYFUNCTION("""COMPUTED_VALUE"""),"Adams 12 Five Star Schools")</f>
        <v>Adams 12 Five Star Schools</v>
      </c>
      <c r="C38" s="14" t="str">
        <f>IFERROR(__xludf.DUMMYFUNCTION("""COMPUTED_VALUE"""),"01480")</f>
        <v>01480</v>
      </c>
      <c r="D38" s="13" t="str">
        <f>IFERROR(__xludf.DUMMYFUNCTION("""COMPUTED_VALUE"""),"CENTURY MIDDLE SCHOOL")</f>
        <v>CENTURY MIDDLE SCHOOL</v>
      </c>
      <c r="E38" s="13" t="str">
        <f>IFERROR(__xludf.DUMMYFUNCTION("""COMPUTED_VALUE"""),"Group 14")</f>
        <v>Group 14</v>
      </c>
      <c r="F38" s="13" t="str">
        <f>IFERROR(__xludf.DUMMYFUNCTION("""COMPUTED_VALUE"""),"2024 - 2025")</f>
        <v>2024 - 2025</v>
      </c>
      <c r="G38" s="13" t="str">
        <f>IFERROR(__xludf.DUMMYFUNCTION("""COMPUTED_VALUE"""),"2023 - 2024")</f>
        <v>2023 - 2024</v>
      </c>
      <c r="H38" s="13">
        <f>IFERROR(__xludf.DUMMYFUNCTION("""COMPUTED_VALUE"""),73.15)</f>
        <v>73.15</v>
      </c>
      <c r="I38" s="15">
        <f>IFERROR(__xludf.DUMMYFUNCTION("""COMPUTED_VALUE"""),26.849999999999994)</f>
        <v>26.85</v>
      </c>
    </row>
    <row r="39">
      <c r="A39" s="13" t="str">
        <f>IFERROR(__xludf.DUMMYFUNCTION("""COMPUTED_VALUE"""),"0020")</f>
        <v>0020</v>
      </c>
      <c r="B39" s="13" t="str">
        <f>IFERROR(__xludf.DUMMYFUNCTION("""COMPUTED_VALUE"""),"Adams 12 Five Star Schools")</f>
        <v>Adams 12 Five Star Schools</v>
      </c>
      <c r="C39" s="14" t="str">
        <f>IFERROR(__xludf.DUMMYFUNCTION("""COMPUTED_VALUE"""),"01914")</f>
        <v>01914</v>
      </c>
      <c r="D39" s="13" t="str">
        <f>IFERROR(__xludf.DUMMYFUNCTION("""COMPUTED_VALUE"""),"COTTON CREEK ELEMENTARY SCHOOL")</f>
        <v>COTTON CREEK ELEMENTARY SCHOOL</v>
      </c>
      <c r="E39" s="13" t="str">
        <f>IFERROR(__xludf.DUMMYFUNCTION("""COMPUTED_VALUE"""),"Group 14")</f>
        <v>Group 14</v>
      </c>
      <c r="F39" s="13" t="str">
        <f>IFERROR(__xludf.DUMMYFUNCTION("""COMPUTED_VALUE"""),"2024 - 2025")</f>
        <v>2024 - 2025</v>
      </c>
      <c r="G39" s="13" t="str">
        <f>IFERROR(__xludf.DUMMYFUNCTION("""COMPUTED_VALUE"""),"2023 - 2024")</f>
        <v>2023 - 2024</v>
      </c>
      <c r="H39" s="13">
        <f>IFERROR(__xludf.DUMMYFUNCTION("""COMPUTED_VALUE"""),73.15)</f>
        <v>73.15</v>
      </c>
      <c r="I39" s="15">
        <f>IFERROR(__xludf.DUMMYFUNCTION("""COMPUTED_VALUE"""),26.849999999999994)</f>
        <v>26.85</v>
      </c>
    </row>
    <row r="40">
      <c r="A40" s="13" t="str">
        <f>IFERROR(__xludf.DUMMYFUNCTION("""COMPUTED_VALUE"""),"0020")</f>
        <v>0020</v>
      </c>
      <c r="B40" s="13" t="str">
        <f>IFERROR(__xludf.DUMMYFUNCTION("""COMPUTED_VALUE"""),"Adams 12 Five Star Schools")</f>
        <v>Adams 12 Five Star Schools</v>
      </c>
      <c r="C40" s="14" t="str">
        <f>IFERROR(__xludf.DUMMYFUNCTION("""COMPUTED_VALUE"""),"06398")</f>
        <v>06398</v>
      </c>
      <c r="D40" s="13" t="str">
        <f>IFERROR(__xludf.DUMMYFUNCTION("""COMPUTED_VALUE"""),"NORTHGLENN MIDDLE SCHOOL")</f>
        <v>NORTHGLENN MIDDLE SCHOOL</v>
      </c>
      <c r="E40" s="13" t="str">
        <f>IFERROR(__xludf.DUMMYFUNCTION("""COMPUTED_VALUE"""),"Group 14")</f>
        <v>Group 14</v>
      </c>
      <c r="F40" s="13" t="str">
        <f>IFERROR(__xludf.DUMMYFUNCTION("""COMPUTED_VALUE"""),"2024 - 2025")</f>
        <v>2024 - 2025</v>
      </c>
      <c r="G40" s="13" t="str">
        <f>IFERROR(__xludf.DUMMYFUNCTION("""COMPUTED_VALUE"""),"2023 - 2024")</f>
        <v>2023 - 2024</v>
      </c>
      <c r="H40" s="13">
        <f>IFERROR(__xludf.DUMMYFUNCTION("""COMPUTED_VALUE"""),73.15)</f>
        <v>73.15</v>
      </c>
      <c r="I40" s="15">
        <f>IFERROR(__xludf.DUMMYFUNCTION("""COMPUTED_VALUE"""),26.849999999999994)</f>
        <v>26.85</v>
      </c>
    </row>
    <row r="41">
      <c r="A41" s="13" t="str">
        <f>IFERROR(__xludf.DUMMYFUNCTION("""COMPUTED_VALUE"""),"0020")</f>
        <v>0020</v>
      </c>
      <c r="B41" s="13" t="str">
        <f>IFERROR(__xludf.DUMMYFUNCTION("""COMPUTED_VALUE"""),"Adams 12 Five Star Schools")</f>
        <v>Adams 12 Five Star Schools</v>
      </c>
      <c r="C41" s="14" t="str">
        <f>IFERROR(__xludf.DUMMYFUNCTION("""COMPUTED_VALUE"""),"02576")</f>
        <v>02576</v>
      </c>
      <c r="D41" s="13" t="str">
        <f>IFERROR(__xludf.DUMMYFUNCTION("""COMPUTED_VALUE"""),"CHERRY DRIVE ELEMENTARY SCHOOL")</f>
        <v>CHERRY DRIVE ELEMENTARY SCHOOL</v>
      </c>
      <c r="E41" s="13" t="str">
        <f>IFERROR(__xludf.DUMMYFUNCTION("""COMPUTED_VALUE"""),"Group 15")</f>
        <v>Group 15</v>
      </c>
      <c r="F41" s="13" t="str">
        <f>IFERROR(__xludf.DUMMYFUNCTION("""COMPUTED_VALUE"""),"2024 - 2025")</f>
        <v>2024 - 2025</v>
      </c>
      <c r="G41" s="13" t="str">
        <f>IFERROR(__xludf.DUMMYFUNCTION("""COMPUTED_VALUE"""),"2023 - 2024")</f>
        <v>2023 - 2024</v>
      </c>
      <c r="H41" s="13">
        <f>IFERROR(__xludf.DUMMYFUNCTION("""COMPUTED_VALUE"""),88.77)</f>
        <v>88.77</v>
      </c>
      <c r="I41" s="15">
        <f>IFERROR(__xludf.DUMMYFUNCTION("""COMPUTED_VALUE"""),11.230000000000004)</f>
        <v>11.23</v>
      </c>
    </row>
    <row r="42">
      <c r="A42" s="13" t="str">
        <f>IFERROR(__xludf.DUMMYFUNCTION("""COMPUTED_VALUE"""),"0020")</f>
        <v>0020</v>
      </c>
      <c r="B42" s="13" t="str">
        <f>IFERROR(__xludf.DUMMYFUNCTION("""COMPUTED_VALUE"""),"Adams 12 Five Star Schools")</f>
        <v>Adams 12 Five Star Schools</v>
      </c>
      <c r="C42" s="14" t="str">
        <f>IFERROR(__xludf.DUMMYFUNCTION("""COMPUTED_VALUE"""),"05814")</f>
        <v>05814</v>
      </c>
      <c r="D42" s="13" t="str">
        <f>IFERROR(__xludf.DUMMYFUNCTION("""COMPUTED_VALUE"""),"THORNTON MIDDLE SCHOOL")</f>
        <v>THORNTON MIDDLE SCHOOL</v>
      </c>
      <c r="E42" s="13" t="str">
        <f>IFERROR(__xludf.DUMMYFUNCTION("""COMPUTED_VALUE"""),"Group 15")</f>
        <v>Group 15</v>
      </c>
      <c r="F42" s="13" t="str">
        <f>IFERROR(__xludf.DUMMYFUNCTION("""COMPUTED_VALUE"""),"2024 - 2025")</f>
        <v>2024 - 2025</v>
      </c>
      <c r="G42" s="13" t="str">
        <f>IFERROR(__xludf.DUMMYFUNCTION("""COMPUTED_VALUE"""),"2023 - 2024")</f>
        <v>2023 - 2024</v>
      </c>
      <c r="H42" s="13">
        <f>IFERROR(__xludf.DUMMYFUNCTION("""COMPUTED_VALUE"""),88.77)</f>
        <v>88.77</v>
      </c>
      <c r="I42" s="15">
        <f>IFERROR(__xludf.DUMMYFUNCTION("""COMPUTED_VALUE"""),11.230000000000004)</f>
        <v>11.23</v>
      </c>
    </row>
    <row r="43">
      <c r="A43" s="13" t="str">
        <f>IFERROR(__xludf.DUMMYFUNCTION("""COMPUTED_VALUE"""),"0020")</f>
        <v>0020</v>
      </c>
      <c r="B43" s="13" t="str">
        <f>IFERROR(__xludf.DUMMYFUNCTION("""COMPUTED_VALUE"""),"Adams 12 Five Star Schools")</f>
        <v>Adams 12 Five Star Schools</v>
      </c>
      <c r="C43" s="14" t="str">
        <f>IFERROR(__xludf.DUMMYFUNCTION("""COMPUTED_VALUE"""),"09682")</f>
        <v>09682</v>
      </c>
      <c r="D43" s="13" t="str">
        <f>IFERROR(__xludf.DUMMYFUNCTION("""COMPUTED_VALUE"""),"WOODGLEN ELEMENTARY SCHOOL")</f>
        <v>WOODGLEN ELEMENTARY SCHOOL</v>
      </c>
      <c r="E43" s="13" t="str">
        <f>IFERROR(__xludf.DUMMYFUNCTION("""COMPUTED_VALUE"""),"Group 15")</f>
        <v>Group 15</v>
      </c>
      <c r="F43" s="13" t="str">
        <f>IFERROR(__xludf.DUMMYFUNCTION("""COMPUTED_VALUE"""),"2024 - 2025")</f>
        <v>2024 - 2025</v>
      </c>
      <c r="G43" s="13" t="str">
        <f>IFERROR(__xludf.DUMMYFUNCTION("""COMPUTED_VALUE"""),"2023 - 2024")</f>
        <v>2023 - 2024</v>
      </c>
      <c r="H43" s="13">
        <f>IFERROR(__xludf.DUMMYFUNCTION("""COMPUTED_VALUE"""),88.77)</f>
        <v>88.77</v>
      </c>
      <c r="I43" s="15">
        <f>IFERROR(__xludf.DUMMYFUNCTION("""COMPUTED_VALUE"""),11.230000000000004)</f>
        <v>11.23</v>
      </c>
    </row>
    <row r="44">
      <c r="A44" s="13" t="str">
        <f>IFERROR(__xludf.DUMMYFUNCTION("""COMPUTED_VALUE"""),"0020")</f>
        <v>0020</v>
      </c>
      <c r="B44" s="13" t="str">
        <f>IFERROR(__xludf.DUMMYFUNCTION("""COMPUTED_VALUE"""),"Adams 12 Five Star Schools")</f>
        <v>Adams 12 Five Star Schools</v>
      </c>
      <c r="C44" s="14" t="str">
        <f>IFERROR(__xludf.DUMMYFUNCTION("""COMPUTED_VALUE"""),"02580")</f>
        <v>02580</v>
      </c>
      <c r="D44" s="13" t="str">
        <f>IFERROR(__xludf.DUMMYFUNCTION("""COMPUTED_VALUE"""),"HUNTERS GLEN ELEMENTARY SCHOOL")</f>
        <v>HUNTERS GLEN ELEMENTARY SCHOOL</v>
      </c>
      <c r="E44" s="13" t="str">
        <f>IFERROR(__xludf.DUMMYFUNCTION("""COMPUTED_VALUE"""),"Group 16")</f>
        <v>Group 16</v>
      </c>
      <c r="F44" s="13" t="str">
        <f>IFERROR(__xludf.DUMMYFUNCTION("""COMPUTED_VALUE"""),"2024 - 2025")</f>
        <v>2024 - 2025</v>
      </c>
      <c r="G44" s="13" t="str">
        <f>IFERROR(__xludf.DUMMYFUNCTION("""COMPUTED_VALUE"""),"2023 - 2024")</f>
        <v>2023 - 2024</v>
      </c>
      <c r="H44" s="13">
        <f>IFERROR(__xludf.DUMMYFUNCTION("""COMPUTED_VALUE"""),70.7)</f>
        <v>70.7</v>
      </c>
      <c r="I44" s="15">
        <f>IFERROR(__xludf.DUMMYFUNCTION("""COMPUTED_VALUE"""),29.299999999999997)</f>
        <v>29.3</v>
      </c>
    </row>
    <row r="45">
      <c r="A45" s="13" t="str">
        <f>IFERROR(__xludf.DUMMYFUNCTION("""COMPUTED_VALUE"""),"0020")</f>
        <v>0020</v>
      </c>
      <c r="B45" s="13" t="str">
        <f>IFERROR(__xludf.DUMMYFUNCTION("""COMPUTED_VALUE"""),"Adams 12 Five Star Schools")</f>
        <v>Adams 12 Five Star Schools</v>
      </c>
      <c r="C45" s="14" t="str">
        <f>IFERROR(__xludf.DUMMYFUNCTION("""COMPUTED_VALUE"""),"04187")</f>
        <v>04187</v>
      </c>
      <c r="D45" s="13" t="str">
        <f>IFERROR(__xludf.DUMMYFUNCTION("""COMPUTED_VALUE"""),"SILVER HILLS MIDDLE SCHOOL")</f>
        <v>SILVER HILLS MIDDLE SCHOOL</v>
      </c>
      <c r="E45" s="13" t="str">
        <f>IFERROR(__xludf.DUMMYFUNCTION("""COMPUTED_VALUE"""),"Group 17")</f>
        <v>Group 17</v>
      </c>
      <c r="F45" s="13" t="str">
        <f>IFERROR(__xludf.DUMMYFUNCTION("""COMPUTED_VALUE"""),"2024 - 2025")</f>
        <v>2024 - 2025</v>
      </c>
      <c r="G45" s="13" t="str">
        <f>IFERROR(__xludf.DUMMYFUNCTION("""COMPUTED_VALUE"""),"2023 - 2024")</f>
        <v>2023 - 2024</v>
      </c>
      <c r="H45" s="13">
        <f>IFERROR(__xludf.DUMMYFUNCTION("""COMPUTED_VALUE"""),86.86)</f>
        <v>86.86</v>
      </c>
      <c r="I45" s="15">
        <f>IFERROR(__xludf.DUMMYFUNCTION("""COMPUTED_VALUE"""),13.14)</f>
        <v>13.14</v>
      </c>
    </row>
    <row r="46">
      <c r="A46" s="13" t="str">
        <f>IFERROR(__xludf.DUMMYFUNCTION("""COMPUTED_VALUE"""),"0020")</f>
        <v>0020</v>
      </c>
      <c r="B46" s="13" t="str">
        <f>IFERROR(__xludf.DUMMYFUNCTION("""COMPUTED_VALUE"""),"Adams 12 Five Star Schools")</f>
        <v>Adams 12 Five Star Schools</v>
      </c>
      <c r="C46" s="14" t="str">
        <f>IFERROR(__xludf.DUMMYFUNCTION("""COMPUTED_VALUE"""),"01937")</f>
        <v>01937</v>
      </c>
      <c r="D46" s="13" t="str">
        <f>IFERROR(__xludf.DUMMYFUNCTION("""COMPUTED_VALUE"""),"COYOTE RIDGE ELEMENTARY SCHOOL")</f>
        <v>COYOTE RIDGE ELEMENTARY SCHOOL</v>
      </c>
      <c r="E46" s="13" t="str">
        <f>IFERROR(__xludf.DUMMYFUNCTION("""COMPUTED_VALUE"""),"Group 18")</f>
        <v>Group 18</v>
      </c>
      <c r="F46" s="13" t="str">
        <f>IFERROR(__xludf.DUMMYFUNCTION("""COMPUTED_VALUE"""),"2024 - 2025")</f>
        <v>2024 - 2025</v>
      </c>
      <c r="G46" s="13" t="str">
        <f>IFERROR(__xludf.DUMMYFUNCTION("""COMPUTED_VALUE"""),"2023 - 2024")</f>
        <v>2023 - 2024</v>
      </c>
      <c r="H46" s="13">
        <f>IFERROR(__xludf.DUMMYFUNCTION("""COMPUTED_VALUE"""),45.15)</f>
        <v>45.15</v>
      </c>
      <c r="I46" s="15">
        <f>IFERROR(__xludf.DUMMYFUNCTION("""COMPUTED_VALUE"""),54.85)</f>
        <v>54.85</v>
      </c>
    </row>
    <row r="47">
      <c r="A47" s="13" t="str">
        <f>IFERROR(__xludf.DUMMYFUNCTION("""COMPUTED_VALUE"""),"0020")</f>
        <v>0020</v>
      </c>
      <c r="B47" s="13" t="str">
        <f>IFERROR(__xludf.DUMMYFUNCTION("""COMPUTED_VALUE"""),"Adams 12 Five Star Schools")</f>
        <v>Adams 12 Five Star Schools</v>
      </c>
      <c r="C47" s="14" t="str">
        <f>IFERROR(__xludf.DUMMYFUNCTION("""COMPUTED_VALUE"""),"02410")</f>
        <v>02410</v>
      </c>
      <c r="D47" s="13" t="str">
        <f>IFERROR(__xludf.DUMMYFUNCTION("""COMPUTED_VALUE"""),"TARVER ELEMENTARY SCHOOL")</f>
        <v>TARVER ELEMENTARY SCHOOL</v>
      </c>
      <c r="E47" s="13" t="str">
        <f>IFERROR(__xludf.DUMMYFUNCTION("""COMPUTED_VALUE"""),"Group 18")</f>
        <v>Group 18</v>
      </c>
      <c r="F47" s="13" t="str">
        <f>IFERROR(__xludf.DUMMYFUNCTION("""COMPUTED_VALUE"""),"2024 - 2025")</f>
        <v>2024 - 2025</v>
      </c>
      <c r="G47" s="13" t="str">
        <f>IFERROR(__xludf.DUMMYFUNCTION("""COMPUTED_VALUE"""),"2023 - 2024")</f>
        <v>2023 - 2024</v>
      </c>
      <c r="H47" s="13">
        <f>IFERROR(__xludf.DUMMYFUNCTION("""COMPUTED_VALUE"""),45.15)</f>
        <v>45.15</v>
      </c>
      <c r="I47" s="15">
        <f>IFERROR(__xludf.DUMMYFUNCTION("""COMPUTED_VALUE"""),54.85)</f>
        <v>54.85</v>
      </c>
    </row>
    <row r="48">
      <c r="A48" s="13" t="str">
        <f>IFERROR(__xludf.DUMMYFUNCTION("""COMPUTED_VALUE"""),"0020")</f>
        <v>0020</v>
      </c>
      <c r="B48" s="13" t="str">
        <f>IFERROR(__xludf.DUMMYFUNCTION("""COMPUTED_VALUE"""),"Adams 12 Five Star Schools")</f>
        <v>Adams 12 Five Star Schools</v>
      </c>
      <c r="C48" s="14" t="str">
        <f>IFERROR(__xludf.DUMMYFUNCTION("""COMPUTED_VALUE"""),"06956")</f>
        <v>06956</v>
      </c>
      <c r="D48" s="13" t="str">
        <f>IFERROR(__xludf.DUMMYFUNCTION("""COMPUTED_VALUE"""),"PATHWAYS FUTURE CENTER")</f>
        <v>PATHWAYS FUTURE CENTER</v>
      </c>
      <c r="E48" s="13" t="str">
        <f>IFERROR(__xludf.DUMMYFUNCTION("""COMPUTED_VALUE"""),"Group 18")</f>
        <v>Group 18</v>
      </c>
      <c r="F48" s="13" t="str">
        <f>IFERROR(__xludf.DUMMYFUNCTION("""COMPUTED_VALUE"""),"2024 - 2025")</f>
        <v>2024 - 2025</v>
      </c>
      <c r="G48" s="13" t="str">
        <f>IFERROR(__xludf.DUMMYFUNCTION("""COMPUTED_VALUE"""),"2023 - 2024")</f>
        <v>2023 - 2024</v>
      </c>
      <c r="H48" s="13">
        <f>IFERROR(__xludf.DUMMYFUNCTION("""COMPUTED_VALUE"""),45.15)</f>
        <v>45.15</v>
      </c>
      <c r="I48" s="15">
        <f>IFERROR(__xludf.DUMMYFUNCTION("""COMPUTED_VALUE"""),54.85)</f>
        <v>54.85</v>
      </c>
    </row>
    <row r="49">
      <c r="A49" s="13" t="str">
        <f>IFERROR(__xludf.DUMMYFUNCTION("""COMPUTED_VALUE"""),"0020")</f>
        <v>0020</v>
      </c>
      <c r="B49" s="13" t="str">
        <f>IFERROR(__xludf.DUMMYFUNCTION("""COMPUTED_VALUE"""),"Adams 12 Five Star Schools")</f>
        <v>Adams 12 Five Star Schools</v>
      </c>
      <c r="C49" s="14" t="str">
        <f>IFERROR(__xludf.DUMMYFUNCTION("""COMPUTED_VALUE"""),"01388")</f>
        <v>01388</v>
      </c>
      <c r="D49" s="13" t="str">
        <f>IFERROR(__xludf.DUMMYFUNCTION("""COMPUTED_VALUE"""),"CENTENNIAL ELEMENTARY SCHOOL")</f>
        <v>CENTENNIAL ELEMENTARY SCHOOL</v>
      </c>
      <c r="E49" s="13" t="str">
        <f>IFERROR(__xludf.DUMMYFUNCTION("""COMPUTED_VALUE"""),"Group 2")</f>
        <v>Group 2</v>
      </c>
      <c r="F49" s="13" t="str">
        <f>IFERROR(__xludf.DUMMYFUNCTION("""COMPUTED_VALUE"""),"2024 - 2025")</f>
        <v>2024 - 2025</v>
      </c>
      <c r="G49" s="13" t="str">
        <f>IFERROR(__xludf.DUMMYFUNCTION("""COMPUTED_VALUE"""),"2023 - 2024")</f>
        <v>2023 - 2024</v>
      </c>
      <c r="H49" s="13">
        <f>IFERROR(__xludf.DUMMYFUNCTION("""COMPUTED_VALUE"""),99.89)</f>
        <v>99.89</v>
      </c>
      <c r="I49" s="15">
        <f>IFERROR(__xludf.DUMMYFUNCTION("""COMPUTED_VALUE"""),0.10999999999999943)</f>
        <v>0.11</v>
      </c>
    </row>
    <row r="50">
      <c r="A50" s="13" t="str">
        <f>IFERROR(__xludf.DUMMYFUNCTION("""COMPUTED_VALUE"""),"0020")</f>
        <v>0020</v>
      </c>
      <c r="B50" s="13" t="str">
        <f>IFERROR(__xludf.DUMMYFUNCTION("""COMPUTED_VALUE"""),"Adams 12 Five Star Schools")</f>
        <v>Adams 12 Five Star Schools</v>
      </c>
      <c r="C50" s="14" t="str">
        <f>IFERROR(__xludf.DUMMYFUNCTION("""COMPUTED_VALUE"""),"08842")</f>
        <v>08842</v>
      </c>
      <c r="D50" s="13" t="str">
        <f>IFERROR(__xludf.DUMMYFUNCTION("""COMPUTED_VALUE"""),"THORNTON ELEMENTARY SCHOOL")</f>
        <v>THORNTON ELEMENTARY SCHOOL</v>
      </c>
      <c r="E50" s="13" t="str">
        <f>IFERROR(__xludf.DUMMYFUNCTION("""COMPUTED_VALUE"""),"Group 2")</f>
        <v>Group 2</v>
      </c>
      <c r="F50" s="13" t="str">
        <f>IFERROR(__xludf.DUMMYFUNCTION("""COMPUTED_VALUE"""),"2024 - 2025")</f>
        <v>2024 - 2025</v>
      </c>
      <c r="G50" s="13" t="str">
        <f>IFERROR(__xludf.DUMMYFUNCTION("""COMPUTED_VALUE"""),"2023 - 2024")</f>
        <v>2023 - 2024</v>
      </c>
      <c r="H50" s="13">
        <f>IFERROR(__xludf.DUMMYFUNCTION("""COMPUTED_VALUE"""),99.89)</f>
        <v>99.89</v>
      </c>
      <c r="I50" s="15">
        <f>IFERROR(__xludf.DUMMYFUNCTION("""COMPUTED_VALUE"""),0.10999999999999943)</f>
        <v>0.11</v>
      </c>
    </row>
    <row r="51">
      <c r="A51" s="13" t="str">
        <f>IFERROR(__xludf.DUMMYFUNCTION("""COMPUTED_VALUE"""),"0020")</f>
        <v>0020</v>
      </c>
      <c r="B51" s="13" t="str">
        <f>IFERROR(__xludf.DUMMYFUNCTION("""COMPUTED_VALUE"""),"Adams 12 Five Star Schools")</f>
        <v>Adams 12 Five Star Schools</v>
      </c>
      <c r="C51" s="14" t="str">
        <f>IFERROR(__xludf.DUMMYFUNCTION("""COMPUTED_VALUE"""),"00301")</f>
        <v>00301</v>
      </c>
      <c r="D51" s="13" t="str">
        <f>IFERROR(__xludf.DUMMYFUNCTION("""COMPUTED_VALUE"""),"ARAPAHOE RIDGE ELEMENTARY SCHOOL")</f>
        <v>ARAPAHOE RIDGE ELEMENTARY SCHOOL</v>
      </c>
      <c r="E51" s="13" t="str">
        <f>IFERROR(__xludf.DUMMYFUNCTION("""COMPUTED_VALUE"""),"Group 3")</f>
        <v>Group 3</v>
      </c>
      <c r="F51" s="13" t="str">
        <f>IFERROR(__xludf.DUMMYFUNCTION("""COMPUTED_VALUE"""),"2024 - 2025")</f>
        <v>2024 - 2025</v>
      </c>
      <c r="G51" s="13" t="str">
        <f>IFERROR(__xludf.DUMMYFUNCTION("""COMPUTED_VALUE"""),"2023 - 2024")</f>
        <v>2023 - 2024</v>
      </c>
      <c r="H51" s="13">
        <f>IFERROR(__xludf.DUMMYFUNCTION("""COMPUTED_VALUE"""),73.74)</f>
        <v>73.74</v>
      </c>
      <c r="I51" s="15">
        <f>IFERROR(__xludf.DUMMYFUNCTION("""COMPUTED_VALUE"""),26.260000000000005)</f>
        <v>26.26</v>
      </c>
    </row>
    <row r="52">
      <c r="A52" s="13" t="str">
        <f>IFERROR(__xludf.DUMMYFUNCTION("""COMPUTED_VALUE"""),"0020")</f>
        <v>0020</v>
      </c>
      <c r="B52" s="13" t="str">
        <f>IFERROR(__xludf.DUMMYFUNCTION("""COMPUTED_VALUE"""),"Adams 12 Five Star Schools")</f>
        <v>Adams 12 Five Star Schools</v>
      </c>
      <c r="C52" s="14" t="str">
        <f>IFERROR(__xludf.DUMMYFUNCTION("""COMPUTED_VALUE"""),"05058")</f>
        <v>05058</v>
      </c>
      <c r="D52" s="13" t="str">
        <f>IFERROR(__xludf.DUMMYFUNCTION("""COMPUTED_VALUE"""),"LEROY DRIVE ELEMENTARY SCHOOL")</f>
        <v>LEROY DRIVE ELEMENTARY SCHOOL</v>
      </c>
      <c r="E52" s="13" t="str">
        <f>IFERROR(__xludf.DUMMYFUNCTION("""COMPUTED_VALUE"""),"Group 4")</f>
        <v>Group 4</v>
      </c>
      <c r="F52" s="13" t="str">
        <f>IFERROR(__xludf.DUMMYFUNCTION("""COMPUTED_VALUE"""),"2024 - 2025")</f>
        <v>2024 - 2025</v>
      </c>
      <c r="G52" s="13" t="str">
        <f>IFERROR(__xludf.DUMMYFUNCTION("""COMPUTED_VALUE"""),"2023 - 2024")</f>
        <v>2023 - 2024</v>
      </c>
      <c r="H52" s="13">
        <f>IFERROR(__xludf.DUMMYFUNCTION("""COMPUTED_VALUE"""),100.0)</f>
        <v>100</v>
      </c>
      <c r="I52" s="15">
        <f>IFERROR(__xludf.DUMMYFUNCTION("""COMPUTED_VALUE"""),0.0)</f>
        <v>0</v>
      </c>
    </row>
    <row r="53">
      <c r="A53" s="13" t="str">
        <f>IFERROR(__xludf.DUMMYFUNCTION("""COMPUTED_VALUE"""),"0020")</f>
        <v>0020</v>
      </c>
      <c r="B53" s="13" t="str">
        <f>IFERROR(__xludf.DUMMYFUNCTION("""COMPUTED_VALUE"""),"Adams 12 Five Star Schools")</f>
        <v>Adams 12 Five Star Schools</v>
      </c>
      <c r="C53" s="14" t="str">
        <f>IFERROR(__xludf.DUMMYFUNCTION("""COMPUTED_VALUE"""),"06355")</f>
        <v>06355</v>
      </c>
      <c r="D53" s="13" t="str">
        <f>IFERROR(__xludf.DUMMYFUNCTION("""COMPUTED_VALUE"""),"NORTH MOR ELEMENTARY SCHOOL")</f>
        <v>NORTH MOR ELEMENTARY SCHOOL</v>
      </c>
      <c r="E53" s="13" t="str">
        <f>IFERROR(__xludf.DUMMYFUNCTION("""COMPUTED_VALUE"""),"Group 4")</f>
        <v>Group 4</v>
      </c>
      <c r="F53" s="13" t="str">
        <f>IFERROR(__xludf.DUMMYFUNCTION("""COMPUTED_VALUE"""),"2024 - 2025")</f>
        <v>2024 - 2025</v>
      </c>
      <c r="G53" s="13" t="str">
        <f>IFERROR(__xludf.DUMMYFUNCTION("""COMPUTED_VALUE"""),"2023 - 2024")</f>
        <v>2023 - 2024</v>
      </c>
      <c r="H53" s="13">
        <f>IFERROR(__xludf.DUMMYFUNCTION("""COMPUTED_VALUE"""),100.0)</f>
        <v>100</v>
      </c>
      <c r="I53" s="15">
        <f>IFERROR(__xludf.DUMMYFUNCTION("""COMPUTED_VALUE"""),0.0)</f>
        <v>0</v>
      </c>
    </row>
    <row r="54">
      <c r="A54" s="13" t="str">
        <f>IFERROR(__xludf.DUMMYFUNCTION("""COMPUTED_VALUE"""),"0020")</f>
        <v>0020</v>
      </c>
      <c r="B54" s="13" t="str">
        <f>IFERROR(__xludf.DUMMYFUNCTION("""COMPUTED_VALUE"""),"Adams 12 Five Star Schools")</f>
        <v>Adams 12 Five Star Schools</v>
      </c>
      <c r="C54" s="14" t="str">
        <f>IFERROR(__xludf.DUMMYFUNCTION("""COMPUTED_VALUE"""),"00059")</f>
        <v>00059</v>
      </c>
      <c r="D54" s="13" t="str">
        <f>IFERROR(__xludf.DUMMYFUNCTION("""COMPUTED_VALUE"""),"MERIDIAN ELEMENTARY")</f>
        <v>MERIDIAN ELEMENTARY</v>
      </c>
      <c r="E54" s="13" t="str">
        <f>IFERROR(__xludf.DUMMYFUNCTION("""COMPUTED_VALUE"""),"Group 5")</f>
        <v>Group 5</v>
      </c>
      <c r="F54" s="13" t="str">
        <f>IFERROR(__xludf.DUMMYFUNCTION("""COMPUTED_VALUE"""),"2024 - 2025")</f>
        <v>2024 - 2025</v>
      </c>
      <c r="G54" s="13" t="str">
        <f>IFERROR(__xludf.DUMMYFUNCTION("""COMPUTED_VALUE"""),"2023 - 2024")</f>
        <v>2023 - 2024</v>
      </c>
      <c r="H54" s="13">
        <f>IFERROR(__xludf.DUMMYFUNCTION("""COMPUTED_VALUE"""),48.48)</f>
        <v>48.48</v>
      </c>
      <c r="I54" s="15">
        <f>IFERROR(__xludf.DUMMYFUNCTION("""COMPUTED_VALUE"""),51.52)</f>
        <v>51.52</v>
      </c>
    </row>
    <row r="55">
      <c r="A55" s="13" t="str">
        <f>IFERROR(__xludf.DUMMYFUNCTION("""COMPUTED_VALUE"""),"0020")</f>
        <v>0020</v>
      </c>
      <c r="B55" s="13" t="str">
        <f>IFERROR(__xludf.DUMMYFUNCTION("""COMPUTED_VALUE"""),"Adams 12 Five Star Schools")</f>
        <v>Adams 12 Five Star Schools</v>
      </c>
      <c r="C55" s="14" t="str">
        <f>IFERROR(__xludf.DUMMYFUNCTION("""COMPUTED_VALUE"""),"06402")</f>
        <v>06402</v>
      </c>
      <c r="D55" s="13" t="str">
        <f>IFERROR(__xludf.DUMMYFUNCTION("""COMPUTED_VALUE"""),"NORTHGLENN HIGH SCHOOL")</f>
        <v>NORTHGLENN HIGH SCHOOL</v>
      </c>
      <c r="E55" s="13" t="str">
        <f>IFERROR(__xludf.DUMMYFUNCTION("""COMPUTED_VALUE"""),"Group 5")</f>
        <v>Group 5</v>
      </c>
      <c r="F55" s="13" t="str">
        <f>IFERROR(__xludf.DUMMYFUNCTION("""COMPUTED_VALUE"""),"2024 - 2025")</f>
        <v>2024 - 2025</v>
      </c>
      <c r="G55" s="13" t="str">
        <f>IFERROR(__xludf.DUMMYFUNCTION("""COMPUTED_VALUE"""),"2023 - 2024")</f>
        <v>2023 - 2024</v>
      </c>
      <c r="H55" s="13">
        <f>IFERROR(__xludf.DUMMYFUNCTION("""COMPUTED_VALUE"""),48.48)</f>
        <v>48.48</v>
      </c>
      <c r="I55" s="15">
        <f>IFERROR(__xludf.DUMMYFUNCTION("""COMPUTED_VALUE"""),51.52)</f>
        <v>51.52</v>
      </c>
    </row>
    <row r="56">
      <c r="A56" s="13" t="str">
        <f>IFERROR(__xludf.DUMMYFUNCTION("""COMPUTED_VALUE"""),"0020")</f>
        <v>0020</v>
      </c>
      <c r="B56" s="13" t="str">
        <f>IFERROR(__xludf.DUMMYFUNCTION("""COMPUTED_VALUE"""),"Adams 12 Five Star Schools")</f>
        <v>Adams 12 Five Star Schools</v>
      </c>
      <c r="C56" s="14" t="str">
        <f>IFERROR(__xludf.DUMMYFUNCTION("""COMPUTED_VALUE"""),"07155")</f>
        <v>07155</v>
      </c>
      <c r="D56" s="13" t="str">
        <f>IFERROR(__xludf.DUMMYFUNCTION("""COMPUTED_VALUE"""),"PRAIRIE HILLS ELEMENTARY")</f>
        <v>PRAIRIE HILLS ELEMENTARY</v>
      </c>
      <c r="E56" s="13" t="str">
        <f>IFERROR(__xludf.DUMMYFUNCTION("""COMPUTED_VALUE"""),"Group 5")</f>
        <v>Group 5</v>
      </c>
      <c r="F56" s="13" t="str">
        <f>IFERROR(__xludf.DUMMYFUNCTION("""COMPUTED_VALUE"""),"2024 - 2025")</f>
        <v>2024 - 2025</v>
      </c>
      <c r="G56" s="13" t="str">
        <f>IFERROR(__xludf.DUMMYFUNCTION("""COMPUTED_VALUE"""),"2023 - 2024")</f>
        <v>2023 - 2024</v>
      </c>
      <c r="H56" s="13">
        <f>IFERROR(__xludf.DUMMYFUNCTION("""COMPUTED_VALUE"""),48.48)</f>
        <v>48.48</v>
      </c>
      <c r="I56" s="15">
        <f>IFERROR(__xludf.DUMMYFUNCTION("""COMPUTED_VALUE"""),51.52)</f>
        <v>51.52</v>
      </c>
    </row>
    <row r="57">
      <c r="A57" s="13" t="str">
        <f>IFERROR(__xludf.DUMMYFUNCTION("""COMPUTED_VALUE"""),"0020")</f>
        <v>0020</v>
      </c>
      <c r="B57" s="13" t="str">
        <f>IFERROR(__xludf.DUMMYFUNCTION("""COMPUTED_VALUE"""),"Adams 12 Five Star Schools")</f>
        <v>Adams 12 Five Star Schools</v>
      </c>
      <c r="C57" s="14" t="str">
        <f>IFERROR(__xludf.DUMMYFUNCTION("""COMPUTED_VALUE"""),"07795")</f>
        <v>07795</v>
      </c>
      <c r="D57" s="13" t="str">
        <f>IFERROR(__xludf.DUMMYFUNCTION("""COMPUTED_VALUE"""),"SILVER CREEK ELEMENTARY")</f>
        <v>SILVER CREEK ELEMENTARY</v>
      </c>
      <c r="E57" s="13" t="str">
        <f>IFERROR(__xludf.DUMMYFUNCTION("""COMPUTED_VALUE"""),"Group 5")</f>
        <v>Group 5</v>
      </c>
      <c r="F57" s="13" t="str">
        <f>IFERROR(__xludf.DUMMYFUNCTION("""COMPUTED_VALUE"""),"2024 - 2025")</f>
        <v>2024 - 2025</v>
      </c>
      <c r="G57" s="13" t="str">
        <f>IFERROR(__xludf.DUMMYFUNCTION("""COMPUTED_VALUE"""),"2023 - 2024")</f>
        <v>2023 - 2024</v>
      </c>
      <c r="H57" s="13">
        <f>IFERROR(__xludf.DUMMYFUNCTION("""COMPUTED_VALUE"""),48.48)</f>
        <v>48.48</v>
      </c>
      <c r="I57" s="15">
        <f>IFERROR(__xludf.DUMMYFUNCTION("""COMPUTED_VALUE"""),51.52)</f>
        <v>51.52</v>
      </c>
    </row>
    <row r="58">
      <c r="A58" s="13" t="str">
        <f>IFERROR(__xludf.DUMMYFUNCTION("""COMPUTED_VALUE"""),"0020")</f>
        <v>0020</v>
      </c>
      <c r="B58" s="13" t="str">
        <f>IFERROR(__xludf.DUMMYFUNCTION("""COMPUTED_VALUE"""),"Adams 12 Five Star Schools")</f>
        <v>Adams 12 Five Star Schools</v>
      </c>
      <c r="C58" s="14" t="str">
        <f>IFERROR(__xludf.DUMMYFUNCTION("""COMPUTED_VALUE"""),"08814")</f>
        <v>08814</v>
      </c>
      <c r="D58" s="13" t="str">
        <f>IFERROR(__xludf.DUMMYFUNCTION("""COMPUTED_VALUE"""),"Thunder Vista P-8")</f>
        <v>Thunder Vista P-8</v>
      </c>
      <c r="E58" s="13" t="str">
        <f>IFERROR(__xludf.DUMMYFUNCTION("""COMPUTED_VALUE"""),"Group 5")</f>
        <v>Group 5</v>
      </c>
      <c r="F58" s="13" t="str">
        <f>IFERROR(__xludf.DUMMYFUNCTION("""COMPUTED_VALUE"""),"2024 - 2025")</f>
        <v>2024 - 2025</v>
      </c>
      <c r="G58" s="13" t="str">
        <f>IFERROR(__xludf.DUMMYFUNCTION("""COMPUTED_VALUE"""),"2023 - 2024")</f>
        <v>2023 - 2024</v>
      </c>
      <c r="H58" s="13">
        <f>IFERROR(__xludf.DUMMYFUNCTION("""COMPUTED_VALUE"""),48.48)</f>
        <v>48.48</v>
      </c>
      <c r="I58" s="15">
        <f>IFERROR(__xludf.DUMMYFUNCTION("""COMPUTED_VALUE"""),51.52)</f>
        <v>51.52</v>
      </c>
    </row>
    <row r="59">
      <c r="A59" s="13" t="str">
        <f>IFERROR(__xludf.DUMMYFUNCTION("""COMPUTED_VALUE"""),"0020")</f>
        <v>0020</v>
      </c>
      <c r="B59" s="13" t="str">
        <f>IFERROR(__xludf.DUMMYFUNCTION("""COMPUTED_VALUE"""),"Adams 12 Five Star Schools")</f>
        <v>Adams 12 Five Star Schools</v>
      </c>
      <c r="C59" s="14" t="str">
        <f>IFERROR(__xludf.DUMMYFUNCTION("""COMPUTED_VALUE"""),"06342")</f>
        <v>06342</v>
      </c>
      <c r="D59" s="13" t="str">
        <f>IFERROR(__xludf.DUMMYFUNCTION("""COMPUTED_VALUE"""),"SHADOW RIDGE MIDDLE SCHOOL")</f>
        <v>SHADOW RIDGE MIDDLE SCHOOL</v>
      </c>
      <c r="E59" s="13" t="str">
        <f>IFERROR(__xludf.DUMMYFUNCTION("""COMPUTED_VALUE"""),"Group 6")</f>
        <v>Group 6</v>
      </c>
      <c r="F59" s="13" t="str">
        <f>IFERROR(__xludf.DUMMYFUNCTION("""COMPUTED_VALUE"""),"2024 - 2025")</f>
        <v>2024 - 2025</v>
      </c>
      <c r="G59" s="13" t="str">
        <f>IFERROR(__xludf.DUMMYFUNCTION("""COMPUTED_VALUE"""),"2023 - 2024")</f>
        <v>2023 - 2024</v>
      </c>
      <c r="H59" s="13">
        <f>IFERROR(__xludf.DUMMYFUNCTION("""COMPUTED_VALUE"""),67.89)</f>
        <v>67.89</v>
      </c>
      <c r="I59" s="15">
        <f>IFERROR(__xludf.DUMMYFUNCTION("""COMPUTED_VALUE"""),32.11)</f>
        <v>32.11</v>
      </c>
    </row>
    <row r="60">
      <c r="A60" s="13" t="str">
        <f>IFERROR(__xludf.DUMMYFUNCTION("""COMPUTED_VALUE"""),"0020")</f>
        <v>0020</v>
      </c>
      <c r="B60" s="13" t="str">
        <f>IFERROR(__xludf.DUMMYFUNCTION("""COMPUTED_VALUE"""),"Adams 12 Five Star Schools")</f>
        <v>Adams 12 Five Star Schools</v>
      </c>
      <c r="C60" s="14" t="str">
        <f>IFERROR(__xludf.DUMMYFUNCTION("""COMPUTED_VALUE"""),"08310")</f>
        <v>08310</v>
      </c>
      <c r="D60" s="13" t="str">
        <f>IFERROR(__xludf.DUMMYFUNCTION("""COMPUTED_VALUE"""),"STEM LAUNCH")</f>
        <v>STEM LAUNCH</v>
      </c>
      <c r="E60" s="13" t="str">
        <f>IFERROR(__xludf.DUMMYFUNCTION("""COMPUTED_VALUE"""),"Group 7")</f>
        <v>Group 7</v>
      </c>
      <c r="F60" s="13" t="str">
        <f>IFERROR(__xludf.DUMMYFUNCTION("""COMPUTED_VALUE"""),"2024 - 2025")</f>
        <v>2024 - 2025</v>
      </c>
      <c r="G60" s="13" t="str">
        <f>IFERROR(__xludf.DUMMYFUNCTION("""COMPUTED_VALUE"""),"2023 - 2024")</f>
        <v>2023 - 2024</v>
      </c>
      <c r="H60" s="13">
        <f>IFERROR(__xludf.DUMMYFUNCTION("""COMPUTED_VALUE"""),92.32)</f>
        <v>92.32</v>
      </c>
      <c r="I60" s="15">
        <f>IFERROR(__xludf.DUMMYFUNCTION("""COMPUTED_VALUE"""),7.680000000000007)</f>
        <v>7.68</v>
      </c>
    </row>
    <row r="61">
      <c r="A61" s="13" t="str">
        <f>IFERROR(__xludf.DUMMYFUNCTION("""COMPUTED_VALUE"""),"0020")</f>
        <v>0020</v>
      </c>
      <c r="B61" s="13" t="str">
        <f>IFERROR(__xludf.DUMMYFUNCTION("""COMPUTED_VALUE"""),"Adams 12 Five Star Schools")</f>
        <v>Adams 12 Five Star Schools</v>
      </c>
      <c r="C61" s="14" t="str">
        <f>IFERROR(__xludf.DUMMYFUNCTION("""COMPUTED_VALUE"""),"06060")</f>
        <v>06060</v>
      </c>
      <c r="D61" s="13" t="str">
        <f>IFERROR(__xludf.DUMMYFUNCTION("""COMPUTED_VALUE"""),"MOUNTAIN RANGE HIGH SCHOOL")</f>
        <v>MOUNTAIN RANGE HIGH SCHOOL</v>
      </c>
      <c r="E61" s="13" t="str">
        <f>IFERROR(__xludf.DUMMYFUNCTION("""COMPUTED_VALUE"""),"Group 8")</f>
        <v>Group 8</v>
      </c>
      <c r="F61" s="13" t="str">
        <f>IFERROR(__xludf.DUMMYFUNCTION("""COMPUTED_VALUE"""),"2024 - 2025")</f>
        <v>2024 - 2025</v>
      </c>
      <c r="G61" s="13" t="str">
        <f>IFERROR(__xludf.DUMMYFUNCTION("""COMPUTED_VALUE"""),"2023 - 2024")</f>
        <v>2023 - 2024</v>
      </c>
      <c r="H61" s="13">
        <f>IFERROR(__xludf.DUMMYFUNCTION("""COMPUTED_VALUE"""),58.94)</f>
        <v>58.94</v>
      </c>
      <c r="I61" s="15">
        <f>IFERROR(__xludf.DUMMYFUNCTION("""COMPUTED_VALUE"""),41.06)</f>
        <v>41.06</v>
      </c>
    </row>
    <row r="62">
      <c r="A62" s="13" t="str">
        <f>IFERROR(__xludf.DUMMYFUNCTION("""COMPUTED_VALUE"""),"0020")</f>
        <v>0020</v>
      </c>
      <c r="B62" s="13" t="str">
        <f>IFERROR(__xludf.DUMMYFUNCTION("""COMPUTED_VALUE"""),"Adams 12 Five Star Schools")</f>
        <v>Adams 12 Five Star Schools</v>
      </c>
      <c r="C62" s="14" t="str">
        <f>IFERROR(__xludf.DUMMYFUNCTION("""COMPUTED_VALUE"""),"08211")</f>
        <v>08211</v>
      </c>
      <c r="D62" s="13" t="str">
        <f>IFERROR(__xludf.DUMMYFUNCTION("""COMPUTED_VALUE"""),"THE STUDIO SCHOOL")</f>
        <v>THE STUDIO SCHOOL</v>
      </c>
      <c r="E62" s="13" t="str">
        <f>IFERROR(__xludf.DUMMYFUNCTION("""COMPUTED_VALUE"""),"Group 8")</f>
        <v>Group 8</v>
      </c>
      <c r="F62" s="13" t="str">
        <f>IFERROR(__xludf.DUMMYFUNCTION("""COMPUTED_VALUE"""),"2024 - 2025")</f>
        <v>2024 - 2025</v>
      </c>
      <c r="G62" s="13" t="str">
        <f>IFERROR(__xludf.DUMMYFUNCTION("""COMPUTED_VALUE"""),"2023 - 2024")</f>
        <v>2023 - 2024</v>
      </c>
      <c r="H62" s="13">
        <f>IFERROR(__xludf.DUMMYFUNCTION("""COMPUTED_VALUE"""),58.94)</f>
        <v>58.94</v>
      </c>
      <c r="I62" s="15">
        <f>IFERROR(__xludf.DUMMYFUNCTION("""COMPUTED_VALUE"""),41.06)</f>
        <v>41.06</v>
      </c>
    </row>
    <row r="63">
      <c r="A63" s="13" t="str">
        <f>IFERROR(__xludf.DUMMYFUNCTION("""COMPUTED_VALUE"""),"0020")</f>
        <v>0020</v>
      </c>
      <c r="B63" s="13" t="str">
        <f>IFERROR(__xludf.DUMMYFUNCTION("""COMPUTED_VALUE"""),"Adams 12 Five Star Schools")</f>
        <v>Adams 12 Five Star Schools</v>
      </c>
      <c r="C63" s="14" t="str">
        <f>IFERROR(__xludf.DUMMYFUNCTION("""COMPUTED_VALUE"""),"01878")</f>
        <v>01878</v>
      </c>
      <c r="D63" s="13" t="str">
        <f>IFERROR(__xludf.DUMMYFUNCTION("""COMPUTED_VALUE"""),"CORONADO HILLS ELEMENTARY SCHOOL")</f>
        <v>CORONADO HILLS ELEMENTARY SCHOOL</v>
      </c>
      <c r="E63" s="13" t="str">
        <f>IFERROR(__xludf.DUMMYFUNCTION("""COMPUTED_VALUE"""),"Group 9")</f>
        <v>Group 9</v>
      </c>
      <c r="F63" s="13" t="str">
        <f>IFERROR(__xludf.DUMMYFUNCTION("""COMPUTED_VALUE"""),"2024 - 2025")</f>
        <v>2024 - 2025</v>
      </c>
      <c r="G63" s="13" t="str">
        <f>IFERROR(__xludf.DUMMYFUNCTION("""COMPUTED_VALUE"""),"2023 - 2024")</f>
        <v>2023 - 2024</v>
      </c>
      <c r="H63" s="13">
        <f>IFERROR(__xludf.DUMMYFUNCTION("""COMPUTED_VALUE"""),100.0)</f>
        <v>100</v>
      </c>
      <c r="I63" s="15">
        <f>IFERROR(__xludf.DUMMYFUNCTION("""COMPUTED_VALUE"""),0.0)</f>
        <v>0</v>
      </c>
    </row>
    <row r="64">
      <c r="A64" s="13" t="str">
        <f>IFERROR(__xludf.DUMMYFUNCTION("""COMPUTED_VALUE"""),"0020")</f>
        <v>0020</v>
      </c>
      <c r="B64" s="13" t="str">
        <f>IFERROR(__xludf.DUMMYFUNCTION("""COMPUTED_VALUE"""),"Adams 12 Five Star Schools")</f>
        <v>Adams 12 Five Star Schools</v>
      </c>
      <c r="C64" s="14" t="str">
        <f>IFERROR(__xludf.DUMMYFUNCTION("""COMPUTED_VALUE"""),"02582")</f>
        <v>02582</v>
      </c>
      <c r="D64" s="13" t="str">
        <f>IFERROR(__xludf.DUMMYFUNCTION("""COMPUTED_VALUE"""),"ROCKY MOUNTAIN ELEMENTARY SCHOOL")</f>
        <v>ROCKY MOUNTAIN ELEMENTARY SCHOOL</v>
      </c>
      <c r="E64" s="13" t="str">
        <f>IFERROR(__xludf.DUMMYFUNCTION("""COMPUTED_VALUE"""),"Group 9")</f>
        <v>Group 9</v>
      </c>
      <c r="F64" s="13" t="str">
        <f>IFERROR(__xludf.DUMMYFUNCTION("""COMPUTED_VALUE"""),"2024 - 2025")</f>
        <v>2024 - 2025</v>
      </c>
      <c r="G64" s="13" t="str">
        <f>IFERROR(__xludf.DUMMYFUNCTION("""COMPUTED_VALUE"""),"2023 - 2024")</f>
        <v>2023 - 2024</v>
      </c>
      <c r="H64" s="13">
        <f>IFERROR(__xludf.DUMMYFUNCTION("""COMPUTED_VALUE"""),100.0)</f>
        <v>100</v>
      </c>
      <c r="I64" s="15">
        <f>IFERROR(__xludf.DUMMYFUNCTION("""COMPUTED_VALUE"""),0.0)</f>
        <v>0</v>
      </c>
    </row>
    <row r="65">
      <c r="A65" s="13" t="str">
        <f>IFERROR(__xludf.DUMMYFUNCTION("""COMPUTED_VALUE"""),"0020")</f>
        <v>0020</v>
      </c>
      <c r="B65" s="13" t="str">
        <f>IFERROR(__xludf.DUMMYFUNCTION("""COMPUTED_VALUE"""),"Adams 12 Five Star Schools")</f>
        <v>Adams 12 Five Star Schools</v>
      </c>
      <c r="C65" s="14" t="str">
        <f>IFERROR(__xludf.DUMMYFUNCTION("""COMPUTED_VALUE"""),"04000")</f>
        <v>04000</v>
      </c>
      <c r="D65" s="13" t="str">
        <f>IFERROR(__xludf.DUMMYFUNCTION("""COMPUTED_VALUE"""),"HILLCREST ELEMENTARY SCHOOL")</f>
        <v>HILLCREST ELEMENTARY SCHOOL</v>
      </c>
      <c r="E65" s="13" t="str">
        <f>IFERROR(__xludf.DUMMYFUNCTION("""COMPUTED_VALUE"""),"Group 9")</f>
        <v>Group 9</v>
      </c>
      <c r="F65" s="13" t="str">
        <f>IFERROR(__xludf.DUMMYFUNCTION("""COMPUTED_VALUE"""),"2024 - 2025")</f>
        <v>2024 - 2025</v>
      </c>
      <c r="G65" s="13" t="str">
        <f>IFERROR(__xludf.DUMMYFUNCTION("""COMPUTED_VALUE"""),"2023 - 2024")</f>
        <v>2023 - 2024</v>
      </c>
      <c r="H65" s="13">
        <f>IFERROR(__xludf.DUMMYFUNCTION("""COMPUTED_VALUE"""),100.0)</f>
        <v>100</v>
      </c>
      <c r="I65" s="15">
        <f>IFERROR(__xludf.DUMMYFUNCTION("""COMPUTED_VALUE"""),0.0)</f>
        <v>0</v>
      </c>
    </row>
    <row r="66">
      <c r="A66" s="13" t="str">
        <f>IFERROR(__xludf.DUMMYFUNCTION("""COMPUTED_VALUE"""),"0030")</f>
        <v>0030</v>
      </c>
      <c r="B66" s="13" t="str">
        <f>IFERROR(__xludf.DUMMYFUNCTION("""COMPUTED_VALUE"""),"ADAMS COUNTY 14")</f>
        <v>ADAMS COUNTY 14</v>
      </c>
      <c r="C66" s="14" t="str">
        <f>IFERROR(__xludf.DUMMYFUNCTION("""COMPUTED_VALUE"""),"04516")</f>
        <v>04516</v>
      </c>
      <c r="D66" s="13" t="str">
        <f>IFERROR(__xludf.DUMMYFUNCTION("""COMPUTED_VALUE"""),"KEARNEY MIDDLE SCHOOL")</f>
        <v>KEARNEY MIDDLE SCHOOL</v>
      </c>
      <c r="E66" s="13" t="str">
        <f>IFERROR(__xludf.DUMMYFUNCTION("""COMPUTED_VALUE"""),"Group 1")</f>
        <v>Group 1</v>
      </c>
      <c r="F66" s="13" t="str">
        <f>IFERROR(__xludf.DUMMYFUNCTION("""COMPUTED_VALUE"""),"2024 - 2025")</f>
        <v>2024 - 2025</v>
      </c>
      <c r="G66" s="13" t="str">
        <f>IFERROR(__xludf.DUMMYFUNCTION("""COMPUTED_VALUE"""),"2023 - 2024")</f>
        <v>2023 - 2024</v>
      </c>
      <c r="H66" s="13">
        <f>IFERROR(__xludf.DUMMYFUNCTION("""COMPUTED_VALUE"""),95.74)</f>
        <v>95.74</v>
      </c>
      <c r="I66" s="15">
        <f>IFERROR(__xludf.DUMMYFUNCTION("""COMPUTED_VALUE"""),4.260000000000005)</f>
        <v>4.26</v>
      </c>
    </row>
    <row r="67">
      <c r="A67" s="13" t="str">
        <f>IFERROR(__xludf.DUMMYFUNCTION("""COMPUTED_VALUE"""),"0030")</f>
        <v>0030</v>
      </c>
      <c r="B67" s="13" t="str">
        <f>IFERROR(__xludf.DUMMYFUNCTION("""COMPUTED_VALUE"""),"ADAMS COUNTY 14")</f>
        <v>ADAMS COUNTY 14</v>
      </c>
      <c r="C67" s="14" t="str">
        <f>IFERROR(__xludf.DUMMYFUNCTION("""COMPUTED_VALUE"""),"04536")</f>
        <v>04536</v>
      </c>
      <c r="D67" s="13" t="str">
        <f>IFERROR(__xludf.DUMMYFUNCTION("""COMPUTED_VALUE"""),"KEMP ELEMENTARY SCHOOL")</f>
        <v>KEMP ELEMENTARY SCHOOL</v>
      </c>
      <c r="E67" s="13" t="str">
        <f>IFERROR(__xludf.DUMMYFUNCTION("""COMPUTED_VALUE"""),"Group 1")</f>
        <v>Group 1</v>
      </c>
      <c r="F67" s="13" t="str">
        <f>IFERROR(__xludf.DUMMYFUNCTION("""COMPUTED_VALUE"""),"2024 - 2025")</f>
        <v>2024 - 2025</v>
      </c>
      <c r="G67" s="13" t="str">
        <f>IFERROR(__xludf.DUMMYFUNCTION("""COMPUTED_VALUE"""),"2023 - 2024")</f>
        <v>2023 - 2024</v>
      </c>
      <c r="H67" s="13">
        <f>IFERROR(__xludf.DUMMYFUNCTION("""COMPUTED_VALUE"""),95.74)</f>
        <v>95.74</v>
      </c>
      <c r="I67" s="15">
        <f>IFERROR(__xludf.DUMMYFUNCTION("""COMPUTED_VALUE"""),4.260000000000005)</f>
        <v>4.26</v>
      </c>
    </row>
    <row r="68">
      <c r="A68" s="13" t="str">
        <f>IFERROR(__xludf.DUMMYFUNCTION("""COMPUTED_VALUE"""),"0030")</f>
        <v>0030</v>
      </c>
      <c r="B68" s="13" t="str">
        <f>IFERROR(__xludf.DUMMYFUNCTION("""COMPUTED_VALUE"""),"ADAMS COUNTY 14")</f>
        <v>ADAMS COUNTY 14</v>
      </c>
      <c r="C68" s="14" t="str">
        <f>IFERROR(__xludf.DUMMYFUNCTION("""COMPUTED_VALUE"""),"00020")</f>
        <v>00020</v>
      </c>
      <c r="D68" s="13" t="str">
        <f>IFERROR(__xludf.DUMMYFUNCTION("""COMPUTED_VALUE"""),"ADAMS CITY MIDDLE SCHOOL")</f>
        <v>ADAMS CITY MIDDLE SCHOOL</v>
      </c>
      <c r="E68" s="13" t="str">
        <f>IFERROR(__xludf.DUMMYFUNCTION("""COMPUTED_VALUE"""),"Group 2")</f>
        <v>Group 2</v>
      </c>
      <c r="F68" s="13" t="str">
        <f>IFERROR(__xludf.DUMMYFUNCTION("""COMPUTED_VALUE"""),"2024 - 2025")</f>
        <v>2024 - 2025</v>
      </c>
      <c r="G68" s="13" t="str">
        <f>IFERROR(__xludf.DUMMYFUNCTION("""COMPUTED_VALUE"""),"2023 - 2024")</f>
        <v>2023 - 2024</v>
      </c>
      <c r="H68" s="13">
        <f>IFERROR(__xludf.DUMMYFUNCTION("""COMPUTED_VALUE"""),99.7)</f>
        <v>99.7</v>
      </c>
      <c r="I68" s="15">
        <f>IFERROR(__xludf.DUMMYFUNCTION("""COMPUTED_VALUE"""),0.29999999999999716)</f>
        <v>0.3</v>
      </c>
    </row>
    <row r="69">
      <c r="A69" s="13" t="str">
        <f>IFERROR(__xludf.DUMMYFUNCTION("""COMPUTED_VALUE"""),"0030")</f>
        <v>0030</v>
      </c>
      <c r="B69" s="13" t="str">
        <f>IFERROR(__xludf.DUMMYFUNCTION("""COMPUTED_VALUE"""),"ADAMS COUNTY 14")</f>
        <v>ADAMS COUNTY 14</v>
      </c>
      <c r="C69" s="14" t="str">
        <f>IFERROR(__xludf.DUMMYFUNCTION("""COMPUTED_VALUE"""),"00186")</f>
        <v>00186</v>
      </c>
      <c r="D69" s="13" t="str">
        <f>IFERROR(__xludf.DUMMYFUNCTION("""COMPUTED_VALUE"""),"ALSUP ELEMENTARY SCHOOL")</f>
        <v>ALSUP ELEMENTARY SCHOOL</v>
      </c>
      <c r="E69" s="13" t="str">
        <f>IFERROR(__xludf.DUMMYFUNCTION("""COMPUTED_VALUE"""),"Group 2")</f>
        <v>Group 2</v>
      </c>
      <c r="F69" s="13" t="str">
        <f>IFERROR(__xludf.DUMMYFUNCTION("""COMPUTED_VALUE"""),"2024 - 2025")</f>
        <v>2024 - 2025</v>
      </c>
      <c r="G69" s="13" t="str">
        <f>IFERROR(__xludf.DUMMYFUNCTION("""COMPUTED_VALUE"""),"2023 - 2024")</f>
        <v>2023 - 2024</v>
      </c>
      <c r="H69" s="13">
        <f>IFERROR(__xludf.DUMMYFUNCTION("""COMPUTED_VALUE"""),99.7)</f>
        <v>99.7</v>
      </c>
      <c r="I69" s="15">
        <f>IFERROR(__xludf.DUMMYFUNCTION("""COMPUTED_VALUE"""),0.29999999999999716)</f>
        <v>0.3</v>
      </c>
    </row>
    <row r="70">
      <c r="A70" s="13" t="str">
        <f>IFERROR(__xludf.DUMMYFUNCTION("""COMPUTED_VALUE"""),"0030")</f>
        <v>0030</v>
      </c>
      <c r="B70" s="13" t="str">
        <f>IFERROR(__xludf.DUMMYFUNCTION("""COMPUTED_VALUE"""),"ADAMS COUNTY 14")</f>
        <v>ADAMS COUNTY 14</v>
      </c>
      <c r="C70" s="14" t="str">
        <f>IFERROR(__xludf.DUMMYFUNCTION("""COMPUTED_VALUE"""),"01426")</f>
        <v>01426</v>
      </c>
      <c r="D70" s="13" t="str">
        <f>IFERROR(__xludf.DUMMYFUNCTION("""COMPUTED_VALUE"""),"CENTRAL ELEMENTARY SCHOOL")</f>
        <v>CENTRAL ELEMENTARY SCHOOL</v>
      </c>
      <c r="E70" s="13" t="str">
        <f>IFERROR(__xludf.DUMMYFUNCTION("""COMPUTED_VALUE"""),"Group 2")</f>
        <v>Group 2</v>
      </c>
      <c r="F70" s="13" t="str">
        <f>IFERROR(__xludf.DUMMYFUNCTION("""COMPUTED_VALUE"""),"2024 - 2025")</f>
        <v>2024 - 2025</v>
      </c>
      <c r="G70" s="13" t="str">
        <f>IFERROR(__xludf.DUMMYFUNCTION("""COMPUTED_VALUE"""),"2023 - 2024")</f>
        <v>2023 - 2024</v>
      </c>
      <c r="H70" s="13">
        <f>IFERROR(__xludf.DUMMYFUNCTION("""COMPUTED_VALUE"""),99.7)</f>
        <v>99.7</v>
      </c>
      <c r="I70" s="15">
        <f>IFERROR(__xludf.DUMMYFUNCTION("""COMPUTED_VALUE"""),0.29999999999999716)</f>
        <v>0.3</v>
      </c>
    </row>
    <row r="71">
      <c r="A71" s="13" t="str">
        <f>IFERROR(__xludf.DUMMYFUNCTION("""COMPUTED_VALUE"""),"0030")</f>
        <v>0030</v>
      </c>
      <c r="B71" s="13" t="str">
        <f>IFERROR(__xludf.DUMMYFUNCTION("""COMPUTED_VALUE"""),"ADAMS COUNTY 14")</f>
        <v>ADAMS COUNTY 14</v>
      </c>
      <c r="C71" s="14" t="str">
        <f>IFERROR(__xludf.DUMMYFUNCTION("""COMPUTED_VALUE"""),"02308")</f>
        <v>02308</v>
      </c>
      <c r="D71" s="13" t="str">
        <f>IFERROR(__xludf.DUMMYFUNCTION("""COMPUTED_VALUE"""),"DUPONT ELEMENTARY SCHOOL")</f>
        <v>DUPONT ELEMENTARY SCHOOL</v>
      </c>
      <c r="E71" s="13" t="str">
        <f>IFERROR(__xludf.DUMMYFUNCTION("""COMPUTED_VALUE"""),"Group 2")</f>
        <v>Group 2</v>
      </c>
      <c r="F71" s="13" t="str">
        <f>IFERROR(__xludf.DUMMYFUNCTION("""COMPUTED_VALUE"""),"2024 - 2025")</f>
        <v>2024 - 2025</v>
      </c>
      <c r="G71" s="13" t="str">
        <f>IFERROR(__xludf.DUMMYFUNCTION("""COMPUTED_VALUE"""),"2023 - 2024")</f>
        <v>2023 - 2024</v>
      </c>
      <c r="H71" s="13">
        <f>IFERROR(__xludf.DUMMYFUNCTION("""COMPUTED_VALUE"""),99.7)</f>
        <v>99.7</v>
      </c>
      <c r="I71" s="15">
        <f>IFERROR(__xludf.DUMMYFUNCTION("""COMPUTED_VALUE"""),0.29999999999999716)</f>
        <v>0.3</v>
      </c>
    </row>
    <row r="72">
      <c r="A72" s="13" t="str">
        <f>IFERROR(__xludf.DUMMYFUNCTION("""COMPUTED_VALUE"""),"0030")</f>
        <v>0030</v>
      </c>
      <c r="B72" s="13" t="str">
        <f>IFERROR(__xludf.DUMMYFUNCTION("""COMPUTED_VALUE"""),"ADAMS COUNTY 14")</f>
        <v>ADAMS COUNTY 14</v>
      </c>
      <c r="C72" s="14" t="str">
        <f>IFERROR(__xludf.DUMMYFUNCTION("""COMPUTED_VALUE"""),"05982")</f>
        <v>05982</v>
      </c>
      <c r="D72" s="13" t="str">
        <f>IFERROR(__xludf.DUMMYFUNCTION("""COMPUTED_VALUE"""),"MONACO ELEMENTARY SCHOOL")</f>
        <v>MONACO ELEMENTARY SCHOOL</v>
      </c>
      <c r="E72" s="13" t="str">
        <f>IFERROR(__xludf.DUMMYFUNCTION("""COMPUTED_VALUE"""),"Group 2")</f>
        <v>Group 2</v>
      </c>
      <c r="F72" s="13" t="str">
        <f>IFERROR(__xludf.DUMMYFUNCTION("""COMPUTED_VALUE"""),"2024 - 2025")</f>
        <v>2024 - 2025</v>
      </c>
      <c r="G72" s="13" t="str">
        <f>IFERROR(__xludf.DUMMYFUNCTION("""COMPUTED_VALUE"""),"2023 - 2024")</f>
        <v>2023 - 2024</v>
      </c>
      <c r="H72" s="13">
        <f>IFERROR(__xludf.DUMMYFUNCTION("""COMPUTED_VALUE"""),99.7)</f>
        <v>99.7</v>
      </c>
      <c r="I72" s="15">
        <f>IFERROR(__xludf.DUMMYFUNCTION("""COMPUTED_VALUE"""),0.29999999999999716)</f>
        <v>0.3</v>
      </c>
    </row>
    <row r="73">
      <c r="A73" s="13" t="str">
        <f>IFERROR(__xludf.DUMMYFUNCTION("""COMPUTED_VALUE"""),"0030")</f>
        <v>0030</v>
      </c>
      <c r="B73" s="13" t="str">
        <f>IFERROR(__xludf.DUMMYFUNCTION("""COMPUTED_VALUE"""),"ADAMS COUNTY 14")</f>
        <v>ADAMS COUNTY 14</v>
      </c>
      <c r="C73" s="14" t="str">
        <f>IFERROR(__xludf.DUMMYFUNCTION("""COMPUTED_VALUE"""),"07500")</f>
        <v>07500</v>
      </c>
      <c r="D73" s="13" t="str">
        <f>IFERROR(__xludf.DUMMYFUNCTION("""COMPUTED_VALUE"""),"ROSE HILL ELEMENTARY SCHOOL")</f>
        <v>ROSE HILL ELEMENTARY SCHOOL</v>
      </c>
      <c r="E73" s="13" t="str">
        <f>IFERROR(__xludf.DUMMYFUNCTION("""COMPUTED_VALUE"""),"Group 2")</f>
        <v>Group 2</v>
      </c>
      <c r="F73" s="13" t="str">
        <f>IFERROR(__xludf.DUMMYFUNCTION("""COMPUTED_VALUE"""),"2024 - 2025")</f>
        <v>2024 - 2025</v>
      </c>
      <c r="G73" s="13" t="str">
        <f>IFERROR(__xludf.DUMMYFUNCTION("""COMPUTED_VALUE"""),"2023 - 2024")</f>
        <v>2023 - 2024</v>
      </c>
      <c r="H73" s="13">
        <f>IFERROR(__xludf.DUMMYFUNCTION("""COMPUTED_VALUE"""),99.7)</f>
        <v>99.7</v>
      </c>
      <c r="I73" s="15">
        <f>IFERROR(__xludf.DUMMYFUNCTION("""COMPUTED_VALUE"""),0.29999999999999716)</f>
        <v>0.3</v>
      </c>
    </row>
    <row r="74">
      <c r="A74" s="13" t="str">
        <f>IFERROR(__xludf.DUMMYFUNCTION("""COMPUTED_VALUE"""),"0030")</f>
        <v>0030</v>
      </c>
      <c r="B74" s="13" t="str">
        <f>IFERROR(__xludf.DUMMYFUNCTION("""COMPUTED_VALUE"""),"ADAMS COUNTY 14")</f>
        <v>ADAMS COUNTY 14</v>
      </c>
      <c r="C74" s="14" t="str">
        <f>IFERROR(__xludf.DUMMYFUNCTION("""COMPUTED_VALUE"""),"00022")</f>
        <v>00022</v>
      </c>
      <c r="D74" s="13" t="str">
        <f>IFERROR(__xludf.DUMMYFUNCTION("""COMPUTED_VALUE"""),"LESTER R ARNOLD HIGH SCHOOL")</f>
        <v>LESTER R ARNOLD HIGH SCHOOL</v>
      </c>
      <c r="E74" s="13" t="str">
        <f>IFERROR(__xludf.DUMMYFUNCTION("""COMPUTED_VALUE"""),"Group 3")</f>
        <v>Group 3</v>
      </c>
      <c r="F74" s="13" t="str">
        <f>IFERROR(__xludf.DUMMYFUNCTION("""COMPUTED_VALUE"""),"2024 - 2025")</f>
        <v>2024 - 2025</v>
      </c>
      <c r="G74" s="13" t="str">
        <f>IFERROR(__xludf.DUMMYFUNCTION("""COMPUTED_VALUE"""),"2023 - 2024")</f>
        <v>2023 - 2024</v>
      </c>
      <c r="H74" s="13">
        <f>IFERROR(__xludf.DUMMYFUNCTION("""COMPUTED_VALUE"""),90.77)</f>
        <v>90.77</v>
      </c>
      <c r="I74" s="15">
        <f>IFERROR(__xludf.DUMMYFUNCTION("""COMPUTED_VALUE"""),9.230000000000004)</f>
        <v>9.23</v>
      </c>
    </row>
    <row r="75">
      <c r="A75" s="13" t="str">
        <f>IFERROR(__xludf.DUMMYFUNCTION("""COMPUTED_VALUE"""),"0030")</f>
        <v>0030</v>
      </c>
      <c r="B75" s="13" t="str">
        <f>IFERROR(__xludf.DUMMYFUNCTION("""COMPUTED_VALUE"""),"ADAMS COUNTY 14")</f>
        <v>ADAMS COUNTY 14</v>
      </c>
      <c r="C75" s="14" t="str">
        <f>IFERROR(__xludf.DUMMYFUNCTION("""COMPUTED_VALUE"""),"00024")</f>
        <v>00024</v>
      </c>
      <c r="D75" s="13" t="str">
        <f>IFERROR(__xludf.DUMMYFUNCTION("""COMPUTED_VALUE"""),"ADAMS CITY HIGH SCHOOL")</f>
        <v>ADAMS CITY HIGH SCHOOL</v>
      </c>
      <c r="E75" s="13" t="str">
        <f>IFERROR(__xludf.DUMMYFUNCTION("""COMPUTED_VALUE"""),"Group 4")</f>
        <v>Group 4</v>
      </c>
      <c r="F75" s="13" t="str">
        <f>IFERROR(__xludf.DUMMYFUNCTION("""COMPUTED_VALUE"""),"2024 - 2025")</f>
        <v>2024 - 2025</v>
      </c>
      <c r="G75" s="13" t="str">
        <f>IFERROR(__xludf.DUMMYFUNCTION("""COMPUTED_VALUE"""),"2023 - 2024")</f>
        <v>2023 - 2024</v>
      </c>
      <c r="H75" s="13">
        <f>IFERROR(__xludf.DUMMYFUNCTION("""COMPUTED_VALUE"""),92.9)</f>
        <v>92.9</v>
      </c>
      <c r="I75" s="15">
        <f>IFERROR(__xludf.DUMMYFUNCTION("""COMPUTED_VALUE"""),7.099999999999994)</f>
        <v>7.1</v>
      </c>
    </row>
    <row r="76">
      <c r="A76" s="13" t="str">
        <f>IFERROR(__xludf.DUMMYFUNCTION("""COMPUTED_VALUE"""),"0040")</f>
        <v>0040</v>
      </c>
      <c r="B76" s="13" t="str">
        <f>IFERROR(__xludf.DUMMYFUNCTION("""COMPUTED_VALUE"""),"School District 27J")</f>
        <v>School District 27J</v>
      </c>
      <c r="C76" s="14" t="str">
        <f>IFERROR(__xludf.DUMMYFUNCTION("""COMPUTED_VALUE"""),"08032")</f>
        <v>08032</v>
      </c>
      <c r="D76" s="13" t="str">
        <f>IFERROR(__xludf.DUMMYFUNCTION("""COMPUTED_VALUE"""),"JOHN W THIMMIG ELEMENTARY SCHOOL")</f>
        <v>JOHN W THIMMIG ELEMENTARY SCHOOL</v>
      </c>
      <c r="E76" s="13" t="str">
        <f>IFERROR(__xludf.DUMMYFUNCTION("""COMPUTED_VALUE"""),"Group 1")</f>
        <v>Group 1</v>
      </c>
      <c r="F76" s="13" t="str">
        <f>IFERROR(__xludf.DUMMYFUNCTION("""COMPUTED_VALUE"""),"2024 - 2025")</f>
        <v>2024 - 2025</v>
      </c>
      <c r="G76" s="13" t="str">
        <f>IFERROR(__xludf.DUMMYFUNCTION("""COMPUTED_VALUE"""),"2023 - 2024")</f>
        <v>2023 - 2024</v>
      </c>
      <c r="H76" s="13">
        <f>IFERROR(__xludf.DUMMYFUNCTION("""COMPUTED_VALUE"""),68.51)</f>
        <v>68.51</v>
      </c>
      <c r="I76" s="15">
        <f>IFERROR(__xludf.DUMMYFUNCTION("""COMPUTED_VALUE"""),31.489999999999995)</f>
        <v>31.49</v>
      </c>
    </row>
    <row r="77">
      <c r="A77" s="13" t="str">
        <f>IFERROR(__xludf.DUMMYFUNCTION("""COMPUTED_VALUE"""),"0040")</f>
        <v>0040</v>
      </c>
      <c r="B77" s="13" t="str">
        <f>IFERROR(__xludf.DUMMYFUNCTION("""COMPUTED_VALUE"""),"School District 27J")</f>
        <v>School District 27J</v>
      </c>
      <c r="C77" s="14" t="str">
        <f>IFERROR(__xludf.DUMMYFUNCTION("""COMPUTED_VALUE"""),"08130")</f>
        <v>08130</v>
      </c>
      <c r="D77" s="13" t="str">
        <f>IFERROR(__xludf.DUMMYFUNCTION("""COMPUTED_VALUE"""),"SOUTHEAST ELEMENTARY SCHOOL")</f>
        <v>SOUTHEAST ELEMENTARY SCHOOL</v>
      </c>
      <c r="E77" s="13" t="str">
        <f>IFERROR(__xludf.DUMMYFUNCTION("""COMPUTED_VALUE"""),"Group 1")</f>
        <v>Group 1</v>
      </c>
      <c r="F77" s="13" t="str">
        <f>IFERROR(__xludf.DUMMYFUNCTION("""COMPUTED_VALUE"""),"2024 - 2025")</f>
        <v>2024 - 2025</v>
      </c>
      <c r="G77" s="13" t="str">
        <f>IFERROR(__xludf.DUMMYFUNCTION("""COMPUTED_VALUE"""),"2023 - 2024")</f>
        <v>2023 - 2024</v>
      </c>
      <c r="H77" s="13">
        <f>IFERROR(__xludf.DUMMYFUNCTION("""COMPUTED_VALUE"""),68.51)</f>
        <v>68.51</v>
      </c>
      <c r="I77" s="15">
        <f>IFERROR(__xludf.DUMMYFUNCTION("""COMPUTED_VALUE"""),31.489999999999995)</f>
        <v>31.49</v>
      </c>
    </row>
    <row r="78">
      <c r="A78" s="13" t="str">
        <f>IFERROR(__xludf.DUMMYFUNCTION("""COMPUTED_VALUE"""),"0040")</f>
        <v>0040</v>
      </c>
      <c r="B78" s="13" t="str">
        <f>IFERROR(__xludf.DUMMYFUNCTION("""COMPUTED_VALUE"""),"School District 27J")</f>
        <v>School District 27J</v>
      </c>
      <c r="C78" s="14" t="str">
        <f>IFERROR(__xludf.DUMMYFUNCTION("""COMPUTED_VALUE"""),"01052")</f>
        <v>01052</v>
      </c>
      <c r="D78" s="13" t="str">
        <f>IFERROR(__xludf.DUMMYFUNCTION("""COMPUTED_VALUE"""),"BROMLEY EAST CHARTER SCHOOL")</f>
        <v>BROMLEY EAST CHARTER SCHOOL</v>
      </c>
      <c r="E78" s="13" t="str">
        <f>IFERROR(__xludf.DUMMYFUNCTION("""COMPUTED_VALUE"""),"Group 1")</f>
        <v>Group 1</v>
      </c>
      <c r="F78" s="13" t="str">
        <f>IFERROR(__xludf.DUMMYFUNCTION("""COMPUTED_VALUE"""),"2024 - 2025")</f>
        <v>2024 - 2025</v>
      </c>
      <c r="G78" s="13" t="str">
        <f>IFERROR(__xludf.DUMMYFUNCTION("""COMPUTED_VALUE"""),"2023 - 2024")</f>
        <v>2023 - 2024</v>
      </c>
      <c r="H78" s="13">
        <f>IFERROR(__xludf.DUMMYFUNCTION("""COMPUTED_VALUE"""),68.51)</f>
        <v>68.51</v>
      </c>
      <c r="I78" s="15">
        <f>IFERROR(__xludf.DUMMYFUNCTION("""COMPUTED_VALUE"""),31.489999999999995)</f>
        <v>31.49</v>
      </c>
    </row>
    <row r="79">
      <c r="A79" s="13" t="str">
        <f>IFERROR(__xludf.DUMMYFUNCTION("""COMPUTED_VALUE"""),"0040")</f>
        <v>0040</v>
      </c>
      <c r="B79" s="13" t="str">
        <f>IFERROR(__xludf.DUMMYFUNCTION("""COMPUTED_VALUE"""),"School District 27J")</f>
        <v>School District 27J</v>
      </c>
      <c r="C79" s="14" t="str">
        <f>IFERROR(__xludf.DUMMYFUNCTION("""COMPUTED_VALUE"""),"00700")</f>
        <v>00700</v>
      </c>
      <c r="D79" s="13" t="str">
        <f>IFERROR(__xludf.DUMMYFUNCTION("""COMPUTED_VALUE"""),"BELLE CREEK CHARTER SCHOOL")</f>
        <v>BELLE CREEK CHARTER SCHOOL</v>
      </c>
      <c r="E79" s="13" t="str">
        <f>IFERROR(__xludf.DUMMYFUNCTION("""COMPUTED_VALUE"""),"Group 10")</f>
        <v>Group 10</v>
      </c>
      <c r="F79" s="13" t="str">
        <f>IFERROR(__xludf.DUMMYFUNCTION("""COMPUTED_VALUE"""),"2024 - 2025")</f>
        <v>2024 - 2025</v>
      </c>
      <c r="G79" s="13" t="str">
        <f>IFERROR(__xludf.DUMMYFUNCTION("""COMPUTED_VALUE"""),"2023 - 2024")</f>
        <v>2023 - 2024</v>
      </c>
      <c r="H79" s="13">
        <f>IFERROR(__xludf.DUMMYFUNCTION("""COMPUTED_VALUE"""),93.26)</f>
        <v>93.26</v>
      </c>
      <c r="I79" s="15">
        <f>IFERROR(__xludf.DUMMYFUNCTION("""COMPUTED_VALUE"""),6.739999999999995)</f>
        <v>6.74</v>
      </c>
    </row>
    <row r="80">
      <c r="A80" s="13" t="str">
        <f>IFERROR(__xludf.DUMMYFUNCTION("""COMPUTED_VALUE"""),"0040")</f>
        <v>0040</v>
      </c>
      <c r="B80" s="13" t="str">
        <f>IFERROR(__xludf.DUMMYFUNCTION("""COMPUTED_VALUE"""),"School District 27J")</f>
        <v>School District 27J</v>
      </c>
      <c r="C80" s="14" t="str">
        <f>IFERROR(__xludf.DUMMYFUNCTION("""COMPUTED_VALUE"""),"06395")</f>
        <v>06395</v>
      </c>
      <c r="D80" s="13" t="str">
        <f>IFERROR(__xludf.DUMMYFUNCTION("""COMPUTED_VALUE"""),"NORTHEAST ELEMENTARY SCHOOL")</f>
        <v>NORTHEAST ELEMENTARY SCHOOL</v>
      </c>
      <c r="E80" s="13" t="str">
        <f>IFERROR(__xludf.DUMMYFUNCTION("""COMPUTED_VALUE"""),"Group 10")</f>
        <v>Group 10</v>
      </c>
      <c r="F80" s="13" t="str">
        <f>IFERROR(__xludf.DUMMYFUNCTION("""COMPUTED_VALUE"""),"2024 - 2025")</f>
        <v>2024 - 2025</v>
      </c>
      <c r="G80" s="13" t="str">
        <f>IFERROR(__xludf.DUMMYFUNCTION("""COMPUTED_VALUE"""),"2023 - 2024")</f>
        <v>2023 - 2024</v>
      </c>
      <c r="H80" s="13">
        <f>IFERROR(__xludf.DUMMYFUNCTION("""COMPUTED_VALUE"""),93.26)</f>
        <v>93.26</v>
      </c>
      <c r="I80" s="15">
        <f>IFERROR(__xludf.DUMMYFUNCTION("""COMPUTED_VALUE"""),6.739999999999995)</f>
        <v>6.74</v>
      </c>
    </row>
    <row r="81">
      <c r="A81" s="13" t="str">
        <f>IFERROR(__xludf.DUMMYFUNCTION("""COMPUTED_VALUE"""),"0040")</f>
        <v>0040</v>
      </c>
      <c r="B81" s="13" t="str">
        <f>IFERROR(__xludf.DUMMYFUNCTION("""COMPUTED_VALUE"""),"School District 27J")</f>
        <v>School District 27J</v>
      </c>
      <c r="C81" s="14" t="str">
        <f>IFERROR(__xludf.DUMMYFUNCTION("""COMPUTED_VALUE"""),"08060")</f>
        <v>08060</v>
      </c>
      <c r="D81" s="13" t="str">
        <f>IFERROR(__xludf.DUMMYFUNCTION("""COMPUTED_VALUE"""),"SOUTH ELEMENTARY SCHOOL")</f>
        <v>SOUTH ELEMENTARY SCHOOL</v>
      </c>
      <c r="E81" s="13" t="str">
        <f>IFERROR(__xludf.DUMMYFUNCTION("""COMPUTED_VALUE"""),"Group 10")</f>
        <v>Group 10</v>
      </c>
      <c r="F81" s="13" t="str">
        <f>IFERROR(__xludf.DUMMYFUNCTION("""COMPUTED_VALUE"""),"2024 - 2025")</f>
        <v>2024 - 2025</v>
      </c>
      <c r="G81" s="13" t="str">
        <f>IFERROR(__xludf.DUMMYFUNCTION("""COMPUTED_VALUE"""),"2023 - 2024")</f>
        <v>2023 - 2024</v>
      </c>
      <c r="H81" s="13">
        <f>IFERROR(__xludf.DUMMYFUNCTION("""COMPUTED_VALUE"""),93.26)</f>
        <v>93.26</v>
      </c>
      <c r="I81" s="15">
        <f>IFERROR(__xludf.DUMMYFUNCTION("""COMPUTED_VALUE"""),6.739999999999995)</f>
        <v>6.74</v>
      </c>
    </row>
    <row r="82">
      <c r="A82" s="13" t="str">
        <f>IFERROR(__xludf.DUMMYFUNCTION("""COMPUTED_VALUE"""),"0040")</f>
        <v>0040</v>
      </c>
      <c r="B82" s="13" t="str">
        <f>IFERROR(__xludf.DUMMYFUNCTION("""COMPUTED_VALUE"""),"School District 27J")</f>
        <v>School District 27J</v>
      </c>
      <c r="C82" s="14" t="str">
        <f>IFERROR(__xludf.DUMMYFUNCTION("""COMPUTED_VALUE"""),"07129")</f>
        <v>07129</v>
      </c>
      <c r="D82" s="13" t="str">
        <f>IFERROR(__xludf.DUMMYFUNCTION("""COMPUTED_VALUE"""),"PRAIRIE VIEW HIGH SCHOOL")</f>
        <v>PRAIRIE VIEW HIGH SCHOOL</v>
      </c>
      <c r="E82" s="13" t="str">
        <f>IFERROR(__xludf.DUMMYFUNCTION("""COMPUTED_VALUE"""),"Group 11")</f>
        <v>Group 11</v>
      </c>
      <c r="F82" s="13" t="str">
        <f>IFERROR(__xludf.DUMMYFUNCTION("""COMPUTED_VALUE"""),"2024 - 2025")</f>
        <v>2024 - 2025</v>
      </c>
      <c r="G82" s="13" t="str">
        <f>IFERROR(__xludf.DUMMYFUNCTION("""COMPUTED_VALUE"""),"2023 - 2024")</f>
        <v>2023 - 2024</v>
      </c>
      <c r="H82" s="13">
        <f>IFERROR(__xludf.DUMMYFUNCTION("""COMPUTED_VALUE"""),51.52)</f>
        <v>51.52</v>
      </c>
      <c r="I82" s="15">
        <f>IFERROR(__xludf.DUMMYFUNCTION("""COMPUTED_VALUE"""),48.48)</f>
        <v>48.48</v>
      </c>
    </row>
    <row r="83">
      <c r="A83" s="13" t="str">
        <f>IFERROR(__xludf.DUMMYFUNCTION("""COMPUTED_VALUE"""),"0040")</f>
        <v>0040</v>
      </c>
      <c r="B83" s="13" t="str">
        <f>IFERROR(__xludf.DUMMYFUNCTION("""COMPUTED_VALUE"""),"School District 27J")</f>
        <v>School District 27J</v>
      </c>
      <c r="C83" s="14" t="str">
        <f>IFERROR(__xludf.DUMMYFUNCTION("""COMPUTED_VALUE"""),"09426")</f>
        <v>09426</v>
      </c>
      <c r="D83" s="13" t="str">
        <f>IFERROR(__xludf.DUMMYFUNCTION("""COMPUTED_VALUE"""),"WEST RIDGE ELEMENTARY")</f>
        <v>WEST RIDGE ELEMENTARY</v>
      </c>
      <c r="E83" s="13" t="str">
        <f>IFERROR(__xludf.DUMMYFUNCTION("""COMPUTED_VALUE"""),"Group 11")</f>
        <v>Group 11</v>
      </c>
      <c r="F83" s="13" t="str">
        <f>IFERROR(__xludf.DUMMYFUNCTION("""COMPUTED_VALUE"""),"2024 - 2025")</f>
        <v>2024 - 2025</v>
      </c>
      <c r="G83" s="13" t="str">
        <f>IFERROR(__xludf.DUMMYFUNCTION("""COMPUTED_VALUE"""),"2023 - 2024")</f>
        <v>2023 - 2024</v>
      </c>
      <c r="H83" s="13">
        <f>IFERROR(__xludf.DUMMYFUNCTION("""COMPUTED_VALUE"""),51.52)</f>
        <v>51.52</v>
      </c>
      <c r="I83" s="15">
        <f>IFERROR(__xludf.DUMMYFUNCTION("""COMPUTED_VALUE"""),48.48)</f>
        <v>48.48</v>
      </c>
    </row>
    <row r="84">
      <c r="A84" s="13" t="str">
        <f>IFERROR(__xludf.DUMMYFUNCTION("""COMPUTED_VALUE"""),"0040")</f>
        <v>0040</v>
      </c>
      <c r="B84" s="13" t="str">
        <f>IFERROR(__xludf.DUMMYFUNCTION("""COMPUTED_VALUE"""),"School District 27J")</f>
        <v>School District 27J</v>
      </c>
      <c r="C84" s="14" t="str">
        <f>IFERROR(__xludf.DUMMYFUNCTION("""COMPUTED_VALUE"""),"07318")</f>
        <v>07318</v>
      </c>
      <c r="D84" s="13" t="str">
        <f>IFERROR(__xludf.DUMMYFUNCTION("""COMPUTED_VALUE"""),"REUNION ELEMENTARY SCHOOL")</f>
        <v>REUNION ELEMENTARY SCHOOL</v>
      </c>
      <c r="E84" s="13" t="str">
        <f>IFERROR(__xludf.DUMMYFUNCTION("""COMPUTED_VALUE"""),"Group 11")</f>
        <v>Group 11</v>
      </c>
      <c r="F84" s="13" t="str">
        <f>IFERROR(__xludf.DUMMYFUNCTION("""COMPUTED_VALUE"""),"2024 - 2025")</f>
        <v>2024 - 2025</v>
      </c>
      <c r="G84" s="13" t="str">
        <f>IFERROR(__xludf.DUMMYFUNCTION("""COMPUTED_VALUE"""),"2023 - 2024")</f>
        <v>2023 - 2024</v>
      </c>
      <c r="H84" s="13">
        <f>IFERROR(__xludf.DUMMYFUNCTION("""COMPUTED_VALUE"""),51.52)</f>
        <v>51.52</v>
      </c>
      <c r="I84" s="15">
        <f>IFERROR(__xludf.DUMMYFUNCTION("""COMPUTED_VALUE"""),48.48)</f>
        <v>48.48</v>
      </c>
    </row>
    <row r="85">
      <c r="A85" s="13" t="str">
        <f>IFERROR(__xludf.DUMMYFUNCTION("""COMPUTED_VALUE"""),"0040")</f>
        <v>0040</v>
      </c>
      <c r="B85" s="13" t="str">
        <f>IFERROR(__xludf.DUMMYFUNCTION("""COMPUTED_VALUE"""),"School District 27J")</f>
        <v>School District 27J</v>
      </c>
      <c r="C85" s="14" t="str">
        <f>IFERROR(__xludf.DUMMYFUNCTION("""COMPUTED_VALUE"""),"07351")</f>
        <v>07351</v>
      </c>
      <c r="D85" s="13" t="str">
        <f>IFERROR(__xludf.DUMMYFUNCTION("""COMPUTED_VALUE"""),"RODGER QUIST MIDDLE SCHOOL")</f>
        <v>RODGER QUIST MIDDLE SCHOOL</v>
      </c>
      <c r="E85" s="13" t="str">
        <f>IFERROR(__xludf.DUMMYFUNCTION("""COMPUTED_VALUE"""),"Group 11")</f>
        <v>Group 11</v>
      </c>
      <c r="F85" s="13" t="str">
        <f>IFERROR(__xludf.DUMMYFUNCTION("""COMPUTED_VALUE"""),"2024 - 2025")</f>
        <v>2024 - 2025</v>
      </c>
      <c r="G85" s="13" t="str">
        <f>IFERROR(__xludf.DUMMYFUNCTION("""COMPUTED_VALUE"""),"2023 - 2024")</f>
        <v>2023 - 2024</v>
      </c>
      <c r="H85" s="13">
        <f>IFERROR(__xludf.DUMMYFUNCTION("""COMPUTED_VALUE"""),51.52)</f>
        <v>51.52</v>
      </c>
      <c r="I85" s="15">
        <f>IFERROR(__xludf.DUMMYFUNCTION("""COMPUTED_VALUE"""),48.48)</f>
        <v>48.48</v>
      </c>
    </row>
    <row r="86">
      <c r="A86" s="13" t="str">
        <f>IFERROR(__xludf.DUMMYFUNCTION("""COMPUTED_VALUE"""),"0040")</f>
        <v>0040</v>
      </c>
      <c r="B86" s="13" t="str">
        <f>IFERROR(__xludf.DUMMYFUNCTION("""COMPUTED_VALUE"""),"School District 27J")</f>
        <v>School District 27J</v>
      </c>
      <c r="C86" s="14" t="str">
        <f>IFERROR(__xludf.DUMMYFUNCTION("""COMPUTED_VALUE"""),"02399")</f>
        <v>02399</v>
      </c>
      <c r="D86" s="13" t="str">
        <f>IFERROR(__xludf.DUMMYFUNCTION("""COMPUTED_VALUE"""),"EAGLE RIDGE ACADEMY")</f>
        <v>EAGLE RIDGE ACADEMY</v>
      </c>
      <c r="E86" s="13" t="str">
        <f>IFERROR(__xludf.DUMMYFUNCTION("""COMPUTED_VALUE"""),"Group 2")</f>
        <v>Group 2</v>
      </c>
      <c r="F86" s="13" t="str">
        <f>IFERROR(__xludf.DUMMYFUNCTION("""COMPUTED_VALUE"""),"2024 - 2025")</f>
        <v>2024 - 2025</v>
      </c>
      <c r="G86" s="13" t="str">
        <f>IFERROR(__xludf.DUMMYFUNCTION("""COMPUTED_VALUE"""),"2023 - 2024")</f>
        <v>2023 - 2024</v>
      </c>
      <c r="H86" s="13">
        <f>IFERROR(__xludf.DUMMYFUNCTION("""COMPUTED_VALUE"""),46.46)</f>
        <v>46.46</v>
      </c>
      <c r="I86" s="15">
        <f>IFERROR(__xludf.DUMMYFUNCTION("""COMPUTED_VALUE"""),53.54)</f>
        <v>53.54</v>
      </c>
    </row>
    <row r="87">
      <c r="A87" s="13" t="str">
        <f>IFERROR(__xludf.DUMMYFUNCTION("""COMPUTED_VALUE"""),"0040")</f>
        <v>0040</v>
      </c>
      <c r="B87" s="13" t="str">
        <f>IFERROR(__xludf.DUMMYFUNCTION("""COMPUTED_VALUE"""),"School District 27J")</f>
        <v>School District 27J</v>
      </c>
      <c r="C87" s="14" t="str">
        <f>IFERROR(__xludf.DUMMYFUNCTION("""COMPUTED_VALUE"""),"03900")</f>
        <v>03900</v>
      </c>
      <c r="D87" s="13" t="str">
        <f>IFERROR(__xludf.DUMMYFUNCTION("""COMPUTED_VALUE"""),"HENDERSON ELEMENTARY SCHOOL")</f>
        <v>HENDERSON ELEMENTARY SCHOOL</v>
      </c>
      <c r="E87" s="13" t="str">
        <f>IFERROR(__xludf.DUMMYFUNCTION("""COMPUTED_VALUE"""),"Group 3")</f>
        <v>Group 3</v>
      </c>
      <c r="F87" s="13" t="str">
        <f>IFERROR(__xludf.DUMMYFUNCTION("""COMPUTED_VALUE"""),"2024 - 2025")</f>
        <v>2024 - 2025</v>
      </c>
      <c r="G87" s="13" t="str">
        <f>IFERROR(__xludf.DUMMYFUNCTION("""COMPUTED_VALUE"""),"2023 - 2024")</f>
        <v>2023 - 2024</v>
      </c>
      <c r="H87" s="13">
        <f>IFERROR(__xludf.DUMMYFUNCTION("""COMPUTED_VALUE"""),90.86)</f>
        <v>90.86</v>
      </c>
      <c r="I87" s="15">
        <f>IFERROR(__xludf.DUMMYFUNCTION("""COMPUTED_VALUE"""),9.14)</f>
        <v>9.14</v>
      </c>
    </row>
    <row r="88">
      <c r="A88" s="13" t="str">
        <f>IFERROR(__xludf.DUMMYFUNCTION("""COMPUTED_VALUE"""),"0040")</f>
        <v>0040</v>
      </c>
      <c r="B88" s="13" t="str">
        <f>IFERROR(__xludf.DUMMYFUNCTION("""COMPUTED_VALUE"""),"School District 27J")</f>
        <v>School District 27J</v>
      </c>
      <c r="C88" s="14" t="str">
        <f>IFERROR(__xludf.DUMMYFUNCTION("""COMPUTED_VALUE"""),"01022")</f>
        <v>01022</v>
      </c>
      <c r="D88" s="13" t="str">
        <f>IFERROR(__xludf.DUMMYFUNCTION("""COMPUTED_VALUE"""),"BRIGHTON HIGH SCHOOL")</f>
        <v>BRIGHTON HIGH SCHOOL</v>
      </c>
      <c r="E88" s="13" t="str">
        <f>IFERROR(__xludf.DUMMYFUNCTION("""COMPUTED_VALUE"""),"Group 4")</f>
        <v>Group 4</v>
      </c>
      <c r="F88" s="13" t="str">
        <f>IFERROR(__xludf.DUMMYFUNCTION("""COMPUTED_VALUE"""),"2024 - 2025")</f>
        <v>2024 - 2025</v>
      </c>
      <c r="G88" s="13" t="str">
        <f>IFERROR(__xludf.DUMMYFUNCTION("""COMPUTED_VALUE"""),"2023 - 2024")</f>
        <v>2023 - 2024</v>
      </c>
      <c r="H88" s="13">
        <f>IFERROR(__xludf.DUMMYFUNCTION("""COMPUTED_VALUE"""),49.97)</f>
        <v>49.97</v>
      </c>
      <c r="I88" s="15">
        <f>IFERROR(__xludf.DUMMYFUNCTION("""COMPUTED_VALUE"""),50.03)</f>
        <v>50.03</v>
      </c>
    </row>
    <row r="89">
      <c r="A89" s="13" t="str">
        <f>IFERROR(__xludf.DUMMYFUNCTION("""COMPUTED_VALUE"""),"0040")</f>
        <v>0040</v>
      </c>
      <c r="B89" s="13" t="str">
        <f>IFERROR(__xludf.DUMMYFUNCTION("""COMPUTED_VALUE"""),"School District 27J")</f>
        <v>School District 27J</v>
      </c>
      <c r="C89" s="14" t="str">
        <f>IFERROR(__xludf.DUMMYFUNCTION("""COMPUTED_VALUE"""),"04950")</f>
        <v>04950</v>
      </c>
      <c r="D89" s="13" t="str">
        <f>IFERROR(__xludf.DUMMYFUNCTION("""COMPUTED_VALUE"""),"LANDMARK ACADEMY AT REUNION")</f>
        <v>LANDMARK ACADEMY AT REUNION</v>
      </c>
      <c r="E89" s="13" t="str">
        <f>IFERROR(__xludf.DUMMYFUNCTION("""COMPUTED_VALUE"""),"Group 4")</f>
        <v>Group 4</v>
      </c>
      <c r="F89" s="13" t="str">
        <f>IFERROR(__xludf.DUMMYFUNCTION("""COMPUTED_VALUE"""),"2024 - 2025")</f>
        <v>2024 - 2025</v>
      </c>
      <c r="G89" s="13" t="str">
        <f>IFERROR(__xludf.DUMMYFUNCTION("""COMPUTED_VALUE"""),"2023 - 2024")</f>
        <v>2023 - 2024</v>
      </c>
      <c r="H89" s="13">
        <f>IFERROR(__xludf.DUMMYFUNCTION("""COMPUTED_VALUE"""),49.97)</f>
        <v>49.97</v>
      </c>
      <c r="I89" s="15">
        <f>IFERROR(__xludf.DUMMYFUNCTION("""COMPUTED_VALUE"""),50.03)</f>
        <v>50.03</v>
      </c>
    </row>
    <row r="90">
      <c r="A90" s="13" t="str">
        <f>IFERROR(__xludf.DUMMYFUNCTION("""COMPUTED_VALUE"""),"0040")</f>
        <v>0040</v>
      </c>
      <c r="B90" s="13" t="str">
        <f>IFERROR(__xludf.DUMMYFUNCTION("""COMPUTED_VALUE"""),"School District 27J")</f>
        <v>School District 27J</v>
      </c>
      <c r="C90" s="14" t="str">
        <f>IFERROR(__xludf.DUMMYFUNCTION("""COMPUTED_VALUE"""),"01013")</f>
        <v>01013</v>
      </c>
      <c r="D90" s="13" t="str">
        <f>IFERROR(__xludf.DUMMYFUNCTION("""COMPUTED_VALUE"""),"BRANTNER ELEMENTARY SCHOOL")</f>
        <v>BRANTNER ELEMENTARY SCHOOL</v>
      </c>
      <c r="E90" s="13" t="str">
        <f>IFERROR(__xludf.DUMMYFUNCTION("""COMPUTED_VALUE"""),"Group 4")</f>
        <v>Group 4</v>
      </c>
      <c r="F90" s="13" t="str">
        <f>IFERROR(__xludf.DUMMYFUNCTION("""COMPUTED_VALUE"""),"2024 - 2025")</f>
        <v>2024 - 2025</v>
      </c>
      <c r="G90" s="13" t="str">
        <f>IFERROR(__xludf.DUMMYFUNCTION("""COMPUTED_VALUE"""),"2023 - 2024")</f>
        <v>2023 - 2024</v>
      </c>
      <c r="H90" s="13">
        <f>IFERROR(__xludf.DUMMYFUNCTION("""COMPUTED_VALUE"""),49.97)</f>
        <v>49.97</v>
      </c>
      <c r="I90" s="15">
        <f>IFERROR(__xludf.DUMMYFUNCTION("""COMPUTED_VALUE"""),50.03)</f>
        <v>50.03</v>
      </c>
    </row>
    <row r="91">
      <c r="A91" s="13" t="str">
        <f>IFERROR(__xludf.DUMMYFUNCTION("""COMPUTED_VALUE"""),"0040")</f>
        <v>0040</v>
      </c>
      <c r="B91" s="13" t="str">
        <f>IFERROR(__xludf.DUMMYFUNCTION("""COMPUTED_VALUE"""),"School District 27J")</f>
        <v>School District 27J</v>
      </c>
      <c r="C91" s="14" t="str">
        <f>IFERROR(__xludf.DUMMYFUNCTION("""COMPUTED_VALUE"""),"02191")</f>
        <v>02191</v>
      </c>
      <c r="D91" s="13" t="str">
        <f>IFERROR(__xludf.DUMMYFUNCTION("""COMPUTED_VALUE"""),"Discovery Magnet School")</f>
        <v>Discovery Magnet School</v>
      </c>
      <c r="E91" s="13" t="str">
        <f>IFERROR(__xludf.DUMMYFUNCTION("""COMPUTED_VALUE"""),"Group 4")</f>
        <v>Group 4</v>
      </c>
      <c r="F91" s="13" t="str">
        <f>IFERROR(__xludf.DUMMYFUNCTION("""COMPUTED_VALUE"""),"2024 - 2025")</f>
        <v>2024 - 2025</v>
      </c>
      <c r="G91" s="13" t="str">
        <f>IFERROR(__xludf.DUMMYFUNCTION("""COMPUTED_VALUE"""),"2023 - 2024")</f>
        <v>2023 - 2024</v>
      </c>
      <c r="H91" s="13">
        <f>IFERROR(__xludf.DUMMYFUNCTION("""COMPUTED_VALUE"""),49.97)</f>
        <v>49.97</v>
      </c>
      <c r="I91" s="15">
        <f>IFERROR(__xludf.DUMMYFUNCTION("""COMPUTED_VALUE"""),50.03)</f>
        <v>50.03</v>
      </c>
    </row>
    <row r="92">
      <c r="A92" s="13" t="str">
        <f>IFERROR(__xludf.DUMMYFUNCTION("""COMPUTED_VALUE"""),"0040")</f>
        <v>0040</v>
      </c>
      <c r="B92" s="13" t="str">
        <f>IFERROR(__xludf.DUMMYFUNCTION("""COMPUTED_VALUE"""),"School District 27J")</f>
        <v>School District 27J</v>
      </c>
      <c r="C92" s="14" t="str">
        <f>IFERROR(__xludf.DUMMYFUNCTION("""COMPUTED_VALUE"""),"07340")</f>
        <v>07340</v>
      </c>
      <c r="D92" s="13" t="str">
        <f>IFERROR(__xludf.DUMMYFUNCTION("""COMPUTED_VALUE"""),"RIVERDALE RIDGE HIGH SCHOOL")</f>
        <v>RIVERDALE RIDGE HIGH SCHOOL</v>
      </c>
      <c r="E92" s="13" t="str">
        <f>IFERROR(__xludf.DUMMYFUNCTION("""COMPUTED_VALUE"""),"Group 5")</f>
        <v>Group 5</v>
      </c>
      <c r="F92" s="13" t="str">
        <f>IFERROR(__xludf.DUMMYFUNCTION("""COMPUTED_VALUE"""),"2024 - 2025")</f>
        <v>2024 - 2025</v>
      </c>
      <c r="G92" s="13" t="str">
        <f>IFERROR(__xludf.DUMMYFUNCTION("""COMPUTED_VALUE"""),"2023 - 2024")</f>
        <v>2023 - 2024</v>
      </c>
      <c r="H92" s="13">
        <f>IFERROR(__xludf.DUMMYFUNCTION("""COMPUTED_VALUE"""),42.21)</f>
        <v>42.21</v>
      </c>
      <c r="I92" s="15">
        <f>IFERROR(__xludf.DUMMYFUNCTION("""COMPUTED_VALUE"""),57.79)</f>
        <v>57.79</v>
      </c>
    </row>
    <row r="93">
      <c r="A93" s="13" t="str">
        <f>IFERROR(__xludf.DUMMYFUNCTION("""COMPUTED_VALUE"""),"0040")</f>
        <v>0040</v>
      </c>
      <c r="B93" s="13" t="str">
        <f>IFERROR(__xludf.DUMMYFUNCTION("""COMPUTED_VALUE"""),"School District 27J")</f>
        <v>School District 27J</v>
      </c>
      <c r="C93" s="14" t="str">
        <f>IFERROR(__xludf.DUMMYFUNCTION("""COMPUTED_VALUE"""),"08820")</f>
        <v>08820</v>
      </c>
      <c r="D93" s="13" t="str">
        <f>IFERROR(__xludf.DUMMYFUNCTION("""COMPUTED_VALUE"""),"TURNBERRY ELEMENTARY")</f>
        <v>TURNBERRY ELEMENTARY</v>
      </c>
      <c r="E93" s="13" t="str">
        <f>IFERROR(__xludf.DUMMYFUNCTION("""COMPUTED_VALUE"""),"Group 6")</f>
        <v>Group 6</v>
      </c>
      <c r="F93" s="13" t="str">
        <f>IFERROR(__xludf.DUMMYFUNCTION("""COMPUTED_VALUE"""),"2024 - 2025")</f>
        <v>2024 - 2025</v>
      </c>
      <c r="G93" s="13" t="str">
        <f>IFERROR(__xludf.DUMMYFUNCTION("""COMPUTED_VALUE"""),"2023 - 2024")</f>
        <v>2023 - 2024</v>
      </c>
      <c r="H93" s="13">
        <f>IFERROR(__xludf.DUMMYFUNCTION("""COMPUTED_VALUE"""),58.16)</f>
        <v>58.16</v>
      </c>
      <c r="I93" s="15">
        <f>IFERROR(__xludf.DUMMYFUNCTION("""COMPUTED_VALUE"""),41.84)</f>
        <v>41.84</v>
      </c>
    </row>
    <row r="94">
      <c r="A94" s="13" t="str">
        <f>IFERROR(__xludf.DUMMYFUNCTION("""COMPUTED_VALUE"""),"0040")</f>
        <v>0040</v>
      </c>
      <c r="B94" s="13" t="str">
        <f>IFERROR(__xludf.DUMMYFUNCTION("""COMPUTED_VALUE"""),"School District 27J")</f>
        <v>School District 27J</v>
      </c>
      <c r="C94" s="14" t="str">
        <f>IFERROR(__xludf.DUMMYFUNCTION("""COMPUTED_VALUE"""),"05615")</f>
        <v>05615</v>
      </c>
      <c r="D94" s="13" t="str">
        <f>IFERROR(__xludf.DUMMYFUNCTION("""COMPUTED_VALUE"""),"MARY E PENNOCK ELEMENTARY SCHOOL")</f>
        <v>MARY E PENNOCK ELEMENTARY SCHOOL</v>
      </c>
      <c r="E94" s="13" t="str">
        <f>IFERROR(__xludf.DUMMYFUNCTION("""COMPUTED_VALUE"""),"Group 7")</f>
        <v>Group 7</v>
      </c>
      <c r="F94" s="13" t="str">
        <f>IFERROR(__xludf.DUMMYFUNCTION("""COMPUTED_VALUE"""),"2024 - 2025")</f>
        <v>2024 - 2025</v>
      </c>
      <c r="G94" s="13" t="str">
        <f>IFERROR(__xludf.DUMMYFUNCTION("""COMPUTED_VALUE"""),"2023 - 2024")</f>
        <v>2023 - 2024</v>
      </c>
      <c r="H94" s="13">
        <f>IFERROR(__xludf.DUMMYFUNCTION("""COMPUTED_VALUE"""),73.68)</f>
        <v>73.68</v>
      </c>
      <c r="I94" s="15">
        <f>IFERROR(__xludf.DUMMYFUNCTION("""COMPUTED_VALUE"""),26.319999999999993)</f>
        <v>26.32</v>
      </c>
    </row>
    <row r="95">
      <c r="A95" s="13" t="str">
        <f>IFERROR(__xludf.DUMMYFUNCTION("""COMPUTED_VALUE"""),"0040")</f>
        <v>0040</v>
      </c>
      <c r="B95" s="13" t="str">
        <f>IFERROR(__xludf.DUMMYFUNCTION("""COMPUTED_VALUE"""),"School District 27J")</f>
        <v>School District 27J</v>
      </c>
      <c r="C95" s="14" t="str">
        <f>IFERROR(__xludf.DUMMYFUNCTION("""COMPUTED_VALUE"""),"06702")</f>
        <v>06702</v>
      </c>
      <c r="D95" s="13" t="str">
        <f>IFERROR(__xludf.DUMMYFUNCTION("""COMPUTED_VALUE"""),"OTHO E STUART MIDDLE SCHOOL")</f>
        <v>OTHO E STUART MIDDLE SCHOOL</v>
      </c>
      <c r="E95" s="13" t="str">
        <f>IFERROR(__xludf.DUMMYFUNCTION("""COMPUTED_VALUE"""),"Group 7")</f>
        <v>Group 7</v>
      </c>
      <c r="F95" s="13" t="str">
        <f>IFERROR(__xludf.DUMMYFUNCTION("""COMPUTED_VALUE"""),"2024 - 2025")</f>
        <v>2024 - 2025</v>
      </c>
      <c r="G95" s="13" t="str">
        <f>IFERROR(__xludf.DUMMYFUNCTION("""COMPUTED_VALUE"""),"2023 - 2024")</f>
        <v>2023 - 2024</v>
      </c>
      <c r="H95" s="13">
        <f>IFERROR(__xludf.DUMMYFUNCTION("""COMPUTED_VALUE"""),73.68)</f>
        <v>73.68</v>
      </c>
      <c r="I95" s="15">
        <f>IFERROR(__xludf.DUMMYFUNCTION("""COMPUTED_VALUE"""),26.319999999999993)</f>
        <v>26.32</v>
      </c>
    </row>
    <row r="96">
      <c r="A96" s="13" t="str">
        <f>IFERROR(__xludf.DUMMYFUNCTION("""COMPUTED_VALUE"""),"0040")</f>
        <v>0040</v>
      </c>
      <c r="B96" s="13" t="str">
        <f>IFERROR(__xludf.DUMMYFUNCTION("""COMPUTED_VALUE"""),"School District 27J")</f>
        <v>School District 27J</v>
      </c>
      <c r="C96" s="14" t="str">
        <f>IFERROR(__xludf.DUMMYFUNCTION("""COMPUTED_VALUE"""),"07714")</f>
        <v>07714</v>
      </c>
      <c r="D96" s="13" t="str">
        <f>IFERROR(__xludf.DUMMYFUNCTION("""COMPUTED_VALUE"""),"SECOND CREEK ELEMENTARY SCHOOL")</f>
        <v>SECOND CREEK ELEMENTARY SCHOOL</v>
      </c>
      <c r="E96" s="13" t="str">
        <f>IFERROR(__xludf.DUMMYFUNCTION("""COMPUTED_VALUE"""),"Group 7")</f>
        <v>Group 7</v>
      </c>
      <c r="F96" s="13" t="str">
        <f>IFERROR(__xludf.DUMMYFUNCTION("""COMPUTED_VALUE"""),"2024 - 2025")</f>
        <v>2024 - 2025</v>
      </c>
      <c r="G96" s="13" t="str">
        <f>IFERROR(__xludf.DUMMYFUNCTION("""COMPUTED_VALUE"""),"2023 - 2024")</f>
        <v>2023 - 2024</v>
      </c>
      <c r="H96" s="13">
        <f>IFERROR(__xludf.DUMMYFUNCTION("""COMPUTED_VALUE"""),73.68)</f>
        <v>73.68</v>
      </c>
      <c r="I96" s="15">
        <f>IFERROR(__xludf.DUMMYFUNCTION("""COMPUTED_VALUE"""),26.319999999999993)</f>
        <v>26.32</v>
      </c>
    </row>
    <row r="97">
      <c r="A97" s="13" t="str">
        <f>IFERROR(__xludf.DUMMYFUNCTION("""COMPUTED_VALUE"""),"0040")</f>
        <v>0040</v>
      </c>
      <c r="B97" s="13" t="str">
        <f>IFERROR(__xludf.DUMMYFUNCTION("""COMPUTED_VALUE"""),"School District 27J")</f>
        <v>School District 27J</v>
      </c>
      <c r="C97" s="14" t="str">
        <f>IFERROR(__xludf.DUMMYFUNCTION("""COMPUTED_VALUE"""),"00251")</f>
        <v>00251</v>
      </c>
      <c r="D97" s="13" t="str">
        <f>IFERROR(__xludf.DUMMYFUNCTION("""COMPUTED_VALUE"""),"Elaine S. Padilla Elementary School")</f>
        <v>Elaine S. Padilla Elementary School</v>
      </c>
      <c r="E97" s="13" t="str">
        <f>IFERROR(__xludf.DUMMYFUNCTION("""COMPUTED_VALUE"""),"Group 7")</f>
        <v>Group 7</v>
      </c>
      <c r="F97" s="13" t="str">
        <f>IFERROR(__xludf.DUMMYFUNCTION("""COMPUTED_VALUE"""),"2024 - 2025")</f>
        <v>2024 - 2025</v>
      </c>
      <c r="G97" s="13" t="str">
        <f>IFERROR(__xludf.DUMMYFUNCTION("""COMPUTED_VALUE"""),"2023 - 2024")</f>
        <v>2023 - 2024</v>
      </c>
      <c r="H97" s="13">
        <f>IFERROR(__xludf.DUMMYFUNCTION("""COMPUTED_VALUE"""),73.68)</f>
        <v>73.68</v>
      </c>
      <c r="I97" s="15">
        <f>IFERROR(__xludf.DUMMYFUNCTION("""COMPUTED_VALUE"""),26.319999999999993)</f>
        <v>26.32</v>
      </c>
    </row>
    <row r="98">
      <c r="A98" s="13" t="str">
        <f>IFERROR(__xludf.DUMMYFUNCTION("""COMPUTED_VALUE"""),"0040")</f>
        <v>0040</v>
      </c>
      <c r="B98" s="13" t="str">
        <f>IFERROR(__xludf.DUMMYFUNCTION("""COMPUTED_VALUE"""),"School District 27J")</f>
        <v>School District 27J</v>
      </c>
      <c r="C98" s="14" t="str">
        <f>IFERROR(__xludf.DUMMYFUNCTION("""COMPUTED_VALUE"""),"02945")</f>
        <v>02945</v>
      </c>
      <c r="D98" s="13" t="str">
        <f>IFERROR(__xludf.DUMMYFUNCTION("""COMPUTED_VALUE"""),"FOUNDATIONS ACADEMY")</f>
        <v>FOUNDATIONS ACADEMY</v>
      </c>
      <c r="E98" s="13" t="str">
        <f>IFERROR(__xludf.DUMMYFUNCTION("""COMPUTED_VALUE"""),"Group 8")</f>
        <v>Group 8</v>
      </c>
      <c r="F98" s="13" t="str">
        <f>IFERROR(__xludf.DUMMYFUNCTION("""COMPUTED_VALUE"""),"2024 - 2025")</f>
        <v>2024 - 2025</v>
      </c>
      <c r="G98" s="13" t="str">
        <f>IFERROR(__xludf.DUMMYFUNCTION("""COMPUTED_VALUE"""),"2023 - 2024")</f>
        <v>2023 - 2024</v>
      </c>
      <c r="H98" s="13">
        <f>IFERROR(__xludf.DUMMYFUNCTION("""COMPUTED_VALUE"""),58.83)</f>
        <v>58.83</v>
      </c>
      <c r="I98" s="15">
        <f>IFERROR(__xludf.DUMMYFUNCTION("""COMPUTED_VALUE"""),41.17)</f>
        <v>41.17</v>
      </c>
    </row>
    <row r="99">
      <c r="A99" s="13" t="str">
        <f>IFERROR(__xludf.DUMMYFUNCTION("""COMPUTED_VALUE"""),"0040")</f>
        <v>0040</v>
      </c>
      <c r="B99" s="13" t="str">
        <f>IFERROR(__xludf.DUMMYFUNCTION("""COMPUTED_VALUE"""),"School District 27J")</f>
        <v>School District 27J</v>
      </c>
      <c r="C99" s="14" t="str">
        <f>IFERROR(__xludf.DUMMYFUNCTION("""COMPUTED_VALUE"""),"07131")</f>
        <v>07131</v>
      </c>
      <c r="D99" s="13" t="str">
        <f>IFERROR(__xludf.DUMMYFUNCTION("""COMPUTED_VALUE"""),"PRAIRIE VIEW MIDDLE SCHOOL")</f>
        <v>PRAIRIE VIEW MIDDLE SCHOOL</v>
      </c>
      <c r="E99" s="13" t="str">
        <f>IFERROR(__xludf.DUMMYFUNCTION("""COMPUTED_VALUE"""),"Group 8")</f>
        <v>Group 8</v>
      </c>
      <c r="F99" s="13" t="str">
        <f>IFERROR(__xludf.DUMMYFUNCTION("""COMPUTED_VALUE"""),"2024 - 2025")</f>
        <v>2024 - 2025</v>
      </c>
      <c r="G99" s="13" t="str">
        <f>IFERROR(__xludf.DUMMYFUNCTION("""COMPUTED_VALUE"""),"2023 - 2024")</f>
        <v>2023 - 2024</v>
      </c>
      <c r="H99" s="13">
        <f>IFERROR(__xludf.DUMMYFUNCTION("""COMPUTED_VALUE"""),58.83)</f>
        <v>58.83</v>
      </c>
      <c r="I99" s="15">
        <f>IFERROR(__xludf.DUMMYFUNCTION("""COMPUTED_VALUE"""),41.17)</f>
        <v>41.17</v>
      </c>
    </row>
    <row r="100">
      <c r="A100" s="13" t="str">
        <f>IFERROR(__xludf.DUMMYFUNCTION("""COMPUTED_VALUE"""),"0040")</f>
        <v>0040</v>
      </c>
      <c r="B100" s="13" t="str">
        <f>IFERROR(__xludf.DUMMYFUNCTION("""COMPUTED_VALUE"""),"School District 27J")</f>
        <v>School District 27J</v>
      </c>
      <c r="C100" s="14" t="str">
        <f>IFERROR(__xludf.DUMMYFUNCTION("""COMPUTED_VALUE"""),"05918")</f>
        <v>05918</v>
      </c>
      <c r="D100" s="13" t="str">
        <f>IFERROR(__xludf.DUMMYFUNCTION("""COMPUTED_VALUE"""),"Southlawn Elementary School")</f>
        <v>Southlawn Elementary School</v>
      </c>
      <c r="E100" s="13" t="str">
        <f>IFERROR(__xludf.DUMMYFUNCTION("""COMPUTED_VALUE"""),"Group 8")</f>
        <v>Group 8</v>
      </c>
      <c r="F100" s="13" t="str">
        <f>IFERROR(__xludf.DUMMYFUNCTION("""COMPUTED_VALUE"""),"2024 - 2025")</f>
        <v>2024 - 2025</v>
      </c>
      <c r="G100" s="13" t="str">
        <f>IFERROR(__xludf.DUMMYFUNCTION("""COMPUTED_VALUE"""),"2023 - 2024")</f>
        <v>2023 - 2024</v>
      </c>
      <c r="H100" s="13">
        <f>IFERROR(__xludf.DUMMYFUNCTION("""COMPUTED_VALUE"""),58.83)</f>
        <v>58.83</v>
      </c>
      <c r="I100" s="15">
        <f>IFERROR(__xludf.DUMMYFUNCTION("""COMPUTED_VALUE"""),41.17)</f>
        <v>41.17</v>
      </c>
    </row>
    <row r="101">
      <c r="A101" s="13" t="str">
        <f>IFERROR(__xludf.DUMMYFUNCTION("""COMPUTED_VALUE"""),"0040")</f>
        <v>0040</v>
      </c>
      <c r="B101" s="13" t="str">
        <f>IFERROR(__xludf.DUMMYFUNCTION("""COMPUTED_VALUE"""),"School District 27J")</f>
        <v>School District 27J</v>
      </c>
      <c r="C101" s="14" t="str">
        <f>IFERROR(__xludf.DUMMYFUNCTION("""COMPUTED_VALUE"""),"06638")</f>
        <v>06638</v>
      </c>
      <c r="D101" s="13" t="str">
        <f>IFERROR(__xludf.DUMMYFUNCTION("""COMPUTED_VALUE"""),"OVERLAND TRAIL MIDDLE SCHOOL")</f>
        <v>OVERLAND TRAIL MIDDLE SCHOOL</v>
      </c>
      <c r="E101" s="13" t="str">
        <f>IFERROR(__xludf.DUMMYFUNCTION("""COMPUTED_VALUE"""),"Group 9")</f>
        <v>Group 9</v>
      </c>
      <c r="F101" s="13" t="str">
        <f>IFERROR(__xludf.DUMMYFUNCTION("""COMPUTED_VALUE"""),"2024 - 2025")</f>
        <v>2024 - 2025</v>
      </c>
      <c r="G101" s="13" t="str">
        <f>IFERROR(__xludf.DUMMYFUNCTION("""COMPUTED_VALUE"""),"2023 - 2024")</f>
        <v>2023 - 2024</v>
      </c>
      <c r="H101" s="13">
        <f>IFERROR(__xludf.DUMMYFUNCTION("""COMPUTED_VALUE"""),87.97)</f>
        <v>87.97</v>
      </c>
      <c r="I101" s="15">
        <f>IFERROR(__xludf.DUMMYFUNCTION("""COMPUTED_VALUE"""),12.030000000000001)</f>
        <v>12.03</v>
      </c>
    </row>
    <row r="102">
      <c r="A102" s="13" t="str">
        <f>IFERROR(__xludf.DUMMYFUNCTION("""COMPUTED_VALUE"""),"0040")</f>
        <v>0040</v>
      </c>
      <c r="B102" s="13" t="str">
        <f>IFERROR(__xludf.DUMMYFUNCTION("""COMPUTED_VALUE"""),"School District 27J")</f>
        <v>School District 27J</v>
      </c>
      <c r="C102" s="14" t="str">
        <f>IFERROR(__xludf.DUMMYFUNCTION("""COMPUTED_VALUE"""),"09230")</f>
        <v>09230</v>
      </c>
      <c r="D102" s="13" t="str">
        <f>IFERROR(__xludf.DUMMYFUNCTION("""COMPUTED_VALUE"""),"VIKAN MIDDLE SCHOOL")</f>
        <v>VIKAN MIDDLE SCHOOL</v>
      </c>
      <c r="E102" s="13" t="str">
        <f>IFERROR(__xludf.DUMMYFUNCTION("""COMPUTED_VALUE"""),"Group 9")</f>
        <v>Group 9</v>
      </c>
      <c r="F102" s="13" t="str">
        <f>IFERROR(__xludf.DUMMYFUNCTION("""COMPUTED_VALUE"""),"2024 - 2025")</f>
        <v>2024 - 2025</v>
      </c>
      <c r="G102" s="13" t="str">
        <f>IFERROR(__xludf.DUMMYFUNCTION("""COMPUTED_VALUE"""),"2023 - 2024")</f>
        <v>2023 - 2024</v>
      </c>
      <c r="H102" s="13">
        <f>IFERROR(__xludf.DUMMYFUNCTION("""COMPUTED_VALUE"""),87.97)</f>
        <v>87.97</v>
      </c>
      <c r="I102" s="15">
        <f>IFERROR(__xludf.DUMMYFUNCTION("""COMPUTED_VALUE"""),12.030000000000001)</f>
        <v>12.03</v>
      </c>
    </row>
    <row r="103">
      <c r="A103" s="13" t="str">
        <f>IFERROR(__xludf.DUMMYFUNCTION("""COMPUTED_VALUE"""),"0050")</f>
        <v>0050</v>
      </c>
      <c r="B103" s="13" t="str">
        <f>IFERROR(__xludf.DUMMYFUNCTION("""COMPUTED_VALUE"""),"BENNETT 29J")</f>
        <v>BENNETT 29J</v>
      </c>
      <c r="C103" s="14" t="str">
        <f>IFERROR(__xludf.DUMMYFUNCTION("""COMPUTED_VALUE"""),"00770")</f>
        <v>00770</v>
      </c>
      <c r="D103" s="13" t="str">
        <f>IFERROR(__xludf.DUMMYFUNCTION("""COMPUTED_VALUE"""),"BENNETT ELEMENTARY SCHOOL")</f>
        <v>BENNETT ELEMENTARY SCHOOL</v>
      </c>
      <c r="E103" s="13" t="str">
        <f>IFERROR(__xludf.DUMMYFUNCTION("""COMPUTED_VALUE"""),"Group 1")</f>
        <v>Group 1</v>
      </c>
      <c r="F103" s="13" t="str">
        <f>IFERROR(__xludf.DUMMYFUNCTION("""COMPUTED_VALUE"""),"2024 - 2025")</f>
        <v>2024 - 2025</v>
      </c>
      <c r="G103" s="13" t="str">
        <f>IFERROR(__xludf.DUMMYFUNCTION("""COMPUTED_VALUE"""),"2023 - 2024")</f>
        <v>2023 - 2024</v>
      </c>
      <c r="H103" s="13">
        <f>IFERROR(__xludf.DUMMYFUNCTION("""COMPUTED_VALUE"""),40.35)</f>
        <v>40.35</v>
      </c>
      <c r="I103" s="15">
        <f>IFERROR(__xludf.DUMMYFUNCTION("""COMPUTED_VALUE"""),59.65)</f>
        <v>59.65</v>
      </c>
    </row>
    <row r="104">
      <c r="A104" s="13" t="str">
        <f>IFERROR(__xludf.DUMMYFUNCTION("""COMPUTED_VALUE"""),"0050")</f>
        <v>0050</v>
      </c>
      <c r="B104" s="13" t="str">
        <f>IFERROR(__xludf.DUMMYFUNCTION("""COMPUTED_VALUE"""),"BENNETT 29J")</f>
        <v>BENNETT 29J</v>
      </c>
      <c r="C104" s="14" t="str">
        <f>IFERROR(__xludf.DUMMYFUNCTION("""COMPUTED_VALUE"""),"00774")</f>
        <v>00774</v>
      </c>
      <c r="D104" s="13" t="str">
        <f>IFERROR(__xludf.DUMMYFUNCTION("""COMPUTED_VALUE"""),"BENNETT MIDDLE SCHOOL")</f>
        <v>BENNETT MIDDLE SCHOOL</v>
      </c>
      <c r="E104" s="13" t="str">
        <f>IFERROR(__xludf.DUMMYFUNCTION("""COMPUTED_VALUE"""),"Group 1")</f>
        <v>Group 1</v>
      </c>
      <c r="F104" s="13" t="str">
        <f>IFERROR(__xludf.DUMMYFUNCTION("""COMPUTED_VALUE"""),"2024 - 2025")</f>
        <v>2024 - 2025</v>
      </c>
      <c r="G104" s="13" t="str">
        <f>IFERROR(__xludf.DUMMYFUNCTION("""COMPUTED_VALUE"""),"2023 - 2024")</f>
        <v>2023 - 2024</v>
      </c>
      <c r="H104" s="13">
        <f>IFERROR(__xludf.DUMMYFUNCTION("""COMPUTED_VALUE"""),40.35)</f>
        <v>40.35</v>
      </c>
      <c r="I104" s="15">
        <f>IFERROR(__xludf.DUMMYFUNCTION("""COMPUTED_VALUE"""),59.65)</f>
        <v>59.65</v>
      </c>
    </row>
    <row r="105">
      <c r="A105" s="13" t="str">
        <f>IFERROR(__xludf.DUMMYFUNCTION("""COMPUTED_VALUE"""),"0050")</f>
        <v>0050</v>
      </c>
      <c r="B105" s="13" t="str">
        <f>IFERROR(__xludf.DUMMYFUNCTION("""COMPUTED_VALUE"""),"BENNETT 29J")</f>
        <v>BENNETT 29J</v>
      </c>
      <c r="C105" s="14" t="str">
        <f>IFERROR(__xludf.DUMMYFUNCTION("""COMPUTED_VALUE"""),"00775")</f>
        <v>00775</v>
      </c>
      <c r="D105" s="13" t="str">
        <f>IFERROR(__xludf.DUMMYFUNCTION("""COMPUTED_VALUE"""),"BENNETT HIGH SCHOOL")</f>
        <v>BENNETT HIGH SCHOOL</v>
      </c>
      <c r="E105" s="13" t="str">
        <f>IFERROR(__xludf.DUMMYFUNCTION("""COMPUTED_VALUE"""),"Group 1")</f>
        <v>Group 1</v>
      </c>
      <c r="F105" s="13" t="str">
        <f>IFERROR(__xludf.DUMMYFUNCTION("""COMPUTED_VALUE"""),"2024 - 2025")</f>
        <v>2024 - 2025</v>
      </c>
      <c r="G105" s="13" t="str">
        <f>IFERROR(__xludf.DUMMYFUNCTION("""COMPUTED_VALUE"""),"2023 - 2024")</f>
        <v>2023 - 2024</v>
      </c>
      <c r="H105" s="13">
        <f>IFERROR(__xludf.DUMMYFUNCTION("""COMPUTED_VALUE"""),40.35)</f>
        <v>40.35</v>
      </c>
      <c r="I105" s="15">
        <f>IFERROR(__xludf.DUMMYFUNCTION("""COMPUTED_VALUE"""),59.65)</f>
        <v>59.65</v>
      </c>
    </row>
    <row r="106">
      <c r="A106" s="13" t="str">
        <f>IFERROR(__xludf.DUMMYFUNCTION("""COMPUTED_VALUE"""),"0060")</f>
        <v>0060</v>
      </c>
      <c r="B106" s="13" t="str">
        <f>IFERROR(__xludf.DUMMYFUNCTION("""COMPUTED_VALUE"""),"STRASBURG 31J")</f>
        <v>STRASBURG 31J</v>
      </c>
      <c r="C106" s="14" t="str">
        <f>IFERROR(__xludf.DUMMYFUNCTION("""COMPUTED_VALUE"""),"08334")</f>
        <v>08334</v>
      </c>
      <c r="D106" s="13" t="str">
        <f>IFERROR(__xludf.DUMMYFUNCTION("""COMPUTED_VALUE"""),"STRASBURG HIGH SCHOOL")</f>
        <v>STRASBURG HIGH SCHOOL</v>
      </c>
      <c r="E106" s="13" t="str">
        <f>IFERROR(__xludf.DUMMYFUNCTION("""COMPUTED_VALUE"""),"Group 1")</f>
        <v>Group 1</v>
      </c>
      <c r="F106" s="13" t="str">
        <f>IFERROR(__xludf.DUMMYFUNCTION("""COMPUTED_VALUE"""),"2024 - 2025")</f>
        <v>2024 - 2025</v>
      </c>
      <c r="G106" s="13" t="str">
        <f>IFERROR(__xludf.DUMMYFUNCTION("""COMPUTED_VALUE"""),"2023 - 2024")</f>
        <v>2023 - 2024</v>
      </c>
      <c r="H106" s="13">
        <f>IFERROR(__xludf.DUMMYFUNCTION("""COMPUTED_VALUE"""),48.66)</f>
        <v>48.66</v>
      </c>
      <c r="I106" s="15">
        <f>IFERROR(__xludf.DUMMYFUNCTION("""COMPUTED_VALUE"""),51.34)</f>
        <v>51.34</v>
      </c>
    </row>
    <row r="107">
      <c r="A107" s="13" t="str">
        <f>IFERROR(__xludf.DUMMYFUNCTION("""COMPUTED_VALUE"""),"0060")</f>
        <v>0060</v>
      </c>
      <c r="B107" s="13" t="str">
        <f>IFERROR(__xludf.DUMMYFUNCTION("""COMPUTED_VALUE"""),"STRASBURG 31J")</f>
        <v>STRASBURG 31J</v>
      </c>
      <c r="C107" s="14" t="str">
        <f>IFERROR(__xludf.DUMMYFUNCTION("""COMPUTED_VALUE"""),"08328")</f>
        <v>08328</v>
      </c>
      <c r="D107" s="13" t="str">
        <f>IFERROR(__xludf.DUMMYFUNCTION("""COMPUTED_VALUE"""),"STRASBURG ELEMENTARY SCHOOL")</f>
        <v>STRASBURG ELEMENTARY SCHOOL</v>
      </c>
      <c r="E107" s="13" t="str">
        <f>IFERROR(__xludf.DUMMYFUNCTION("""COMPUTED_VALUE"""),"Group 2")</f>
        <v>Group 2</v>
      </c>
      <c r="F107" s="13" t="str">
        <f>IFERROR(__xludf.DUMMYFUNCTION("""COMPUTED_VALUE"""),"2024 - 2025")</f>
        <v>2024 - 2025</v>
      </c>
      <c r="G107" s="13" t="str">
        <f>IFERROR(__xludf.DUMMYFUNCTION("""COMPUTED_VALUE"""),"2023 - 2024")</f>
        <v>2023 - 2024</v>
      </c>
      <c r="H107" s="13">
        <f>IFERROR(__xludf.DUMMYFUNCTION("""COMPUTED_VALUE"""),59.81)</f>
        <v>59.81</v>
      </c>
      <c r="I107" s="15">
        <f>IFERROR(__xludf.DUMMYFUNCTION("""COMPUTED_VALUE"""),40.19)</f>
        <v>40.19</v>
      </c>
    </row>
    <row r="108">
      <c r="A108" s="13" t="str">
        <f>IFERROR(__xludf.DUMMYFUNCTION("""COMPUTED_VALUE"""),"0060")</f>
        <v>0060</v>
      </c>
      <c r="B108" s="13" t="str">
        <f>IFERROR(__xludf.DUMMYFUNCTION("""COMPUTED_VALUE"""),"STRASBURG 31J")</f>
        <v>STRASBURG 31J</v>
      </c>
      <c r="C108" s="14" t="str">
        <f>IFERROR(__xludf.DUMMYFUNCTION("""COMPUTED_VALUE"""),"08332")</f>
        <v>08332</v>
      </c>
      <c r="D108" s="13" t="str">
        <f>IFERROR(__xludf.DUMMYFUNCTION("""COMPUTED_VALUE"""),"Hemphill Middle School")</f>
        <v>Hemphill Middle School</v>
      </c>
      <c r="E108" s="13" t="str">
        <f>IFERROR(__xludf.DUMMYFUNCTION("""COMPUTED_VALUE"""),"Group 2")</f>
        <v>Group 2</v>
      </c>
      <c r="F108" s="13" t="str">
        <f>IFERROR(__xludf.DUMMYFUNCTION("""COMPUTED_VALUE"""),"2024 - 2025")</f>
        <v>2024 - 2025</v>
      </c>
      <c r="G108" s="13" t="str">
        <f>IFERROR(__xludf.DUMMYFUNCTION("""COMPUTED_VALUE"""),"2023 - 2024")</f>
        <v>2023 - 2024</v>
      </c>
      <c r="H108" s="13">
        <f>IFERROR(__xludf.DUMMYFUNCTION("""COMPUTED_VALUE"""),59.81)</f>
        <v>59.81</v>
      </c>
      <c r="I108" s="15">
        <f>IFERROR(__xludf.DUMMYFUNCTION("""COMPUTED_VALUE"""),40.19)</f>
        <v>40.19</v>
      </c>
    </row>
    <row r="109">
      <c r="A109" s="13" t="str">
        <f>IFERROR(__xludf.DUMMYFUNCTION("""COMPUTED_VALUE"""),"0070")</f>
        <v>0070</v>
      </c>
      <c r="B109" s="13" t="str">
        <f>IFERROR(__xludf.DUMMYFUNCTION("""COMPUTED_VALUE"""),"Westminster Public Schools")</f>
        <v>Westminster Public Schools</v>
      </c>
      <c r="C109" s="14" t="str">
        <f>IFERROR(__xludf.DUMMYFUNCTION("""COMPUTED_VALUE"""),"09466")</f>
        <v>09466</v>
      </c>
      <c r="D109" s="13" t="str">
        <f>IFERROR(__xludf.DUMMYFUNCTION("""COMPUTED_VALUE"""),"WESTMINSTER HIGH SCHOOL")</f>
        <v>WESTMINSTER HIGH SCHOOL</v>
      </c>
      <c r="E109" s="13" t="str">
        <f>IFERROR(__xludf.DUMMYFUNCTION("""COMPUTED_VALUE"""),"Group 1")</f>
        <v>Group 1</v>
      </c>
      <c r="F109" s="13" t="str">
        <f>IFERROR(__xludf.DUMMYFUNCTION("""COMPUTED_VALUE"""),"2024 - 2025")</f>
        <v>2024 - 2025</v>
      </c>
      <c r="G109" s="13" t="str">
        <f>IFERROR(__xludf.DUMMYFUNCTION("""COMPUTED_VALUE"""),"2023 - 2024")</f>
        <v>2023 - 2024</v>
      </c>
      <c r="H109" s="13">
        <f>IFERROR(__xludf.DUMMYFUNCTION("""COMPUTED_VALUE"""),91.3)</f>
        <v>91.3</v>
      </c>
      <c r="I109" s="15">
        <f>IFERROR(__xludf.DUMMYFUNCTION("""COMPUTED_VALUE"""),8.700000000000003)</f>
        <v>8.7</v>
      </c>
    </row>
    <row r="110">
      <c r="A110" s="13" t="str">
        <f>IFERROR(__xludf.DUMMYFUNCTION("""COMPUTED_VALUE"""),"0070")</f>
        <v>0070</v>
      </c>
      <c r="B110" s="13" t="str">
        <f>IFERROR(__xludf.DUMMYFUNCTION("""COMPUTED_VALUE"""),"Westminster Public Schools")</f>
        <v>Westminster Public Schools</v>
      </c>
      <c r="C110" s="14" t="str">
        <f>IFERROR(__xludf.DUMMYFUNCTION("""COMPUTED_VALUE"""),"01622")</f>
        <v>01622</v>
      </c>
      <c r="D110" s="13" t="str">
        <f>IFERROR(__xludf.DUMMYFUNCTION("""COMPUTED_VALUE"""),"Metropolitan Arts Academy")</f>
        <v>Metropolitan Arts Academy</v>
      </c>
      <c r="E110" s="13" t="str">
        <f>IFERROR(__xludf.DUMMYFUNCTION("""COMPUTED_VALUE"""),"Group 2")</f>
        <v>Group 2</v>
      </c>
      <c r="F110" s="13" t="str">
        <f>IFERROR(__xludf.DUMMYFUNCTION("""COMPUTED_VALUE"""),"2024 - 2025")</f>
        <v>2024 - 2025</v>
      </c>
      <c r="G110" s="13" t="str">
        <f>IFERROR(__xludf.DUMMYFUNCTION("""COMPUTED_VALUE"""),"2023 - 2024")</f>
        <v>2023 - 2024</v>
      </c>
      <c r="H110" s="13">
        <f>IFERROR(__xludf.DUMMYFUNCTION("""COMPUTED_VALUE"""),100.0)</f>
        <v>100</v>
      </c>
      <c r="I110" s="15">
        <f>IFERROR(__xludf.DUMMYFUNCTION("""COMPUTED_VALUE"""),0.0)</f>
        <v>0</v>
      </c>
    </row>
    <row r="111">
      <c r="A111" s="13" t="str">
        <f>IFERROR(__xludf.DUMMYFUNCTION("""COMPUTED_VALUE"""),"0070")</f>
        <v>0070</v>
      </c>
      <c r="B111" s="13" t="str">
        <f>IFERROR(__xludf.DUMMYFUNCTION("""COMPUTED_VALUE"""),"Westminster Public Schools")</f>
        <v>Westminster Public Schools</v>
      </c>
      <c r="C111" s="14" t="str">
        <f>IFERROR(__xludf.DUMMYFUNCTION("""COMPUTED_VALUE"""),"03649")</f>
        <v>03649</v>
      </c>
      <c r="D111" s="13" t="str">
        <f>IFERROR(__xludf.DUMMYFUNCTION("""COMPUTED_VALUE"""),"EARLY LEARNING CENTER AT GREGORY HILL")</f>
        <v>EARLY LEARNING CENTER AT GREGORY HILL</v>
      </c>
      <c r="E111" s="13" t="str">
        <f>IFERROR(__xludf.DUMMYFUNCTION("""COMPUTED_VALUE"""),"Group 2")</f>
        <v>Group 2</v>
      </c>
      <c r="F111" s="13" t="str">
        <f>IFERROR(__xludf.DUMMYFUNCTION("""COMPUTED_VALUE"""),"2024 - 2025")</f>
        <v>2024 - 2025</v>
      </c>
      <c r="G111" s="13" t="str">
        <f>IFERROR(__xludf.DUMMYFUNCTION("""COMPUTED_VALUE"""),"2023 - 2024")</f>
        <v>2023 - 2024</v>
      </c>
      <c r="H111" s="13">
        <f>IFERROR(__xludf.DUMMYFUNCTION("""COMPUTED_VALUE"""),100.0)</f>
        <v>100</v>
      </c>
      <c r="I111" s="15">
        <f>IFERROR(__xludf.DUMMYFUNCTION("""COMPUTED_VALUE"""),0.0)</f>
        <v>0</v>
      </c>
    </row>
    <row r="112">
      <c r="A112" s="13" t="str">
        <f>IFERROR(__xludf.DUMMYFUNCTION("""COMPUTED_VALUE"""),"0070")</f>
        <v>0070</v>
      </c>
      <c r="B112" s="13" t="str">
        <f>IFERROR(__xludf.DUMMYFUNCTION("""COMPUTED_VALUE"""),"Westminster Public Schools")</f>
        <v>Westminster Public Schools</v>
      </c>
      <c r="C112" s="14" t="str">
        <f>IFERROR(__xludf.DUMMYFUNCTION("""COMPUTED_VALUE"""),"05834")</f>
        <v>05834</v>
      </c>
      <c r="D112" s="13" t="str">
        <f>IFERROR(__xludf.DUMMYFUNCTION("""COMPUTED_VALUE"""),"MESA ELEMENTARY SCHOOL")</f>
        <v>MESA ELEMENTARY SCHOOL</v>
      </c>
      <c r="E112" s="13" t="str">
        <f>IFERROR(__xludf.DUMMYFUNCTION("""COMPUTED_VALUE"""),"Group 2")</f>
        <v>Group 2</v>
      </c>
      <c r="F112" s="13" t="str">
        <f>IFERROR(__xludf.DUMMYFUNCTION("""COMPUTED_VALUE"""),"2024 - 2025")</f>
        <v>2024 - 2025</v>
      </c>
      <c r="G112" s="13" t="str">
        <f>IFERROR(__xludf.DUMMYFUNCTION("""COMPUTED_VALUE"""),"2023 - 2024")</f>
        <v>2023 - 2024</v>
      </c>
      <c r="H112" s="13">
        <f>IFERROR(__xludf.DUMMYFUNCTION("""COMPUTED_VALUE"""),100.0)</f>
        <v>100</v>
      </c>
      <c r="I112" s="15">
        <f>IFERROR(__xludf.DUMMYFUNCTION("""COMPUTED_VALUE"""),0.0)</f>
        <v>0</v>
      </c>
    </row>
    <row r="113">
      <c r="A113" s="13" t="str">
        <f>IFERROR(__xludf.DUMMYFUNCTION("""COMPUTED_VALUE"""),"0070")</f>
        <v>0070</v>
      </c>
      <c r="B113" s="13" t="str">
        <f>IFERROR(__xludf.DUMMYFUNCTION("""COMPUTED_VALUE"""),"Westminster Public Schools")</f>
        <v>Westminster Public Schools</v>
      </c>
      <c r="C113" s="14" t="str">
        <f>IFERROR(__xludf.DUMMYFUNCTION("""COMPUTED_VALUE"""),"07860")</f>
        <v>07860</v>
      </c>
      <c r="D113" s="13" t="str">
        <f>IFERROR(__xludf.DUMMYFUNCTION("""COMPUTED_VALUE"""),"SHERRELWOOD ELEMENTARY SCHOOL")</f>
        <v>SHERRELWOOD ELEMENTARY SCHOOL</v>
      </c>
      <c r="E113" s="13" t="str">
        <f>IFERROR(__xludf.DUMMYFUNCTION("""COMPUTED_VALUE"""),"Group 2")</f>
        <v>Group 2</v>
      </c>
      <c r="F113" s="13" t="str">
        <f>IFERROR(__xludf.DUMMYFUNCTION("""COMPUTED_VALUE"""),"2024 - 2025")</f>
        <v>2024 - 2025</v>
      </c>
      <c r="G113" s="13" t="str">
        <f>IFERROR(__xludf.DUMMYFUNCTION("""COMPUTED_VALUE"""),"2023 - 2024")</f>
        <v>2023 - 2024</v>
      </c>
      <c r="H113" s="13">
        <f>IFERROR(__xludf.DUMMYFUNCTION("""COMPUTED_VALUE"""),100.0)</f>
        <v>100</v>
      </c>
      <c r="I113" s="15">
        <f>IFERROR(__xludf.DUMMYFUNCTION("""COMPUTED_VALUE"""),0.0)</f>
        <v>0</v>
      </c>
    </row>
    <row r="114">
      <c r="A114" s="13" t="str">
        <f>IFERROR(__xludf.DUMMYFUNCTION("""COMPUTED_VALUE"""),"0070")</f>
        <v>0070</v>
      </c>
      <c r="B114" s="13" t="str">
        <f>IFERROR(__xludf.DUMMYFUNCTION("""COMPUTED_VALUE"""),"Westminster Public Schools")</f>
        <v>Westminster Public Schools</v>
      </c>
      <c r="C114" s="14" t="str">
        <f>IFERROR(__xludf.DUMMYFUNCTION("""COMPUTED_VALUE"""),"08406")</f>
        <v>08406</v>
      </c>
      <c r="D114" s="13" t="str">
        <f>IFERROR(__xludf.DUMMYFUNCTION("""COMPUTED_VALUE"""),"SUNSET RIDGE ELEMENTARY SCHOOL")</f>
        <v>SUNSET RIDGE ELEMENTARY SCHOOL</v>
      </c>
      <c r="E114" s="13" t="str">
        <f>IFERROR(__xludf.DUMMYFUNCTION("""COMPUTED_VALUE"""),"Group 2")</f>
        <v>Group 2</v>
      </c>
      <c r="F114" s="13" t="str">
        <f>IFERROR(__xludf.DUMMYFUNCTION("""COMPUTED_VALUE"""),"2024 - 2025")</f>
        <v>2024 - 2025</v>
      </c>
      <c r="G114" s="13" t="str">
        <f>IFERROR(__xludf.DUMMYFUNCTION("""COMPUTED_VALUE"""),"2023 - 2024")</f>
        <v>2023 - 2024</v>
      </c>
      <c r="H114" s="13">
        <f>IFERROR(__xludf.DUMMYFUNCTION("""COMPUTED_VALUE"""),100.0)</f>
        <v>100</v>
      </c>
      <c r="I114" s="15">
        <f>IFERROR(__xludf.DUMMYFUNCTION("""COMPUTED_VALUE"""),0.0)</f>
        <v>0</v>
      </c>
    </row>
    <row r="115">
      <c r="A115" s="13" t="str">
        <f>IFERROR(__xludf.DUMMYFUNCTION("""COMPUTED_VALUE"""),"0070")</f>
        <v>0070</v>
      </c>
      <c r="B115" s="13" t="str">
        <f>IFERROR(__xludf.DUMMYFUNCTION("""COMPUTED_VALUE"""),"Westminster Public Schools")</f>
        <v>Westminster Public Schools</v>
      </c>
      <c r="C115" s="14" t="str">
        <f>IFERROR(__xludf.DUMMYFUNCTION("""COMPUTED_VALUE"""),"05388")</f>
        <v>05388</v>
      </c>
      <c r="D115" s="13" t="str">
        <f>IFERROR(__xludf.DUMMYFUNCTION("""COMPUTED_VALUE"""),"COLORADO SPORTS LEADERSHIP ACADEMY")</f>
        <v>COLORADO SPORTS LEADERSHIP ACADEMY</v>
      </c>
      <c r="E115" s="13" t="str">
        <f>IFERROR(__xludf.DUMMYFUNCTION("""COMPUTED_VALUE"""),"Group 3")</f>
        <v>Group 3</v>
      </c>
      <c r="F115" s="13" t="str">
        <f>IFERROR(__xludf.DUMMYFUNCTION("""COMPUTED_VALUE"""),"2024 - 2025")</f>
        <v>2024 - 2025</v>
      </c>
      <c r="G115" s="13" t="str">
        <f>IFERROR(__xludf.DUMMYFUNCTION("""COMPUTED_VALUE"""),"2023 - 2024")</f>
        <v>2023 - 2024</v>
      </c>
      <c r="H115" s="13">
        <f>IFERROR(__xludf.DUMMYFUNCTION("""COMPUTED_VALUE"""),99.12)</f>
        <v>99.12</v>
      </c>
      <c r="I115" s="15">
        <f>IFERROR(__xludf.DUMMYFUNCTION("""COMPUTED_VALUE"""),0.8799999999999955)</f>
        <v>0.88</v>
      </c>
    </row>
    <row r="116">
      <c r="A116" s="13" t="str">
        <f>IFERROR(__xludf.DUMMYFUNCTION("""COMPUTED_VALUE"""),"0070")</f>
        <v>0070</v>
      </c>
      <c r="B116" s="13" t="str">
        <f>IFERROR(__xludf.DUMMYFUNCTION("""COMPUTED_VALUE"""),"Westminster Public Schools")</f>
        <v>Westminster Public Schools</v>
      </c>
      <c r="C116" s="14" t="str">
        <f>IFERROR(__xludf.DUMMYFUNCTION("""COMPUTED_VALUE"""),"07812")</f>
        <v>07812</v>
      </c>
      <c r="D116" s="13" t="str">
        <f>IFERROR(__xludf.DUMMYFUNCTION("""COMPUTED_VALUE"""),"SHAW HEIGHTS MIDDLE SCHOOL")</f>
        <v>SHAW HEIGHTS MIDDLE SCHOOL</v>
      </c>
      <c r="E116" s="13" t="str">
        <f>IFERROR(__xludf.DUMMYFUNCTION("""COMPUTED_VALUE"""),"Group 3")</f>
        <v>Group 3</v>
      </c>
      <c r="F116" s="13" t="str">
        <f>IFERROR(__xludf.DUMMYFUNCTION("""COMPUTED_VALUE"""),"2024 - 2025")</f>
        <v>2024 - 2025</v>
      </c>
      <c r="G116" s="13" t="str">
        <f>IFERROR(__xludf.DUMMYFUNCTION("""COMPUTED_VALUE"""),"2023 - 2024")</f>
        <v>2023 - 2024</v>
      </c>
      <c r="H116" s="13">
        <f>IFERROR(__xludf.DUMMYFUNCTION("""COMPUTED_VALUE"""),99.12)</f>
        <v>99.12</v>
      </c>
      <c r="I116" s="15">
        <f>IFERROR(__xludf.DUMMYFUNCTION("""COMPUTED_VALUE"""),0.8799999999999955)</f>
        <v>0.88</v>
      </c>
    </row>
    <row r="117">
      <c r="A117" s="13" t="str">
        <f>IFERROR(__xludf.DUMMYFUNCTION("""COMPUTED_VALUE"""),"0070")</f>
        <v>0070</v>
      </c>
      <c r="B117" s="13" t="str">
        <f>IFERROR(__xludf.DUMMYFUNCTION("""COMPUTED_VALUE"""),"Westminster Public Schools")</f>
        <v>Westminster Public Schools</v>
      </c>
      <c r="C117" s="14" t="str">
        <f>IFERROR(__xludf.DUMMYFUNCTION("""COMPUTED_VALUE"""),"09236")</f>
        <v>09236</v>
      </c>
      <c r="D117" s="13" t="str">
        <f>IFERROR(__xludf.DUMMYFUNCTION("""COMPUTED_VALUE"""),"Westminster Academy for International Studies")</f>
        <v>Westminster Academy for International Studies</v>
      </c>
      <c r="E117" s="13" t="str">
        <f>IFERROR(__xludf.DUMMYFUNCTION("""COMPUTED_VALUE"""),"Group 3")</f>
        <v>Group 3</v>
      </c>
      <c r="F117" s="13" t="str">
        <f>IFERROR(__xludf.DUMMYFUNCTION("""COMPUTED_VALUE"""),"2024 - 2025")</f>
        <v>2024 - 2025</v>
      </c>
      <c r="G117" s="13" t="str">
        <f>IFERROR(__xludf.DUMMYFUNCTION("""COMPUTED_VALUE"""),"2023 - 2024")</f>
        <v>2023 - 2024</v>
      </c>
      <c r="H117" s="13">
        <f>IFERROR(__xludf.DUMMYFUNCTION("""COMPUTED_VALUE"""),99.12)</f>
        <v>99.12</v>
      </c>
      <c r="I117" s="15">
        <f>IFERROR(__xludf.DUMMYFUNCTION("""COMPUTED_VALUE"""),0.8799999999999955)</f>
        <v>0.88</v>
      </c>
    </row>
    <row r="118">
      <c r="A118" s="13" t="str">
        <f>IFERROR(__xludf.DUMMYFUNCTION("""COMPUTED_VALUE"""),"0070")</f>
        <v>0070</v>
      </c>
      <c r="B118" s="13" t="str">
        <f>IFERROR(__xludf.DUMMYFUNCTION("""COMPUTED_VALUE"""),"Westminster Public Schools")</f>
        <v>Westminster Public Schools</v>
      </c>
      <c r="C118" s="14" t="str">
        <f>IFERROR(__xludf.DUMMYFUNCTION("""COMPUTED_VALUE"""),"01137")</f>
        <v>01137</v>
      </c>
      <c r="D118" s="13" t="str">
        <f>IFERROR(__xludf.DUMMYFUNCTION("""COMPUTED_VALUE"""),"Early Learning Center at Francis M. Day")</f>
        <v>Early Learning Center at Francis M. Day</v>
      </c>
      <c r="E118" s="13" t="str">
        <f>IFERROR(__xludf.DUMMYFUNCTION("""COMPUTED_VALUE"""),"Group 4")</f>
        <v>Group 4</v>
      </c>
      <c r="F118" s="13" t="str">
        <f>IFERROR(__xludf.DUMMYFUNCTION("""COMPUTED_VALUE"""),"2024 - 2025")</f>
        <v>2024 - 2025</v>
      </c>
      <c r="G118" s="13" t="str">
        <f>IFERROR(__xludf.DUMMYFUNCTION("""COMPUTED_VALUE"""),"2023 - 2024")</f>
        <v>2023 - 2024</v>
      </c>
      <c r="H118" s="13">
        <f>IFERROR(__xludf.DUMMYFUNCTION("""COMPUTED_VALUE"""),90.37)</f>
        <v>90.37</v>
      </c>
      <c r="I118" s="15">
        <f>IFERROR(__xludf.DUMMYFUNCTION("""COMPUTED_VALUE"""),9.629999999999995)</f>
        <v>9.63</v>
      </c>
    </row>
    <row r="119">
      <c r="A119" s="13" t="str">
        <f>IFERROR(__xludf.DUMMYFUNCTION("""COMPUTED_VALUE"""),"0070")</f>
        <v>0070</v>
      </c>
      <c r="B119" s="13" t="str">
        <f>IFERROR(__xludf.DUMMYFUNCTION("""COMPUTED_VALUE"""),"Westminster Public Schools")</f>
        <v>Westminster Public Schools</v>
      </c>
      <c r="C119" s="14" t="str">
        <f>IFERROR(__xludf.DUMMYFUNCTION("""COMPUTED_VALUE"""),"03931")</f>
        <v>03931</v>
      </c>
      <c r="D119" s="13" t="str">
        <f>IFERROR(__xludf.DUMMYFUNCTION("""COMPUTED_VALUE"""),"HIDDEN LAKE HIGH SCHOOL")</f>
        <v>HIDDEN LAKE HIGH SCHOOL</v>
      </c>
      <c r="E119" s="13" t="str">
        <f>IFERROR(__xludf.DUMMYFUNCTION("""COMPUTED_VALUE"""),"Group 4")</f>
        <v>Group 4</v>
      </c>
      <c r="F119" s="13" t="str">
        <f>IFERROR(__xludf.DUMMYFUNCTION("""COMPUTED_VALUE"""),"2024 - 2025")</f>
        <v>2024 - 2025</v>
      </c>
      <c r="G119" s="13" t="str">
        <f>IFERROR(__xludf.DUMMYFUNCTION("""COMPUTED_VALUE"""),"2023 - 2024")</f>
        <v>2023 - 2024</v>
      </c>
      <c r="H119" s="13">
        <f>IFERROR(__xludf.DUMMYFUNCTION("""COMPUTED_VALUE"""),90.37)</f>
        <v>90.37</v>
      </c>
      <c r="I119" s="15">
        <f>IFERROR(__xludf.DUMMYFUNCTION("""COMPUTED_VALUE"""),9.629999999999995)</f>
        <v>9.63</v>
      </c>
    </row>
    <row r="120">
      <c r="A120" s="13" t="str">
        <f>IFERROR(__xludf.DUMMYFUNCTION("""COMPUTED_VALUE"""),"0070")</f>
        <v>0070</v>
      </c>
      <c r="B120" s="13" t="str">
        <f>IFERROR(__xludf.DUMMYFUNCTION("""COMPUTED_VALUE"""),"Westminster Public Schools")</f>
        <v>Westminster Public Schools</v>
      </c>
      <c r="C120" s="14" t="str">
        <f>IFERROR(__xludf.DUMMYFUNCTION("""COMPUTED_VALUE"""),"02876")</f>
        <v>02876</v>
      </c>
      <c r="D120" s="13" t="str">
        <f>IFERROR(__xludf.DUMMYFUNCTION("""COMPUTED_VALUE"""),"FAIRVIEW ELEMENTARY SCHOOL")</f>
        <v>FAIRVIEW ELEMENTARY SCHOOL</v>
      </c>
      <c r="E120" s="13" t="str">
        <f>IFERROR(__xludf.DUMMYFUNCTION("""COMPUTED_VALUE"""),"Group 5")</f>
        <v>Group 5</v>
      </c>
      <c r="F120" s="13" t="str">
        <f>IFERROR(__xludf.DUMMYFUNCTION("""COMPUTED_VALUE"""),"2024 - 2025")</f>
        <v>2024 - 2025</v>
      </c>
      <c r="G120" s="13" t="str">
        <f>IFERROR(__xludf.DUMMYFUNCTION("""COMPUTED_VALUE"""),"2023 - 2024")</f>
        <v>2023 - 2024</v>
      </c>
      <c r="H120" s="13">
        <f>IFERROR(__xludf.DUMMYFUNCTION("""COMPUTED_VALUE"""),100.0)</f>
        <v>100</v>
      </c>
      <c r="I120" s="15">
        <f>IFERROR(__xludf.DUMMYFUNCTION("""COMPUTED_VALUE"""),0.0)</f>
        <v>0</v>
      </c>
    </row>
    <row r="121">
      <c r="A121" s="13" t="str">
        <f>IFERROR(__xludf.DUMMYFUNCTION("""COMPUTED_VALUE"""),"0070")</f>
        <v>0070</v>
      </c>
      <c r="B121" s="13" t="str">
        <f>IFERROR(__xludf.DUMMYFUNCTION("""COMPUTED_VALUE"""),"Westminster Public Schools")</f>
        <v>Westminster Public Schools</v>
      </c>
      <c r="C121" s="14" t="str">
        <f>IFERROR(__xludf.DUMMYFUNCTION("""COMPUTED_VALUE"""),"03792")</f>
        <v>03792</v>
      </c>
      <c r="D121" s="13" t="str">
        <f>IFERROR(__xludf.DUMMYFUNCTION("""COMPUTED_VALUE"""),"HARRIS PARK ELEMENTARY SCHOOL")</f>
        <v>HARRIS PARK ELEMENTARY SCHOOL</v>
      </c>
      <c r="E121" s="13" t="str">
        <f>IFERROR(__xludf.DUMMYFUNCTION("""COMPUTED_VALUE"""),"Group 5")</f>
        <v>Group 5</v>
      </c>
      <c r="F121" s="13" t="str">
        <f>IFERROR(__xludf.DUMMYFUNCTION("""COMPUTED_VALUE"""),"2024 - 2025")</f>
        <v>2024 - 2025</v>
      </c>
      <c r="G121" s="13" t="str">
        <f>IFERROR(__xludf.DUMMYFUNCTION("""COMPUTED_VALUE"""),"2023 - 2024")</f>
        <v>2023 - 2024</v>
      </c>
      <c r="H121" s="13">
        <f>IFERROR(__xludf.DUMMYFUNCTION("""COMPUTED_VALUE"""),100.0)</f>
        <v>100</v>
      </c>
      <c r="I121" s="15">
        <f>IFERROR(__xludf.DUMMYFUNCTION("""COMPUTED_VALUE"""),0.0)</f>
        <v>0</v>
      </c>
    </row>
    <row r="122">
      <c r="A122" s="13" t="str">
        <f>IFERROR(__xludf.DUMMYFUNCTION("""COMPUTED_VALUE"""),"0070")</f>
        <v>0070</v>
      </c>
      <c r="B122" s="13" t="str">
        <f>IFERROR(__xludf.DUMMYFUNCTION("""COMPUTED_VALUE"""),"Westminster Public Schools")</f>
        <v>Westminster Public Schools</v>
      </c>
      <c r="C122" s="14" t="str">
        <f>IFERROR(__xludf.DUMMYFUNCTION("""COMPUTED_VALUE"""),"04465")</f>
        <v>04465</v>
      </c>
      <c r="D122" s="13" t="str">
        <f>IFERROR(__xludf.DUMMYFUNCTION("""COMPUTED_VALUE"""),"Josephine Hodgkins Leadership Academy")</f>
        <v>Josephine Hodgkins Leadership Academy</v>
      </c>
      <c r="E122" s="13" t="str">
        <f>IFERROR(__xludf.DUMMYFUNCTION("""COMPUTED_VALUE"""),"Group 5")</f>
        <v>Group 5</v>
      </c>
      <c r="F122" s="13" t="str">
        <f>IFERROR(__xludf.DUMMYFUNCTION("""COMPUTED_VALUE"""),"2024 - 2025")</f>
        <v>2024 - 2025</v>
      </c>
      <c r="G122" s="13" t="str">
        <f>IFERROR(__xludf.DUMMYFUNCTION("""COMPUTED_VALUE"""),"2023 - 2024")</f>
        <v>2023 - 2024</v>
      </c>
      <c r="H122" s="13">
        <f>IFERROR(__xludf.DUMMYFUNCTION("""COMPUTED_VALUE"""),100.0)</f>
        <v>100</v>
      </c>
      <c r="I122" s="15">
        <f>IFERROR(__xludf.DUMMYFUNCTION("""COMPUTED_VALUE"""),0.0)</f>
        <v>0</v>
      </c>
    </row>
    <row r="123">
      <c r="A123" s="13" t="str">
        <f>IFERROR(__xludf.DUMMYFUNCTION("""COMPUTED_VALUE"""),"0070")</f>
        <v>0070</v>
      </c>
      <c r="B123" s="13" t="str">
        <f>IFERROR(__xludf.DUMMYFUNCTION("""COMPUTED_VALUE"""),"Westminster Public Schools")</f>
        <v>Westminster Public Schools</v>
      </c>
      <c r="C123" s="14" t="str">
        <f>IFERROR(__xludf.DUMMYFUNCTION("""COMPUTED_VALUE"""),"07810")</f>
        <v>07810</v>
      </c>
      <c r="D123" s="13" t="str">
        <f>IFERROR(__xludf.DUMMYFUNCTION("""COMPUTED_VALUE"""),"John E. Flynn A Marzano Academy")</f>
        <v>John E. Flynn A Marzano Academy</v>
      </c>
      <c r="E123" s="13" t="str">
        <f>IFERROR(__xludf.DUMMYFUNCTION("""COMPUTED_VALUE"""),"Group 5")</f>
        <v>Group 5</v>
      </c>
      <c r="F123" s="13" t="str">
        <f>IFERROR(__xludf.DUMMYFUNCTION("""COMPUTED_VALUE"""),"2024 - 2025")</f>
        <v>2024 - 2025</v>
      </c>
      <c r="G123" s="13" t="str">
        <f>IFERROR(__xludf.DUMMYFUNCTION("""COMPUTED_VALUE"""),"2023 - 2024")</f>
        <v>2023 - 2024</v>
      </c>
      <c r="H123" s="13">
        <f>IFERROR(__xludf.DUMMYFUNCTION("""COMPUTED_VALUE"""),100.0)</f>
        <v>100</v>
      </c>
      <c r="I123" s="15">
        <f>IFERROR(__xludf.DUMMYFUNCTION("""COMPUTED_VALUE"""),0.0)</f>
        <v>0</v>
      </c>
    </row>
    <row r="124">
      <c r="A124" s="13" t="str">
        <f>IFERROR(__xludf.DUMMYFUNCTION("""COMPUTED_VALUE"""),"0070")</f>
        <v>0070</v>
      </c>
      <c r="B124" s="13" t="str">
        <f>IFERROR(__xludf.DUMMYFUNCTION("""COMPUTED_VALUE"""),"Westminster Public Schools")</f>
        <v>Westminster Public Schools</v>
      </c>
      <c r="C124" s="14" t="str">
        <f>IFERROR(__xludf.DUMMYFUNCTION("""COMPUTED_VALUE"""),"07952")</f>
        <v>07952</v>
      </c>
      <c r="D124" s="13" t="str">
        <f>IFERROR(__xludf.DUMMYFUNCTION("""COMPUTED_VALUE"""),"Orchard Park Academy")</f>
        <v>Orchard Park Academy</v>
      </c>
      <c r="E124" s="13" t="str">
        <f>IFERROR(__xludf.DUMMYFUNCTION("""COMPUTED_VALUE"""),"Group 5")</f>
        <v>Group 5</v>
      </c>
      <c r="F124" s="13" t="str">
        <f>IFERROR(__xludf.DUMMYFUNCTION("""COMPUTED_VALUE"""),"2024 - 2025")</f>
        <v>2024 - 2025</v>
      </c>
      <c r="G124" s="13" t="str">
        <f>IFERROR(__xludf.DUMMYFUNCTION("""COMPUTED_VALUE"""),"2023 - 2024")</f>
        <v>2023 - 2024</v>
      </c>
      <c r="H124" s="13">
        <f>IFERROR(__xludf.DUMMYFUNCTION("""COMPUTED_VALUE"""),100.0)</f>
        <v>100</v>
      </c>
      <c r="I124" s="15">
        <f>IFERROR(__xludf.DUMMYFUNCTION("""COMPUTED_VALUE"""),0.0)</f>
        <v>0</v>
      </c>
    </row>
    <row r="125">
      <c r="A125" s="13" t="str">
        <f>IFERROR(__xludf.DUMMYFUNCTION("""COMPUTED_VALUE"""),"0070")</f>
        <v>0070</v>
      </c>
      <c r="B125" s="13" t="str">
        <f>IFERROR(__xludf.DUMMYFUNCTION("""COMPUTED_VALUE"""),"Westminster Public Schools")</f>
        <v>Westminster Public Schools</v>
      </c>
      <c r="C125" s="14" t="str">
        <f>IFERROR(__xludf.DUMMYFUNCTION("""COMPUTED_VALUE"""),"08798")</f>
        <v>08798</v>
      </c>
      <c r="D125" s="13" t="str">
        <f>IFERROR(__xludf.DUMMYFUNCTION("""COMPUTED_VALUE"""),"TENNYSON KNOLLS PREPARATORY SCHOOL")</f>
        <v>TENNYSON KNOLLS PREPARATORY SCHOOL</v>
      </c>
      <c r="E125" s="13" t="str">
        <f>IFERROR(__xludf.DUMMYFUNCTION("""COMPUTED_VALUE"""),"Group 5")</f>
        <v>Group 5</v>
      </c>
      <c r="F125" s="13" t="str">
        <f>IFERROR(__xludf.DUMMYFUNCTION("""COMPUTED_VALUE"""),"2024 - 2025")</f>
        <v>2024 - 2025</v>
      </c>
      <c r="G125" s="13" t="str">
        <f>IFERROR(__xludf.DUMMYFUNCTION("""COMPUTED_VALUE"""),"2023 - 2024")</f>
        <v>2023 - 2024</v>
      </c>
      <c r="H125" s="13">
        <f>IFERROR(__xludf.DUMMYFUNCTION("""COMPUTED_VALUE"""),100.0)</f>
        <v>100</v>
      </c>
      <c r="I125" s="15">
        <f>IFERROR(__xludf.DUMMYFUNCTION("""COMPUTED_VALUE"""),0.0)</f>
        <v>0</v>
      </c>
    </row>
    <row r="126">
      <c r="A126" s="13" t="str">
        <f>IFERROR(__xludf.DUMMYFUNCTION("""COMPUTED_VALUE"""),"0070")</f>
        <v>0070</v>
      </c>
      <c r="B126" s="13" t="str">
        <f>IFERROR(__xludf.DUMMYFUNCTION("""COMPUTED_VALUE"""),"Westminster Public Schools")</f>
        <v>Westminster Public Schools</v>
      </c>
      <c r="C126" s="14" t="str">
        <f>IFERROR(__xludf.DUMMYFUNCTION("""COMPUTED_VALUE"""),"04334")</f>
        <v>04334</v>
      </c>
      <c r="D126" s="13" t="str">
        <f>IFERROR(__xludf.DUMMYFUNCTION("""COMPUTED_VALUE"""),"Colorado STEM Academy")</f>
        <v>Colorado STEM Academy</v>
      </c>
      <c r="E126" s="13" t="str">
        <f>IFERROR(__xludf.DUMMYFUNCTION("""COMPUTED_VALUE"""),"Group 5")</f>
        <v>Group 5</v>
      </c>
      <c r="F126" s="13" t="str">
        <f>IFERROR(__xludf.DUMMYFUNCTION("""COMPUTED_VALUE"""),"2024 - 2025")</f>
        <v>2024 - 2025</v>
      </c>
      <c r="G126" s="13" t="str">
        <f>IFERROR(__xludf.DUMMYFUNCTION("""COMPUTED_VALUE"""),"2023 - 2024")</f>
        <v>2023 - 2024</v>
      </c>
      <c r="H126" s="13">
        <f>IFERROR(__xludf.DUMMYFUNCTION("""COMPUTED_VALUE"""),100.0)</f>
        <v>100</v>
      </c>
      <c r="I126" s="15">
        <f>IFERROR(__xludf.DUMMYFUNCTION("""COMPUTED_VALUE"""),0.0)</f>
        <v>0</v>
      </c>
    </row>
    <row r="127">
      <c r="A127" s="13" t="str">
        <f>IFERROR(__xludf.DUMMYFUNCTION("""COMPUTED_VALUE"""),"0100")</f>
        <v>0100</v>
      </c>
      <c r="B127" s="13" t="str">
        <f>IFERROR(__xludf.DUMMYFUNCTION("""COMPUTED_VALUE"""),"ALAMOSA COUNTY SCHOOL DIST # 11J")</f>
        <v>ALAMOSA COUNTY SCHOOL DIST # 11J</v>
      </c>
      <c r="C127" s="14" t="str">
        <f>IFERROR(__xludf.DUMMYFUNCTION("""COMPUTED_VALUE"""),"00114")</f>
        <v>00114</v>
      </c>
      <c r="D127" s="13" t="str">
        <f>IFERROR(__xludf.DUMMYFUNCTION("""COMPUTED_VALUE"""),"ORTEGA MIDDLE SCHOOL")</f>
        <v>ORTEGA MIDDLE SCHOOL</v>
      </c>
      <c r="E127" s="13" t="str">
        <f>IFERROR(__xludf.DUMMYFUNCTION("""COMPUTED_VALUE"""),"Group 1")</f>
        <v>Group 1</v>
      </c>
      <c r="F127" s="13" t="str">
        <f>IFERROR(__xludf.DUMMYFUNCTION("""COMPUTED_VALUE"""),"2021 - 2022")</f>
        <v>2021 - 2022</v>
      </c>
      <c r="G127" s="13" t="str">
        <f>IFERROR(__xludf.DUMMYFUNCTION("""COMPUTED_VALUE"""),"2020 - 2021")</f>
        <v>2020 - 2021</v>
      </c>
      <c r="H127" s="13">
        <f>IFERROR(__xludf.DUMMYFUNCTION("""COMPUTED_VALUE"""),83.97)</f>
        <v>83.97</v>
      </c>
      <c r="I127" s="15">
        <f>IFERROR(__xludf.DUMMYFUNCTION("""COMPUTED_VALUE"""),16.03)</f>
        <v>16.03</v>
      </c>
    </row>
    <row r="128">
      <c r="A128" s="13" t="str">
        <f>IFERROR(__xludf.DUMMYFUNCTION("""COMPUTED_VALUE"""),"0100")</f>
        <v>0100</v>
      </c>
      <c r="B128" s="13" t="str">
        <f>IFERROR(__xludf.DUMMYFUNCTION("""COMPUTED_VALUE"""),"ALAMOSA COUNTY SCHOOL DIST # 11J")</f>
        <v>ALAMOSA COUNTY SCHOOL DIST # 11J</v>
      </c>
      <c r="C128" s="14" t="str">
        <f>IFERROR(__xludf.DUMMYFUNCTION("""COMPUTED_VALUE"""),"00115")</f>
        <v>00115</v>
      </c>
      <c r="D128" s="13" t="str">
        <f>IFERROR(__xludf.DUMMYFUNCTION("""COMPUTED_VALUE"""),"ALAMOSA ELEMENTARY SCHOOL 3-5")</f>
        <v>ALAMOSA ELEMENTARY SCHOOL 3-5</v>
      </c>
      <c r="E128" s="13" t="str">
        <f>IFERROR(__xludf.DUMMYFUNCTION("""COMPUTED_VALUE"""),"Group 1")</f>
        <v>Group 1</v>
      </c>
      <c r="F128" s="13" t="str">
        <f>IFERROR(__xludf.DUMMYFUNCTION("""COMPUTED_VALUE"""),"2021 - 2022")</f>
        <v>2021 - 2022</v>
      </c>
      <c r="G128" s="13" t="str">
        <f>IFERROR(__xludf.DUMMYFUNCTION("""COMPUTED_VALUE"""),"2020 - 2021")</f>
        <v>2020 - 2021</v>
      </c>
      <c r="H128" s="13">
        <f>IFERROR(__xludf.DUMMYFUNCTION("""COMPUTED_VALUE"""),83.97)</f>
        <v>83.97</v>
      </c>
      <c r="I128" s="15">
        <f>IFERROR(__xludf.DUMMYFUNCTION("""COMPUTED_VALUE"""),16.03)</f>
        <v>16.03</v>
      </c>
    </row>
    <row r="129">
      <c r="A129" s="13" t="str">
        <f>IFERROR(__xludf.DUMMYFUNCTION("""COMPUTED_VALUE"""),"0100")</f>
        <v>0100</v>
      </c>
      <c r="B129" s="13" t="str">
        <f>IFERROR(__xludf.DUMMYFUNCTION("""COMPUTED_VALUE"""),"ALAMOSA COUNTY SCHOOL DIST # 11J")</f>
        <v>ALAMOSA COUNTY SCHOOL DIST # 11J</v>
      </c>
      <c r="C129" s="14" t="str">
        <f>IFERROR(__xludf.DUMMYFUNCTION("""COMPUTED_VALUE"""),"00118")</f>
        <v>00118</v>
      </c>
      <c r="D129" s="13" t="str">
        <f>IFERROR(__xludf.DUMMYFUNCTION("""COMPUTED_VALUE"""),"ALAMOSA HIGH SCHOOL")</f>
        <v>ALAMOSA HIGH SCHOOL</v>
      </c>
      <c r="E129" s="13" t="str">
        <f>IFERROR(__xludf.DUMMYFUNCTION("""COMPUTED_VALUE"""),"Group 1")</f>
        <v>Group 1</v>
      </c>
      <c r="F129" s="13" t="str">
        <f>IFERROR(__xludf.DUMMYFUNCTION("""COMPUTED_VALUE"""),"2021 - 2022")</f>
        <v>2021 - 2022</v>
      </c>
      <c r="G129" s="13" t="str">
        <f>IFERROR(__xludf.DUMMYFUNCTION("""COMPUTED_VALUE"""),"2020 - 2021")</f>
        <v>2020 - 2021</v>
      </c>
      <c r="H129" s="13">
        <f>IFERROR(__xludf.DUMMYFUNCTION("""COMPUTED_VALUE"""),83.97)</f>
        <v>83.97</v>
      </c>
      <c r="I129" s="15">
        <f>IFERROR(__xludf.DUMMYFUNCTION("""COMPUTED_VALUE"""),16.03)</f>
        <v>16.03</v>
      </c>
    </row>
    <row r="130">
      <c r="A130" s="13" t="str">
        <f>IFERROR(__xludf.DUMMYFUNCTION("""COMPUTED_VALUE"""),"0100")</f>
        <v>0100</v>
      </c>
      <c r="B130" s="13" t="str">
        <f>IFERROR(__xludf.DUMMYFUNCTION("""COMPUTED_VALUE"""),"ALAMOSA COUNTY SCHOOL DIST # 11J")</f>
        <v>ALAMOSA COUNTY SCHOOL DIST # 11J</v>
      </c>
      <c r="C130" s="14" t="str">
        <f>IFERROR(__xludf.DUMMYFUNCTION("""COMPUTED_VALUE"""),"03407")</f>
        <v>03407</v>
      </c>
      <c r="D130" s="13" t="str">
        <f>IFERROR(__xludf.DUMMYFUNCTION("""COMPUTED_VALUE"""),"Alamosa Alternative Education School")</f>
        <v>Alamosa Alternative Education School</v>
      </c>
      <c r="E130" s="13" t="str">
        <f>IFERROR(__xludf.DUMMYFUNCTION("""COMPUTED_VALUE"""),"Group 1")</f>
        <v>Group 1</v>
      </c>
      <c r="F130" s="13" t="str">
        <f>IFERROR(__xludf.DUMMYFUNCTION("""COMPUTED_VALUE"""),"2021 - 2022")</f>
        <v>2021 - 2022</v>
      </c>
      <c r="G130" s="13" t="str">
        <f>IFERROR(__xludf.DUMMYFUNCTION("""COMPUTED_VALUE"""),"2020 - 2021")</f>
        <v>2020 - 2021</v>
      </c>
      <c r="H130" s="13">
        <f>IFERROR(__xludf.DUMMYFUNCTION("""COMPUTED_VALUE"""),83.97)</f>
        <v>83.97</v>
      </c>
      <c r="I130" s="15">
        <f>IFERROR(__xludf.DUMMYFUNCTION("""COMPUTED_VALUE"""),16.03)</f>
        <v>16.03</v>
      </c>
    </row>
    <row r="131">
      <c r="A131" s="13" t="str">
        <f>IFERROR(__xludf.DUMMYFUNCTION("""COMPUTED_VALUE"""),"0100")</f>
        <v>0100</v>
      </c>
      <c r="B131" s="13" t="str">
        <f>IFERROR(__xludf.DUMMYFUNCTION("""COMPUTED_VALUE"""),"ALAMOSA COUNTY SCHOOL DIST # 11J")</f>
        <v>ALAMOSA COUNTY SCHOOL DIST # 11J</v>
      </c>
      <c r="C131" s="14" t="str">
        <f>IFERROR(__xludf.DUMMYFUNCTION("""COMPUTED_VALUE"""),"01107")</f>
        <v>01107</v>
      </c>
      <c r="D131" s="13" t="str">
        <f>IFERROR(__xludf.DUMMYFUNCTION("""COMPUTED_VALUE"""),"Alamosa Elementary School K-2")</f>
        <v>Alamosa Elementary School K-2</v>
      </c>
      <c r="E131" s="13" t="str">
        <f>IFERROR(__xludf.DUMMYFUNCTION("""COMPUTED_VALUE"""),"Group 1")</f>
        <v>Group 1</v>
      </c>
      <c r="F131" s="13" t="str">
        <f>IFERROR(__xludf.DUMMYFUNCTION("""COMPUTED_VALUE"""),"2021 - 2022")</f>
        <v>2021 - 2022</v>
      </c>
      <c r="G131" s="13" t="str">
        <f>IFERROR(__xludf.DUMMYFUNCTION("""COMPUTED_VALUE"""),"2020 - 2021")</f>
        <v>2020 - 2021</v>
      </c>
      <c r="H131" s="13">
        <f>IFERROR(__xludf.DUMMYFUNCTION("""COMPUTED_VALUE"""),83.97)</f>
        <v>83.97</v>
      </c>
      <c r="I131" s="15">
        <f>IFERROR(__xludf.DUMMYFUNCTION("""COMPUTED_VALUE"""),16.03)</f>
        <v>16.03</v>
      </c>
    </row>
    <row r="132">
      <c r="A132" s="13" t="str">
        <f>IFERROR(__xludf.DUMMYFUNCTION("""COMPUTED_VALUE"""),"0100")</f>
        <v>0100</v>
      </c>
      <c r="B132" s="13" t="str">
        <f>IFERROR(__xludf.DUMMYFUNCTION("""COMPUTED_VALUE"""),"ALAMOSA COUNTY SCHOOL DIST # 11J")</f>
        <v>ALAMOSA COUNTY SCHOOL DIST # 11J</v>
      </c>
      <c r="C132" s="14" t="str">
        <f>IFERROR(__xludf.DUMMYFUNCTION("""COMPUTED_VALUE"""),"91732")</f>
        <v>91732</v>
      </c>
      <c r="D132" s="13" t="str">
        <f>IFERROR(__xludf.DUMMYFUNCTION("""COMPUTED_VALUE"""),"San Luis Valley Foundations Academy")</f>
        <v>San Luis Valley Foundations Academy</v>
      </c>
      <c r="E132" s="13" t="str">
        <f>IFERROR(__xludf.DUMMYFUNCTION("""COMPUTED_VALUE"""),"Group 1")</f>
        <v>Group 1</v>
      </c>
      <c r="F132" s="13" t="str">
        <f>IFERROR(__xludf.DUMMYFUNCTION("""COMPUTED_VALUE"""),"2021 - 2022")</f>
        <v>2021 - 2022</v>
      </c>
      <c r="G132" s="13" t="str">
        <f>IFERROR(__xludf.DUMMYFUNCTION("""COMPUTED_VALUE"""),"2020 - 2021")</f>
        <v>2020 - 2021</v>
      </c>
      <c r="H132" s="13">
        <f>IFERROR(__xludf.DUMMYFUNCTION("""COMPUTED_VALUE"""),83.97)</f>
        <v>83.97</v>
      </c>
      <c r="I132" s="15">
        <f>IFERROR(__xludf.DUMMYFUNCTION("""COMPUTED_VALUE"""),16.03)</f>
        <v>16.03</v>
      </c>
    </row>
    <row r="133">
      <c r="A133" s="13" t="str">
        <f>IFERROR(__xludf.DUMMYFUNCTION("""COMPUTED_VALUE"""),"0110")</f>
        <v>0110</v>
      </c>
      <c r="B133" s="13" t="str">
        <f>IFERROR(__xludf.DUMMYFUNCTION("""COMPUTED_VALUE"""),"SANGRE DE CRISTO RE-22J")</f>
        <v>SANGRE DE CRISTO RE-22J</v>
      </c>
      <c r="C133" s="14" t="str">
        <f>IFERROR(__xludf.DUMMYFUNCTION("""COMPUTED_VALUE"""),"07626")</f>
        <v>07626</v>
      </c>
      <c r="D133" s="13" t="str">
        <f>IFERROR(__xludf.DUMMYFUNCTION("""COMPUTED_VALUE"""),"SANGRE DE CRISTO ELEMENTARY SCHOOL")</f>
        <v>SANGRE DE CRISTO ELEMENTARY SCHOOL</v>
      </c>
      <c r="E133" s="13" t="str">
        <f>IFERROR(__xludf.DUMMYFUNCTION("""COMPUTED_VALUE"""),"Group 1")</f>
        <v>Group 1</v>
      </c>
      <c r="F133" s="13" t="str">
        <f>IFERROR(__xludf.DUMMYFUNCTION("""COMPUTED_VALUE"""),"2024 - 2025")</f>
        <v>2024 - 2025</v>
      </c>
      <c r="G133" s="13" t="str">
        <f>IFERROR(__xludf.DUMMYFUNCTION("""COMPUTED_VALUE"""),"2023 - 2024")</f>
        <v>2023 - 2024</v>
      </c>
      <c r="H133" s="13">
        <f>IFERROR(__xludf.DUMMYFUNCTION("""COMPUTED_VALUE"""),70.14)</f>
        <v>70.14</v>
      </c>
      <c r="I133" s="15">
        <f>IFERROR(__xludf.DUMMYFUNCTION("""COMPUTED_VALUE"""),29.86)</f>
        <v>29.86</v>
      </c>
    </row>
    <row r="134">
      <c r="A134" s="13" t="str">
        <f>IFERROR(__xludf.DUMMYFUNCTION("""COMPUTED_VALUE"""),"0110")</f>
        <v>0110</v>
      </c>
      <c r="B134" s="13" t="str">
        <f>IFERROR(__xludf.DUMMYFUNCTION("""COMPUTED_VALUE"""),"SANGRE DE CRISTO RE-22J")</f>
        <v>SANGRE DE CRISTO RE-22J</v>
      </c>
      <c r="C134" s="14" t="str">
        <f>IFERROR(__xludf.DUMMYFUNCTION("""COMPUTED_VALUE"""),"07630")</f>
        <v>07630</v>
      </c>
      <c r="D134" s="13" t="str">
        <f>IFERROR(__xludf.DUMMYFUNCTION("""COMPUTED_VALUE"""),"SANGRE DE CRISTO UNDIVIDED HIGH SCHOOL")</f>
        <v>SANGRE DE CRISTO UNDIVIDED HIGH SCHOOL</v>
      </c>
      <c r="E134" s="13" t="str">
        <f>IFERROR(__xludf.DUMMYFUNCTION("""COMPUTED_VALUE"""),"Group 1")</f>
        <v>Group 1</v>
      </c>
      <c r="F134" s="13" t="str">
        <f>IFERROR(__xludf.DUMMYFUNCTION("""COMPUTED_VALUE"""),"2024 - 2025")</f>
        <v>2024 - 2025</v>
      </c>
      <c r="G134" s="13" t="str">
        <f>IFERROR(__xludf.DUMMYFUNCTION("""COMPUTED_VALUE"""),"2023 - 2024")</f>
        <v>2023 - 2024</v>
      </c>
      <c r="H134" s="13">
        <f>IFERROR(__xludf.DUMMYFUNCTION("""COMPUTED_VALUE"""),70.14)</f>
        <v>70.14</v>
      </c>
      <c r="I134" s="15">
        <f>IFERROR(__xludf.DUMMYFUNCTION("""COMPUTED_VALUE"""),29.86)</f>
        <v>29.86</v>
      </c>
    </row>
    <row r="135">
      <c r="A135" s="13" t="str">
        <f>IFERROR(__xludf.DUMMYFUNCTION("""COMPUTED_VALUE"""),"0120")</f>
        <v>0120</v>
      </c>
      <c r="B135" s="13" t="str">
        <f>IFERROR(__xludf.DUMMYFUNCTION("""COMPUTED_VALUE"""),"ENGLEWOOD 1")</f>
        <v>ENGLEWOOD 1</v>
      </c>
      <c r="C135" s="14" t="str">
        <f>IFERROR(__xludf.DUMMYFUNCTION("""COMPUTED_VALUE"""),"01652")</f>
        <v>01652</v>
      </c>
      <c r="D135" s="13" t="str">
        <f>IFERROR(__xludf.DUMMYFUNCTION("""COMPUTED_VALUE"""),"CLAYTON ELEMENTARY SCHOOL")</f>
        <v>CLAYTON ELEMENTARY SCHOOL</v>
      </c>
      <c r="E135" s="13" t="str">
        <f>IFERROR(__xludf.DUMMYFUNCTION("""COMPUTED_VALUE"""),"Group 1")</f>
        <v>Group 1</v>
      </c>
      <c r="F135" s="13" t="str">
        <f>IFERROR(__xludf.DUMMYFUNCTION("""COMPUTED_VALUE"""),"2024 - 2025")</f>
        <v>2024 - 2025</v>
      </c>
      <c r="G135" s="13" t="str">
        <f>IFERROR(__xludf.DUMMYFUNCTION("""COMPUTED_VALUE"""),"2023 - 2024")</f>
        <v>2023 - 2024</v>
      </c>
      <c r="H135" s="13">
        <f>IFERROR(__xludf.DUMMYFUNCTION("""COMPUTED_VALUE"""),87.34)</f>
        <v>87.34</v>
      </c>
      <c r="I135" s="15">
        <f>IFERROR(__xludf.DUMMYFUNCTION("""COMPUTED_VALUE"""),12.659999999999997)</f>
        <v>12.66</v>
      </c>
    </row>
    <row r="136">
      <c r="A136" s="13" t="str">
        <f>IFERROR(__xludf.DUMMYFUNCTION("""COMPUTED_VALUE"""),"0120")</f>
        <v>0120</v>
      </c>
      <c r="B136" s="13" t="str">
        <f>IFERROR(__xludf.DUMMYFUNCTION("""COMPUTED_VALUE"""),"ENGLEWOOD 1")</f>
        <v>ENGLEWOOD 1</v>
      </c>
      <c r="C136" s="14" t="str">
        <f>IFERROR(__xludf.DUMMYFUNCTION("""COMPUTED_VALUE"""),"01556")</f>
        <v>01556</v>
      </c>
      <c r="D136" s="13" t="str">
        <f>IFERROR(__xludf.DUMMYFUNCTION("""COMPUTED_VALUE"""),"CHERRELYN ELEMENTARY SCHOOL")</f>
        <v>CHERRELYN ELEMENTARY SCHOOL</v>
      </c>
      <c r="E136" s="13" t="str">
        <f>IFERROR(__xludf.DUMMYFUNCTION("""COMPUTED_VALUE"""),"Group 2")</f>
        <v>Group 2</v>
      </c>
      <c r="F136" s="13" t="str">
        <f>IFERROR(__xludf.DUMMYFUNCTION("""COMPUTED_VALUE"""),"2024 - 2025")</f>
        <v>2024 - 2025</v>
      </c>
      <c r="G136" s="13" t="str">
        <f>IFERROR(__xludf.DUMMYFUNCTION("""COMPUTED_VALUE"""),"2023 - 2024")</f>
        <v>2023 - 2024</v>
      </c>
      <c r="H136" s="13">
        <f>IFERROR(__xludf.DUMMYFUNCTION("""COMPUTED_VALUE"""),99.58)</f>
        <v>99.58</v>
      </c>
      <c r="I136" s="15">
        <f>IFERROR(__xludf.DUMMYFUNCTION("""COMPUTED_VALUE"""),0.4200000000000017)</f>
        <v>0.42</v>
      </c>
    </row>
    <row r="137">
      <c r="A137" s="13" t="str">
        <f>IFERROR(__xludf.DUMMYFUNCTION("""COMPUTED_VALUE"""),"0120")</f>
        <v>0120</v>
      </c>
      <c r="B137" s="13" t="str">
        <f>IFERROR(__xludf.DUMMYFUNCTION("""COMPUTED_VALUE"""),"ENGLEWOOD 1")</f>
        <v>ENGLEWOOD 1</v>
      </c>
      <c r="C137" s="14" t="str">
        <f>IFERROR(__xludf.DUMMYFUNCTION("""COMPUTED_VALUE"""),"02752")</f>
        <v>02752</v>
      </c>
      <c r="D137" s="13" t="str">
        <f>IFERROR(__xludf.DUMMYFUNCTION("""COMPUTED_VALUE"""),"ENGLEWOOD MIDDLE SCHOOL")</f>
        <v>ENGLEWOOD MIDDLE SCHOOL</v>
      </c>
      <c r="E137" s="13" t="str">
        <f>IFERROR(__xludf.DUMMYFUNCTION("""COMPUTED_VALUE"""),"Group 2")</f>
        <v>Group 2</v>
      </c>
      <c r="F137" s="13" t="str">
        <f>IFERROR(__xludf.DUMMYFUNCTION("""COMPUTED_VALUE"""),"2024 - 2025")</f>
        <v>2024 - 2025</v>
      </c>
      <c r="G137" s="13" t="str">
        <f>IFERROR(__xludf.DUMMYFUNCTION("""COMPUTED_VALUE"""),"2023 - 2024")</f>
        <v>2023 - 2024</v>
      </c>
      <c r="H137" s="13">
        <f>IFERROR(__xludf.DUMMYFUNCTION("""COMPUTED_VALUE"""),99.58)</f>
        <v>99.58</v>
      </c>
      <c r="I137" s="15">
        <f>IFERROR(__xludf.DUMMYFUNCTION("""COMPUTED_VALUE"""),0.4200000000000017)</f>
        <v>0.42</v>
      </c>
    </row>
    <row r="138">
      <c r="A138" s="13" t="str">
        <f>IFERROR(__xludf.DUMMYFUNCTION("""COMPUTED_VALUE"""),"0120")</f>
        <v>0120</v>
      </c>
      <c r="B138" s="13" t="str">
        <f>IFERROR(__xludf.DUMMYFUNCTION("""COMPUTED_VALUE"""),"ENGLEWOOD 1")</f>
        <v>ENGLEWOOD 1</v>
      </c>
      <c r="C138" s="14" t="str">
        <f>IFERROR(__xludf.DUMMYFUNCTION("""COMPUTED_VALUE"""),"09620")</f>
        <v>09620</v>
      </c>
      <c r="D138" s="13" t="str">
        <f>IFERROR(__xludf.DUMMYFUNCTION("""COMPUTED_VALUE"""),"WM E BISHOP ELEMENTARY SCHOOL")</f>
        <v>WM E BISHOP ELEMENTARY SCHOOL</v>
      </c>
      <c r="E138" s="13" t="str">
        <f>IFERROR(__xludf.DUMMYFUNCTION("""COMPUTED_VALUE"""),"Group 2")</f>
        <v>Group 2</v>
      </c>
      <c r="F138" s="13" t="str">
        <f>IFERROR(__xludf.DUMMYFUNCTION("""COMPUTED_VALUE"""),"2024 - 2025")</f>
        <v>2024 - 2025</v>
      </c>
      <c r="G138" s="13" t="str">
        <f>IFERROR(__xludf.DUMMYFUNCTION("""COMPUTED_VALUE"""),"2023 - 2024")</f>
        <v>2023 - 2024</v>
      </c>
      <c r="H138" s="13">
        <f>IFERROR(__xludf.DUMMYFUNCTION("""COMPUTED_VALUE"""),99.58)</f>
        <v>99.58</v>
      </c>
      <c r="I138" s="15">
        <f>IFERROR(__xludf.DUMMYFUNCTION("""COMPUTED_VALUE"""),0.4200000000000017)</f>
        <v>0.42</v>
      </c>
    </row>
    <row r="139">
      <c r="A139" s="13" t="str">
        <f>IFERROR(__xludf.DUMMYFUNCTION("""COMPUTED_VALUE"""),"0120")</f>
        <v>0120</v>
      </c>
      <c r="B139" s="13" t="str">
        <f>IFERROR(__xludf.DUMMYFUNCTION("""COMPUTED_VALUE"""),"ENGLEWOOD 1")</f>
        <v>ENGLEWOOD 1</v>
      </c>
      <c r="C139" s="14" t="str">
        <f>IFERROR(__xludf.DUMMYFUNCTION("""COMPUTED_VALUE"""),"01514")</f>
        <v>01514</v>
      </c>
      <c r="D139" s="13" t="str">
        <f>IFERROR(__xludf.DUMMYFUNCTION("""COMPUTED_VALUE"""),"CHARLES HAY WORLD SCHOOL")</f>
        <v>CHARLES HAY WORLD SCHOOL</v>
      </c>
      <c r="E139" s="13" t="str">
        <f>IFERROR(__xludf.DUMMYFUNCTION("""COMPUTED_VALUE"""),"Group 3")</f>
        <v>Group 3</v>
      </c>
      <c r="F139" s="13" t="str">
        <f>IFERROR(__xludf.DUMMYFUNCTION("""COMPUTED_VALUE"""),"2024 - 2025")</f>
        <v>2024 - 2025</v>
      </c>
      <c r="G139" s="13" t="str">
        <f>IFERROR(__xludf.DUMMYFUNCTION("""COMPUTED_VALUE"""),"2023 - 2024")</f>
        <v>2023 - 2024</v>
      </c>
      <c r="H139" s="13">
        <f>IFERROR(__xludf.DUMMYFUNCTION("""COMPUTED_VALUE"""),77.42)</f>
        <v>77.42</v>
      </c>
      <c r="I139" s="15">
        <f>IFERROR(__xludf.DUMMYFUNCTION("""COMPUTED_VALUE"""),22.58)</f>
        <v>22.58</v>
      </c>
    </row>
    <row r="140">
      <c r="A140" s="13" t="str">
        <f>IFERROR(__xludf.DUMMYFUNCTION("""COMPUTED_VALUE"""),"0120")</f>
        <v>0120</v>
      </c>
      <c r="B140" s="13" t="str">
        <f>IFERROR(__xludf.DUMMYFUNCTION("""COMPUTED_VALUE"""),"ENGLEWOOD 1")</f>
        <v>ENGLEWOOD 1</v>
      </c>
      <c r="C140" s="14" t="str">
        <f>IFERROR(__xludf.DUMMYFUNCTION("""COMPUTED_VALUE"""),"02746")</f>
        <v>02746</v>
      </c>
      <c r="D140" s="13" t="str">
        <f>IFERROR(__xludf.DUMMYFUNCTION("""COMPUTED_VALUE"""),"ENGLEWOOD HIGH SCHOOL")</f>
        <v>ENGLEWOOD HIGH SCHOOL</v>
      </c>
      <c r="E140" s="13" t="str">
        <f>IFERROR(__xludf.DUMMYFUNCTION("""COMPUTED_VALUE"""),"Group 3")</f>
        <v>Group 3</v>
      </c>
      <c r="F140" s="13" t="str">
        <f>IFERROR(__xludf.DUMMYFUNCTION("""COMPUTED_VALUE"""),"2024 - 2025")</f>
        <v>2024 - 2025</v>
      </c>
      <c r="G140" s="13" t="str">
        <f>IFERROR(__xludf.DUMMYFUNCTION("""COMPUTED_VALUE"""),"2023 - 2024")</f>
        <v>2023 - 2024</v>
      </c>
      <c r="H140" s="13">
        <f>IFERROR(__xludf.DUMMYFUNCTION("""COMPUTED_VALUE"""),77.42)</f>
        <v>77.42</v>
      </c>
      <c r="I140" s="15">
        <f>IFERROR(__xludf.DUMMYFUNCTION("""COMPUTED_VALUE"""),22.58)</f>
        <v>22.58</v>
      </c>
    </row>
    <row r="141">
      <c r="A141" s="13" t="str">
        <f>IFERROR(__xludf.DUMMYFUNCTION("""COMPUTED_VALUE"""),"0120")</f>
        <v>0120</v>
      </c>
      <c r="B141" s="13" t="str">
        <f>IFERROR(__xludf.DUMMYFUNCTION("""COMPUTED_VALUE"""),"ENGLEWOOD 1")</f>
        <v>ENGLEWOOD 1</v>
      </c>
      <c r="C141" s="14" t="str">
        <f>IFERROR(__xludf.DUMMYFUNCTION("""COMPUTED_VALUE"""),"02750")</f>
        <v>02750</v>
      </c>
      <c r="D141" s="13" t="str">
        <f>IFERROR(__xludf.DUMMYFUNCTION("""COMPUTED_VALUE"""),"ENGLEWOOD LEADERSHIP ACADEMY")</f>
        <v>ENGLEWOOD LEADERSHIP ACADEMY</v>
      </c>
      <c r="E141" s="13" t="str">
        <f>IFERROR(__xludf.DUMMYFUNCTION("""COMPUTED_VALUE"""),"Group 3")</f>
        <v>Group 3</v>
      </c>
      <c r="F141" s="13" t="str">
        <f>IFERROR(__xludf.DUMMYFUNCTION("""COMPUTED_VALUE"""),"2024 - 2025")</f>
        <v>2024 - 2025</v>
      </c>
      <c r="G141" s="13" t="str">
        <f>IFERROR(__xludf.DUMMYFUNCTION("""COMPUTED_VALUE"""),"2023 - 2024")</f>
        <v>2023 - 2024</v>
      </c>
      <c r="H141" s="13">
        <f>IFERROR(__xludf.DUMMYFUNCTION("""COMPUTED_VALUE"""),77.42)</f>
        <v>77.42</v>
      </c>
      <c r="I141" s="15">
        <f>IFERROR(__xludf.DUMMYFUNCTION("""COMPUTED_VALUE"""),22.58)</f>
        <v>22.58</v>
      </c>
    </row>
    <row r="142">
      <c r="A142" s="13" t="str">
        <f>IFERROR(__xludf.DUMMYFUNCTION("""COMPUTED_VALUE"""),"0120")</f>
        <v>0120</v>
      </c>
      <c r="B142" s="13" t="str">
        <f>IFERROR(__xludf.DUMMYFUNCTION("""COMPUTED_VALUE"""),"ENGLEWOOD 1")</f>
        <v>ENGLEWOOD 1</v>
      </c>
      <c r="C142" s="14" t="str">
        <f>IFERROR(__xludf.DUMMYFUNCTION("""COMPUTED_VALUE"""),"05318")</f>
        <v>05318</v>
      </c>
      <c r="D142" s="13" t="str">
        <f>IFERROR(__xludf.DUMMYFUNCTION("""COMPUTED_VALUE"""),"ENGLEWOOD EARLY CHILDHOOD EDUCATION CENTER AT MADDOX")</f>
        <v>ENGLEWOOD EARLY CHILDHOOD EDUCATION CENTER AT MADDOX</v>
      </c>
      <c r="E142" s="13" t="str">
        <f>IFERROR(__xludf.DUMMYFUNCTION("""COMPUTED_VALUE"""),"Group 3")</f>
        <v>Group 3</v>
      </c>
      <c r="F142" s="13" t="str">
        <f>IFERROR(__xludf.DUMMYFUNCTION("""COMPUTED_VALUE"""),"2024 - 2025")</f>
        <v>2024 - 2025</v>
      </c>
      <c r="G142" s="13" t="str">
        <f>IFERROR(__xludf.DUMMYFUNCTION("""COMPUTED_VALUE"""),"2023 - 2024")</f>
        <v>2023 - 2024</v>
      </c>
      <c r="H142" s="13">
        <f>IFERROR(__xludf.DUMMYFUNCTION("""COMPUTED_VALUE"""),77.42)</f>
        <v>77.42</v>
      </c>
      <c r="I142" s="15">
        <f>IFERROR(__xludf.DUMMYFUNCTION("""COMPUTED_VALUE"""),22.58)</f>
        <v>22.58</v>
      </c>
    </row>
    <row r="143">
      <c r="A143" s="13" t="str">
        <f>IFERROR(__xludf.DUMMYFUNCTION("""COMPUTED_VALUE"""),"0120")</f>
        <v>0120</v>
      </c>
      <c r="B143" s="13" t="str">
        <f>IFERROR(__xludf.DUMMYFUNCTION("""COMPUTED_VALUE"""),"ENGLEWOOD 1")</f>
        <v>ENGLEWOOD 1</v>
      </c>
      <c r="C143" s="14" t="str">
        <f>IFERROR(__xludf.DUMMYFUNCTION("""COMPUTED_VALUE"""),"00206")</f>
        <v>00206</v>
      </c>
      <c r="D143" s="13" t="str">
        <f>IFERROR(__xludf.DUMMYFUNCTION("""COMPUTED_VALUE"""),"COLORADO'S FINEST HIGH SCHOOL OF CHOICE")</f>
        <v>COLORADO'S FINEST HIGH SCHOOL OF CHOICE</v>
      </c>
      <c r="E143" s="13" t="str">
        <f>IFERROR(__xludf.DUMMYFUNCTION("""COMPUTED_VALUE"""),"Group 4")</f>
        <v>Group 4</v>
      </c>
      <c r="F143" s="13" t="str">
        <f>IFERROR(__xludf.DUMMYFUNCTION("""COMPUTED_VALUE"""),"2024 - 2025")</f>
        <v>2024 - 2025</v>
      </c>
      <c r="G143" s="13" t="str">
        <f>IFERROR(__xludf.DUMMYFUNCTION("""COMPUTED_VALUE"""),"2023 - 2024")</f>
        <v>2023 - 2024</v>
      </c>
      <c r="H143" s="13">
        <f>IFERROR(__xludf.DUMMYFUNCTION("""COMPUTED_VALUE"""),56.24)</f>
        <v>56.24</v>
      </c>
      <c r="I143" s="15">
        <f>IFERROR(__xludf.DUMMYFUNCTION("""COMPUTED_VALUE"""),43.76)</f>
        <v>43.76</v>
      </c>
    </row>
    <row r="144">
      <c r="A144" s="13" t="str">
        <f>IFERROR(__xludf.DUMMYFUNCTION("""COMPUTED_VALUE"""),"0123")</f>
        <v>0123</v>
      </c>
      <c r="B144" s="13" t="str">
        <f>IFERROR(__xludf.DUMMYFUNCTION("""COMPUTED_VALUE"""),"SHERIDAN 2")</f>
        <v>SHERIDAN 2</v>
      </c>
      <c r="C144" s="14" t="str">
        <f>IFERROR(__xludf.DUMMYFUNCTION("""COMPUTED_VALUE"""),"03054")</f>
        <v>03054</v>
      </c>
      <c r="D144" s="13" t="str">
        <f>IFERROR(__xludf.DUMMYFUNCTION("""COMPUTED_VALUE"""),"Alice Terry Elementary School")</f>
        <v>Alice Terry Elementary School</v>
      </c>
      <c r="E144" s="13" t="str">
        <f>IFERROR(__xludf.DUMMYFUNCTION("""COMPUTED_VALUE"""),"Group 1")</f>
        <v>Group 1</v>
      </c>
      <c r="F144" s="13" t="str">
        <f>IFERROR(__xludf.DUMMYFUNCTION("""COMPUTED_VALUE"""),"2024 - 2025")</f>
        <v>2024 - 2025</v>
      </c>
      <c r="G144" s="13" t="str">
        <f>IFERROR(__xludf.DUMMYFUNCTION("""COMPUTED_VALUE"""),"2023 - 2024")</f>
        <v>2023 - 2024</v>
      </c>
      <c r="H144" s="13">
        <f>IFERROR(__xludf.DUMMYFUNCTION("""COMPUTED_VALUE"""),100.0)</f>
        <v>100</v>
      </c>
      <c r="I144" s="15">
        <f>IFERROR(__xludf.DUMMYFUNCTION("""COMPUTED_VALUE"""),0.0)</f>
        <v>0</v>
      </c>
    </row>
    <row r="145">
      <c r="A145" s="13" t="str">
        <f>IFERROR(__xludf.DUMMYFUNCTION("""COMPUTED_VALUE"""),"0123")</f>
        <v>0123</v>
      </c>
      <c r="B145" s="13" t="str">
        <f>IFERROR(__xludf.DUMMYFUNCTION("""COMPUTED_VALUE"""),"SHERIDAN 2")</f>
        <v>SHERIDAN 2</v>
      </c>
      <c r="C145" s="14" t="str">
        <f>IFERROR(__xludf.DUMMYFUNCTION("""COMPUTED_VALUE"""),"07837")</f>
        <v>07837</v>
      </c>
      <c r="D145" s="13" t="str">
        <f>IFERROR(__xludf.DUMMYFUNCTION("""COMPUTED_VALUE"""),"FORT LOGAN NORTHGATE")</f>
        <v>FORT LOGAN NORTHGATE</v>
      </c>
      <c r="E145" s="13" t="str">
        <f>IFERROR(__xludf.DUMMYFUNCTION("""COMPUTED_VALUE"""),"Group 1")</f>
        <v>Group 1</v>
      </c>
      <c r="F145" s="13" t="str">
        <f>IFERROR(__xludf.DUMMYFUNCTION("""COMPUTED_VALUE"""),"2024 - 2025")</f>
        <v>2024 - 2025</v>
      </c>
      <c r="G145" s="13" t="str">
        <f>IFERROR(__xludf.DUMMYFUNCTION("""COMPUTED_VALUE"""),"2023 - 2024")</f>
        <v>2023 - 2024</v>
      </c>
      <c r="H145" s="13">
        <f>IFERROR(__xludf.DUMMYFUNCTION("""COMPUTED_VALUE"""),100.0)</f>
        <v>100</v>
      </c>
      <c r="I145" s="15">
        <f>IFERROR(__xludf.DUMMYFUNCTION("""COMPUTED_VALUE"""),0.0)</f>
        <v>0</v>
      </c>
    </row>
    <row r="146">
      <c r="A146" s="13" t="str">
        <f>IFERROR(__xludf.DUMMYFUNCTION("""COMPUTED_VALUE"""),"0123")</f>
        <v>0123</v>
      </c>
      <c r="B146" s="13" t="str">
        <f>IFERROR(__xludf.DUMMYFUNCTION("""COMPUTED_VALUE"""),"SHERIDAN 2")</f>
        <v>SHERIDAN 2</v>
      </c>
      <c r="C146" s="14" t="str">
        <f>IFERROR(__xludf.DUMMYFUNCTION("""COMPUTED_VALUE"""),"07842")</f>
        <v>07842</v>
      </c>
      <c r="D146" s="13" t="str">
        <f>IFERROR(__xludf.DUMMYFUNCTION("""COMPUTED_VALUE"""),"SHERIDAN HIGH SCHOOL")</f>
        <v>SHERIDAN HIGH SCHOOL</v>
      </c>
      <c r="E146" s="13" t="str">
        <f>IFERROR(__xludf.DUMMYFUNCTION("""COMPUTED_VALUE"""),"Group 1")</f>
        <v>Group 1</v>
      </c>
      <c r="F146" s="13" t="str">
        <f>IFERROR(__xludf.DUMMYFUNCTION("""COMPUTED_VALUE"""),"2024 - 2025")</f>
        <v>2024 - 2025</v>
      </c>
      <c r="G146" s="13" t="str">
        <f>IFERROR(__xludf.DUMMYFUNCTION("""COMPUTED_VALUE"""),"2023 - 2024")</f>
        <v>2023 - 2024</v>
      </c>
      <c r="H146" s="13">
        <f>IFERROR(__xludf.DUMMYFUNCTION("""COMPUTED_VALUE"""),100.0)</f>
        <v>100</v>
      </c>
      <c r="I146" s="15">
        <f>IFERROR(__xludf.DUMMYFUNCTION("""COMPUTED_VALUE"""),0.0)</f>
        <v>0</v>
      </c>
    </row>
    <row r="147">
      <c r="A147" s="13" t="str">
        <f>IFERROR(__xludf.DUMMYFUNCTION("""COMPUTED_VALUE"""),"0123")</f>
        <v>0123</v>
      </c>
      <c r="B147" s="13" t="str">
        <f>IFERROR(__xludf.DUMMYFUNCTION("""COMPUTED_VALUE"""),"SHERIDAN 2")</f>
        <v>SHERIDAN 2</v>
      </c>
      <c r="C147" s="14" t="str">
        <f>IFERROR(__xludf.DUMMYFUNCTION("""COMPUTED_VALUE"""),"07843")</f>
        <v>07843</v>
      </c>
      <c r="D147" s="13" t="str">
        <f>IFERROR(__xludf.DUMMYFUNCTION("""COMPUTED_VALUE"""),"EARLY CHILDHOOD EDUCATION CENTER")</f>
        <v>EARLY CHILDHOOD EDUCATION CENTER</v>
      </c>
      <c r="E147" s="13" t="str">
        <f>IFERROR(__xludf.DUMMYFUNCTION("""COMPUTED_VALUE"""),"Group 1")</f>
        <v>Group 1</v>
      </c>
      <c r="F147" s="13" t="str">
        <f>IFERROR(__xludf.DUMMYFUNCTION("""COMPUTED_VALUE"""),"2024 - 2025")</f>
        <v>2024 - 2025</v>
      </c>
      <c r="G147" s="13" t="str">
        <f>IFERROR(__xludf.DUMMYFUNCTION("""COMPUTED_VALUE"""),"2023 - 2024")</f>
        <v>2023 - 2024</v>
      </c>
      <c r="H147" s="13">
        <f>IFERROR(__xludf.DUMMYFUNCTION("""COMPUTED_VALUE"""),100.0)</f>
        <v>100</v>
      </c>
      <c r="I147" s="15">
        <f>IFERROR(__xludf.DUMMYFUNCTION("""COMPUTED_VALUE"""),0.0)</f>
        <v>0</v>
      </c>
    </row>
    <row r="148">
      <c r="A148" s="13" t="str">
        <f>IFERROR(__xludf.DUMMYFUNCTION("""COMPUTED_VALUE"""),"0123")</f>
        <v>0123</v>
      </c>
      <c r="B148" s="13" t="str">
        <f>IFERROR(__xludf.DUMMYFUNCTION("""COMPUTED_VALUE"""),"SHERIDAN 2")</f>
        <v>SHERIDAN 2</v>
      </c>
      <c r="C148" s="14" t="str">
        <f>IFERROR(__xludf.DUMMYFUNCTION("""COMPUTED_VALUE"""),"08123")</f>
        <v>08123</v>
      </c>
      <c r="D148" s="13" t="str">
        <f>IFERROR(__xludf.DUMMYFUNCTION("""COMPUTED_VALUE"""),"SOAR Academy")</f>
        <v>SOAR Academy</v>
      </c>
      <c r="E148" s="13" t="str">
        <f>IFERROR(__xludf.DUMMYFUNCTION("""COMPUTED_VALUE"""),"Group 1")</f>
        <v>Group 1</v>
      </c>
      <c r="F148" s="13" t="str">
        <f>IFERROR(__xludf.DUMMYFUNCTION("""COMPUTED_VALUE"""),"2024 - 2025")</f>
        <v>2024 - 2025</v>
      </c>
      <c r="G148" s="13" t="str">
        <f>IFERROR(__xludf.DUMMYFUNCTION("""COMPUTED_VALUE"""),"2023 - 2024")</f>
        <v>2023 - 2024</v>
      </c>
      <c r="H148" s="13">
        <f>IFERROR(__xludf.DUMMYFUNCTION("""COMPUTED_VALUE"""),100.0)</f>
        <v>100</v>
      </c>
      <c r="I148" s="15">
        <f>IFERROR(__xludf.DUMMYFUNCTION("""COMPUTED_VALUE"""),0.0)</f>
        <v>0</v>
      </c>
    </row>
    <row r="149">
      <c r="A149" s="13" t="str">
        <f>IFERROR(__xludf.DUMMYFUNCTION("""COMPUTED_VALUE"""),"0130")</f>
        <v>0130</v>
      </c>
      <c r="B149" s="13" t="str">
        <f>IFERROR(__xludf.DUMMYFUNCTION("""COMPUTED_VALUE"""),"CHERRY CREEK 5")</f>
        <v>CHERRY CREEK 5</v>
      </c>
      <c r="C149" s="14" t="str">
        <f>IFERROR(__xludf.DUMMYFUNCTION("""COMPUTED_VALUE"""),"00016")</f>
        <v>00016</v>
      </c>
      <c r="D149" s="13" t="str">
        <f>IFERROR(__xludf.DUMMYFUNCTION("""COMPUTED_VALUE"""),"FOX HOLLOW ELEMENTARY SCHOOL")</f>
        <v>FOX HOLLOW ELEMENTARY SCHOOL</v>
      </c>
      <c r="E149" s="13" t="str">
        <f>IFERROR(__xludf.DUMMYFUNCTION("""COMPUTED_VALUE"""),"Group 1")</f>
        <v>Group 1</v>
      </c>
      <c r="F149" s="13" t="str">
        <f>IFERROR(__xludf.DUMMYFUNCTION("""COMPUTED_VALUE"""),"2024 - 2025")</f>
        <v>2024 - 2025</v>
      </c>
      <c r="G149" s="13" t="str">
        <f>IFERROR(__xludf.DUMMYFUNCTION("""COMPUTED_VALUE"""),"2023 - 2024")</f>
        <v>2023 - 2024</v>
      </c>
      <c r="H149" s="13">
        <f>IFERROR(__xludf.DUMMYFUNCTION("""COMPUTED_VALUE"""),41.55)</f>
        <v>41.55</v>
      </c>
      <c r="I149" s="15">
        <f>IFERROR(__xludf.DUMMYFUNCTION("""COMPUTED_VALUE"""),58.45)</f>
        <v>58.45</v>
      </c>
    </row>
    <row r="150">
      <c r="A150" s="13" t="str">
        <f>IFERROR(__xludf.DUMMYFUNCTION("""COMPUTED_VALUE"""),"0130")</f>
        <v>0130</v>
      </c>
      <c r="B150" s="13" t="str">
        <f>IFERROR(__xludf.DUMMYFUNCTION("""COMPUTED_VALUE"""),"CHERRY CREEK 5")</f>
        <v>CHERRY CREEK 5</v>
      </c>
      <c r="C150" s="14" t="str">
        <f>IFERROR(__xludf.DUMMYFUNCTION("""COMPUTED_VALUE"""),"00141")</f>
        <v>00141</v>
      </c>
      <c r="D150" s="13" t="str">
        <f>IFERROR(__xludf.DUMMYFUNCTION("""COMPUTED_VALUE"""),"SKY VISTA MIDDLE SCHOOL")</f>
        <v>SKY VISTA MIDDLE SCHOOL</v>
      </c>
      <c r="E150" s="13" t="str">
        <f>IFERROR(__xludf.DUMMYFUNCTION("""COMPUTED_VALUE"""),"Group 1")</f>
        <v>Group 1</v>
      </c>
      <c r="F150" s="13" t="str">
        <f>IFERROR(__xludf.DUMMYFUNCTION("""COMPUTED_VALUE"""),"2024 - 2025")</f>
        <v>2024 - 2025</v>
      </c>
      <c r="G150" s="13" t="str">
        <f>IFERROR(__xludf.DUMMYFUNCTION("""COMPUTED_VALUE"""),"2023 - 2024")</f>
        <v>2023 - 2024</v>
      </c>
      <c r="H150" s="13">
        <f>IFERROR(__xludf.DUMMYFUNCTION("""COMPUTED_VALUE"""),41.55)</f>
        <v>41.55</v>
      </c>
      <c r="I150" s="15">
        <f>IFERROR(__xludf.DUMMYFUNCTION("""COMPUTED_VALUE"""),58.45)</f>
        <v>58.45</v>
      </c>
    </row>
    <row r="151">
      <c r="A151" s="13" t="str">
        <f>IFERROR(__xludf.DUMMYFUNCTION("""COMPUTED_VALUE"""),"0130")</f>
        <v>0130</v>
      </c>
      <c r="B151" s="13" t="str">
        <f>IFERROR(__xludf.DUMMYFUNCTION("""COMPUTED_VALUE"""),"CHERRY CREEK 5")</f>
        <v>CHERRY CREEK 5</v>
      </c>
      <c r="C151" s="14" t="str">
        <f>IFERROR(__xludf.DUMMYFUNCTION("""COMPUTED_VALUE"""),"00243")</f>
        <v>00243</v>
      </c>
      <c r="D151" s="13" t="str">
        <f>IFERROR(__xludf.DUMMYFUNCTION("""COMPUTED_VALUE"""),"COYOTE HILLS ELEMENTARY SCHOOL")</f>
        <v>COYOTE HILLS ELEMENTARY SCHOOL</v>
      </c>
      <c r="E151" s="13" t="str">
        <f>IFERROR(__xludf.DUMMYFUNCTION("""COMPUTED_VALUE"""),"Group 1")</f>
        <v>Group 1</v>
      </c>
      <c r="F151" s="13" t="str">
        <f>IFERROR(__xludf.DUMMYFUNCTION("""COMPUTED_VALUE"""),"2024 - 2025")</f>
        <v>2024 - 2025</v>
      </c>
      <c r="G151" s="13" t="str">
        <f>IFERROR(__xludf.DUMMYFUNCTION("""COMPUTED_VALUE"""),"2023 - 2024")</f>
        <v>2023 - 2024</v>
      </c>
      <c r="H151" s="13">
        <f>IFERROR(__xludf.DUMMYFUNCTION("""COMPUTED_VALUE"""),41.55)</f>
        <v>41.55</v>
      </c>
      <c r="I151" s="15">
        <f>IFERROR(__xludf.DUMMYFUNCTION("""COMPUTED_VALUE"""),58.45)</f>
        <v>58.45</v>
      </c>
    </row>
    <row r="152">
      <c r="A152" s="13" t="str">
        <f>IFERROR(__xludf.DUMMYFUNCTION("""COMPUTED_VALUE"""),"0130")</f>
        <v>0130</v>
      </c>
      <c r="B152" s="13" t="str">
        <f>IFERROR(__xludf.DUMMYFUNCTION("""COMPUTED_VALUE"""),"CHERRY CREEK 5")</f>
        <v>CHERRY CREEK 5</v>
      </c>
      <c r="C152" s="14" t="str">
        <f>IFERROR(__xludf.DUMMYFUNCTION("""COMPUTED_VALUE"""),"00442")</f>
        <v>00442</v>
      </c>
      <c r="D152" s="13" t="str">
        <f>IFERROR(__xludf.DUMMYFUNCTION("""COMPUTED_VALUE"""),"ASPEN CROSSING ELEMENTARY SCHOOL")</f>
        <v>ASPEN CROSSING ELEMENTARY SCHOOL</v>
      </c>
      <c r="E152" s="13" t="str">
        <f>IFERROR(__xludf.DUMMYFUNCTION("""COMPUTED_VALUE"""),"Group 1")</f>
        <v>Group 1</v>
      </c>
      <c r="F152" s="13" t="str">
        <f>IFERROR(__xludf.DUMMYFUNCTION("""COMPUTED_VALUE"""),"2024 - 2025")</f>
        <v>2024 - 2025</v>
      </c>
      <c r="G152" s="13" t="str">
        <f>IFERROR(__xludf.DUMMYFUNCTION("""COMPUTED_VALUE"""),"2023 - 2024")</f>
        <v>2023 - 2024</v>
      </c>
      <c r="H152" s="13">
        <f>IFERROR(__xludf.DUMMYFUNCTION("""COMPUTED_VALUE"""),41.55)</f>
        <v>41.55</v>
      </c>
      <c r="I152" s="15">
        <f>IFERROR(__xludf.DUMMYFUNCTION("""COMPUTED_VALUE"""),58.45)</f>
        <v>58.45</v>
      </c>
    </row>
    <row r="153">
      <c r="A153" s="13" t="str">
        <f>IFERROR(__xludf.DUMMYFUNCTION("""COMPUTED_VALUE"""),"0130")</f>
        <v>0130</v>
      </c>
      <c r="B153" s="13" t="str">
        <f>IFERROR(__xludf.DUMMYFUNCTION("""COMPUTED_VALUE"""),"CHERRY CREEK 5")</f>
        <v>CHERRY CREEK 5</v>
      </c>
      <c r="C153" s="14" t="str">
        <f>IFERROR(__xludf.DUMMYFUNCTION("""COMPUTED_VALUE"""),"00714")</f>
        <v>00714</v>
      </c>
      <c r="D153" s="13" t="str">
        <f>IFERROR(__xludf.DUMMYFUNCTION("""COMPUTED_VALUE"""),"BELLEVIEW ELEMENTARY SCHOOL")</f>
        <v>BELLEVIEW ELEMENTARY SCHOOL</v>
      </c>
      <c r="E153" s="13" t="str">
        <f>IFERROR(__xludf.DUMMYFUNCTION("""COMPUTED_VALUE"""),"Group 1")</f>
        <v>Group 1</v>
      </c>
      <c r="F153" s="13" t="str">
        <f>IFERROR(__xludf.DUMMYFUNCTION("""COMPUTED_VALUE"""),"2024 - 2025")</f>
        <v>2024 - 2025</v>
      </c>
      <c r="G153" s="13" t="str">
        <f>IFERROR(__xludf.DUMMYFUNCTION("""COMPUTED_VALUE"""),"2023 - 2024")</f>
        <v>2023 - 2024</v>
      </c>
      <c r="H153" s="13">
        <f>IFERROR(__xludf.DUMMYFUNCTION("""COMPUTED_VALUE"""),41.55)</f>
        <v>41.55</v>
      </c>
      <c r="I153" s="15">
        <f>IFERROR(__xludf.DUMMYFUNCTION("""COMPUTED_VALUE"""),58.45)</f>
        <v>58.45</v>
      </c>
    </row>
    <row r="154">
      <c r="A154" s="13" t="str">
        <f>IFERROR(__xludf.DUMMYFUNCTION("""COMPUTED_VALUE"""),"0130")</f>
        <v>0130</v>
      </c>
      <c r="B154" s="13" t="str">
        <f>IFERROR(__xludf.DUMMYFUNCTION("""COMPUTED_VALUE"""),"CHERRY CREEK 5")</f>
        <v>CHERRY CREEK 5</v>
      </c>
      <c r="C154" s="14" t="str">
        <f>IFERROR(__xludf.DUMMYFUNCTION("""COMPUTED_VALUE"""),"01572")</f>
        <v>01572</v>
      </c>
      <c r="D154" s="13" t="str">
        <f>IFERROR(__xludf.DUMMYFUNCTION("""COMPUTED_VALUE"""),"HIGH PLAINS ELEMENTARY SCHOOL")</f>
        <v>HIGH PLAINS ELEMENTARY SCHOOL</v>
      </c>
      <c r="E154" s="13" t="str">
        <f>IFERROR(__xludf.DUMMYFUNCTION("""COMPUTED_VALUE"""),"Group 1")</f>
        <v>Group 1</v>
      </c>
      <c r="F154" s="13" t="str">
        <f>IFERROR(__xludf.DUMMYFUNCTION("""COMPUTED_VALUE"""),"2024 - 2025")</f>
        <v>2024 - 2025</v>
      </c>
      <c r="G154" s="13" t="str">
        <f>IFERROR(__xludf.DUMMYFUNCTION("""COMPUTED_VALUE"""),"2023 - 2024")</f>
        <v>2023 - 2024</v>
      </c>
      <c r="H154" s="13">
        <f>IFERROR(__xludf.DUMMYFUNCTION("""COMPUTED_VALUE"""),41.55)</f>
        <v>41.55</v>
      </c>
      <c r="I154" s="15">
        <f>IFERROR(__xludf.DUMMYFUNCTION("""COMPUTED_VALUE"""),58.45)</f>
        <v>58.45</v>
      </c>
    </row>
    <row r="155">
      <c r="A155" s="13" t="str">
        <f>IFERROR(__xludf.DUMMYFUNCTION("""COMPUTED_VALUE"""),"0130")</f>
        <v>0130</v>
      </c>
      <c r="B155" s="13" t="str">
        <f>IFERROR(__xludf.DUMMYFUNCTION("""COMPUTED_VALUE"""),"CHERRY CREEK 5")</f>
        <v>CHERRY CREEK 5</v>
      </c>
      <c r="C155" s="14" t="str">
        <f>IFERROR(__xludf.DUMMYFUNCTION("""COMPUTED_VALUE"""),"02292")</f>
        <v>02292</v>
      </c>
      <c r="D155" s="13" t="str">
        <f>IFERROR(__xludf.DUMMYFUNCTION("""COMPUTED_VALUE"""),"DRY CREEK ELEMENTARY SCHOOL")</f>
        <v>DRY CREEK ELEMENTARY SCHOOL</v>
      </c>
      <c r="E155" s="13" t="str">
        <f>IFERROR(__xludf.DUMMYFUNCTION("""COMPUTED_VALUE"""),"Group 1")</f>
        <v>Group 1</v>
      </c>
      <c r="F155" s="13" t="str">
        <f>IFERROR(__xludf.DUMMYFUNCTION("""COMPUTED_VALUE"""),"2024 - 2025")</f>
        <v>2024 - 2025</v>
      </c>
      <c r="G155" s="13" t="str">
        <f>IFERROR(__xludf.DUMMYFUNCTION("""COMPUTED_VALUE"""),"2023 - 2024")</f>
        <v>2023 - 2024</v>
      </c>
      <c r="H155" s="13">
        <f>IFERROR(__xludf.DUMMYFUNCTION("""COMPUTED_VALUE"""),41.55)</f>
        <v>41.55</v>
      </c>
      <c r="I155" s="15">
        <f>IFERROR(__xludf.DUMMYFUNCTION("""COMPUTED_VALUE"""),58.45)</f>
        <v>58.45</v>
      </c>
    </row>
    <row r="156">
      <c r="A156" s="13" t="str">
        <f>IFERROR(__xludf.DUMMYFUNCTION("""COMPUTED_VALUE"""),"0130")</f>
        <v>0130</v>
      </c>
      <c r="B156" s="13" t="str">
        <f>IFERROR(__xludf.DUMMYFUNCTION("""COMPUTED_VALUE"""),"CHERRY CREEK 5")</f>
        <v>CHERRY CREEK 5</v>
      </c>
      <c r="C156" s="14" t="str">
        <f>IFERROR(__xludf.DUMMYFUNCTION("""COMPUTED_VALUE"""),"02357")</f>
        <v>02357</v>
      </c>
      <c r="D156" s="13" t="str">
        <f>IFERROR(__xludf.DUMMYFUNCTION("""COMPUTED_VALUE"""),"EAGLECREST HIGH SCHOOL")</f>
        <v>EAGLECREST HIGH SCHOOL</v>
      </c>
      <c r="E156" s="13" t="str">
        <f>IFERROR(__xludf.DUMMYFUNCTION("""COMPUTED_VALUE"""),"Group 1")</f>
        <v>Group 1</v>
      </c>
      <c r="F156" s="13" t="str">
        <f>IFERROR(__xludf.DUMMYFUNCTION("""COMPUTED_VALUE"""),"2024 - 2025")</f>
        <v>2024 - 2025</v>
      </c>
      <c r="G156" s="13" t="str">
        <f>IFERROR(__xludf.DUMMYFUNCTION("""COMPUTED_VALUE"""),"2023 - 2024")</f>
        <v>2023 - 2024</v>
      </c>
      <c r="H156" s="13">
        <f>IFERROR(__xludf.DUMMYFUNCTION("""COMPUTED_VALUE"""),41.55)</f>
        <v>41.55</v>
      </c>
      <c r="I156" s="15">
        <f>IFERROR(__xludf.DUMMYFUNCTION("""COMPUTED_VALUE"""),58.45)</f>
        <v>58.45</v>
      </c>
    </row>
    <row r="157">
      <c r="A157" s="13" t="str">
        <f>IFERROR(__xludf.DUMMYFUNCTION("""COMPUTED_VALUE"""),"0130")</f>
        <v>0130</v>
      </c>
      <c r="B157" s="13" t="str">
        <f>IFERROR(__xludf.DUMMYFUNCTION("""COMPUTED_VALUE"""),"CHERRY CREEK 5")</f>
        <v>CHERRY CREEK 5</v>
      </c>
      <c r="C157" s="14" t="str">
        <f>IFERROR(__xludf.DUMMYFUNCTION("""COMPUTED_VALUE"""),"06625")</f>
        <v>06625</v>
      </c>
      <c r="D157" s="13" t="str">
        <f>IFERROR(__xludf.DUMMYFUNCTION("""COMPUTED_VALUE"""),"OVERLAND HIGH SCHOOL")</f>
        <v>OVERLAND HIGH SCHOOL</v>
      </c>
      <c r="E157" s="13" t="str">
        <f>IFERROR(__xludf.DUMMYFUNCTION("""COMPUTED_VALUE"""),"Group 1")</f>
        <v>Group 1</v>
      </c>
      <c r="F157" s="13" t="str">
        <f>IFERROR(__xludf.DUMMYFUNCTION("""COMPUTED_VALUE"""),"2024 - 2025")</f>
        <v>2024 - 2025</v>
      </c>
      <c r="G157" s="13" t="str">
        <f>IFERROR(__xludf.DUMMYFUNCTION("""COMPUTED_VALUE"""),"2023 - 2024")</f>
        <v>2023 - 2024</v>
      </c>
      <c r="H157" s="13">
        <f>IFERROR(__xludf.DUMMYFUNCTION("""COMPUTED_VALUE"""),41.55)</f>
        <v>41.55</v>
      </c>
      <c r="I157" s="15">
        <f>IFERROR(__xludf.DUMMYFUNCTION("""COMPUTED_VALUE"""),58.45)</f>
        <v>58.45</v>
      </c>
    </row>
    <row r="158">
      <c r="A158" s="13" t="str">
        <f>IFERROR(__xludf.DUMMYFUNCTION("""COMPUTED_VALUE"""),"0130")</f>
        <v>0130</v>
      </c>
      <c r="B158" s="13" t="str">
        <f>IFERROR(__xludf.DUMMYFUNCTION("""COMPUTED_VALUE"""),"CHERRY CREEK 5")</f>
        <v>CHERRY CREEK 5</v>
      </c>
      <c r="C158" s="14" t="str">
        <f>IFERROR(__xludf.DUMMYFUNCTION("""COMPUTED_VALUE"""),"08850")</f>
        <v>08850</v>
      </c>
      <c r="D158" s="13" t="str">
        <f>IFERROR(__xludf.DUMMYFUNCTION("""COMPUTED_VALUE"""),"TIMBERLINE ELEMENTARY SCHOOL")</f>
        <v>TIMBERLINE ELEMENTARY SCHOOL</v>
      </c>
      <c r="E158" s="13" t="str">
        <f>IFERROR(__xludf.DUMMYFUNCTION("""COMPUTED_VALUE"""),"Group 1")</f>
        <v>Group 1</v>
      </c>
      <c r="F158" s="13" t="str">
        <f>IFERROR(__xludf.DUMMYFUNCTION("""COMPUTED_VALUE"""),"2024 - 2025")</f>
        <v>2024 - 2025</v>
      </c>
      <c r="G158" s="13" t="str">
        <f>IFERROR(__xludf.DUMMYFUNCTION("""COMPUTED_VALUE"""),"2023 - 2024")</f>
        <v>2023 - 2024</v>
      </c>
      <c r="H158" s="13">
        <f>IFERROR(__xludf.DUMMYFUNCTION("""COMPUTED_VALUE"""),41.55)</f>
        <v>41.55</v>
      </c>
      <c r="I158" s="15">
        <f>IFERROR(__xludf.DUMMYFUNCTION("""COMPUTED_VALUE"""),58.45)</f>
        <v>58.45</v>
      </c>
    </row>
    <row r="159">
      <c r="A159" s="13" t="str">
        <f>IFERROR(__xludf.DUMMYFUNCTION("""COMPUTED_VALUE"""),"0130")</f>
        <v>0130</v>
      </c>
      <c r="B159" s="13" t="str">
        <f>IFERROR(__xludf.DUMMYFUNCTION("""COMPUTED_VALUE"""),"CHERRY CREEK 5")</f>
        <v>CHERRY CREEK 5</v>
      </c>
      <c r="C159" s="14" t="str">
        <f>IFERROR(__xludf.DUMMYFUNCTION("""COMPUTED_VALUE"""),"08887")</f>
        <v>08887</v>
      </c>
      <c r="D159" s="13" t="str">
        <f>IFERROR(__xludf.DUMMYFUNCTION("""COMPUTED_VALUE"""),"TRAILS WEST ELEMENTARY SCHOOL")</f>
        <v>TRAILS WEST ELEMENTARY SCHOOL</v>
      </c>
      <c r="E159" s="13" t="str">
        <f>IFERROR(__xludf.DUMMYFUNCTION("""COMPUTED_VALUE"""),"Group 1")</f>
        <v>Group 1</v>
      </c>
      <c r="F159" s="13" t="str">
        <f>IFERROR(__xludf.DUMMYFUNCTION("""COMPUTED_VALUE"""),"2024 - 2025")</f>
        <v>2024 - 2025</v>
      </c>
      <c r="G159" s="13" t="str">
        <f>IFERROR(__xludf.DUMMYFUNCTION("""COMPUTED_VALUE"""),"2023 - 2024")</f>
        <v>2023 - 2024</v>
      </c>
      <c r="H159" s="13">
        <f>IFERROR(__xludf.DUMMYFUNCTION("""COMPUTED_VALUE"""),41.55)</f>
        <v>41.55</v>
      </c>
      <c r="I159" s="15">
        <f>IFERROR(__xludf.DUMMYFUNCTION("""COMPUTED_VALUE"""),58.45)</f>
        <v>58.45</v>
      </c>
    </row>
    <row r="160">
      <c r="A160" s="13" t="str">
        <f>IFERROR(__xludf.DUMMYFUNCTION("""COMPUTED_VALUE"""),"0130")</f>
        <v>0130</v>
      </c>
      <c r="B160" s="13" t="str">
        <f>IFERROR(__xludf.DUMMYFUNCTION("""COMPUTED_VALUE"""),"CHERRY CREEK 5")</f>
        <v>CHERRY CREEK 5</v>
      </c>
      <c r="C160" s="14" t="str">
        <f>IFERROR(__xludf.DUMMYFUNCTION("""COMPUTED_VALUE"""),"09200")</f>
        <v>09200</v>
      </c>
      <c r="D160" s="13" t="str">
        <f>IFERROR(__xludf.DUMMYFUNCTION("""COMPUTED_VALUE"""),"WALNUT HILLS COMMUNITY ELEMENTARY SCHOOL")</f>
        <v>WALNUT HILLS COMMUNITY ELEMENTARY SCHOOL</v>
      </c>
      <c r="E160" s="13" t="str">
        <f>IFERROR(__xludf.DUMMYFUNCTION("""COMPUTED_VALUE"""),"Group 1")</f>
        <v>Group 1</v>
      </c>
      <c r="F160" s="13" t="str">
        <f>IFERROR(__xludf.DUMMYFUNCTION("""COMPUTED_VALUE"""),"2024 - 2025")</f>
        <v>2024 - 2025</v>
      </c>
      <c r="G160" s="13" t="str">
        <f>IFERROR(__xludf.DUMMYFUNCTION("""COMPUTED_VALUE"""),"2023 - 2024")</f>
        <v>2023 - 2024</v>
      </c>
      <c r="H160" s="13">
        <f>IFERROR(__xludf.DUMMYFUNCTION("""COMPUTED_VALUE"""),41.55)</f>
        <v>41.55</v>
      </c>
      <c r="I160" s="15">
        <f>IFERROR(__xludf.DUMMYFUNCTION("""COMPUTED_VALUE"""),58.45)</f>
        <v>58.45</v>
      </c>
    </row>
    <row r="161">
      <c r="A161" s="13" t="str">
        <f>IFERROR(__xludf.DUMMYFUNCTION("""COMPUTED_VALUE"""),"0130")</f>
        <v>0130</v>
      </c>
      <c r="B161" s="13" t="str">
        <f>IFERROR(__xludf.DUMMYFUNCTION("""COMPUTED_VALUE"""),"CHERRY CREEK 5")</f>
        <v>CHERRY CREEK 5</v>
      </c>
      <c r="C161" s="14" t="str">
        <f>IFERROR(__xludf.DUMMYFUNCTION("""COMPUTED_VALUE"""),"04448")</f>
        <v>04448</v>
      </c>
      <c r="D161" s="13" t="str">
        <f>IFERROR(__xludf.DUMMYFUNCTION("""COMPUTED_VALUE"""),"BLACK FOREST HILLS ELEMENTARY SCHOOL")</f>
        <v>BLACK FOREST HILLS ELEMENTARY SCHOOL</v>
      </c>
      <c r="E161" s="13" t="str">
        <f>IFERROR(__xludf.DUMMYFUNCTION("""COMPUTED_VALUE"""),"Group 1")</f>
        <v>Group 1</v>
      </c>
      <c r="F161" s="13" t="str">
        <f>IFERROR(__xludf.DUMMYFUNCTION("""COMPUTED_VALUE"""),"2024 - 2025")</f>
        <v>2024 - 2025</v>
      </c>
      <c r="G161" s="13" t="str">
        <f>IFERROR(__xludf.DUMMYFUNCTION("""COMPUTED_VALUE"""),"2023 - 2024")</f>
        <v>2023 - 2024</v>
      </c>
      <c r="H161" s="13">
        <f>IFERROR(__xludf.DUMMYFUNCTION("""COMPUTED_VALUE"""),41.55)</f>
        <v>41.55</v>
      </c>
      <c r="I161" s="15">
        <f>IFERROR(__xludf.DUMMYFUNCTION("""COMPUTED_VALUE"""),58.45)</f>
        <v>58.45</v>
      </c>
    </row>
    <row r="162">
      <c r="A162" s="13" t="str">
        <f>IFERROR(__xludf.DUMMYFUNCTION("""COMPUTED_VALUE"""),"0130")</f>
        <v>0130</v>
      </c>
      <c r="B162" s="13" t="str">
        <f>IFERROR(__xludf.DUMMYFUNCTION("""COMPUTED_VALUE"""),"CHERRY CREEK 5")</f>
        <v>CHERRY CREEK 5</v>
      </c>
      <c r="C162" s="14" t="str">
        <f>IFERROR(__xludf.DUMMYFUNCTION("""COMPUTED_VALUE"""),"07514")</f>
        <v>07514</v>
      </c>
      <c r="D162" s="13" t="str">
        <f>IFERROR(__xludf.DUMMYFUNCTION("""COMPUTED_VALUE"""),"Infinity Middle School")</f>
        <v>Infinity Middle School</v>
      </c>
      <c r="E162" s="13" t="str">
        <f>IFERROR(__xludf.DUMMYFUNCTION("""COMPUTED_VALUE"""),"Group 1")</f>
        <v>Group 1</v>
      </c>
      <c r="F162" s="13" t="str">
        <f>IFERROR(__xludf.DUMMYFUNCTION("""COMPUTED_VALUE"""),"2024 - 2025")</f>
        <v>2024 - 2025</v>
      </c>
      <c r="G162" s="13" t="str">
        <f>IFERROR(__xludf.DUMMYFUNCTION("""COMPUTED_VALUE"""),"2023 - 2024")</f>
        <v>2023 - 2024</v>
      </c>
      <c r="H162" s="13">
        <f>IFERROR(__xludf.DUMMYFUNCTION("""COMPUTED_VALUE"""),41.55)</f>
        <v>41.55</v>
      </c>
      <c r="I162" s="15">
        <f>IFERROR(__xludf.DUMMYFUNCTION("""COMPUTED_VALUE"""),58.45)</f>
        <v>58.45</v>
      </c>
    </row>
    <row r="163">
      <c r="A163" s="13" t="str">
        <f>IFERROR(__xludf.DUMMYFUNCTION("""COMPUTED_VALUE"""),"0130")</f>
        <v>0130</v>
      </c>
      <c r="B163" s="13" t="str">
        <f>IFERROR(__xludf.DUMMYFUNCTION("""COMPUTED_VALUE"""),"CHERRY CREEK 5")</f>
        <v>CHERRY CREEK 5</v>
      </c>
      <c r="C163" s="14" t="str">
        <f>IFERROR(__xludf.DUMMYFUNCTION("""COMPUTED_VALUE"""),"01571")</f>
        <v>01571</v>
      </c>
      <c r="D163" s="13" t="str">
        <f>IFERROR(__xludf.DUMMYFUNCTION("""COMPUTED_VALUE"""),"Cherry Creek Charter Academy")</f>
        <v>Cherry Creek Charter Academy</v>
      </c>
      <c r="E163" s="13" t="str">
        <f>IFERROR(__xludf.DUMMYFUNCTION("""COMPUTED_VALUE"""),"Group 1")</f>
        <v>Group 1</v>
      </c>
      <c r="F163" s="13" t="str">
        <f>IFERROR(__xludf.DUMMYFUNCTION("""COMPUTED_VALUE"""),"2024 - 2025")</f>
        <v>2024 - 2025</v>
      </c>
      <c r="G163" s="13" t="str">
        <f>IFERROR(__xludf.DUMMYFUNCTION("""COMPUTED_VALUE"""),"2023 - 2024")</f>
        <v>2023 - 2024</v>
      </c>
      <c r="H163" s="13">
        <f>IFERROR(__xludf.DUMMYFUNCTION("""COMPUTED_VALUE"""),41.55)</f>
        <v>41.55</v>
      </c>
      <c r="I163" s="15">
        <f>IFERROR(__xludf.DUMMYFUNCTION("""COMPUTED_VALUE"""),58.45)</f>
        <v>58.45</v>
      </c>
    </row>
    <row r="164">
      <c r="A164" s="13" t="str">
        <f>IFERROR(__xludf.DUMMYFUNCTION("""COMPUTED_VALUE"""),"0130")</f>
        <v>0130</v>
      </c>
      <c r="B164" s="13" t="str">
        <f>IFERROR(__xludf.DUMMYFUNCTION("""COMPUTED_VALUE"""),"CHERRY CREEK 5")</f>
        <v>CHERRY CREEK 5</v>
      </c>
      <c r="C164" s="14" t="str">
        <f>IFERROR(__xludf.DUMMYFUNCTION("""COMPUTED_VALUE"""),"07617")</f>
        <v>07617</v>
      </c>
      <c r="D164" s="13" t="str">
        <f>IFERROR(__xludf.DUMMYFUNCTION("""COMPUTED_VALUE"""),"Woodland Elementary School")</f>
        <v>Woodland Elementary School</v>
      </c>
      <c r="E164" s="13" t="str">
        <f>IFERROR(__xludf.DUMMYFUNCTION("""COMPUTED_VALUE"""),"Group 1")</f>
        <v>Group 1</v>
      </c>
      <c r="F164" s="13" t="str">
        <f>IFERROR(__xludf.DUMMYFUNCTION("""COMPUTED_VALUE"""),"2024 - 2025")</f>
        <v>2024 - 2025</v>
      </c>
      <c r="G164" s="13" t="str">
        <f>IFERROR(__xludf.DUMMYFUNCTION("""COMPUTED_VALUE"""),"2023 - 2024")</f>
        <v>2023 - 2024</v>
      </c>
      <c r="H164" s="13">
        <f>IFERROR(__xludf.DUMMYFUNCTION("""COMPUTED_VALUE"""),41.55)</f>
        <v>41.55</v>
      </c>
      <c r="I164" s="15">
        <f>IFERROR(__xludf.DUMMYFUNCTION("""COMPUTED_VALUE"""),58.45)</f>
        <v>58.45</v>
      </c>
    </row>
    <row r="165">
      <c r="A165" s="13" t="str">
        <f>IFERROR(__xludf.DUMMYFUNCTION("""COMPUTED_VALUE"""),"0130")</f>
        <v>0130</v>
      </c>
      <c r="B165" s="13" t="str">
        <f>IFERROR(__xludf.DUMMYFUNCTION("""COMPUTED_VALUE"""),"CHERRY CREEK 5")</f>
        <v>CHERRY CREEK 5</v>
      </c>
      <c r="C165" s="14" t="str">
        <f>IFERROR(__xludf.DUMMYFUNCTION("""COMPUTED_VALUE"""),"04280")</f>
        <v>04280</v>
      </c>
      <c r="D165" s="13" t="str">
        <f>IFERROR(__xludf.DUMMYFUNCTION("""COMPUTED_VALUE"""),"INDIAN RIDGE ELEMENTARY SCHOOL")</f>
        <v>INDIAN RIDGE ELEMENTARY SCHOOL</v>
      </c>
      <c r="E165" s="13" t="str">
        <f>IFERROR(__xludf.DUMMYFUNCTION("""COMPUTED_VALUE"""),"Group 10")</f>
        <v>Group 10</v>
      </c>
      <c r="F165" s="13" t="str">
        <f>IFERROR(__xludf.DUMMYFUNCTION("""COMPUTED_VALUE"""),"2024 - 2025")</f>
        <v>2024 - 2025</v>
      </c>
      <c r="G165" s="13" t="str">
        <f>IFERROR(__xludf.DUMMYFUNCTION("""COMPUTED_VALUE"""),"2023 - 2024")</f>
        <v>2023 - 2024</v>
      </c>
      <c r="H165" s="13">
        <f>IFERROR(__xludf.DUMMYFUNCTION("""COMPUTED_VALUE"""),41.25)</f>
        <v>41.25</v>
      </c>
      <c r="I165" s="15">
        <f>IFERROR(__xludf.DUMMYFUNCTION("""COMPUTED_VALUE"""),58.75)</f>
        <v>58.75</v>
      </c>
    </row>
    <row r="166">
      <c r="A166" s="13" t="str">
        <f>IFERROR(__xludf.DUMMYFUNCTION("""COMPUTED_VALUE"""),"0130")</f>
        <v>0130</v>
      </c>
      <c r="B166" s="13" t="str">
        <f>IFERROR(__xludf.DUMMYFUNCTION("""COMPUTED_VALUE"""),"CHERRY CREEK 5")</f>
        <v>CHERRY CREEK 5</v>
      </c>
      <c r="C166" s="14" t="str">
        <f>IFERROR(__xludf.DUMMYFUNCTION("""COMPUTED_VALUE"""),"08020")</f>
        <v>08020</v>
      </c>
      <c r="D166" s="13" t="str">
        <f>IFERROR(__xludf.DUMMYFUNCTION("""COMPUTED_VALUE"""),"SMOKY HILL HIGH SCHOOL")</f>
        <v>SMOKY HILL HIGH SCHOOL</v>
      </c>
      <c r="E166" s="13" t="str">
        <f>IFERROR(__xludf.DUMMYFUNCTION("""COMPUTED_VALUE"""),"Group 10")</f>
        <v>Group 10</v>
      </c>
      <c r="F166" s="13" t="str">
        <f>IFERROR(__xludf.DUMMYFUNCTION("""COMPUTED_VALUE"""),"2024 - 2025")</f>
        <v>2024 - 2025</v>
      </c>
      <c r="G166" s="13" t="str">
        <f>IFERROR(__xludf.DUMMYFUNCTION("""COMPUTED_VALUE"""),"2023 - 2024")</f>
        <v>2023 - 2024</v>
      </c>
      <c r="H166" s="13">
        <f>IFERROR(__xludf.DUMMYFUNCTION("""COMPUTED_VALUE"""),41.25)</f>
        <v>41.25</v>
      </c>
      <c r="I166" s="15">
        <f>IFERROR(__xludf.DUMMYFUNCTION("""COMPUTED_VALUE"""),58.75)</f>
        <v>58.75</v>
      </c>
    </row>
    <row r="167">
      <c r="A167" s="13" t="str">
        <f>IFERROR(__xludf.DUMMYFUNCTION("""COMPUTED_VALUE"""),"0130")</f>
        <v>0130</v>
      </c>
      <c r="B167" s="13" t="str">
        <f>IFERROR(__xludf.DUMMYFUNCTION("""COMPUTED_VALUE"""),"CHERRY CREEK 5")</f>
        <v>CHERRY CREEK 5</v>
      </c>
      <c r="C167" s="14" t="str">
        <f>IFERROR(__xludf.DUMMYFUNCTION("""COMPUTED_VALUE"""),"06225")</f>
        <v>06225</v>
      </c>
      <c r="D167" s="13" t="str">
        <f>IFERROR(__xludf.DUMMYFUNCTION("""COMPUTED_VALUE"""),"MOUNTAIN VISTA ELEMENTARY SCHOOL")</f>
        <v>MOUNTAIN VISTA ELEMENTARY SCHOOL</v>
      </c>
      <c r="E167" s="13" t="str">
        <f>IFERROR(__xludf.DUMMYFUNCTION("""COMPUTED_VALUE"""),"Group 10")</f>
        <v>Group 10</v>
      </c>
      <c r="F167" s="13" t="str">
        <f>IFERROR(__xludf.DUMMYFUNCTION("""COMPUTED_VALUE"""),"2024 - 2025")</f>
        <v>2024 - 2025</v>
      </c>
      <c r="G167" s="13" t="str">
        <f>IFERROR(__xludf.DUMMYFUNCTION("""COMPUTED_VALUE"""),"2023 - 2024")</f>
        <v>2023 - 2024</v>
      </c>
      <c r="H167" s="13">
        <f>IFERROR(__xludf.DUMMYFUNCTION("""COMPUTED_VALUE"""),41.25)</f>
        <v>41.25</v>
      </c>
      <c r="I167" s="15">
        <f>IFERROR(__xludf.DUMMYFUNCTION("""COMPUTED_VALUE"""),58.75)</f>
        <v>58.75</v>
      </c>
    </row>
    <row r="168">
      <c r="A168" s="13" t="str">
        <f>IFERROR(__xludf.DUMMYFUNCTION("""COMPUTED_VALUE"""),"0130")</f>
        <v>0130</v>
      </c>
      <c r="B168" s="13" t="str">
        <f>IFERROR(__xludf.DUMMYFUNCTION("""COMPUTED_VALUE"""),"CHERRY CREEK 5")</f>
        <v>CHERRY CREEK 5</v>
      </c>
      <c r="C168" s="14" t="str">
        <f>IFERROR(__xludf.DUMMYFUNCTION("""COMPUTED_VALUE"""),"00102")</f>
        <v>00102</v>
      </c>
      <c r="D168" s="13" t="str">
        <f>IFERROR(__xludf.DUMMYFUNCTION("""COMPUTED_VALUE"""),"Altitude Elementary School")</f>
        <v>Altitude Elementary School</v>
      </c>
      <c r="E168" s="13" t="str">
        <f>IFERROR(__xludf.DUMMYFUNCTION("""COMPUTED_VALUE"""),"Group 10")</f>
        <v>Group 10</v>
      </c>
      <c r="F168" s="13" t="str">
        <f>IFERROR(__xludf.DUMMYFUNCTION("""COMPUTED_VALUE"""),"2024 - 2025")</f>
        <v>2024 - 2025</v>
      </c>
      <c r="G168" s="13" t="str">
        <f>IFERROR(__xludf.DUMMYFUNCTION("""COMPUTED_VALUE"""),"2023 - 2024")</f>
        <v>2023 - 2024</v>
      </c>
      <c r="H168" s="13">
        <f>IFERROR(__xludf.DUMMYFUNCTION("""COMPUTED_VALUE"""),41.25)</f>
        <v>41.25</v>
      </c>
      <c r="I168" s="15">
        <f>IFERROR(__xludf.DUMMYFUNCTION("""COMPUTED_VALUE"""),58.75)</f>
        <v>58.75</v>
      </c>
    </row>
    <row r="169">
      <c r="A169" s="13" t="str">
        <f>IFERROR(__xludf.DUMMYFUNCTION("""COMPUTED_VALUE"""),"0130")</f>
        <v>0130</v>
      </c>
      <c r="B169" s="13" t="str">
        <f>IFERROR(__xludf.DUMMYFUNCTION("""COMPUTED_VALUE"""),"CHERRY CREEK 5")</f>
        <v>CHERRY CREEK 5</v>
      </c>
      <c r="C169" s="14" t="str">
        <f>IFERROR(__xludf.DUMMYFUNCTION("""COMPUTED_VALUE"""),"07559")</f>
        <v>07559</v>
      </c>
      <c r="D169" s="13" t="str">
        <f>IFERROR(__xludf.DUMMYFUNCTION("""COMPUTED_VALUE"""),"SAGEBRUSH ELEMENTARY SCHOOL")</f>
        <v>SAGEBRUSH ELEMENTARY SCHOOL</v>
      </c>
      <c r="E169" s="13" t="str">
        <f>IFERROR(__xludf.DUMMYFUNCTION("""COMPUTED_VALUE"""),"Group 11")</f>
        <v>Group 11</v>
      </c>
      <c r="F169" s="13" t="str">
        <f>IFERROR(__xludf.DUMMYFUNCTION("""COMPUTED_VALUE"""),"2024 - 2025")</f>
        <v>2024 - 2025</v>
      </c>
      <c r="G169" s="13" t="str">
        <f>IFERROR(__xludf.DUMMYFUNCTION("""COMPUTED_VALUE"""),"2023 - 2024")</f>
        <v>2023 - 2024</v>
      </c>
      <c r="H169" s="13">
        <f>IFERROR(__xludf.DUMMYFUNCTION("""COMPUTED_VALUE"""),74.19)</f>
        <v>74.19</v>
      </c>
      <c r="I169" s="15">
        <f>IFERROR(__xludf.DUMMYFUNCTION("""COMPUTED_VALUE"""),25.810000000000002)</f>
        <v>25.81</v>
      </c>
    </row>
    <row r="170">
      <c r="A170" s="13" t="str">
        <f>IFERROR(__xludf.DUMMYFUNCTION("""COMPUTED_VALUE"""),"0130")</f>
        <v>0130</v>
      </c>
      <c r="B170" s="13" t="str">
        <f>IFERROR(__xludf.DUMMYFUNCTION("""COMPUTED_VALUE"""),"CHERRY CREEK 5")</f>
        <v>CHERRY CREEK 5</v>
      </c>
      <c r="C170" s="14" t="str">
        <f>IFERROR(__xludf.DUMMYFUNCTION("""COMPUTED_VALUE"""),"04276")</f>
        <v>04276</v>
      </c>
      <c r="D170" s="13" t="str">
        <f>IFERROR(__xludf.DUMMYFUNCTION("""COMPUTED_VALUE"""),"INDEPENDENCE ELEMENTARY SCHOOL")</f>
        <v>INDEPENDENCE ELEMENTARY SCHOOL</v>
      </c>
      <c r="E170" s="13" t="str">
        <f>IFERROR(__xludf.DUMMYFUNCTION("""COMPUTED_VALUE"""),"Group 12")</f>
        <v>Group 12</v>
      </c>
      <c r="F170" s="13" t="str">
        <f>IFERROR(__xludf.DUMMYFUNCTION("""COMPUTED_VALUE"""),"2024 - 2025")</f>
        <v>2024 - 2025</v>
      </c>
      <c r="G170" s="13" t="str">
        <f>IFERROR(__xludf.DUMMYFUNCTION("""COMPUTED_VALUE"""),"2023 - 2024")</f>
        <v>2023 - 2024</v>
      </c>
      <c r="H170" s="13">
        <f>IFERROR(__xludf.DUMMYFUNCTION("""COMPUTED_VALUE"""),77.25)</f>
        <v>77.25</v>
      </c>
      <c r="I170" s="15">
        <f>IFERROR(__xludf.DUMMYFUNCTION("""COMPUTED_VALUE"""),22.75)</f>
        <v>22.75</v>
      </c>
    </row>
    <row r="171">
      <c r="A171" s="13" t="str">
        <f>IFERROR(__xludf.DUMMYFUNCTION("""COMPUTED_VALUE"""),"0130")</f>
        <v>0130</v>
      </c>
      <c r="B171" s="13" t="str">
        <f>IFERROR(__xludf.DUMMYFUNCTION("""COMPUTED_VALUE"""),"CHERRY CREEK 5")</f>
        <v>CHERRY CREEK 5</v>
      </c>
      <c r="C171" s="14" t="str">
        <f>IFERROR(__xludf.DUMMYFUNCTION("""COMPUTED_VALUE"""),"07102")</f>
        <v>07102</v>
      </c>
      <c r="D171" s="13" t="str">
        <f>IFERROR(__xludf.DUMMYFUNCTION("""COMPUTED_VALUE"""),"POLTON COMMUNITY ELEMENTARY SCHOOL")</f>
        <v>POLTON COMMUNITY ELEMENTARY SCHOOL</v>
      </c>
      <c r="E171" s="13" t="str">
        <f>IFERROR(__xludf.DUMMYFUNCTION("""COMPUTED_VALUE"""),"Group 13")</f>
        <v>Group 13</v>
      </c>
      <c r="F171" s="13" t="str">
        <f>IFERROR(__xludf.DUMMYFUNCTION("""COMPUTED_VALUE"""),"2024 - 2025")</f>
        <v>2024 - 2025</v>
      </c>
      <c r="G171" s="13" t="str">
        <f>IFERROR(__xludf.DUMMYFUNCTION("""COMPUTED_VALUE"""),"2023 - 2024")</f>
        <v>2023 - 2024</v>
      </c>
      <c r="H171" s="13">
        <f>IFERROR(__xludf.DUMMYFUNCTION("""COMPUTED_VALUE"""),74.59)</f>
        <v>74.59</v>
      </c>
      <c r="I171" s="15">
        <f>IFERROR(__xludf.DUMMYFUNCTION("""COMPUTED_VALUE"""),25.409999999999997)</f>
        <v>25.41</v>
      </c>
    </row>
    <row r="172">
      <c r="A172" s="13" t="str">
        <f>IFERROR(__xludf.DUMMYFUNCTION("""COMPUTED_VALUE"""),"0130")</f>
        <v>0130</v>
      </c>
      <c r="B172" s="13" t="str">
        <f>IFERROR(__xludf.DUMMYFUNCTION("""COMPUTED_VALUE"""),"CHERRY CREEK 5")</f>
        <v>CHERRY CREEK 5</v>
      </c>
      <c r="C172" s="14" t="str">
        <f>IFERROR(__xludf.DUMMYFUNCTION("""COMPUTED_VALUE"""),"07158")</f>
        <v>07158</v>
      </c>
      <c r="D172" s="13" t="str">
        <f>IFERROR(__xludf.DUMMYFUNCTION("""COMPUTED_VALUE"""),"PRAIRIE MIDDLE SCHOOL")</f>
        <v>PRAIRIE MIDDLE SCHOOL</v>
      </c>
      <c r="E172" s="13" t="str">
        <f>IFERROR(__xludf.DUMMYFUNCTION("""COMPUTED_VALUE"""),"Group 13")</f>
        <v>Group 13</v>
      </c>
      <c r="F172" s="13" t="str">
        <f>IFERROR(__xludf.DUMMYFUNCTION("""COMPUTED_VALUE"""),"2024 - 2025")</f>
        <v>2024 - 2025</v>
      </c>
      <c r="G172" s="13" t="str">
        <f>IFERROR(__xludf.DUMMYFUNCTION("""COMPUTED_VALUE"""),"2023 - 2024")</f>
        <v>2023 - 2024</v>
      </c>
      <c r="H172" s="13">
        <f>IFERROR(__xludf.DUMMYFUNCTION("""COMPUTED_VALUE"""),74.59)</f>
        <v>74.59</v>
      </c>
      <c r="I172" s="15">
        <f>IFERROR(__xludf.DUMMYFUNCTION("""COMPUTED_VALUE"""),25.409999999999997)</f>
        <v>25.41</v>
      </c>
    </row>
    <row r="173">
      <c r="A173" s="13" t="str">
        <f>IFERROR(__xludf.DUMMYFUNCTION("""COMPUTED_VALUE"""),"0130")</f>
        <v>0130</v>
      </c>
      <c r="B173" s="13" t="str">
        <f>IFERROR(__xludf.DUMMYFUNCTION("""COMPUTED_VALUE"""),"CHERRY CREEK 5")</f>
        <v>CHERRY CREEK 5</v>
      </c>
      <c r="C173" s="14" t="str">
        <f>IFERROR(__xludf.DUMMYFUNCTION("""COMPUTED_VALUE"""),"04189")</f>
        <v>04189</v>
      </c>
      <c r="D173" s="13" t="str">
        <f>IFERROR(__xludf.DUMMYFUNCTION("""COMPUTED_VALUE"""),"Heritage Heights Academy")</f>
        <v>Heritage Heights Academy</v>
      </c>
      <c r="E173" s="13" t="str">
        <f>IFERROR(__xludf.DUMMYFUNCTION("""COMPUTED_VALUE"""),"Group 13")</f>
        <v>Group 13</v>
      </c>
      <c r="F173" s="13" t="str">
        <f>IFERROR(__xludf.DUMMYFUNCTION("""COMPUTED_VALUE"""),"2024 - 2025")</f>
        <v>2024 - 2025</v>
      </c>
      <c r="G173" s="13" t="str">
        <f>IFERROR(__xludf.DUMMYFUNCTION("""COMPUTED_VALUE"""),"2023 - 2024")</f>
        <v>2023 - 2024</v>
      </c>
      <c r="H173" s="13">
        <f>IFERROR(__xludf.DUMMYFUNCTION("""COMPUTED_VALUE"""),74.59)</f>
        <v>74.59</v>
      </c>
      <c r="I173" s="15">
        <f>IFERROR(__xludf.DUMMYFUNCTION("""COMPUTED_VALUE"""),25.409999999999997)</f>
        <v>25.41</v>
      </c>
    </row>
    <row r="174">
      <c r="A174" s="13" t="str">
        <f>IFERROR(__xludf.DUMMYFUNCTION("""COMPUTED_VALUE"""),"0130")</f>
        <v>0130</v>
      </c>
      <c r="B174" s="13" t="str">
        <f>IFERROR(__xludf.DUMMYFUNCTION("""COMPUTED_VALUE"""),"CHERRY CREEK 5")</f>
        <v>CHERRY CREEK 5</v>
      </c>
      <c r="C174" s="14" t="str">
        <f>IFERROR(__xludf.DUMMYFUNCTION("""COMPUTED_VALUE"""),"08380")</f>
        <v>08380</v>
      </c>
      <c r="D174" s="13" t="str">
        <f>IFERROR(__xludf.DUMMYFUNCTION("""COMPUTED_VALUE"""),"SUMMIT ELEMENTARY SCHOOL")</f>
        <v>SUMMIT ELEMENTARY SCHOOL</v>
      </c>
      <c r="E174" s="13" t="str">
        <f>IFERROR(__xludf.DUMMYFUNCTION("""COMPUTED_VALUE"""),"Group 14")</f>
        <v>Group 14</v>
      </c>
      <c r="F174" s="13" t="str">
        <f>IFERROR(__xludf.DUMMYFUNCTION("""COMPUTED_VALUE"""),"2024 - 2025")</f>
        <v>2024 - 2025</v>
      </c>
      <c r="G174" s="13" t="str">
        <f>IFERROR(__xludf.DUMMYFUNCTION("""COMPUTED_VALUE"""),"2023 - 2024")</f>
        <v>2023 - 2024</v>
      </c>
      <c r="H174" s="13">
        <f>IFERROR(__xludf.DUMMYFUNCTION("""COMPUTED_VALUE"""),61.07)</f>
        <v>61.07</v>
      </c>
      <c r="I174" s="15">
        <f>IFERROR(__xludf.DUMMYFUNCTION("""COMPUTED_VALUE"""),38.93)</f>
        <v>38.93</v>
      </c>
    </row>
    <row r="175">
      <c r="A175" s="13" t="str">
        <f>IFERROR(__xludf.DUMMYFUNCTION("""COMPUTED_VALUE"""),"0130")</f>
        <v>0130</v>
      </c>
      <c r="B175" s="13" t="str">
        <f>IFERROR(__xludf.DUMMYFUNCTION("""COMPUTED_VALUE"""),"CHERRY CREEK 5")</f>
        <v>CHERRY CREEK 5</v>
      </c>
      <c r="C175" s="14" t="str">
        <f>IFERROR(__xludf.DUMMYFUNCTION("""COMPUTED_VALUE"""),"08848")</f>
        <v>08848</v>
      </c>
      <c r="D175" s="13" t="str">
        <f>IFERROR(__xludf.DUMMYFUNCTION("""COMPUTED_VALUE"""),"THUNDER RIDGE MIDDLE SCHOOL")</f>
        <v>THUNDER RIDGE MIDDLE SCHOOL</v>
      </c>
      <c r="E175" s="13" t="str">
        <f>IFERROR(__xludf.DUMMYFUNCTION("""COMPUTED_VALUE"""),"Group 15")</f>
        <v>Group 15</v>
      </c>
      <c r="F175" s="13" t="str">
        <f>IFERROR(__xludf.DUMMYFUNCTION("""COMPUTED_VALUE"""),"2024 - 2025")</f>
        <v>2024 - 2025</v>
      </c>
      <c r="G175" s="13" t="str">
        <f>IFERROR(__xludf.DUMMYFUNCTION("""COMPUTED_VALUE"""),"2023 - 2024")</f>
        <v>2023 - 2024</v>
      </c>
      <c r="H175" s="13">
        <f>IFERROR(__xludf.DUMMYFUNCTION("""COMPUTED_VALUE"""),43.81)</f>
        <v>43.81</v>
      </c>
      <c r="I175" s="15">
        <f>IFERROR(__xludf.DUMMYFUNCTION("""COMPUTED_VALUE"""),56.19)</f>
        <v>56.19</v>
      </c>
    </row>
    <row r="176">
      <c r="A176" s="13" t="str">
        <f>IFERROR(__xludf.DUMMYFUNCTION("""COMPUTED_VALUE"""),"0130")</f>
        <v>0130</v>
      </c>
      <c r="B176" s="13" t="str">
        <f>IFERROR(__xludf.DUMMYFUNCTION("""COMPUTED_VALUE"""),"CHERRY CREEK 5")</f>
        <v>CHERRY CREEK 5</v>
      </c>
      <c r="C176" s="14" t="str">
        <f>IFERROR(__xludf.DUMMYFUNCTION("""COMPUTED_VALUE"""),"06820")</f>
        <v>06820</v>
      </c>
      <c r="D176" s="13" t="str">
        <f>IFERROR(__xludf.DUMMYFUNCTION("""COMPUTED_VALUE"""),"PEAKVIEW ELEMENTARY SCHOOL")</f>
        <v>PEAKVIEW ELEMENTARY SCHOOL</v>
      </c>
      <c r="E176" s="13" t="str">
        <f>IFERROR(__xludf.DUMMYFUNCTION("""COMPUTED_VALUE"""),"Group 16")</f>
        <v>Group 16</v>
      </c>
      <c r="F176" s="13" t="str">
        <f>IFERROR(__xludf.DUMMYFUNCTION("""COMPUTED_VALUE"""),"2024 - 2025")</f>
        <v>2024 - 2025</v>
      </c>
      <c r="G176" s="13" t="str">
        <f>IFERROR(__xludf.DUMMYFUNCTION("""COMPUTED_VALUE"""),"2023 - 2024")</f>
        <v>2023 - 2024</v>
      </c>
      <c r="H176" s="13">
        <f>IFERROR(__xludf.DUMMYFUNCTION("""COMPUTED_VALUE"""),47.54)</f>
        <v>47.54</v>
      </c>
      <c r="I176" s="15">
        <f>IFERROR(__xludf.DUMMYFUNCTION("""COMPUTED_VALUE"""),52.46)</f>
        <v>52.46</v>
      </c>
    </row>
    <row r="177">
      <c r="A177" s="13" t="str">
        <f>IFERROR(__xludf.DUMMYFUNCTION("""COMPUTED_VALUE"""),"0130")</f>
        <v>0130</v>
      </c>
      <c r="B177" s="13" t="str">
        <f>IFERROR(__xludf.DUMMYFUNCTION("""COMPUTED_VALUE"""),"CHERRY CREEK 5")</f>
        <v>CHERRY CREEK 5</v>
      </c>
      <c r="C177" s="14" t="str">
        <f>IFERROR(__xludf.DUMMYFUNCTION("""COMPUTED_VALUE"""),"00036")</f>
        <v>00036</v>
      </c>
      <c r="D177" s="13" t="str">
        <f>IFERROR(__xludf.DUMMYFUNCTION("""COMPUTED_VALUE"""),"Cherry Creek Expulsion Program")</f>
        <v>Cherry Creek Expulsion Program</v>
      </c>
      <c r="E177" s="13" t="str">
        <f>IFERROR(__xludf.DUMMYFUNCTION("""COMPUTED_VALUE"""),"Group 16")</f>
        <v>Group 16</v>
      </c>
      <c r="F177" s="13" t="str">
        <f>IFERROR(__xludf.DUMMYFUNCTION("""COMPUTED_VALUE"""),"2024 - 2025")</f>
        <v>2024 - 2025</v>
      </c>
      <c r="G177" s="13" t="str">
        <f>IFERROR(__xludf.DUMMYFUNCTION("""COMPUTED_VALUE"""),"2023 - 2024")</f>
        <v>2023 - 2024</v>
      </c>
      <c r="H177" s="13">
        <f>IFERROR(__xludf.DUMMYFUNCTION("""COMPUTED_VALUE"""),47.54)</f>
        <v>47.54</v>
      </c>
      <c r="I177" s="15">
        <f>IFERROR(__xludf.DUMMYFUNCTION("""COMPUTED_VALUE"""),52.46)</f>
        <v>52.46</v>
      </c>
    </row>
    <row r="178">
      <c r="A178" s="13" t="str">
        <f>IFERROR(__xludf.DUMMYFUNCTION("""COMPUTED_VALUE"""),"0130")</f>
        <v>0130</v>
      </c>
      <c r="B178" s="13" t="str">
        <f>IFERROR(__xludf.DUMMYFUNCTION("""COMPUTED_VALUE"""),"CHERRY CREEK 5")</f>
        <v>CHERRY CREEK 5</v>
      </c>
      <c r="C178" s="14" t="str">
        <f>IFERROR(__xludf.DUMMYFUNCTION("""COMPUTED_VALUE"""),"00242")</f>
        <v>00242</v>
      </c>
      <c r="D178" s="13" t="str">
        <f>IFERROR(__xludf.DUMMYFUNCTION("""COMPUTED_VALUE"""),"ANTELOPE RIDGE ELEMENTARY SCHOOL")</f>
        <v>ANTELOPE RIDGE ELEMENTARY SCHOOL</v>
      </c>
      <c r="E178" s="13" t="str">
        <f>IFERROR(__xludf.DUMMYFUNCTION("""COMPUTED_VALUE"""),"Group 17")</f>
        <v>Group 17</v>
      </c>
      <c r="F178" s="13" t="str">
        <f>IFERROR(__xludf.DUMMYFUNCTION("""COMPUTED_VALUE"""),"2024 - 2025")</f>
        <v>2024 - 2025</v>
      </c>
      <c r="G178" s="13" t="str">
        <f>IFERROR(__xludf.DUMMYFUNCTION("""COMPUTED_VALUE"""),"2023 - 2024")</f>
        <v>2023 - 2024</v>
      </c>
      <c r="H178" s="13">
        <f>IFERROR(__xludf.DUMMYFUNCTION("""COMPUTED_VALUE"""),59.31)</f>
        <v>59.31</v>
      </c>
      <c r="I178" s="15">
        <f>IFERROR(__xludf.DUMMYFUNCTION("""COMPUTED_VALUE"""),40.69)</f>
        <v>40.69</v>
      </c>
    </row>
    <row r="179">
      <c r="A179" s="13" t="str">
        <f>IFERROR(__xludf.DUMMYFUNCTION("""COMPUTED_VALUE"""),"0130")</f>
        <v>0130</v>
      </c>
      <c r="B179" s="13" t="str">
        <f>IFERROR(__xludf.DUMMYFUNCTION("""COMPUTED_VALUE"""),"CHERRY CREEK 5")</f>
        <v>CHERRY CREEK 5</v>
      </c>
      <c r="C179" s="14" t="str">
        <f>IFERROR(__xludf.DUMMYFUNCTION("""COMPUTED_VALUE"""),"05934")</f>
        <v>05934</v>
      </c>
      <c r="D179" s="13" t="str">
        <f>IFERROR(__xludf.DUMMYFUNCTION("""COMPUTED_VALUE"""),"MISSION VIEJO ELEMENTARY SCHOOL")</f>
        <v>MISSION VIEJO ELEMENTARY SCHOOL</v>
      </c>
      <c r="E179" s="13" t="str">
        <f>IFERROR(__xludf.DUMMYFUNCTION("""COMPUTED_VALUE"""),"Group 17")</f>
        <v>Group 17</v>
      </c>
      <c r="F179" s="13" t="str">
        <f>IFERROR(__xludf.DUMMYFUNCTION("""COMPUTED_VALUE"""),"2024 - 2025")</f>
        <v>2024 - 2025</v>
      </c>
      <c r="G179" s="13" t="str">
        <f>IFERROR(__xludf.DUMMYFUNCTION("""COMPUTED_VALUE"""),"2023 - 2024")</f>
        <v>2023 - 2024</v>
      </c>
      <c r="H179" s="13">
        <f>IFERROR(__xludf.DUMMYFUNCTION("""COMPUTED_VALUE"""),59.31)</f>
        <v>59.31</v>
      </c>
      <c r="I179" s="15">
        <f>IFERROR(__xludf.DUMMYFUNCTION("""COMPUTED_VALUE"""),40.69)</f>
        <v>40.69</v>
      </c>
    </row>
    <row r="180">
      <c r="A180" s="13" t="str">
        <f>IFERROR(__xludf.DUMMYFUNCTION("""COMPUTED_VALUE"""),"0130")</f>
        <v>0130</v>
      </c>
      <c r="B180" s="13" t="str">
        <f>IFERROR(__xludf.DUMMYFUNCTION("""COMPUTED_VALUE"""),"CHERRY CREEK 5")</f>
        <v>CHERRY CREEK 5</v>
      </c>
      <c r="C180" s="14" t="str">
        <f>IFERROR(__xludf.DUMMYFUNCTION("""COMPUTED_VALUE"""),"08394")</f>
        <v>08394</v>
      </c>
      <c r="D180" s="13" t="str">
        <f>IFERROR(__xludf.DUMMYFUNCTION("""COMPUTED_VALUE"""),"SUNRISE ELEMENTARY SCHOOL")</f>
        <v>SUNRISE ELEMENTARY SCHOOL</v>
      </c>
      <c r="E180" s="13" t="str">
        <f>IFERROR(__xludf.DUMMYFUNCTION("""COMPUTED_VALUE"""),"Group 18")</f>
        <v>Group 18</v>
      </c>
      <c r="F180" s="13" t="str">
        <f>IFERROR(__xludf.DUMMYFUNCTION("""COMPUTED_VALUE"""),"2024 - 2025")</f>
        <v>2024 - 2025</v>
      </c>
      <c r="G180" s="13" t="str">
        <f>IFERROR(__xludf.DUMMYFUNCTION("""COMPUTED_VALUE"""),"2023 - 2024")</f>
        <v>2023 - 2024</v>
      </c>
      <c r="H180" s="13">
        <f>IFERROR(__xludf.DUMMYFUNCTION("""COMPUTED_VALUE"""),72.61)</f>
        <v>72.61</v>
      </c>
      <c r="I180" s="15">
        <f>IFERROR(__xludf.DUMMYFUNCTION("""COMPUTED_VALUE"""),27.39)</f>
        <v>27.39</v>
      </c>
    </row>
    <row r="181">
      <c r="A181" s="13" t="str">
        <f>IFERROR(__xludf.DUMMYFUNCTION("""COMPUTED_VALUE"""),"0130")</f>
        <v>0130</v>
      </c>
      <c r="B181" s="13" t="str">
        <f>IFERROR(__xludf.DUMMYFUNCTION("""COMPUTED_VALUE"""),"CHERRY CREEK 5")</f>
        <v>CHERRY CREEK 5</v>
      </c>
      <c r="C181" s="14" t="str">
        <f>IFERROR(__xludf.DUMMYFUNCTION("""COMPUTED_VALUE"""),"01614")</f>
        <v>01614</v>
      </c>
      <c r="D181" s="13" t="str">
        <f>IFERROR(__xludf.DUMMYFUNCTION("""COMPUTED_VALUE"""),"CIMARRON ELEMENTARY SCHOOL")</f>
        <v>CIMARRON ELEMENTARY SCHOOL</v>
      </c>
      <c r="E181" s="13" t="str">
        <f>IFERROR(__xludf.DUMMYFUNCTION("""COMPUTED_VALUE"""),"Group 19")</f>
        <v>Group 19</v>
      </c>
      <c r="F181" s="13" t="str">
        <f>IFERROR(__xludf.DUMMYFUNCTION("""COMPUTED_VALUE"""),"2024 - 2025")</f>
        <v>2024 - 2025</v>
      </c>
      <c r="G181" s="13" t="str">
        <f>IFERROR(__xludf.DUMMYFUNCTION("""COMPUTED_VALUE"""),"2023 - 2024")</f>
        <v>2023 - 2024</v>
      </c>
      <c r="H181" s="13">
        <f>IFERROR(__xludf.DUMMYFUNCTION("""COMPUTED_VALUE"""),77.55)</f>
        <v>77.55</v>
      </c>
      <c r="I181" s="15">
        <f>IFERROR(__xludf.DUMMYFUNCTION("""COMPUTED_VALUE"""),22.450000000000003)</f>
        <v>22.45</v>
      </c>
    </row>
    <row r="182">
      <c r="A182" s="13" t="str">
        <f>IFERROR(__xludf.DUMMYFUNCTION("""COMPUTED_VALUE"""),"0130")</f>
        <v>0130</v>
      </c>
      <c r="B182" s="13" t="str">
        <f>IFERROR(__xludf.DUMMYFUNCTION("""COMPUTED_VALUE"""),"CHERRY CREEK 5")</f>
        <v>CHERRY CREEK 5</v>
      </c>
      <c r="C182" s="14" t="str">
        <f>IFERROR(__xludf.DUMMYFUNCTION("""COMPUTED_VALUE"""),"05744")</f>
        <v>05744</v>
      </c>
      <c r="D182" s="13" t="str">
        <f>IFERROR(__xludf.DUMMYFUNCTION("""COMPUTED_VALUE"""),"MEADOW POINT ELEMENTARY SCHOOL")</f>
        <v>MEADOW POINT ELEMENTARY SCHOOL</v>
      </c>
      <c r="E182" s="13" t="str">
        <f>IFERROR(__xludf.DUMMYFUNCTION("""COMPUTED_VALUE"""),"Group 19")</f>
        <v>Group 19</v>
      </c>
      <c r="F182" s="13" t="str">
        <f>IFERROR(__xludf.DUMMYFUNCTION("""COMPUTED_VALUE"""),"2024 - 2025")</f>
        <v>2024 - 2025</v>
      </c>
      <c r="G182" s="13" t="str">
        <f>IFERROR(__xludf.DUMMYFUNCTION("""COMPUTED_VALUE"""),"2023 - 2024")</f>
        <v>2023 - 2024</v>
      </c>
      <c r="H182" s="13">
        <f>IFERROR(__xludf.DUMMYFUNCTION("""COMPUTED_VALUE"""),77.55)</f>
        <v>77.55</v>
      </c>
      <c r="I182" s="15">
        <f>IFERROR(__xludf.DUMMYFUNCTION("""COMPUTED_VALUE"""),22.450000000000003)</f>
        <v>22.45</v>
      </c>
    </row>
    <row r="183">
      <c r="A183" s="13" t="str">
        <f>IFERROR(__xludf.DUMMYFUNCTION("""COMPUTED_VALUE"""),"0130")</f>
        <v>0130</v>
      </c>
      <c r="B183" s="13" t="str">
        <f>IFERROR(__xludf.DUMMYFUNCTION("""COMPUTED_VALUE"""),"CHERRY CREEK 5")</f>
        <v>CHERRY CREEK 5</v>
      </c>
      <c r="C183" s="14" t="str">
        <f>IFERROR(__xludf.DUMMYFUNCTION("""COMPUTED_VALUE"""),"00348")</f>
        <v>00348</v>
      </c>
      <c r="D183" s="13" t="str">
        <f>IFERROR(__xludf.DUMMYFUNCTION("""COMPUTED_VALUE"""),"ARROWHEAD ELEMENTARY SCHOOL")</f>
        <v>ARROWHEAD ELEMENTARY SCHOOL</v>
      </c>
      <c r="E183" s="13" t="str">
        <f>IFERROR(__xludf.DUMMYFUNCTION("""COMPUTED_VALUE"""),"Group 2")</f>
        <v>Group 2</v>
      </c>
      <c r="F183" s="13" t="str">
        <f>IFERROR(__xludf.DUMMYFUNCTION("""COMPUTED_VALUE"""),"2024 - 2025")</f>
        <v>2024 - 2025</v>
      </c>
      <c r="G183" s="13" t="str">
        <f>IFERROR(__xludf.DUMMYFUNCTION("""COMPUTED_VALUE"""),"2023 - 2024")</f>
        <v>2023 - 2024</v>
      </c>
      <c r="H183" s="13">
        <f>IFERROR(__xludf.DUMMYFUNCTION("""COMPUTED_VALUE"""),66.98)</f>
        <v>66.98</v>
      </c>
      <c r="I183" s="15">
        <f>IFERROR(__xludf.DUMMYFUNCTION("""COMPUTED_VALUE"""),33.019999999999996)</f>
        <v>33.02</v>
      </c>
    </row>
    <row r="184">
      <c r="A184" s="13" t="str">
        <f>IFERROR(__xludf.DUMMYFUNCTION("""COMPUTED_VALUE"""),"0130")</f>
        <v>0130</v>
      </c>
      <c r="B184" s="13" t="str">
        <f>IFERROR(__xludf.DUMMYFUNCTION("""COMPUTED_VALUE"""),"CHERRY CREEK 5")</f>
        <v>CHERRY CREEK 5</v>
      </c>
      <c r="C184" s="14" t="str">
        <f>IFERROR(__xludf.DUMMYFUNCTION("""COMPUTED_VALUE"""),"01970")</f>
        <v>01970</v>
      </c>
      <c r="D184" s="13" t="str">
        <f>IFERROR(__xludf.DUMMYFUNCTION("""COMPUTED_VALUE"""),"CREEKSIDE ELEMENTARY SCHOOL")</f>
        <v>CREEKSIDE ELEMENTARY SCHOOL</v>
      </c>
      <c r="E184" s="13" t="str">
        <f>IFERROR(__xludf.DUMMYFUNCTION("""COMPUTED_VALUE"""),"Group 20")</f>
        <v>Group 20</v>
      </c>
      <c r="F184" s="13" t="str">
        <f>IFERROR(__xludf.DUMMYFUNCTION("""COMPUTED_VALUE"""),"2024 - 2025")</f>
        <v>2024 - 2025</v>
      </c>
      <c r="G184" s="13" t="str">
        <f>IFERROR(__xludf.DUMMYFUNCTION("""COMPUTED_VALUE"""),"2023 - 2024")</f>
        <v>2023 - 2024</v>
      </c>
      <c r="H184" s="13">
        <f>IFERROR(__xludf.DUMMYFUNCTION("""COMPUTED_VALUE"""),40.21)</f>
        <v>40.21</v>
      </c>
      <c r="I184" s="15">
        <f>IFERROR(__xludf.DUMMYFUNCTION("""COMPUTED_VALUE"""),59.79)</f>
        <v>59.79</v>
      </c>
    </row>
    <row r="185">
      <c r="A185" s="13" t="str">
        <f>IFERROR(__xludf.DUMMYFUNCTION("""COMPUTED_VALUE"""),"0130")</f>
        <v>0130</v>
      </c>
      <c r="B185" s="13" t="str">
        <f>IFERROR(__xludf.DUMMYFUNCTION("""COMPUTED_VALUE"""),"CHERRY CREEK 5")</f>
        <v>CHERRY CREEK 5</v>
      </c>
      <c r="C185" s="14" t="str">
        <f>IFERROR(__xludf.DUMMYFUNCTION("""COMPUTED_VALUE"""),"00018")</f>
        <v>00018</v>
      </c>
      <c r="D185" s="13" t="str">
        <f>IFERROR(__xludf.DUMMYFUNCTION("""COMPUTED_VALUE"""),"LIBERTY MIDDLE SCHOOL")</f>
        <v>LIBERTY MIDDLE SCHOOL</v>
      </c>
      <c r="E185" s="13" t="str">
        <f>IFERROR(__xludf.DUMMYFUNCTION("""COMPUTED_VALUE"""),"Group 21")</f>
        <v>Group 21</v>
      </c>
      <c r="F185" s="13" t="str">
        <f>IFERROR(__xludf.DUMMYFUNCTION("""COMPUTED_VALUE"""),"2024 - 2025")</f>
        <v>2024 - 2025</v>
      </c>
      <c r="G185" s="13" t="str">
        <f>IFERROR(__xludf.DUMMYFUNCTION("""COMPUTED_VALUE"""),"2023 - 2024")</f>
        <v>2023 - 2024</v>
      </c>
      <c r="H185" s="13">
        <f>IFERROR(__xludf.DUMMYFUNCTION("""COMPUTED_VALUE"""),52.7)</f>
        <v>52.7</v>
      </c>
      <c r="I185" s="15">
        <f>IFERROR(__xludf.DUMMYFUNCTION("""COMPUTED_VALUE"""),47.3)</f>
        <v>47.3</v>
      </c>
    </row>
    <row r="186">
      <c r="A186" s="13" t="str">
        <f>IFERROR(__xludf.DUMMYFUNCTION("""COMPUTED_VALUE"""),"0130")</f>
        <v>0130</v>
      </c>
      <c r="B186" s="13" t="str">
        <f>IFERROR(__xludf.DUMMYFUNCTION("""COMPUTED_VALUE"""),"CHERRY CREEK 5")</f>
        <v>CHERRY CREEK 5</v>
      </c>
      <c r="C186" s="14" t="str">
        <f>IFERROR(__xludf.DUMMYFUNCTION("""COMPUTED_VALUE"""),"01273")</f>
        <v>01273</v>
      </c>
      <c r="D186" s="13" t="str">
        <f>IFERROR(__xludf.DUMMYFUNCTION("""COMPUTED_VALUE"""),"CANYON CREEK ELEMENTARY SCHOOL")</f>
        <v>CANYON CREEK ELEMENTARY SCHOOL</v>
      </c>
      <c r="E186" s="13" t="str">
        <f>IFERROR(__xludf.DUMMYFUNCTION("""COMPUTED_VALUE"""),"Group 21")</f>
        <v>Group 21</v>
      </c>
      <c r="F186" s="13" t="str">
        <f>IFERROR(__xludf.DUMMYFUNCTION("""COMPUTED_VALUE"""),"2024 - 2025")</f>
        <v>2024 - 2025</v>
      </c>
      <c r="G186" s="13" t="str">
        <f>IFERROR(__xludf.DUMMYFUNCTION("""COMPUTED_VALUE"""),"2023 - 2024")</f>
        <v>2023 - 2024</v>
      </c>
      <c r="H186" s="13">
        <f>IFERROR(__xludf.DUMMYFUNCTION("""COMPUTED_VALUE"""),52.7)</f>
        <v>52.7</v>
      </c>
      <c r="I186" s="15">
        <f>IFERROR(__xludf.DUMMYFUNCTION("""COMPUTED_VALUE"""),47.3)</f>
        <v>47.3</v>
      </c>
    </row>
    <row r="187">
      <c r="A187" s="13" t="str">
        <f>IFERROR(__xludf.DUMMYFUNCTION("""COMPUTED_VALUE"""),"0130")</f>
        <v>0130</v>
      </c>
      <c r="B187" s="13" t="str">
        <f>IFERROR(__xludf.DUMMYFUNCTION("""COMPUTED_VALUE"""),"CHERRY CREEK 5")</f>
        <v>CHERRY CREEK 5</v>
      </c>
      <c r="C187" s="14" t="str">
        <f>IFERROR(__xludf.DUMMYFUNCTION("""COMPUTED_VALUE"""),"02897")</f>
        <v>02897</v>
      </c>
      <c r="D187" s="13" t="str">
        <f>IFERROR(__xludf.DUMMYFUNCTION("""COMPUTED_VALUE"""),"FALCON CREEK MIDDLE SCHOOL")</f>
        <v>FALCON CREEK MIDDLE SCHOOL</v>
      </c>
      <c r="E187" s="13" t="str">
        <f>IFERROR(__xludf.DUMMYFUNCTION("""COMPUTED_VALUE"""),"Group 21")</f>
        <v>Group 21</v>
      </c>
      <c r="F187" s="13" t="str">
        <f>IFERROR(__xludf.DUMMYFUNCTION("""COMPUTED_VALUE"""),"2024 - 2025")</f>
        <v>2024 - 2025</v>
      </c>
      <c r="G187" s="13" t="str">
        <f>IFERROR(__xludf.DUMMYFUNCTION("""COMPUTED_VALUE"""),"2023 - 2024")</f>
        <v>2023 - 2024</v>
      </c>
      <c r="H187" s="13">
        <f>IFERROR(__xludf.DUMMYFUNCTION("""COMPUTED_VALUE"""),52.7)</f>
        <v>52.7</v>
      </c>
      <c r="I187" s="15">
        <f>IFERROR(__xludf.DUMMYFUNCTION("""COMPUTED_VALUE"""),47.3)</f>
        <v>47.3</v>
      </c>
    </row>
    <row r="188">
      <c r="A188" s="13" t="str">
        <f>IFERROR(__xludf.DUMMYFUNCTION("""COMPUTED_VALUE"""),"0130")</f>
        <v>0130</v>
      </c>
      <c r="B188" s="13" t="str">
        <f>IFERROR(__xludf.DUMMYFUNCTION("""COMPUTED_VALUE"""),"CHERRY CREEK 5")</f>
        <v>CHERRY CREEK 5</v>
      </c>
      <c r="C188" s="14" t="str">
        <f>IFERROR(__xludf.DUMMYFUNCTION("""COMPUTED_VALUE"""),"07277")</f>
        <v>07277</v>
      </c>
      <c r="D188" s="13" t="str">
        <f>IFERROR(__xludf.DUMMYFUNCTION("""COMPUTED_VALUE"""),"RED HAWK RIDGE ELEMENTARY SCHOOL")</f>
        <v>RED HAWK RIDGE ELEMENTARY SCHOOL</v>
      </c>
      <c r="E188" s="13" t="str">
        <f>IFERROR(__xludf.DUMMYFUNCTION("""COMPUTED_VALUE"""),"Group 21")</f>
        <v>Group 21</v>
      </c>
      <c r="F188" s="13" t="str">
        <f>IFERROR(__xludf.DUMMYFUNCTION("""COMPUTED_VALUE"""),"2024 - 2025")</f>
        <v>2024 - 2025</v>
      </c>
      <c r="G188" s="13" t="str">
        <f>IFERROR(__xludf.DUMMYFUNCTION("""COMPUTED_VALUE"""),"2023 - 2024")</f>
        <v>2023 - 2024</v>
      </c>
      <c r="H188" s="13">
        <f>IFERROR(__xludf.DUMMYFUNCTION("""COMPUTED_VALUE"""),52.7)</f>
        <v>52.7</v>
      </c>
      <c r="I188" s="15">
        <f>IFERROR(__xludf.DUMMYFUNCTION("""COMPUTED_VALUE"""),47.3)</f>
        <v>47.3</v>
      </c>
    </row>
    <row r="189">
      <c r="A189" s="13" t="str">
        <f>IFERROR(__xludf.DUMMYFUNCTION("""COMPUTED_VALUE"""),"0130")</f>
        <v>0130</v>
      </c>
      <c r="B189" s="13" t="str">
        <f>IFERROR(__xludf.DUMMYFUNCTION("""COMPUTED_VALUE"""),"CHERRY CREEK 5")</f>
        <v>CHERRY CREEK 5</v>
      </c>
      <c r="C189" s="14" t="str">
        <f>IFERROR(__xludf.DUMMYFUNCTION("""COMPUTED_VALUE"""),"02653")</f>
        <v>02653</v>
      </c>
      <c r="D189" s="13" t="str">
        <f>IFERROR(__xludf.DUMMYFUNCTION("""COMPUTED_VALUE"""),"ENDEAVOR ACADEMY")</f>
        <v>ENDEAVOR ACADEMY</v>
      </c>
      <c r="E189" s="13" t="str">
        <f>IFERROR(__xludf.DUMMYFUNCTION("""COMPUTED_VALUE"""),"Group 21")</f>
        <v>Group 21</v>
      </c>
      <c r="F189" s="13" t="str">
        <f>IFERROR(__xludf.DUMMYFUNCTION("""COMPUTED_VALUE"""),"2024 - 2025")</f>
        <v>2024 - 2025</v>
      </c>
      <c r="G189" s="13" t="str">
        <f>IFERROR(__xludf.DUMMYFUNCTION("""COMPUTED_VALUE"""),"2023 - 2024")</f>
        <v>2023 - 2024</v>
      </c>
      <c r="H189" s="13">
        <f>IFERROR(__xludf.DUMMYFUNCTION("""COMPUTED_VALUE"""),52.7)</f>
        <v>52.7</v>
      </c>
      <c r="I189" s="15">
        <f>IFERROR(__xludf.DUMMYFUNCTION("""COMPUTED_VALUE"""),47.3)</f>
        <v>47.3</v>
      </c>
    </row>
    <row r="190">
      <c r="A190" s="13" t="str">
        <f>IFERROR(__xludf.DUMMYFUNCTION("""COMPUTED_VALUE"""),"0130")</f>
        <v>0130</v>
      </c>
      <c r="B190" s="13" t="str">
        <f>IFERROR(__xludf.DUMMYFUNCTION("""COMPUTED_VALUE"""),"CHERRY CREEK 5")</f>
        <v>CHERRY CREEK 5</v>
      </c>
      <c r="C190" s="14" t="str">
        <f>IFERROR(__xludf.DUMMYFUNCTION("""COMPUTED_VALUE"""),"07116")</f>
        <v>07116</v>
      </c>
      <c r="D190" s="13" t="str">
        <f>IFERROR(__xludf.DUMMYFUNCTION("""COMPUTED_VALUE"""),"PONDEROSA ELEMENTARY SCHOOL")</f>
        <v>PONDEROSA ELEMENTARY SCHOOL</v>
      </c>
      <c r="E190" s="13" t="str">
        <f>IFERROR(__xludf.DUMMYFUNCTION("""COMPUTED_VALUE"""),"Group 3")</f>
        <v>Group 3</v>
      </c>
      <c r="F190" s="13" t="str">
        <f>IFERROR(__xludf.DUMMYFUNCTION("""COMPUTED_VALUE"""),"2024 - 2025")</f>
        <v>2024 - 2025</v>
      </c>
      <c r="G190" s="13" t="str">
        <f>IFERROR(__xludf.DUMMYFUNCTION("""COMPUTED_VALUE"""),"2023 - 2024")</f>
        <v>2023 - 2024</v>
      </c>
      <c r="H190" s="13">
        <f>IFERROR(__xludf.DUMMYFUNCTION("""COMPUTED_VALUE"""),87.38)</f>
        <v>87.38</v>
      </c>
      <c r="I190" s="15">
        <f>IFERROR(__xludf.DUMMYFUNCTION("""COMPUTED_VALUE"""),12.620000000000005)</f>
        <v>12.62</v>
      </c>
    </row>
    <row r="191">
      <c r="A191" s="13" t="str">
        <f>IFERROR(__xludf.DUMMYFUNCTION("""COMPUTED_VALUE"""),"0130")</f>
        <v>0130</v>
      </c>
      <c r="B191" s="13" t="str">
        <f>IFERROR(__xludf.DUMMYFUNCTION("""COMPUTED_VALUE"""),"CHERRY CREEK 5")</f>
        <v>CHERRY CREEK 5</v>
      </c>
      <c r="C191" s="14" t="str">
        <f>IFERROR(__xludf.DUMMYFUNCTION("""COMPUTED_VALUE"""),"02428")</f>
        <v>02428</v>
      </c>
      <c r="D191" s="13" t="str">
        <f>IFERROR(__xludf.DUMMYFUNCTION("""COMPUTED_VALUE"""),"EASTRIDGE COMMUNITY ELEMENTARY SCHOOL")</f>
        <v>EASTRIDGE COMMUNITY ELEMENTARY SCHOOL</v>
      </c>
      <c r="E191" s="13" t="str">
        <f>IFERROR(__xludf.DUMMYFUNCTION("""COMPUTED_VALUE"""),"Group 4")</f>
        <v>Group 4</v>
      </c>
      <c r="F191" s="13" t="str">
        <f>IFERROR(__xludf.DUMMYFUNCTION("""COMPUTED_VALUE"""),"2024 - 2025")</f>
        <v>2024 - 2025</v>
      </c>
      <c r="G191" s="13" t="str">
        <f>IFERROR(__xludf.DUMMYFUNCTION("""COMPUTED_VALUE"""),"2023 - 2024")</f>
        <v>2023 - 2024</v>
      </c>
      <c r="H191" s="13">
        <f>IFERROR(__xludf.DUMMYFUNCTION("""COMPUTED_VALUE"""),91.26)</f>
        <v>91.26</v>
      </c>
      <c r="I191" s="15">
        <f>IFERROR(__xludf.DUMMYFUNCTION("""COMPUTED_VALUE"""),8.739999999999995)</f>
        <v>8.74</v>
      </c>
    </row>
    <row r="192">
      <c r="A192" s="13" t="str">
        <f>IFERROR(__xludf.DUMMYFUNCTION("""COMPUTED_VALUE"""),"0130")</f>
        <v>0130</v>
      </c>
      <c r="B192" s="13" t="str">
        <f>IFERROR(__xludf.DUMMYFUNCTION("""COMPUTED_VALUE"""),"CHERRY CREEK 5")</f>
        <v>CHERRY CREEK 5</v>
      </c>
      <c r="C192" s="14" t="str">
        <f>IFERROR(__xludf.DUMMYFUNCTION("""COMPUTED_VALUE"""),"09108")</f>
        <v>09108</v>
      </c>
      <c r="D192" s="13" t="str">
        <f>IFERROR(__xludf.DUMMYFUNCTION("""COMPUTED_VALUE"""),"VILLAGE EAST COMMUNITY ELEMENTARY SCHOOL")</f>
        <v>VILLAGE EAST COMMUNITY ELEMENTARY SCHOOL</v>
      </c>
      <c r="E192" s="13" t="str">
        <f>IFERROR(__xludf.DUMMYFUNCTION("""COMPUTED_VALUE"""),"Group 5")</f>
        <v>Group 5</v>
      </c>
      <c r="F192" s="13" t="str">
        <f>IFERROR(__xludf.DUMMYFUNCTION("""COMPUTED_VALUE"""),"2024 - 2025")</f>
        <v>2024 - 2025</v>
      </c>
      <c r="G192" s="13" t="str">
        <f>IFERROR(__xludf.DUMMYFUNCTION("""COMPUTED_VALUE"""),"2023 - 2024")</f>
        <v>2023 - 2024</v>
      </c>
      <c r="H192" s="13">
        <f>IFERROR(__xludf.DUMMYFUNCTION("""COMPUTED_VALUE"""),88.48)</f>
        <v>88.48</v>
      </c>
      <c r="I192" s="15">
        <f>IFERROR(__xludf.DUMMYFUNCTION("""COMPUTED_VALUE"""),11.519999999999996)</f>
        <v>11.52</v>
      </c>
    </row>
    <row r="193">
      <c r="A193" s="13" t="str">
        <f>IFERROR(__xludf.DUMMYFUNCTION("""COMPUTED_VALUE"""),"0130")</f>
        <v>0130</v>
      </c>
      <c r="B193" s="13" t="str">
        <f>IFERROR(__xludf.DUMMYFUNCTION("""COMPUTED_VALUE"""),"CHERRY CREEK 5")</f>
        <v>CHERRY CREEK 5</v>
      </c>
      <c r="C193" s="14" t="str">
        <f>IFERROR(__xludf.DUMMYFUNCTION("""COMPUTED_VALUE"""),"02094")</f>
        <v>02094</v>
      </c>
      <c r="D193" s="13" t="str">
        <f>IFERROR(__xludf.DUMMYFUNCTION("""COMPUTED_VALUE"""),"DAKOTA VALLEY ELEMENTARY SCHOOL")</f>
        <v>DAKOTA VALLEY ELEMENTARY SCHOOL</v>
      </c>
      <c r="E193" s="13" t="str">
        <f>IFERROR(__xludf.DUMMYFUNCTION("""COMPUTED_VALUE"""),"Group 6")</f>
        <v>Group 6</v>
      </c>
      <c r="F193" s="13" t="str">
        <f>IFERROR(__xludf.DUMMYFUNCTION("""COMPUTED_VALUE"""),"2024 - 2025")</f>
        <v>2024 - 2025</v>
      </c>
      <c r="G193" s="13" t="str">
        <f>IFERROR(__xludf.DUMMYFUNCTION("""COMPUTED_VALUE"""),"2023 - 2024")</f>
        <v>2023 - 2024</v>
      </c>
      <c r="H193" s="13">
        <f>IFERROR(__xludf.DUMMYFUNCTION("""COMPUTED_VALUE"""),51.41)</f>
        <v>51.41</v>
      </c>
      <c r="I193" s="15">
        <f>IFERROR(__xludf.DUMMYFUNCTION("""COMPUTED_VALUE"""),48.59)</f>
        <v>48.59</v>
      </c>
    </row>
    <row r="194">
      <c r="A194" s="13" t="str">
        <f>IFERROR(__xludf.DUMMYFUNCTION("""COMPUTED_VALUE"""),"0130")</f>
        <v>0130</v>
      </c>
      <c r="B194" s="13" t="str">
        <f>IFERROR(__xludf.DUMMYFUNCTION("""COMPUTED_VALUE"""),"CHERRY CREEK 5")</f>
        <v>CHERRY CREEK 5</v>
      </c>
      <c r="C194" s="14" t="str">
        <f>IFERROR(__xludf.DUMMYFUNCTION("""COMPUTED_VALUE"""),"04062")</f>
        <v>04062</v>
      </c>
      <c r="D194" s="13" t="str">
        <f>IFERROR(__xludf.DUMMYFUNCTION("""COMPUTED_VALUE"""),"HOLLY HILLS ELEMENTARY SCHOOL")</f>
        <v>HOLLY HILLS ELEMENTARY SCHOOL</v>
      </c>
      <c r="E194" s="13" t="str">
        <f>IFERROR(__xludf.DUMMYFUNCTION("""COMPUTED_VALUE"""),"Group 7")</f>
        <v>Group 7</v>
      </c>
      <c r="F194" s="13" t="str">
        <f>IFERROR(__xludf.DUMMYFUNCTION("""COMPUTED_VALUE"""),"2024 - 2025")</f>
        <v>2024 - 2025</v>
      </c>
      <c r="G194" s="13" t="str">
        <f>IFERROR(__xludf.DUMMYFUNCTION("""COMPUTED_VALUE"""),"2023 - 2024")</f>
        <v>2023 - 2024</v>
      </c>
      <c r="H194" s="13">
        <f>IFERROR(__xludf.DUMMYFUNCTION("""COMPUTED_VALUE"""),75.6)</f>
        <v>75.6</v>
      </c>
      <c r="I194" s="15">
        <f>IFERROR(__xludf.DUMMYFUNCTION("""COMPUTED_VALUE"""),24.400000000000006)</f>
        <v>24.4</v>
      </c>
    </row>
    <row r="195">
      <c r="A195" s="13" t="str">
        <f>IFERROR(__xludf.DUMMYFUNCTION("""COMPUTED_VALUE"""),"0130")</f>
        <v>0130</v>
      </c>
      <c r="B195" s="13" t="str">
        <f>IFERROR(__xludf.DUMMYFUNCTION("""COMPUTED_VALUE"""),"CHERRY CREEK 5")</f>
        <v>CHERRY CREEK 5</v>
      </c>
      <c r="C195" s="14" t="str">
        <f>IFERROR(__xludf.DUMMYFUNCTION("""COMPUTED_VALUE"""),"03988")</f>
        <v>03988</v>
      </c>
      <c r="D195" s="13" t="str">
        <f>IFERROR(__xludf.DUMMYFUNCTION("""COMPUTED_VALUE"""),"HIGHLINE COMMUNITY ELEMENTARY SCHOOL")</f>
        <v>HIGHLINE COMMUNITY ELEMENTARY SCHOOL</v>
      </c>
      <c r="E195" s="13" t="str">
        <f>IFERROR(__xludf.DUMMYFUNCTION("""COMPUTED_VALUE"""),"Group 8")</f>
        <v>Group 8</v>
      </c>
      <c r="F195" s="13" t="str">
        <f>IFERROR(__xludf.DUMMYFUNCTION("""COMPUTED_VALUE"""),"2024 - 2025")</f>
        <v>2024 - 2025</v>
      </c>
      <c r="G195" s="13" t="str">
        <f>IFERROR(__xludf.DUMMYFUNCTION("""COMPUTED_VALUE"""),"2023 - 2024")</f>
        <v>2023 - 2024</v>
      </c>
      <c r="H195" s="13">
        <f>IFERROR(__xludf.DUMMYFUNCTION("""COMPUTED_VALUE"""),83.17)</f>
        <v>83.17</v>
      </c>
      <c r="I195" s="15">
        <f>IFERROR(__xludf.DUMMYFUNCTION("""COMPUTED_VALUE"""),16.83)</f>
        <v>16.83</v>
      </c>
    </row>
    <row r="196">
      <c r="A196" s="13" t="str">
        <f>IFERROR(__xludf.DUMMYFUNCTION("""COMPUTED_VALUE"""),"0130")</f>
        <v>0130</v>
      </c>
      <c r="B196" s="13" t="str">
        <f>IFERROR(__xludf.DUMMYFUNCTION("""COMPUTED_VALUE"""),"CHERRY CREEK 5")</f>
        <v>CHERRY CREEK 5</v>
      </c>
      <c r="C196" s="14" t="str">
        <f>IFERROR(__xludf.DUMMYFUNCTION("""COMPUTED_VALUE"""),"04100")</f>
        <v>04100</v>
      </c>
      <c r="D196" s="13" t="str">
        <f>IFERROR(__xludf.DUMMYFUNCTION("""COMPUTED_VALUE"""),"HORIZON MIDDLE SCHOOL")</f>
        <v>HORIZON MIDDLE SCHOOL</v>
      </c>
      <c r="E196" s="13" t="str">
        <f>IFERROR(__xludf.DUMMYFUNCTION("""COMPUTED_VALUE"""),"Group 9")</f>
        <v>Group 9</v>
      </c>
      <c r="F196" s="13" t="str">
        <f>IFERROR(__xludf.DUMMYFUNCTION("""COMPUTED_VALUE"""),"2024 - 2025")</f>
        <v>2024 - 2025</v>
      </c>
      <c r="G196" s="13" t="str">
        <f>IFERROR(__xludf.DUMMYFUNCTION("""COMPUTED_VALUE"""),"2023 - 2024")</f>
        <v>2023 - 2024</v>
      </c>
      <c r="H196" s="13">
        <f>IFERROR(__xludf.DUMMYFUNCTION("""COMPUTED_VALUE"""),66.45)</f>
        <v>66.45</v>
      </c>
      <c r="I196" s="15">
        <f>IFERROR(__xludf.DUMMYFUNCTION("""COMPUTED_VALUE"""),33.55)</f>
        <v>33.55</v>
      </c>
    </row>
    <row r="197">
      <c r="A197" s="13" t="str">
        <f>IFERROR(__xludf.DUMMYFUNCTION("""COMPUTED_VALUE"""),"0130")</f>
        <v>0130</v>
      </c>
      <c r="B197" s="13" t="str">
        <f>IFERROR(__xludf.DUMMYFUNCTION("""COMPUTED_VALUE"""),"CHERRY CREEK 5")</f>
        <v>CHERRY CREEK 5</v>
      </c>
      <c r="C197" s="14" t="str">
        <f>IFERROR(__xludf.DUMMYFUNCTION("""COMPUTED_VALUE"""),"04975")</f>
        <v>04975</v>
      </c>
      <c r="D197" s="13" t="str">
        <f>IFERROR(__xludf.DUMMYFUNCTION("""COMPUTED_VALUE"""),"LAREDO MIDDLE SCHOOL")</f>
        <v>LAREDO MIDDLE SCHOOL</v>
      </c>
      <c r="E197" s="13" t="str">
        <f>IFERROR(__xludf.DUMMYFUNCTION("""COMPUTED_VALUE"""),"Group 9")</f>
        <v>Group 9</v>
      </c>
      <c r="F197" s="13" t="str">
        <f>IFERROR(__xludf.DUMMYFUNCTION("""COMPUTED_VALUE"""),"2024 - 2025")</f>
        <v>2024 - 2025</v>
      </c>
      <c r="G197" s="13" t="str">
        <f>IFERROR(__xludf.DUMMYFUNCTION("""COMPUTED_VALUE"""),"2023 - 2024")</f>
        <v>2023 - 2024</v>
      </c>
      <c r="H197" s="13">
        <f>IFERROR(__xludf.DUMMYFUNCTION("""COMPUTED_VALUE"""),66.45)</f>
        <v>66.45</v>
      </c>
      <c r="I197" s="15">
        <f>IFERROR(__xludf.DUMMYFUNCTION("""COMPUTED_VALUE"""),33.55)</f>
        <v>33.55</v>
      </c>
    </row>
    <row r="198">
      <c r="A198" s="13" t="str">
        <f>IFERROR(__xludf.DUMMYFUNCTION("""COMPUTED_VALUE"""),"0140")</f>
        <v>0140</v>
      </c>
      <c r="B198" s="13" t="str">
        <f>IFERROR(__xludf.DUMMYFUNCTION("""COMPUTED_VALUE"""),"Littleton School District 6")</f>
        <v>Littleton School District 6</v>
      </c>
      <c r="C198" s="14" t="str">
        <f>IFERROR(__xludf.DUMMYFUNCTION("""COMPUTED_VALUE"""),"02804")</f>
        <v>02804</v>
      </c>
      <c r="D198" s="13" t="str">
        <f>IFERROR(__xludf.DUMMYFUNCTION("""COMPUTED_VALUE"""),"EUCLID MIDDLE SCHOOL")</f>
        <v>EUCLID MIDDLE SCHOOL</v>
      </c>
      <c r="E198" s="13" t="str">
        <f>IFERROR(__xludf.DUMMYFUNCTION("""COMPUTED_VALUE"""),"Group 1")</f>
        <v>Group 1</v>
      </c>
      <c r="F198" s="13" t="str">
        <f>IFERROR(__xludf.DUMMYFUNCTION("""COMPUTED_VALUE"""),"2024 - 2025")</f>
        <v>2024 - 2025</v>
      </c>
      <c r="G198" s="13" t="str">
        <f>IFERROR(__xludf.DUMMYFUNCTION("""COMPUTED_VALUE"""),"2023 - 2024")</f>
        <v>2023 - 2024</v>
      </c>
      <c r="H198" s="13">
        <f>IFERROR(__xludf.DUMMYFUNCTION("""COMPUTED_VALUE"""),40.13)</f>
        <v>40.13</v>
      </c>
      <c r="I198" s="15">
        <f>IFERROR(__xludf.DUMMYFUNCTION("""COMPUTED_VALUE"""),59.87)</f>
        <v>59.87</v>
      </c>
    </row>
    <row r="199">
      <c r="A199" s="13" t="str">
        <f>IFERROR(__xludf.DUMMYFUNCTION("""COMPUTED_VALUE"""),"0140")</f>
        <v>0140</v>
      </c>
      <c r="B199" s="13" t="str">
        <f>IFERROR(__xludf.DUMMYFUNCTION("""COMPUTED_VALUE"""),"Littleton School District 6")</f>
        <v>Littleton School District 6</v>
      </c>
      <c r="C199" s="14" t="str">
        <f>IFERROR(__xludf.DUMMYFUNCTION("""COMPUTED_VALUE"""),"01145")</f>
        <v>01145</v>
      </c>
      <c r="D199" s="13" t="str">
        <f>IFERROR(__xludf.DUMMYFUNCTION("""COMPUTED_VALUE"""),"The Village ECE")</f>
        <v>The Village ECE</v>
      </c>
      <c r="E199" s="13" t="str">
        <f>IFERROR(__xludf.DUMMYFUNCTION("""COMPUTED_VALUE"""),"Group 1")</f>
        <v>Group 1</v>
      </c>
      <c r="F199" s="13" t="str">
        <f>IFERROR(__xludf.DUMMYFUNCTION("""COMPUTED_VALUE"""),"2024 - 2025")</f>
        <v>2024 - 2025</v>
      </c>
      <c r="G199" s="13" t="str">
        <f>IFERROR(__xludf.DUMMYFUNCTION("""COMPUTED_VALUE"""),"2023 - 2024")</f>
        <v>2023 - 2024</v>
      </c>
      <c r="H199" s="13">
        <f>IFERROR(__xludf.DUMMYFUNCTION("""COMPUTED_VALUE"""),40.13)</f>
        <v>40.13</v>
      </c>
      <c r="I199" s="15">
        <f>IFERROR(__xludf.DUMMYFUNCTION("""COMPUTED_VALUE"""),59.87)</f>
        <v>59.87</v>
      </c>
    </row>
    <row r="200">
      <c r="A200" s="13" t="str">
        <f>IFERROR(__xludf.DUMMYFUNCTION("""COMPUTED_VALUE"""),"0140")</f>
        <v>0140</v>
      </c>
      <c r="B200" s="13" t="str">
        <f>IFERROR(__xludf.DUMMYFUNCTION("""COMPUTED_VALUE"""),"Littleton School District 6")</f>
        <v>Littleton School District 6</v>
      </c>
      <c r="C200" s="14" t="str">
        <f>IFERROR(__xludf.DUMMYFUNCTION("""COMPUTED_VALUE"""),"04447")</f>
        <v>04447</v>
      </c>
      <c r="D200" s="13" t="str">
        <f>IFERROR(__xludf.DUMMYFUNCTION("""COMPUTED_VALUE"""),"JOHN WESLEY POWELL MIDDLE SCHOOL")</f>
        <v>JOHN WESLEY POWELL MIDDLE SCHOOL</v>
      </c>
      <c r="E200" s="13" t="str">
        <f>IFERROR(__xludf.DUMMYFUNCTION("""COMPUTED_VALUE"""),"Group 1")</f>
        <v>Group 1</v>
      </c>
      <c r="F200" s="13" t="str">
        <f>IFERROR(__xludf.DUMMYFUNCTION("""COMPUTED_VALUE"""),"2024 - 2025")</f>
        <v>2024 - 2025</v>
      </c>
      <c r="G200" s="13" t="str">
        <f>IFERROR(__xludf.DUMMYFUNCTION("""COMPUTED_VALUE"""),"2023 - 2024")</f>
        <v>2023 - 2024</v>
      </c>
      <c r="H200" s="13">
        <f>IFERROR(__xludf.DUMMYFUNCTION("""COMPUTED_VALUE"""),40.13)</f>
        <v>40.13</v>
      </c>
      <c r="I200" s="15">
        <f>IFERROR(__xludf.DUMMYFUNCTION("""COMPUTED_VALUE"""),59.87)</f>
        <v>59.87</v>
      </c>
    </row>
    <row r="201">
      <c r="A201" s="13" t="str">
        <f>IFERROR(__xludf.DUMMYFUNCTION("""COMPUTED_VALUE"""),"0140")</f>
        <v>0140</v>
      </c>
      <c r="B201" s="13" t="str">
        <f>IFERROR(__xludf.DUMMYFUNCTION("""COMPUTED_VALUE"""),"Littleton School District 6")</f>
        <v>Littleton School District 6</v>
      </c>
      <c r="C201" s="14" t="str">
        <f>IFERROR(__xludf.DUMMYFUNCTION("""COMPUTED_VALUE"""),"05224")</f>
        <v>05224</v>
      </c>
      <c r="D201" s="13" t="str">
        <f>IFERROR(__xludf.DUMMYFUNCTION("""COMPUTED_VALUE"""),"LITTLETON HIGH SCHOOL")</f>
        <v>LITTLETON HIGH SCHOOL</v>
      </c>
      <c r="E201" s="13" t="str">
        <f>IFERROR(__xludf.DUMMYFUNCTION("""COMPUTED_VALUE"""),"Group 1")</f>
        <v>Group 1</v>
      </c>
      <c r="F201" s="13" t="str">
        <f>IFERROR(__xludf.DUMMYFUNCTION("""COMPUTED_VALUE"""),"2024 - 2025")</f>
        <v>2024 - 2025</v>
      </c>
      <c r="G201" s="13" t="str">
        <f>IFERROR(__xludf.DUMMYFUNCTION("""COMPUTED_VALUE"""),"2023 - 2024")</f>
        <v>2023 - 2024</v>
      </c>
      <c r="H201" s="13">
        <f>IFERROR(__xludf.DUMMYFUNCTION("""COMPUTED_VALUE"""),40.13)</f>
        <v>40.13</v>
      </c>
      <c r="I201" s="15">
        <f>IFERROR(__xludf.DUMMYFUNCTION("""COMPUTED_VALUE"""),59.87)</f>
        <v>59.87</v>
      </c>
    </row>
    <row r="202">
      <c r="A202" s="13" t="str">
        <f>IFERROR(__xludf.DUMMYFUNCTION("""COMPUTED_VALUE"""),"0140")</f>
        <v>0140</v>
      </c>
      <c r="B202" s="13" t="str">
        <f>IFERROR(__xludf.DUMMYFUNCTION("""COMPUTED_VALUE"""),"Littleton School District 6")</f>
        <v>Littleton School District 6</v>
      </c>
      <c r="C202" s="14" t="str">
        <f>IFERROR(__xludf.DUMMYFUNCTION("""COMPUTED_VALUE"""),"05875")</f>
        <v>05875</v>
      </c>
      <c r="D202" s="13" t="str">
        <f>IFERROR(__xludf.DUMMYFUNCTION("""COMPUTED_VALUE"""),"Gudy Gaskill Elementary School")</f>
        <v>Gudy Gaskill Elementary School</v>
      </c>
      <c r="E202" s="13" t="str">
        <f>IFERROR(__xludf.DUMMYFUNCTION("""COMPUTED_VALUE"""),"Group 1")</f>
        <v>Group 1</v>
      </c>
      <c r="F202" s="13" t="str">
        <f>IFERROR(__xludf.DUMMYFUNCTION("""COMPUTED_VALUE"""),"2024 - 2025")</f>
        <v>2024 - 2025</v>
      </c>
      <c r="G202" s="13" t="str">
        <f>IFERROR(__xludf.DUMMYFUNCTION("""COMPUTED_VALUE"""),"2023 - 2024")</f>
        <v>2023 - 2024</v>
      </c>
      <c r="H202" s="13">
        <f>IFERROR(__xludf.DUMMYFUNCTION("""COMPUTED_VALUE"""),40.13)</f>
        <v>40.13</v>
      </c>
      <c r="I202" s="15">
        <f>IFERROR(__xludf.DUMMYFUNCTION("""COMPUTED_VALUE"""),59.87)</f>
        <v>59.87</v>
      </c>
    </row>
    <row r="203">
      <c r="A203" s="13" t="str">
        <f>IFERROR(__xludf.DUMMYFUNCTION("""COMPUTED_VALUE"""),"0140")</f>
        <v>0140</v>
      </c>
      <c r="B203" s="13" t="str">
        <f>IFERROR(__xludf.DUMMYFUNCTION("""COMPUTED_VALUE"""),"Littleton School District 6")</f>
        <v>Littleton School District 6</v>
      </c>
      <c r="C203" s="14" t="str">
        <f>IFERROR(__xludf.DUMMYFUNCTION("""COMPUTED_VALUE"""),"03472")</f>
        <v>03472</v>
      </c>
      <c r="D203" s="13" t="str">
        <f>IFERROR(__xludf.DUMMYFUNCTION("""COMPUTED_VALUE"""),"GODDARD MIDDLE SCHOOL")</f>
        <v>GODDARD MIDDLE SCHOOL</v>
      </c>
      <c r="E203" s="13" t="str">
        <f>IFERROR(__xludf.DUMMYFUNCTION("""COMPUTED_VALUE"""),"Group 2")</f>
        <v>Group 2</v>
      </c>
      <c r="F203" s="13" t="str">
        <f>IFERROR(__xludf.DUMMYFUNCTION("""COMPUTED_VALUE"""),"2024 - 2025")</f>
        <v>2024 - 2025</v>
      </c>
      <c r="G203" s="13" t="str">
        <f>IFERROR(__xludf.DUMMYFUNCTION("""COMPUTED_VALUE"""),"2023 - 2024")</f>
        <v>2023 - 2024</v>
      </c>
      <c r="H203" s="13">
        <f>IFERROR(__xludf.DUMMYFUNCTION("""COMPUTED_VALUE"""),45.52)</f>
        <v>45.52</v>
      </c>
      <c r="I203" s="15">
        <f>IFERROR(__xludf.DUMMYFUNCTION("""COMPUTED_VALUE"""),54.48)</f>
        <v>54.48</v>
      </c>
    </row>
    <row r="204">
      <c r="A204" s="13" t="str">
        <f>IFERROR(__xludf.DUMMYFUNCTION("""COMPUTED_VALUE"""),"0140")</f>
        <v>0140</v>
      </c>
      <c r="B204" s="13" t="str">
        <f>IFERROR(__xludf.DUMMYFUNCTION("""COMPUTED_VALUE"""),"Littleton School District 6")</f>
        <v>Littleton School District 6</v>
      </c>
      <c r="C204" s="14" t="str">
        <f>IFERROR(__xludf.DUMMYFUNCTION("""COMPUTED_VALUE"""),"05572")</f>
        <v>05572</v>
      </c>
      <c r="D204" s="13" t="str">
        <f>IFERROR(__xludf.DUMMYFUNCTION("""COMPUTED_VALUE"""),"HOPKINS ELEMENTARY SCHOOL")</f>
        <v>HOPKINS ELEMENTARY SCHOOL</v>
      </c>
      <c r="E204" s="13" t="str">
        <f>IFERROR(__xludf.DUMMYFUNCTION("""COMPUTED_VALUE"""),"Group 3")</f>
        <v>Group 3</v>
      </c>
      <c r="F204" s="13" t="str">
        <f>IFERROR(__xludf.DUMMYFUNCTION("""COMPUTED_VALUE"""),"2024 - 2025")</f>
        <v>2024 - 2025</v>
      </c>
      <c r="G204" s="13" t="str">
        <f>IFERROR(__xludf.DUMMYFUNCTION("""COMPUTED_VALUE"""),"2023 - 2024")</f>
        <v>2023 - 2024</v>
      </c>
      <c r="H204" s="13">
        <f>IFERROR(__xludf.DUMMYFUNCTION("""COMPUTED_VALUE"""),43.7)</f>
        <v>43.7</v>
      </c>
      <c r="I204" s="15">
        <f>IFERROR(__xludf.DUMMYFUNCTION("""COMPUTED_VALUE"""),56.3)</f>
        <v>56.3</v>
      </c>
    </row>
    <row r="205">
      <c r="A205" s="13" t="str">
        <f>IFERROR(__xludf.DUMMYFUNCTION("""COMPUTED_VALUE"""),"0140")</f>
        <v>0140</v>
      </c>
      <c r="B205" s="13" t="str">
        <f>IFERROR(__xludf.DUMMYFUNCTION("""COMPUTED_VALUE"""),"Littleton School District 6")</f>
        <v>Littleton School District 6</v>
      </c>
      <c r="C205" s="14" t="str">
        <f>IFERROR(__xludf.DUMMYFUNCTION("""COMPUTED_VALUE"""),"08064")</f>
        <v>08064</v>
      </c>
      <c r="D205" s="13" t="str">
        <f>IFERROR(__xludf.DUMMYFUNCTION("""COMPUTED_VALUE"""),"Little Raven Elementary")</f>
        <v>Little Raven Elementary</v>
      </c>
      <c r="E205" s="13" t="str">
        <f>IFERROR(__xludf.DUMMYFUNCTION("""COMPUTED_VALUE"""),"Group 3")</f>
        <v>Group 3</v>
      </c>
      <c r="F205" s="13" t="str">
        <f>IFERROR(__xludf.DUMMYFUNCTION("""COMPUTED_VALUE"""),"2024 - 2025")</f>
        <v>2024 - 2025</v>
      </c>
      <c r="G205" s="13" t="str">
        <f>IFERROR(__xludf.DUMMYFUNCTION("""COMPUTED_VALUE"""),"2023 - 2024")</f>
        <v>2023 - 2024</v>
      </c>
      <c r="H205" s="13">
        <f>IFERROR(__xludf.DUMMYFUNCTION("""COMPUTED_VALUE"""),43.7)</f>
        <v>43.7</v>
      </c>
      <c r="I205" s="15">
        <f>IFERROR(__xludf.DUMMYFUNCTION("""COMPUTED_VALUE"""),56.3)</f>
        <v>56.3</v>
      </c>
    </row>
    <row r="206">
      <c r="A206" s="13" t="str">
        <f>IFERROR(__xludf.DUMMYFUNCTION("""COMPUTED_VALUE"""),"0140")</f>
        <v>0140</v>
      </c>
      <c r="B206" s="13" t="str">
        <f>IFERROR(__xludf.DUMMYFUNCTION("""COMPUTED_VALUE"""),"Littleton School District 6")</f>
        <v>Littleton School District 6</v>
      </c>
      <c r="C206" s="14" t="str">
        <f>IFERROR(__xludf.DUMMYFUNCTION("""COMPUTED_VALUE"""),"02926")</f>
        <v>02926</v>
      </c>
      <c r="D206" s="13" t="str">
        <f>IFERROR(__xludf.DUMMYFUNCTION("""COMPUTED_VALUE"""),"FIELD ELEMENTARY SCHOOL")</f>
        <v>FIELD ELEMENTARY SCHOOL</v>
      </c>
      <c r="E206" s="13" t="str">
        <f>IFERROR(__xludf.DUMMYFUNCTION("""COMPUTED_VALUE"""),"Group 4")</f>
        <v>Group 4</v>
      </c>
      <c r="F206" s="13" t="str">
        <f>IFERROR(__xludf.DUMMYFUNCTION("""COMPUTED_VALUE"""),"2024 - 2025")</f>
        <v>2024 - 2025</v>
      </c>
      <c r="G206" s="13" t="str">
        <f>IFERROR(__xludf.DUMMYFUNCTION("""COMPUTED_VALUE"""),"2023 - 2024")</f>
        <v>2023 - 2024</v>
      </c>
      <c r="H206" s="13">
        <f>IFERROR(__xludf.DUMMYFUNCTION("""COMPUTED_VALUE"""),96.0)</f>
        <v>96</v>
      </c>
      <c r="I206" s="15">
        <f>IFERROR(__xludf.DUMMYFUNCTION("""COMPUTED_VALUE"""),4.0)</f>
        <v>4</v>
      </c>
    </row>
    <row r="207">
      <c r="A207" s="13" t="str">
        <f>IFERROR(__xludf.DUMMYFUNCTION("""COMPUTED_VALUE"""),"0140")</f>
        <v>0140</v>
      </c>
      <c r="B207" s="13" t="str">
        <f>IFERROR(__xludf.DUMMYFUNCTION("""COMPUTED_VALUE"""),"Littleton School District 6")</f>
        <v>Littleton School District 6</v>
      </c>
      <c r="C207" s="14" t="str">
        <f>IFERROR(__xludf.DUMMYFUNCTION("""COMPUTED_VALUE"""),"01382")</f>
        <v>01382</v>
      </c>
      <c r="D207" s="13" t="str">
        <f>IFERROR(__xludf.DUMMYFUNCTION("""COMPUTED_VALUE"""),"CENTENNIAL ACADEMY OF FINE ARTS")</f>
        <v>CENTENNIAL ACADEMY OF FINE ARTS</v>
      </c>
      <c r="E207" s="13" t="str">
        <f>IFERROR(__xludf.DUMMYFUNCTION("""COMPUTED_VALUE"""),"Group 5")</f>
        <v>Group 5</v>
      </c>
      <c r="F207" s="13" t="str">
        <f>IFERROR(__xludf.DUMMYFUNCTION("""COMPUTED_VALUE"""),"2024 - 2025")</f>
        <v>2024 - 2025</v>
      </c>
      <c r="G207" s="13" t="str">
        <f>IFERROR(__xludf.DUMMYFUNCTION("""COMPUTED_VALUE"""),"2023 - 2024")</f>
        <v>2023 - 2024</v>
      </c>
      <c r="H207" s="13">
        <f>IFERROR(__xludf.DUMMYFUNCTION("""COMPUTED_VALUE"""),41.12)</f>
        <v>41.12</v>
      </c>
      <c r="I207" s="15">
        <f>IFERROR(__xludf.DUMMYFUNCTION("""COMPUTED_VALUE"""),58.88)</f>
        <v>58.88</v>
      </c>
    </row>
    <row r="208">
      <c r="A208" s="13" t="str">
        <f>IFERROR(__xludf.DUMMYFUNCTION("""COMPUTED_VALUE"""),"0140")</f>
        <v>0140</v>
      </c>
      <c r="B208" s="13" t="str">
        <f>IFERROR(__xludf.DUMMYFUNCTION("""COMPUTED_VALUE"""),"Littleton School District 6")</f>
        <v>Littleton School District 6</v>
      </c>
      <c r="C208" s="14" t="str">
        <f>IFERROR(__xludf.DUMMYFUNCTION("""COMPUTED_VALUE"""),"05233")</f>
        <v>05233</v>
      </c>
      <c r="D208" s="13" t="str">
        <f>IFERROR(__xludf.DUMMYFUNCTION("""COMPUTED_VALUE"""),"LITTLETON PREP CHARTER SCHOOL")</f>
        <v>LITTLETON PREP CHARTER SCHOOL</v>
      </c>
      <c r="E208" s="13" t="str">
        <f>IFERROR(__xludf.DUMMYFUNCTION("""COMPUTED_VALUE"""),"Group 5")</f>
        <v>Group 5</v>
      </c>
      <c r="F208" s="13" t="str">
        <f>IFERROR(__xludf.DUMMYFUNCTION("""COMPUTED_VALUE"""),"2024 - 2025")</f>
        <v>2024 - 2025</v>
      </c>
      <c r="G208" s="13" t="str">
        <f>IFERROR(__xludf.DUMMYFUNCTION("""COMPUTED_VALUE"""),"2023 - 2024")</f>
        <v>2023 - 2024</v>
      </c>
      <c r="H208" s="13">
        <f>IFERROR(__xludf.DUMMYFUNCTION("""COMPUTED_VALUE"""),41.12)</f>
        <v>41.12</v>
      </c>
      <c r="I208" s="15">
        <f>IFERROR(__xludf.DUMMYFUNCTION("""COMPUTED_VALUE"""),58.88)</f>
        <v>58.88</v>
      </c>
    </row>
    <row r="209">
      <c r="A209" s="13" t="str">
        <f>IFERROR(__xludf.DUMMYFUNCTION("""COMPUTED_VALUE"""),"0170")</f>
        <v>0170</v>
      </c>
      <c r="B209" s="13" t="str">
        <f>IFERROR(__xludf.DUMMYFUNCTION("""COMPUTED_VALUE"""),"DEER TRAIL 26J")</f>
        <v>DEER TRAIL 26J</v>
      </c>
      <c r="C209" s="14" t="str">
        <f>IFERROR(__xludf.DUMMYFUNCTION("""COMPUTED_VALUE"""),"02136")</f>
        <v>02136</v>
      </c>
      <c r="D209" s="13" t="str">
        <f>IFERROR(__xludf.DUMMYFUNCTION("""COMPUTED_VALUE"""),"DEER TRAIL ELEMENTARY SCHOOL")</f>
        <v>DEER TRAIL ELEMENTARY SCHOOL</v>
      </c>
      <c r="E209" s="13" t="str">
        <f>IFERROR(__xludf.DUMMYFUNCTION("""COMPUTED_VALUE"""),"Group 1")</f>
        <v>Group 1</v>
      </c>
      <c r="F209" s="13" t="str">
        <f>IFERROR(__xludf.DUMMYFUNCTION("""COMPUTED_VALUE"""),"2024 - 2025")</f>
        <v>2024 - 2025</v>
      </c>
      <c r="G209" s="13" t="str">
        <f>IFERROR(__xludf.DUMMYFUNCTION("""COMPUTED_VALUE"""),"2023 - 2024")</f>
        <v>2023 - 2024</v>
      </c>
      <c r="H209" s="13">
        <f>IFERROR(__xludf.DUMMYFUNCTION("""COMPUTED_VALUE"""),72.72)</f>
        <v>72.72</v>
      </c>
      <c r="I209" s="15">
        <f>IFERROR(__xludf.DUMMYFUNCTION("""COMPUTED_VALUE"""),27.28)</f>
        <v>27.28</v>
      </c>
    </row>
    <row r="210">
      <c r="A210" s="13" t="str">
        <f>IFERROR(__xludf.DUMMYFUNCTION("""COMPUTED_VALUE"""),"0170")</f>
        <v>0170</v>
      </c>
      <c r="B210" s="13" t="str">
        <f>IFERROR(__xludf.DUMMYFUNCTION("""COMPUTED_VALUE"""),"DEER TRAIL 26J")</f>
        <v>DEER TRAIL 26J</v>
      </c>
      <c r="C210" s="14" t="str">
        <f>IFERROR(__xludf.DUMMYFUNCTION("""COMPUTED_VALUE"""),"02140")</f>
        <v>02140</v>
      </c>
      <c r="D210" s="13" t="str">
        <f>IFERROR(__xludf.DUMMYFUNCTION("""COMPUTED_VALUE"""),"DEER TRAIL JUNIOR-SENIOR HIGH SCHOOL")</f>
        <v>DEER TRAIL JUNIOR-SENIOR HIGH SCHOOL</v>
      </c>
      <c r="E210" s="13" t="str">
        <f>IFERROR(__xludf.DUMMYFUNCTION("""COMPUTED_VALUE"""),"Group 2")</f>
        <v>Group 2</v>
      </c>
      <c r="F210" s="13" t="str">
        <f>IFERROR(__xludf.DUMMYFUNCTION("""COMPUTED_VALUE"""),"2024 - 2025")</f>
        <v>2024 - 2025</v>
      </c>
      <c r="G210" s="13" t="str">
        <f>IFERROR(__xludf.DUMMYFUNCTION("""COMPUTED_VALUE"""),"2023 - 2024")</f>
        <v>2023 - 2024</v>
      </c>
      <c r="H210" s="13">
        <f>IFERROR(__xludf.DUMMYFUNCTION("""COMPUTED_VALUE"""),70.59)</f>
        <v>70.59</v>
      </c>
      <c r="I210" s="15">
        <f>IFERROR(__xludf.DUMMYFUNCTION("""COMPUTED_VALUE"""),29.409999999999997)</f>
        <v>29.41</v>
      </c>
    </row>
    <row r="211">
      <c r="A211" s="13" t="str">
        <f>IFERROR(__xludf.DUMMYFUNCTION("""COMPUTED_VALUE"""),"0180")</f>
        <v>0180</v>
      </c>
      <c r="B211" s="13" t="str">
        <f>IFERROR(__xludf.DUMMYFUNCTION("""COMPUTED_VALUE"""),"ADAMS-ARAPAHOE 28J")</f>
        <v>ADAMS-ARAPAHOE 28J</v>
      </c>
      <c r="C211" s="14" t="str">
        <f>IFERROR(__xludf.DUMMYFUNCTION("""COMPUTED_VALUE"""),"02618")</f>
        <v>02618</v>
      </c>
      <c r="D211" s="13" t="str">
        <f>IFERROR(__xludf.DUMMYFUNCTION("""COMPUTED_VALUE"""),"ELKHART ELEMENTARY SCHOOL")</f>
        <v>ELKHART ELEMENTARY SCHOOL</v>
      </c>
      <c r="E211" s="13" t="str">
        <f>IFERROR(__xludf.DUMMYFUNCTION("""COMPUTED_VALUE"""),"Group 1")</f>
        <v>Group 1</v>
      </c>
      <c r="F211" s="13" t="str">
        <f>IFERROR(__xludf.DUMMYFUNCTION("""COMPUTED_VALUE"""),"2024 - 2025")</f>
        <v>2024 - 2025</v>
      </c>
      <c r="G211" s="13" t="str">
        <f>IFERROR(__xludf.DUMMYFUNCTION("""COMPUTED_VALUE"""),"2023 - 2024")</f>
        <v>2023 - 2024</v>
      </c>
      <c r="H211" s="13">
        <f>IFERROR(__xludf.DUMMYFUNCTION("""COMPUTED_VALUE"""),99.73)</f>
        <v>99.73</v>
      </c>
      <c r="I211" s="15">
        <f>IFERROR(__xludf.DUMMYFUNCTION("""COMPUTED_VALUE"""),0.269999999999996)</f>
        <v>0.27</v>
      </c>
    </row>
    <row r="212">
      <c r="A212" s="13" t="str">
        <f>IFERROR(__xludf.DUMMYFUNCTION("""COMPUTED_VALUE"""),"0180")</f>
        <v>0180</v>
      </c>
      <c r="B212" s="13" t="str">
        <f>IFERROR(__xludf.DUMMYFUNCTION("""COMPUTED_VALUE"""),"ADAMS-ARAPAHOE 28J")</f>
        <v>ADAMS-ARAPAHOE 28J</v>
      </c>
      <c r="C212" s="14" t="str">
        <f>IFERROR(__xludf.DUMMYFUNCTION("""COMPUTED_VALUE"""),"03272")</f>
        <v>03272</v>
      </c>
      <c r="D212" s="13" t="str">
        <f>IFERROR(__xludf.DUMMYFUNCTION("""COMPUTED_VALUE"""),"FULTON ACADEMY OF EXCELLENCE")</f>
        <v>FULTON ACADEMY OF EXCELLENCE</v>
      </c>
      <c r="E212" s="13" t="str">
        <f>IFERROR(__xludf.DUMMYFUNCTION("""COMPUTED_VALUE"""),"Group 1")</f>
        <v>Group 1</v>
      </c>
      <c r="F212" s="13" t="str">
        <f>IFERROR(__xludf.DUMMYFUNCTION("""COMPUTED_VALUE"""),"2024 - 2025")</f>
        <v>2024 - 2025</v>
      </c>
      <c r="G212" s="13" t="str">
        <f>IFERROR(__xludf.DUMMYFUNCTION("""COMPUTED_VALUE"""),"2023 - 2024")</f>
        <v>2023 - 2024</v>
      </c>
      <c r="H212" s="13">
        <f>IFERROR(__xludf.DUMMYFUNCTION("""COMPUTED_VALUE"""),99.73)</f>
        <v>99.73</v>
      </c>
      <c r="I212" s="15">
        <f>IFERROR(__xludf.DUMMYFUNCTION("""COMPUTED_VALUE"""),0.269999999999996)</f>
        <v>0.27</v>
      </c>
    </row>
    <row r="213">
      <c r="A213" s="13" t="str">
        <f>IFERROR(__xludf.DUMMYFUNCTION("""COMPUTED_VALUE"""),"0180")</f>
        <v>0180</v>
      </c>
      <c r="B213" s="13" t="str">
        <f>IFERROR(__xludf.DUMMYFUNCTION("""COMPUTED_VALUE"""),"ADAMS-ARAPAHOE 28J")</f>
        <v>ADAMS-ARAPAHOE 28J</v>
      </c>
      <c r="C213" s="14" t="str">
        <f>IFERROR(__xludf.DUMMYFUNCTION("""COMPUTED_VALUE"""),"04270")</f>
        <v>04270</v>
      </c>
      <c r="D213" s="13" t="str">
        <f>IFERROR(__xludf.DUMMYFUNCTION("""COMPUTED_VALUE"""),"IOWA ELEMENTARY SCHOOL")</f>
        <v>IOWA ELEMENTARY SCHOOL</v>
      </c>
      <c r="E213" s="13" t="str">
        <f>IFERROR(__xludf.DUMMYFUNCTION("""COMPUTED_VALUE"""),"Group 1")</f>
        <v>Group 1</v>
      </c>
      <c r="F213" s="13" t="str">
        <f>IFERROR(__xludf.DUMMYFUNCTION("""COMPUTED_VALUE"""),"2024 - 2025")</f>
        <v>2024 - 2025</v>
      </c>
      <c r="G213" s="13" t="str">
        <f>IFERROR(__xludf.DUMMYFUNCTION("""COMPUTED_VALUE"""),"2023 - 2024")</f>
        <v>2023 - 2024</v>
      </c>
      <c r="H213" s="13">
        <f>IFERROR(__xludf.DUMMYFUNCTION("""COMPUTED_VALUE"""),99.73)</f>
        <v>99.73</v>
      </c>
      <c r="I213" s="15">
        <f>IFERROR(__xludf.DUMMYFUNCTION("""COMPUTED_VALUE"""),0.269999999999996)</f>
        <v>0.27</v>
      </c>
    </row>
    <row r="214">
      <c r="A214" s="13" t="str">
        <f>IFERROR(__xludf.DUMMYFUNCTION("""COMPUTED_VALUE"""),"0180")</f>
        <v>0180</v>
      </c>
      <c r="B214" s="13" t="str">
        <f>IFERROR(__xludf.DUMMYFUNCTION("""COMPUTED_VALUE"""),"ADAMS-ARAPAHOE 28J")</f>
        <v>ADAMS-ARAPAHOE 28J</v>
      </c>
      <c r="C214" s="14" t="str">
        <f>IFERROR(__xludf.DUMMYFUNCTION("""COMPUTED_VALUE"""),"04426")</f>
        <v>04426</v>
      </c>
      <c r="D214" s="13" t="str">
        <f>IFERROR(__xludf.DUMMYFUNCTION("""COMPUTED_VALUE"""),"JEWELL ELEMENTARY SCHOOL")</f>
        <v>JEWELL ELEMENTARY SCHOOL</v>
      </c>
      <c r="E214" s="13" t="str">
        <f>IFERROR(__xludf.DUMMYFUNCTION("""COMPUTED_VALUE"""),"Group 1")</f>
        <v>Group 1</v>
      </c>
      <c r="F214" s="13" t="str">
        <f>IFERROR(__xludf.DUMMYFUNCTION("""COMPUTED_VALUE"""),"2024 - 2025")</f>
        <v>2024 - 2025</v>
      </c>
      <c r="G214" s="13" t="str">
        <f>IFERROR(__xludf.DUMMYFUNCTION("""COMPUTED_VALUE"""),"2023 - 2024")</f>
        <v>2023 - 2024</v>
      </c>
      <c r="H214" s="13">
        <f>IFERROR(__xludf.DUMMYFUNCTION("""COMPUTED_VALUE"""),99.73)</f>
        <v>99.73</v>
      </c>
      <c r="I214" s="15">
        <f>IFERROR(__xludf.DUMMYFUNCTION("""COMPUTED_VALUE"""),0.269999999999996)</f>
        <v>0.27</v>
      </c>
    </row>
    <row r="215">
      <c r="A215" s="13" t="str">
        <f>IFERROR(__xludf.DUMMYFUNCTION("""COMPUTED_VALUE"""),"0180")</f>
        <v>0180</v>
      </c>
      <c r="B215" s="13" t="str">
        <f>IFERROR(__xludf.DUMMYFUNCTION("""COMPUTED_VALUE"""),"ADAMS-ARAPAHOE 28J")</f>
        <v>ADAMS-ARAPAHOE 28J</v>
      </c>
      <c r="C215" s="14" t="str">
        <f>IFERROR(__xludf.DUMMYFUNCTION("""COMPUTED_VALUE"""),"04973")</f>
        <v>04973</v>
      </c>
      <c r="D215" s="13" t="str">
        <f>IFERROR(__xludf.DUMMYFUNCTION("""COMPUTED_VALUE"""),"LAREDO ELEMENTARY SCHOOL")</f>
        <v>LAREDO ELEMENTARY SCHOOL</v>
      </c>
      <c r="E215" s="13" t="str">
        <f>IFERROR(__xludf.DUMMYFUNCTION("""COMPUTED_VALUE"""),"Group 1")</f>
        <v>Group 1</v>
      </c>
      <c r="F215" s="13" t="str">
        <f>IFERROR(__xludf.DUMMYFUNCTION("""COMPUTED_VALUE"""),"2024 - 2025")</f>
        <v>2024 - 2025</v>
      </c>
      <c r="G215" s="13" t="str">
        <f>IFERROR(__xludf.DUMMYFUNCTION("""COMPUTED_VALUE"""),"2023 - 2024")</f>
        <v>2023 - 2024</v>
      </c>
      <c r="H215" s="13">
        <f>IFERROR(__xludf.DUMMYFUNCTION("""COMPUTED_VALUE"""),99.73)</f>
        <v>99.73</v>
      </c>
      <c r="I215" s="15">
        <f>IFERROR(__xludf.DUMMYFUNCTION("""COMPUTED_VALUE"""),0.269999999999996)</f>
        <v>0.27</v>
      </c>
    </row>
    <row r="216">
      <c r="A216" s="13" t="str">
        <f>IFERROR(__xludf.DUMMYFUNCTION("""COMPUTED_VALUE"""),"0180")</f>
        <v>0180</v>
      </c>
      <c r="B216" s="13" t="str">
        <f>IFERROR(__xludf.DUMMYFUNCTION("""COMPUTED_VALUE"""),"ADAMS-ARAPAHOE 28J")</f>
        <v>ADAMS-ARAPAHOE 28J</v>
      </c>
      <c r="C216" s="14" t="str">
        <f>IFERROR(__xludf.DUMMYFUNCTION("""COMPUTED_VALUE"""),"06310")</f>
        <v>06310</v>
      </c>
      <c r="D216" s="13" t="str">
        <f>IFERROR(__xludf.DUMMYFUNCTION("""COMPUTED_VALUE"""),"NORTH MIDDLE SCHOOL HEALTH SCIENCES AND TECHNOLOGY CAMPUS")</f>
        <v>NORTH MIDDLE SCHOOL HEALTH SCIENCES AND TECHNOLOGY CAMPUS</v>
      </c>
      <c r="E216" s="13" t="str">
        <f>IFERROR(__xludf.DUMMYFUNCTION("""COMPUTED_VALUE"""),"Group 1")</f>
        <v>Group 1</v>
      </c>
      <c r="F216" s="13" t="str">
        <f>IFERROR(__xludf.DUMMYFUNCTION("""COMPUTED_VALUE"""),"2024 - 2025")</f>
        <v>2024 - 2025</v>
      </c>
      <c r="G216" s="13" t="str">
        <f>IFERROR(__xludf.DUMMYFUNCTION("""COMPUTED_VALUE"""),"2023 - 2024")</f>
        <v>2023 - 2024</v>
      </c>
      <c r="H216" s="13">
        <f>IFERROR(__xludf.DUMMYFUNCTION("""COMPUTED_VALUE"""),99.73)</f>
        <v>99.73</v>
      </c>
      <c r="I216" s="15">
        <f>IFERROR(__xludf.DUMMYFUNCTION("""COMPUTED_VALUE"""),0.269999999999996)</f>
        <v>0.27</v>
      </c>
    </row>
    <row r="217">
      <c r="A217" s="13" t="str">
        <f>IFERROR(__xludf.DUMMYFUNCTION("""COMPUTED_VALUE"""),"0180")</f>
        <v>0180</v>
      </c>
      <c r="B217" s="13" t="str">
        <f>IFERROR(__xludf.DUMMYFUNCTION("""COMPUTED_VALUE"""),"ADAMS-ARAPAHOE 28J")</f>
        <v>ADAMS-ARAPAHOE 28J</v>
      </c>
      <c r="C217" s="14" t="str">
        <f>IFERROR(__xludf.DUMMYFUNCTION("""COMPUTED_VALUE"""),"09056")</f>
        <v>09056</v>
      </c>
      <c r="D217" s="13" t="str">
        <f>IFERROR(__xludf.DUMMYFUNCTION("""COMPUTED_VALUE"""),"VANGUARD CLASSICAL SCHOOL - WEST")</f>
        <v>VANGUARD CLASSICAL SCHOOL - WEST</v>
      </c>
      <c r="E217" s="13" t="str">
        <f>IFERROR(__xludf.DUMMYFUNCTION("""COMPUTED_VALUE"""),"Group 1")</f>
        <v>Group 1</v>
      </c>
      <c r="F217" s="13" t="str">
        <f>IFERROR(__xludf.DUMMYFUNCTION("""COMPUTED_VALUE"""),"2024 - 2025")</f>
        <v>2024 - 2025</v>
      </c>
      <c r="G217" s="13" t="str">
        <f>IFERROR(__xludf.DUMMYFUNCTION("""COMPUTED_VALUE"""),"2023 - 2024")</f>
        <v>2023 - 2024</v>
      </c>
      <c r="H217" s="13">
        <f>IFERROR(__xludf.DUMMYFUNCTION("""COMPUTED_VALUE"""),99.73)</f>
        <v>99.73</v>
      </c>
      <c r="I217" s="15">
        <f>IFERROR(__xludf.DUMMYFUNCTION("""COMPUTED_VALUE"""),0.269999999999996)</f>
        <v>0.27</v>
      </c>
    </row>
    <row r="218">
      <c r="A218" s="13" t="str">
        <f>IFERROR(__xludf.DUMMYFUNCTION("""COMPUTED_VALUE"""),"0180")</f>
        <v>0180</v>
      </c>
      <c r="B218" s="13" t="str">
        <f>IFERROR(__xludf.DUMMYFUNCTION("""COMPUTED_VALUE"""),"ADAMS-ARAPAHOE 28J")</f>
        <v>ADAMS-ARAPAHOE 28J</v>
      </c>
      <c r="C218" s="14" t="str">
        <f>IFERROR(__xludf.DUMMYFUNCTION("""COMPUTED_VALUE"""),"09396")</f>
        <v>09396</v>
      </c>
      <c r="D218" s="13" t="str">
        <f>IFERROR(__xludf.DUMMYFUNCTION("""COMPUTED_VALUE"""),"AURORA WEST COLLEGE PREPARATORY ACADEMY")</f>
        <v>AURORA WEST COLLEGE PREPARATORY ACADEMY</v>
      </c>
      <c r="E218" s="13" t="str">
        <f>IFERROR(__xludf.DUMMYFUNCTION("""COMPUTED_VALUE"""),"Group 1")</f>
        <v>Group 1</v>
      </c>
      <c r="F218" s="13" t="str">
        <f>IFERROR(__xludf.DUMMYFUNCTION("""COMPUTED_VALUE"""),"2024 - 2025")</f>
        <v>2024 - 2025</v>
      </c>
      <c r="G218" s="13" t="str">
        <f>IFERROR(__xludf.DUMMYFUNCTION("""COMPUTED_VALUE"""),"2023 - 2024")</f>
        <v>2023 - 2024</v>
      </c>
      <c r="H218" s="13">
        <f>IFERROR(__xludf.DUMMYFUNCTION("""COMPUTED_VALUE"""),99.73)</f>
        <v>99.73</v>
      </c>
      <c r="I218" s="15">
        <f>IFERROR(__xludf.DUMMYFUNCTION("""COMPUTED_VALUE"""),0.269999999999996)</f>
        <v>0.27</v>
      </c>
    </row>
    <row r="219">
      <c r="A219" s="13" t="str">
        <f>IFERROR(__xludf.DUMMYFUNCTION("""COMPUTED_VALUE"""),"0180")</f>
        <v>0180</v>
      </c>
      <c r="B219" s="13" t="str">
        <f>IFERROR(__xludf.DUMMYFUNCTION("""COMPUTED_VALUE"""),"ADAMS-ARAPAHOE 28J")</f>
        <v>ADAMS-ARAPAHOE 28J</v>
      </c>
      <c r="C219" s="14" t="str">
        <f>IFERROR(__xludf.DUMMYFUNCTION("""COMPUTED_VALUE"""),"09053")</f>
        <v>09053</v>
      </c>
      <c r="D219" s="13" t="str">
        <f>IFERROR(__xludf.DUMMYFUNCTION("""COMPUTED_VALUE"""),"Vega Collegiate Academy")</f>
        <v>Vega Collegiate Academy</v>
      </c>
      <c r="E219" s="13" t="str">
        <f>IFERROR(__xludf.DUMMYFUNCTION("""COMPUTED_VALUE"""),"Group 1")</f>
        <v>Group 1</v>
      </c>
      <c r="F219" s="13" t="str">
        <f>IFERROR(__xludf.DUMMYFUNCTION("""COMPUTED_VALUE"""),"2024 - 2025")</f>
        <v>2024 - 2025</v>
      </c>
      <c r="G219" s="13" t="str">
        <f>IFERROR(__xludf.DUMMYFUNCTION("""COMPUTED_VALUE"""),"2023 - 2024")</f>
        <v>2023 - 2024</v>
      </c>
      <c r="H219" s="13">
        <f>IFERROR(__xludf.DUMMYFUNCTION("""COMPUTED_VALUE"""),99.73)</f>
        <v>99.73</v>
      </c>
      <c r="I219" s="15">
        <f>IFERROR(__xludf.DUMMYFUNCTION("""COMPUTED_VALUE"""),0.269999999999996)</f>
        <v>0.27</v>
      </c>
    </row>
    <row r="220">
      <c r="A220" s="13" t="str">
        <f>IFERROR(__xludf.DUMMYFUNCTION("""COMPUTED_VALUE"""),"0180")</f>
        <v>0180</v>
      </c>
      <c r="B220" s="13" t="str">
        <f>IFERROR(__xludf.DUMMYFUNCTION("""COMPUTED_VALUE"""),"ADAMS-ARAPAHOE 28J")</f>
        <v>ADAMS-ARAPAHOE 28J</v>
      </c>
      <c r="C220" s="14" t="str">
        <f>IFERROR(__xludf.DUMMYFUNCTION("""COMPUTED_VALUE"""),"00127")</f>
        <v>00127</v>
      </c>
      <c r="D220" s="13" t="str">
        <f>IFERROR(__xludf.DUMMYFUNCTION("""COMPUTED_VALUE"""),"AURORA SCIENCE &amp; TECHNOLOGY MIDDLE SCHOOL")</f>
        <v>AURORA SCIENCE &amp; TECHNOLOGY MIDDLE SCHOOL</v>
      </c>
      <c r="E220" s="13" t="str">
        <f>IFERROR(__xludf.DUMMYFUNCTION("""COMPUTED_VALUE"""),"Group 1")</f>
        <v>Group 1</v>
      </c>
      <c r="F220" s="13" t="str">
        <f>IFERROR(__xludf.DUMMYFUNCTION("""COMPUTED_VALUE"""),"2024 - 2025")</f>
        <v>2024 - 2025</v>
      </c>
      <c r="G220" s="13" t="str">
        <f>IFERROR(__xludf.DUMMYFUNCTION("""COMPUTED_VALUE"""),"2023 - 2024")</f>
        <v>2023 - 2024</v>
      </c>
      <c r="H220" s="13">
        <f>IFERROR(__xludf.DUMMYFUNCTION("""COMPUTED_VALUE"""),99.73)</f>
        <v>99.73</v>
      </c>
      <c r="I220" s="15">
        <f>IFERROR(__xludf.DUMMYFUNCTION("""COMPUTED_VALUE"""),0.269999999999996)</f>
        <v>0.27</v>
      </c>
    </row>
    <row r="221">
      <c r="A221" s="13" t="str">
        <f>IFERROR(__xludf.DUMMYFUNCTION("""COMPUTED_VALUE"""),"0180")</f>
        <v>0180</v>
      </c>
      <c r="B221" s="13" t="str">
        <f>IFERROR(__xludf.DUMMYFUNCTION("""COMPUTED_VALUE"""),"ADAMS-ARAPAHOE 28J")</f>
        <v>ADAMS-ARAPAHOE 28J</v>
      </c>
      <c r="C221" s="14" t="str">
        <f>IFERROR(__xludf.DUMMYFUNCTION("""COMPUTED_VALUE"""),"01851")</f>
        <v>01851</v>
      </c>
      <c r="D221" s="13" t="str">
        <f>IFERROR(__xludf.DUMMYFUNCTION("""COMPUTED_VALUE"""),"Harmony Ridge P-8")</f>
        <v>Harmony Ridge P-8</v>
      </c>
      <c r="E221" s="13" t="str">
        <f>IFERROR(__xludf.DUMMYFUNCTION("""COMPUTED_VALUE"""),"Group 1")</f>
        <v>Group 1</v>
      </c>
      <c r="F221" s="13" t="str">
        <f>IFERROR(__xludf.DUMMYFUNCTION("""COMPUTED_VALUE"""),"2024 - 2025")</f>
        <v>2024 - 2025</v>
      </c>
      <c r="G221" s="13" t="str">
        <f>IFERROR(__xludf.DUMMYFUNCTION("""COMPUTED_VALUE"""),"2023 - 2024")</f>
        <v>2023 - 2024</v>
      </c>
      <c r="H221" s="13">
        <f>IFERROR(__xludf.DUMMYFUNCTION("""COMPUTED_VALUE"""),99.73)</f>
        <v>99.73</v>
      </c>
      <c r="I221" s="15">
        <f>IFERROR(__xludf.DUMMYFUNCTION("""COMPUTED_VALUE"""),0.269999999999996)</f>
        <v>0.27</v>
      </c>
    </row>
    <row r="222">
      <c r="A222" s="13" t="str">
        <f>IFERROR(__xludf.DUMMYFUNCTION("""COMPUTED_VALUE"""),"0180")</f>
        <v>0180</v>
      </c>
      <c r="B222" s="13" t="str">
        <f>IFERROR(__xludf.DUMMYFUNCTION("""COMPUTED_VALUE"""),"ADAMS-ARAPAHOE 28J")</f>
        <v>ADAMS-ARAPAHOE 28J</v>
      </c>
      <c r="C222" s="14" t="str">
        <f>IFERROR(__xludf.DUMMYFUNCTION("""COMPUTED_VALUE"""),"05298")</f>
        <v>05298</v>
      </c>
      <c r="D222" s="13" t="str">
        <f>IFERROR(__xludf.DUMMYFUNCTION("""COMPUTED_VALUE"""),"Lotus School for Excellence")</f>
        <v>Lotus School for Excellence</v>
      </c>
      <c r="E222" s="13" t="str">
        <f>IFERROR(__xludf.DUMMYFUNCTION("""COMPUTED_VALUE"""),"Group 10")</f>
        <v>Group 10</v>
      </c>
      <c r="F222" s="13" t="str">
        <f>IFERROR(__xludf.DUMMYFUNCTION("""COMPUTED_VALUE"""),"2024 - 2025")</f>
        <v>2024 - 2025</v>
      </c>
      <c r="G222" s="13" t="str">
        <f>IFERROR(__xludf.DUMMYFUNCTION("""COMPUTED_VALUE"""),"2023 - 2024")</f>
        <v>2023 - 2024</v>
      </c>
      <c r="H222" s="13">
        <f>IFERROR(__xludf.DUMMYFUNCTION("""COMPUTED_VALUE"""),97.23)</f>
        <v>97.23</v>
      </c>
      <c r="I222" s="15">
        <f>IFERROR(__xludf.DUMMYFUNCTION("""COMPUTED_VALUE"""),2.769999999999996)</f>
        <v>2.77</v>
      </c>
    </row>
    <row r="223">
      <c r="A223" s="13" t="str">
        <f>IFERROR(__xludf.DUMMYFUNCTION("""COMPUTED_VALUE"""),"0180")</f>
        <v>0180</v>
      </c>
      <c r="B223" s="13" t="str">
        <f>IFERROR(__xludf.DUMMYFUNCTION("""COMPUTED_VALUE"""),"ADAMS-ARAPAHOE 28J")</f>
        <v>ADAMS-ARAPAHOE 28J</v>
      </c>
      <c r="C223" s="14" t="str">
        <f>IFERROR(__xludf.DUMMYFUNCTION("""COMPUTED_VALUE"""),"07932")</f>
        <v>07932</v>
      </c>
      <c r="D223" s="13" t="str">
        <f>IFERROR(__xludf.DUMMYFUNCTION("""COMPUTED_VALUE"""),"Del Mar Academy")</f>
        <v>Del Mar Academy</v>
      </c>
      <c r="E223" s="13" t="str">
        <f>IFERROR(__xludf.DUMMYFUNCTION("""COMPUTED_VALUE"""),"Group 10")</f>
        <v>Group 10</v>
      </c>
      <c r="F223" s="13" t="str">
        <f>IFERROR(__xludf.DUMMYFUNCTION("""COMPUTED_VALUE"""),"2024 - 2025")</f>
        <v>2024 - 2025</v>
      </c>
      <c r="G223" s="13" t="str">
        <f>IFERROR(__xludf.DUMMYFUNCTION("""COMPUTED_VALUE"""),"2023 - 2024")</f>
        <v>2023 - 2024</v>
      </c>
      <c r="H223" s="13">
        <f>IFERROR(__xludf.DUMMYFUNCTION("""COMPUTED_VALUE"""),97.23)</f>
        <v>97.23</v>
      </c>
      <c r="I223" s="15">
        <f>IFERROR(__xludf.DUMMYFUNCTION("""COMPUTED_VALUE"""),2.769999999999996)</f>
        <v>2.77</v>
      </c>
    </row>
    <row r="224">
      <c r="A224" s="13" t="str">
        <f>IFERROR(__xludf.DUMMYFUNCTION("""COMPUTED_VALUE"""),"0180")</f>
        <v>0180</v>
      </c>
      <c r="B224" s="13" t="str">
        <f>IFERROR(__xludf.DUMMYFUNCTION("""COMPUTED_VALUE"""),"ADAMS-ARAPAHOE 28J")</f>
        <v>ADAMS-ARAPAHOE 28J</v>
      </c>
      <c r="C224" s="14" t="str">
        <f>IFERROR(__xludf.DUMMYFUNCTION("""COMPUTED_VALUE"""),"06160")</f>
        <v>06160</v>
      </c>
      <c r="D224" s="13" t="str">
        <f>IFERROR(__xludf.DUMMYFUNCTION("""COMPUTED_VALUE"""),"MRACHEK MIDDLE SCHOOL")</f>
        <v>MRACHEK MIDDLE SCHOOL</v>
      </c>
      <c r="E224" s="13" t="str">
        <f>IFERROR(__xludf.DUMMYFUNCTION("""COMPUTED_VALUE"""),"Group 11")</f>
        <v>Group 11</v>
      </c>
      <c r="F224" s="13" t="str">
        <f>IFERROR(__xludf.DUMMYFUNCTION("""COMPUTED_VALUE"""),"2024 - 2025")</f>
        <v>2024 - 2025</v>
      </c>
      <c r="G224" s="13" t="str">
        <f>IFERROR(__xludf.DUMMYFUNCTION("""COMPUTED_VALUE"""),"2023 - 2024")</f>
        <v>2023 - 2024</v>
      </c>
      <c r="H224" s="13">
        <f>IFERROR(__xludf.DUMMYFUNCTION("""COMPUTED_VALUE"""),96.0)</f>
        <v>96</v>
      </c>
      <c r="I224" s="15">
        <f>IFERROR(__xludf.DUMMYFUNCTION("""COMPUTED_VALUE"""),4.0)</f>
        <v>4</v>
      </c>
    </row>
    <row r="225">
      <c r="A225" s="13" t="str">
        <f>IFERROR(__xludf.DUMMYFUNCTION("""COMPUTED_VALUE"""),"0180")</f>
        <v>0180</v>
      </c>
      <c r="B225" s="13" t="str">
        <f>IFERROR(__xludf.DUMMYFUNCTION("""COMPUTED_VALUE"""),"ADAMS-ARAPAHOE 28J")</f>
        <v>ADAMS-ARAPAHOE 28J</v>
      </c>
      <c r="C225" s="14" t="str">
        <f>IFERROR(__xludf.DUMMYFUNCTION("""COMPUTED_VALUE"""),"09756")</f>
        <v>09756</v>
      </c>
      <c r="D225" s="13" t="str">
        <f>IFERROR(__xludf.DUMMYFUNCTION("""COMPUTED_VALUE"""),"YALE ELEMENTARY SCHOOL")</f>
        <v>YALE ELEMENTARY SCHOOL</v>
      </c>
      <c r="E225" s="13" t="str">
        <f>IFERROR(__xludf.DUMMYFUNCTION("""COMPUTED_VALUE"""),"Group 12")</f>
        <v>Group 12</v>
      </c>
      <c r="F225" s="13" t="str">
        <f>IFERROR(__xludf.DUMMYFUNCTION("""COMPUTED_VALUE"""),"2024 - 2025")</f>
        <v>2024 - 2025</v>
      </c>
      <c r="G225" s="13" t="str">
        <f>IFERROR(__xludf.DUMMYFUNCTION("""COMPUTED_VALUE"""),"2023 - 2024")</f>
        <v>2023 - 2024</v>
      </c>
      <c r="H225" s="13">
        <f>IFERROR(__xludf.DUMMYFUNCTION("""COMPUTED_VALUE"""),98.91)</f>
        <v>98.91</v>
      </c>
      <c r="I225" s="15">
        <f>IFERROR(__xludf.DUMMYFUNCTION("""COMPUTED_VALUE"""),1.0900000000000034)</f>
        <v>1.09</v>
      </c>
    </row>
    <row r="226">
      <c r="A226" s="13" t="str">
        <f>IFERROR(__xludf.DUMMYFUNCTION("""COMPUTED_VALUE"""),"0180")</f>
        <v>0180</v>
      </c>
      <c r="B226" s="13" t="str">
        <f>IFERROR(__xludf.DUMMYFUNCTION("""COMPUTED_VALUE"""),"ADAMS-ARAPAHOE 28J")</f>
        <v>ADAMS-ARAPAHOE 28J</v>
      </c>
      <c r="C226" s="14" t="str">
        <f>IFERROR(__xludf.DUMMYFUNCTION("""COMPUTED_VALUE"""),"09189")</f>
        <v>09189</v>
      </c>
      <c r="D226" s="13" t="str">
        <f>IFERROR(__xludf.DUMMYFUNCTION("""COMPUTED_VALUE"""),"VANGUARD CLASSICAL SCHOOL - EAST")</f>
        <v>VANGUARD CLASSICAL SCHOOL - EAST</v>
      </c>
      <c r="E226" s="13" t="str">
        <f>IFERROR(__xludf.DUMMYFUNCTION("""COMPUTED_VALUE"""),"Group 12")</f>
        <v>Group 12</v>
      </c>
      <c r="F226" s="13" t="str">
        <f>IFERROR(__xludf.DUMMYFUNCTION("""COMPUTED_VALUE"""),"2024 - 2025")</f>
        <v>2024 - 2025</v>
      </c>
      <c r="G226" s="13" t="str">
        <f>IFERROR(__xludf.DUMMYFUNCTION("""COMPUTED_VALUE"""),"2023 - 2024")</f>
        <v>2023 - 2024</v>
      </c>
      <c r="H226" s="13">
        <f>IFERROR(__xludf.DUMMYFUNCTION("""COMPUTED_VALUE"""),98.91)</f>
        <v>98.91</v>
      </c>
      <c r="I226" s="15">
        <f>IFERROR(__xludf.DUMMYFUNCTION("""COMPUTED_VALUE"""),1.0900000000000034)</f>
        <v>1.09</v>
      </c>
    </row>
    <row r="227">
      <c r="A227" s="13" t="str">
        <f>IFERROR(__xludf.DUMMYFUNCTION("""COMPUTED_VALUE"""),"0180")</f>
        <v>0180</v>
      </c>
      <c r="B227" s="13" t="str">
        <f>IFERROR(__xludf.DUMMYFUNCTION("""COMPUTED_VALUE"""),"ADAMS-ARAPAHOE 28J")</f>
        <v>ADAMS-ARAPAHOE 28J</v>
      </c>
      <c r="C227" s="14" t="str">
        <f>IFERROR(__xludf.DUMMYFUNCTION("""COMPUTED_VALUE"""),"02095")</f>
        <v>02095</v>
      </c>
      <c r="D227" s="13" t="str">
        <f>IFERROR(__xludf.DUMMYFUNCTION("""COMPUTED_VALUE"""),"DALTON ELEMENTARY SCHOOL")</f>
        <v>DALTON ELEMENTARY SCHOOL</v>
      </c>
      <c r="E227" s="13" t="str">
        <f>IFERROR(__xludf.DUMMYFUNCTION("""COMPUTED_VALUE"""),"Group 13")</f>
        <v>Group 13</v>
      </c>
      <c r="F227" s="13" t="str">
        <f>IFERROR(__xludf.DUMMYFUNCTION("""COMPUTED_VALUE"""),"2024 - 2025")</f>
        <v>2024 - 2025</v>
      </c>
      <c r="G227" s="13" t="str">
        <f>IFERROR(__xludf.DUMMYFUNCTION("""COMPUTED_VALUE"""),"2023 - 2024")</f>
        <v>2023 - 2024</v>
      </c>
      <c r="H227" s="13">
        <f>IFERROR(__xludf.DUMMYFUNCTION("""COMPUTED_VALUE"""),93.18)</f>
        <v>93.18</v>
      </c>
      <c r="I227" s="15">
        <f>IFERROR(__xludf.DUMMYFUNCTION("""COMPUTED_VALUE"""),6.819999999999993)</f>
        <v>6.82</v>
      </c>
    </row>
    <row r="228">
      <c r="A228" s="13" t="str">
        <f>IFERROR(__xludf.DUMMYFUNCTION("""COMPUTED_VALUE"""),"0180")</f>
        <v>0180</v>
      </c>
      <c r="B228" s="13" t="str">
        <f>IFERROR(__xludf.DUMMYFUNCTION("""COMPUTED_VALUE"""),"ADAMS-ARAPAHOE 28J")</f>
        <v>ADAMS-ARAPAHOE 28J</v>
      </c>
      <c r="C228" s="14" t="str">
        <f>IFERROR(__xludf.DUMMYFUNCTION("""COMPUTED_VALUE"""),"00213")</f>
        <v>00213</v>
      </c>
      <c r="D228" s="13" t="str">
        <f>IFERROR(__xludf.DUMMYFUNCTION("""COMPUTED_VALUE"""),"AXL ACADEMY")</f>
        <v>AXL ACADEMY</v>
      </c>
      <c r="E228" s="13" t="str">
        <f>IFERROR(__xludf.DUMMYFUNCTION("""COMPUTED_VALUE"""),"Group 14")</f>
        <v>Group 14</v>
      </c>
      <c r="F228" s="13" t="str">
        <f>IFERROR(__xludf.DUMMYFUNCTION("""COMPUTED_VALUE"""),"2024 - 2025")</f>
        <v>2024 - 2025</v>
      </c>
      <c r="G228" s="13" t="str">
        <f>IFERROR(__xludf.DUMMYFUNCTION("""COMPUTED_VALUE"""),"2023 - 2024")</f>
        <v>2023 - 2024</v>
      </c>
      <c r="H228" s="13">
        <f>IFERROR(__xludf.DUMMYFUNCTION("""COMPUTED_VALUE"""),98.03)</f>
        <v>98.03</v>
      </c>
      <c r="I228" s="15">
        <f>IFERROR(__xludf.DUMMYFUNCTION("""COMPUTED_VALUE"""),1.9699999999999989)</f>
        <v>1.97</v>
      </c>
    </row>
    <row r="229">
      <c r="A229" s="13" t="str">
        <f>IFERROR(__xludf.DUMMYFUNCTION("""COMPUTED_VALUE"""),"0180")</f>
        <v>0180</v>
      </c>
      <c r="B229" s="13" t="str">
        <f>IFERROR(__xludf.DUMMYFUNCTION("""COMPUTED_VALUE"""),"ADAMS-ARAPAHOE 28J")</f>
        <v>ADAMS-ARAPAHOE 28J</v>
      </c>
      <c r="C229" s="14" t="str">
        <f>IFERROR(__xludf.DUMMYFUNCTION("""COMPUTED_VALUE"""),"03354")</f>
        <v>03354</v>
      </c>
      <c r="D229" s="13" t="str">
        <f>IFERROR(__xludf.DUMMYFUNCTION("""COMPUTED_VALUE"""),"GATEWAY HIGH SCHOOL")</f>
        <v>GATEWAY HIGH SCHOOL</v>
      </c>
      <c r="E229" s="13" t="str">
        <f>IFERROR(__xludf.DUMMYFUNCTION("""COMPUTED_VALUE"""),"Group 15")</f>
        <v>Group 15</v>
      </c>
      <c r="F229" s="13" t="str">
        <f>IFERROR(__xludf.DUMMYFUNCTION("""COMPUTED_VALUE"""),"2024 - 2025")</f>
        <v>2024 - 2025</v>
      </c>
      <c r="G229" s="13" t="str">
        <f>IFERROR(__xludf.DUMMYFUNCTION("""COMPUTED_VALUE"""),"2023 - 2024")</f>
        <v>2023 - 2024</v>
      </c>
      <c r="H229" s="13">
        <f>IFERROR(__xludf.DUMMYFUNCTION("""COMPUTED_VALUE"""),91.01)</f>
        <v>91.01</v>
      </c>
      <c r="I229" s="15">
        <f>IFERROR(__xludf.DUMMYFUNCTION("""COMPUTED_VALUE"""),8.989999999999995)</f>
        <v>8.99</v>
      </c>
    </row>
    <row r="230">
      <c r="A230" s="13" t="str">
        <f>IFERROR(__xludf.DUMMYFUNCTION("""COMPUTED_VALUE"""),"0180")</f>
        <v>0180</v>
      </c>
      <c r="B230" s="13" t="str">
        <f>IFERROR(__xludf.DUMMYFUNCTION("""COMPUTED_VALUE"""),"ADAMS-ARAPAHOE 28J")</f>
        <v>ADAMS-ARAPAHOE 28J</v>
      </c>
      <c r="C230" s="14" t="str">
        <f>IFERROR(__xludf.DUMMYFUNCTION("""COMPUTED_VALUE"""),"00103")</f>
        <v>00103</v>
      </c>
      <c r="D230" s="13" t="str">
        <f>IFERROR(__xludf.DUMMYFUNCTION("""COMPUTED_VALUE"""),"Aurora Highlands P8")</f>
        <v>Aurora Highlands P8</v>
      </c>
      <c r="E230" s="13" t="str">
        <f>IFERROR(__xludf.DUMMYFUNCTION("""COMPUTED_VALUE"""),"Group 15")</f>
        <v>Group 15</v>
      </c>
      <c r="F230" s="13" t="str">
        <f>IFERROR(__xludf.DUMMYFUNCTION("""COMPUTED_VALUE"""),"2024 - 2025")</f>
        <v>2024 - 2025</v>
      </c>
      <c r="G230" s="13" t="str">
        <f>IFERROR(__xludf.DUMMYFUNCTION("""COMPUTED_VALUE"""),"2023 - 2024")</f>
        <v>2023 - 2024</v>
      </c>
      <c r="H230" s="13">
        <f>IFERROR(__xludf.DUMMYFUNCTION("""COMPUTED_VALUE"""),91.01)</f>
        <v>91.01</v>
      </c>
      <c r="I230" s="15">
        <f>IFERROR(__xludf.DUMMYFUNCTION("""COMPUTED_VALUE"""),8.989999999999995)</f>
        <v>8.99</v>
      </c>
    </row>
    <row r="231">
      <c r="A231" s="13" t="str">
        <f>IFERROR(__xludf.DUMMYFUNCTION("""COMPUTED_VALUE"""),"0180")</f>
        <v>0180</v>
      </c>
      <c r="B231" s="13" t="str">
        <f>IFERROR(__xludf.DUMMYFUNCTION("""COMPUTED_VALUE"""),"ADAMS-ARAPAHOE 28J")</f>
        <v>ADAMS-ARAPAHOE 28J</v>
      </c>
      <c r="C231" s="14" t="str">
        <f>IFERROR(__xludf.DUMMYFUNCTION("""COMPUTED_VALUE"""),"07250")</f>
        <v>07250</v>
      </c>
      <c r="D231" s="13" t="str">
        <f>IFERROR(__xludf.DUMMYFUNCTION("""COMPUTED_VALUE"""),"RANGEVIEW HIGH SCHOOL")</f>
        <v>RANGEVIEW HIGH SCHOOL</v>
      </c>
      <c r="E231" s="13" t="str">
        <f>IFERROR(__xludf.DUMMYFUNCTION("""COMPUTED_VALUE"""),"Group 16")</f>
        <v>Group 16</v>
      </c>
      <c r="F231" s="13" t="str">
        <f>IFERROR(__xludf.DUMMYFUNCTION("""COMPUTED_VALUE"""),"2024 - 2025")</f>
        <v>2024 - 2025</v>
      </c>
      <c r="G231" s="13" t="str">
        <f>IFERROR(__xludf.DUMMYFUNCTION("""COMPUTED_VALUE"""),"2023 - 2024")</f>
        <v>2023 - 2024</v>
      </c>
      <c r="H231" s="13">
        <f>IFERROR(__xludf.DUMMYFUNCTION("""COMPUTED_VALUE"""),69.92)</f>
        <v>69.92</v>
      </c>
      <c r="I231" s="15">
        <f>IFERROR(__xludf.DUMMYFUNCTION("""COMPUTED_VALUE"""),30.08)</f>
        <v>30.08</v>
      </c>
    </row>
    <row r="232">
      <c r="A232" s="13" t="str">
        <f>IFERROR(__xludf.DUMMYFUNCTION("""COMPUTED_VALUE"""),"0180")</f>
        <v>0180</v>
      </c>
      <c r="B232" s="13" t="str">
        <f>IFERROR(__xludf.DUMMYFUNCTION("""COMPUTED_VALUE"""),"ADAMS-ARAPAHOE 28J")</f>
        <v>ADAMS-ARAPAHOE 28J</v>
      </c>
      <c r="C232" s="14" t="str">
        <f>IFERROR(__xludf.DUMMYFUNCTION("""COMPUTED_VALUE"""),"09125")</f>
        <v>09125</v>
      </c>
      <c r="D232" s="13" t="str">
        <f>IFERROR(__xludf.DUMMYFUNCTION("""COMPUTED_VALUE"""),"VISTA PEAK 9-12 PREPARATORY")</f>
        <v>VISTA PEAK 9-12 PREPARATORY</v>
      </c>
      <c r="E232" s="13" t="str">
        <f>IFERROR(__xludf.DUMMYFUNCTION("""COMPUTED_VALUE"""),"Group 16")</f>
        <v>Group 16</v>
      </c>
      <c r="F232" s="13" t="str">
        <f>IFERROR(__xludf.DUMMYFUNCTION("""COMPUTED_VALUE"""),"2024 - 2025")</f>
        <v>2024 - 2025</v>
      </c>
      <c r="G232" s="13" t="str">
        <f>IFERROR(__xludf.DUMMYFUNCTION("""COMPUTED_VALUE"""),"2023 - 2024")</f>
        <v>2023 - 2024</v>
      </c>
      <c r="H232" s="13">
        <f>IFERROR(__xludf.DUMMYFUNCTION("""COMPUTED_VALUE"""),69.92)</f>
        <v>69.92</v>
      </c>
      <c r="I232" s="15">
        <f>IFERROR(__xludf.DUMMYFUNCTION("""COMPUTED_VALUE"""),30.08)</f>
        <v>30.08</v>
      </c>
    </row>
    <row r="233">
      <c r="A233" s="13" t="str">
        <f>IFERROR(__xludf.DUMMYFUNCTION("""COMPUTED_VALUE"""),"0180")</f>
        <v>0180</v>
      </c>
      <c r="B233" s="13" t="str">
        <f>IFERROR(__xludf.DUMMYFUNCTION("""COMPUTED_VALUE"""),"ADAMS-ARAPAHOE 28J")</f>
        <v>ADAMS-ARAPAHOE 28J</v>
      </c>
      <c r="C233" s="14" t="str">
        <f>IFERROR(__xludf.DUMMYFUNCTION("""COMPUTED_VALUE"""),"00214")</f>
        <v>00214</v>
      </c>
      <c r="D233" s="13" t="str">
        <f>IFERROR(__xludf.DUMMYFUNCTION("""COMPUTED_VALUE"""),"ALTURA ELEMENTARY SCHOOL")</f>
        <v>ALTURA ELEMENTARY SCHOOL</v>
      </c>
      <c r="E233" s="13" t="str">
        <f>IFERROR(__xludf.DUMMYFUNCTION("""COMPUTED_VALUE"""),"Group 17")</f>
        <v>Group 17</v>
      </c>
      <c r="F233" s="13" t="str">
        <f>IFERROR(__xludf.DUMMYFUNCTION("""COMPUTED_VALUE"""),"2024 - 2025")</f>
        <v>2024 - 2025</v>
      </c>
      <c r="G233" s="13" t="str">
        <f>IFERROR(__xludf.DUMMYFUNCTION("""COMPUTED_VALUE"""),"2023 - 2024")</f>
        <v>2023 - 2024</v>
      </c>
      <c r="H233" s="13">
        <f>IFERROR(__xludf.DUMMYFUNCTION("""COMPUTED_VALUE"""),99.89)</f>
        <v>99.89</v>
      </c>
      <c r="I233" s="15">
        <f>IFERROR(__xludf.DUMMYFUNCTION("""COMPUTED_VALUE"""),0.10999999999999943)</f>
        <v>0.11</v>
      </c>
    </row>
    <row r="234">
      <c r="A234" s="13" t="str">
        <f>IFERROR(__xludf.DUMMYFUNCTION("""COMPUTED_VALUE"""),"0180")</f>
        <v>0180</v>
      </c>
      <c r="B234" s="13" t="str">
        <f>IFERROR(__xludf.DUMMYFUNCTION("""COMPUTED_VALUE"""),"ADAMS-ARAPAHOE 28J")</f>
        <v>ADAMS-ARAPAHOE 28J</v>
      </c>
      <c r="C234" s="14" t="str">
        <f>IFERROR(__xludf.DUMMYFUNCTION("""COMPUTED_VALUE"""),"00310")</f>
        <v>00310</v>
      </c>
      <c r="D234" s="13" t="str">
        <f>IFERROR(__xludf.DUMMYFUNCTION("""COMPUTED_VALUE"""),"ARKANSAS ELEMENTARY SCHOOL")</f>
        <v>ARKANSAS ELEMENTARY SCHOOL</v>
      </c>
      <c r="E234" s="13" t="str">
        <f>IFERROR(__xludf.DUMMYFUNCTION("""COMPUTED_VALUE"""),"Group 17")</f>
        <v>Group 17</v>
      </c>
      <c r="F234" s="13" t="str">
        <f>IFERROR(__xludf.DUMMYFUNCTION("""COMPUTED_VALUE"""),"2024 - 2025")</f>
        <v>2024 - 2025</v>
      </c>
      <c r="G234" s="13" t="str">
        <f>IFERROR(__xludf.DUMMYFUNCTION("""COMPUTED_VALUE"""),"2023 - 2024")</f>
        <v>2023 - 2024</v>
      </c>
      <c r="H234" s="13">
        <f>IFERROR(__xludf.DUMMYFUNCTION("""COMPUTED_VALUE"""),99.89)</f>
        <v>99.89</v>
      </c>
      <c r="I234" s="15">
        <f>IFERROR(__xludf.DUMMYFUNCTION("""COMPUTED_VALUE"""),0.10999999999999943)</f>
        <v>0.11</v>
      </c>
    </row>
    <row r="235">
      <c r="A235" s="13" t="str">
        <f>IFERROR(__xludf.DUMMYFUNCTION("""COMPUTED_VALUE"""),"0180")</f>
        <v>0180</v>
      </c>
      <c r="B235" s="13" t="str">
        <f>IFERROR(__xludf.DUMMYFUNCTION("""COMPUTED_VALUE"""),"ADAMS-ARAPAHOE 28J")</f>
        <v>ADAMS-ARAPAHOE 28J</v>
      </c>
      <c r="C235" s="14" t="str">
        <f>IFERROR(__xludf.DUMMYFUNCTION("""COMPUTED_VALUE"""),"00458")</f>
        <v>00458</v>
      </c>
      <c r="D235" s="13" t="str">
        <f>IFERROR(__xludf.DUMMYFUNCTION("""COMPUTED_VALUE"""),"AURORA ACADEMY CHARTER SCHOOL")</f>
        <v>AURORA ACADEMY CHARTER SCHOOL</v>
      </c>
      <c r="E235" s="13" t="str">
        <f>IFERROR(__xludf.DUMMYFUNCTION("""COMPUTED_VALUE"""),"Group 17")</f>
        <v>Group 17</v>
      </c>
      <c r="F235" s="13" t="str">
        <f>IFERROR(__xludf.DUMMYFUNCTION("""COMPUTED_VALUE"""),"2024 - 2025")</f>
        <v>2024 - 2025</v>
      </c>
      <c r="G235" s="13" t="str">
        <f>IFERROR(__xludf.DUMMYFUNCTION("""COMPUTED_VALUE"""),"2023 - 2024")</f>
        <v>2023 - 2024</v>
      </c>
      <c r="H235" s="13">
        <f>IFERROR(__xludf.DUMMYFUNCTION("""COMPUTED_VALUE"""),99.89)</f>
        <v>99.89</v>
      </c>
      <c r="I235" s="15">
        <f>IFERROR(__xludf.DUMMYFUNCTION("""COMPUTED_VALUE"""),0.10999999999999943)</f>
        <v>0.11</v>
      </c>
    </row>
    <row r="236">
      <c r="A236" s="13" t="str">
        <f>IFERROR(__xludf.DUMMYFUNCTION("""COMPUTED_VALUE"""),"0180")</f>
        <v>0180</v>
      </c>
      <c r="B236" s="13" t="str">
        <f>IFERROR(__xludf.DUMMYFUNCTION("""COMPUTED_VALUE"""),"ADAMS-ARAPAHOE 28J")</f>
        <v>ADAMS-ARAPAHOE 28J</v>
      </c>
      <c r="C236" s="14" t="str">
        <f>IFERROR(__xludf.DUMMYFUNCTION("""COMPUTED_VALUE"""),"00914")</f>
        <v>00914</v>
      </c>
      <c r="D236" s="13" t="str">
        <f>IFERROR(__xludf.DUMMYFUNCTION("""COMPUTED_VALUE"""),"BOSTON K-8 SCHOOL")</f>
        <v>BOSTON K-8 SCHOOL</v>
      </c>
      <c r="E236" s="13" t="str">
        <f>IFERROR(__xludf.DUMMYFUNCTION("""COMPUTED_VALUE"""),"Group 17")</f>
        <v>Group 17</v>
      </c>
      <c r="F236" s="13" t="str">
        <f>IFERROR(__xludf.DUMMYFUNCTION("""COMPUTED_VALUE"""),"2024 - 2025")</f>
        <v>2024 - 2025</v>
      </c>
      <c r="G236" s="13" t="str">
        <f>IFERROR(__xludf.DUMMYFUNCTION("""COMPUTED_VALUE"""),"2023 - 2024")</f>
        <v>2023 - 2024</v>
      </c>
      <c r="H236" s="13">
        <f>IFERROR(__xludf.DUMMYFUNCTION("""COMPUTED_VALUE"""),99.89)</f>
        <v>99.89</v>
      </c>
      <c r="I236" s="15">
        <f>IFERROR(__xludf.DUMMYFUNCTION("""COMPUTED_VALUE"""),0.10999999999999943)</f>
        <v>0.11</v>
      </c>
    </row>
    <row r="237">
      <c r="A237" s="13" t="str">
        <f>IFERROR(__xludf.DUMMYFUNCTION("""COMPUTED_VALUE"""),"0180")</f>
        <v>0180</v>
      </c>
      <c r="B237" s="13" t="str">
        <f>IFERROR(__xludf.DUMMYFUNCTION("""COMPUTED_VALUE"""),"ADAMS-ARAPAHOE 28J")</f>
        <v>ADAMS-ARAPAHOE 28J</v>
      </c>
      <c r="C237" s="14" t="str">
        <f>IFERROR(__xludf.DUMMYFUNCTION("""COMPUTED_VALUE"""),"01720")</f>
        <v>01720</v>
      </c>
      <c r="D237" s="13" t="str">
        <f>IFERROR(__xludf.DUMMYFUNCTION("""COMPUTED_VALUE"""),"CLYDE MILLER K-8")</f>
        <v>CLYDE MILLER K-8</v>
      </c>
      <c r="E237" s="13" t="str">
        <f>IFERROR(__xludf.DUMMYFUNCTION("""COMPUTED_VALUE"""),"Group 17")</f>
        <v>Group 17</v>
      </c>
      <c r="F237" s="13" t="str">
        <f>IFERROR(__xludf.DUMMYFUNCTION("""COMPUTED_VALUE"""),"2024 - 2025")</f>
        <v>2024 - 2025</v>
      </c>
      <c r="G237" s="13" t="str">
        <f>IFERROR(__xludf.DUMMYFUNCTION("""COMPUTED_VALUE"""),"2023 - 2024")</f>
        <v>2023 - 2024</v>
      </c>
      <c r="H237" s="13">
        <f>IFERROR(__xludf.DUMMYFUNCTION("""COMPUTED_VALUE"""),99.89)</f>
        <v>99.89</v>
      </c>
      <c r="I237" s="15">
        <f>IFERROR(__xludf.DUMMYFUNCTION("""COMPUTED_VALUE"""),0.10999999999999943)</f>
        <v>0.11</v>
      </c>
    </row>
    <row r="238">
      <c r="A238" s="13" t="str">
        <f>IFERROR(__xludf.DUMMYFUNCTION("""COMPUTED_VALUE"""),"0180")</f>
        <v>0180</v>
      </c>
      <c r="B238" s="13" t="str">
        <f>IFERROR(__xludf.DUMMYFUNCTION("""COMPUTED_VALUE"""),"ADAMS-ARAPAHOE 28J")</f>
        <v>ADAMS-ARAPAHOE 28J</v>
      </c>
      <c r="C238" s="14" t="str">
        <f>IFERROR(__xludf.DUMMYFUNCTION("""COMPUTED_VALUE"""),"01800")</f>
        <v>01800</v>
      </c>
      <c r="D238" s="13" t="str">
        <f>IFERROR(__xludf.DUMMYFUNCTION("""COMPUTED_VALUE"""),"COLUMBIA MIDDLE SCHOOL")</f>
        <v>COLUMBIA MIDDLE SCHOOL</v>
      </c>
      <c r="E238" s="13" t="str">
        <f>IFERROR(__xludf.DUMMYFUNCTION("""COMPUTED_VALUE"""),"Group 17")</f>
        <v>Group 17</v>
      </c>
      <c r="F238" s="13" t="str">
        <f>IFERROR(__xludf.DUMMYFUNCTION("""COMPUTED_VALUE"""),"2024 - 2025")</f>
        <v>2024 - 2025</v>
      </c>
      <c r="G238" s="13" t="str">
        <f>IFERROR(__xludf.DUMMYFUNCTION("""COMPUTED_VALUE"""),"2023 - 2024")</f>
        <v>2023 - 2024</v>
      </c>
      <c r="H238" s="13">
        <f>IFERROR(__xludf.DUMMYFUNCTION("""COMPUTED_VALUE"""),99.89)</f>
        <v>99.89</v>
      </c>
      <c r="I238" s="15">
        <f>IFERROR(__xludf.DUMMYFUNCTION("""COMPUTED_VALUE"""),0.10999999999999943)</f>
        <v>0.11</v>
      </c>
    </row>
    <row r="239">
      <c r="A239" s="13" t="str">
        <f>IFERROR(__xludf.DUMMYFUNCTION("""COMPUTED_VALUE"""),"0180")</f>
        <v>0180</v>
      </c>
      <c r="B239" s="13" t="str">
        <f>IFERROR(__xludf.DUMMYFUNCTION("""COMPUTED_VALUE"""),"ADAMS-ARAPAHOE 28J")</f>
        <v>ADAMS-ARAPAHOE 28J</v>
      </c>
      <c r="C239" s="14" t="str">
        <f>IFERROR(__xludf.DUMMYFUNCTION("""COMPUTED_VALUE"""),"01948")</f>
        <v>01948</v>
      </c>
      <c r="D239" s="13" t="str">
        <f>IFERROR(__xludf.DUMMYFUNCTION("""COMPUTED_VALUE"""),"CRAWFORD ELEMENTARY SCHOOL")</f>
        <v>CRAWFORD ELEMENTARY SCHOOL</v>
      </c>
      <c r="E239" s="13" t="str">
        <f>IFERROR(__xludf.DUMMYFUNCTION("""COMPUTED_VALUE"""),"Group 17")</f>
        <v>Group 17</v>
      </c>
      <c r="F239" s="13" t="str">
        <f>IFERROR(__xludf.DUMMYFUNCTION("""COMPUTED_VALUE"""),"2024 - 2025")</f>
        <v>2024 - 2025</v>
      </c>
      <c r="G239" s="13" t="str">
        <f>IFERROR(__xludf.DUMMYFUNCTION("""COMPUTED_VALUE"""),"2023 - 2024")</f>
        <v>2023 - 2024</v>
      </c>
      <c r="H239" s="13">
        <f>IFERROR(__xludf.DUMMYFUNCTION("""COMPUTED_VALUE"""),99.89)</f>
        <v>99.89</v>
      </c>
      <c r="I239" s="15">
        <f>IFERROR(__xludf.DUMMYFUNCTION("""COMPUTED_VALUE"""),0.10999999999999943)</f>
        <v>0.11</v>
      </c>
    </row>
    <row r="240">
      <c r="A240" s="13" t="str">
        <f>IFERROR(__xludf.DUMMYFUNCTION("""COMPUTED_VALUE"""),"0180")</f>
        <v>0180</v>
      </c>
      <c r="B240" s="13" t="str">
        <f>IFERROR(__xludf.DUMMYFUNCTION("""COMPUTED_VALUE"""),"ADAMS-ARAPAHOE 28J")</f>
        <v>ADAMS-ARAPAHOE 28J</v>
      </c>
      <c r="C240" s="14" t="str">
        <f>IFERROR(__xludf.DUMMYFUNCTION("""COMPUTED_VALUE"""),"02384")</f>
        <v>02384</v>
      </c>
      <c r="D240" s="13" t="str">
        <f>IFERROR(__xludf.DUMMYFUNCTION("""COMPUTED_VALUE"""),"EAST MIDDLE SCHOOL")</f>
        <v>EAST MIDDLE SCHOOL</v>
      </c>
      <c r="E240" s="13" t="str">
        <f>IFERROR(__xludf.DUMMYFUNCTION("""COMPUTED_VALUE"""),"Group 17")</f>
        <v>Group 17</v>
      </c>
      <c r="F240" s="13" t="str">
        <f>IFERROR(__xludf.DUMMYFUNCTION("""COMPUTED_VALUE"""),"2024 - 2025")</f>
        <v>2024 - 2025</v>
      </c>
      <c r="G240" s="13" t="str">
        <f>IFERROR(__xludf.DUMMYFUNCTION("""COMPUTED_VALUE"""),"2023 - 2024")</f>
        <v>2023 - 2024</v>
      </c>
      <c r="H240" s="13">
        <f>IFERROR(__xludf.DUMMYFUNCTION("""COMPUTED_VALUE"""),99.89)</f>
        <v>99.89</v>
      </c>
      <c r="I240" s="15">
        <f>IFERROR(__xludf.DUMMYFUNCTION("""COMPUTED_VALUE"""),0.10999999999999943)</f>
        <v>0.11</v>
      </c>
    </row>
    <row r="241">
      <c r="A241" s="13" t="str">
        <f>IFERROR(__xludf.DUMMYFUNCTION("""COMPUTED_VALUE"""),"0180")</f>
        <v>0180</v>
      </c>
      <c r="B241" s="13" t="str">
        <f>IFERROR(__xludf.DUMMYFUNCTION("""COMPUTED_VALUE"""),"ADAMS-ARAPAHOE 28J")</f>
        <v>ADAMS-ARAPAHOE 28J</v>
      </c>
      <c r="C241" s="14" t="str">
        <f>IFERROR(__xludf.DUMMYFUNCTION("""COMPUTED_VALUE"""),"04646")</f>
        <v>04646</v>
      </c>
      <c r="D241" s="13" t="str">
        <f>IFERROR(__xludf.DUMMYFUNCTION("""COMPUTED_VALUE"""),"KENTON ELEMENTARY SCHOOL")</f>
        <v>KENTON ELEMENTARY SCHOOL</v>
      </c>
      <c r="E241" s="13" t="str">
        <f>IFERROR(__xludf.DUMMYFUNCTION("""COMPUTED_VALUE"""),"Group 17")</f>
        <v>Group 17</v>
      </c>
      <c r="F241" s="13" t="str">
        <f>IFERROR(__xludf.DUMMYFUNCTION("""COMPUTED_VALUE"""),"2024 - 2025")</f>
        <v>2024 - 2025</v>
      </c>
      <c r="G241" s="13" t="str">
        <f>IFERROR(__xludf.DUMMYFUNCTION("""COMPUTED_VALUE"""),"2023 - 2024")</f>
        <v>2023 - 2024</v>
      </c>
      <c r="H241" s="13">
        <f>IFERROR(__xludf.DUMMYFUNCTION("""COMPUTED_VALUE"""),99.89)</f>
        <v>99.89</v>
      </c>
      <c r="I241" s="15">
        <f>IFERROR(__xludf.DUMMYFUNCTION("""COMPUTED_VALUE"""),0.10999999999999943)</f>
        <v>0.11</v>
      </c>
    </row>
    <row r="242">
      <c r="A242" s="13" t="str">
        <f>IFERROR(__xludf.DUMMYFUNCTION("""COMPUTED_VALUE"""),"0180")</f>
        <v>0180</v>
      </c>
      <c r="B242" s="13" t="str">
        <f>IFERROR(__xludf.DUMMYFUNCTION("""COMPUTED_VALUE"""),"ADAMS-ARAPAHOE 28J")</f>
        <v>ADAMS-ARAPAHOE 28J</v>
      </c>
      <c r="C242" s="14" t="str">
        <f>IFERROR(__xludf.DUMMYFUNCTION("""COMPUTED_VALUE"""),"04970")</f>
        <v>04970</v>
      </c>
      <c r="D242" s="13" t="str">
        <f>IFERROR(__xludf.DUMMYFUNCTION("""COMPUTED_VALUE"""),"LANSING ELEMENTARY COMMUNITY SCHOOL")</f>
        <v>LANSING ELEMENTARY COMMUNITY SCHOOL</v>
      </c>
      <c r="E242" s="13" t="str">
        <f>IFERROR(__xludf.DUMMYFUNCTION("""COMPUTED_VALUE"""),"Group 17")</f>
        <v>Group 17</v>
      </c>
      <c r="F242" s="13" t="str">
        <f>IFERROR(__xludf.DUMMYFUNCTION("""COMPUTED_VALUE"""),"2024 - 2025")</f>
        <v>2024 - 2025</v>
      </c>
      <c r="G242" s="13" t="str">
        <f>IFERROR(__xludf.DUMMYFUNCTION("""COMPUTED_VALUE"""),"2023 - 2024")</f>
        <v>2023 - 2024</v>
      </c>
      <c r="H242" s="13">
        <f>IFERROR(__xludf.DUMMYFUNCTION("""COMPUTED_VALUE"""),99.89)</f>
        <v>99.89</v>
      </c>
      <c r="I242" s="15">
        <f>IFERROR(__xludf.DUMMYFUNCTION("""COMPUTED_VALUE"""),0.10999999999999943)</f>
        <v>0.11</v>
      </c>
    </row>
    <row r="243">
      <c r="A243" s="13" t="str">
        <f>IFERROR(__xludf.DUMMYFUNCTION("""COMPUTED_VALUE"""),"0180")</f>
        <v>0180</v>
      </c>
      <c r="B243" s="13" t="str">
        <f>IFERROR(__xludf.DUMMYFUNCTION("""COMPUTED_VALUE"""),"ADAMS-ARAPAHOE 28J")</f>
        <v>ADAMS-ARAPAHOE 28J</v>
      </c>
      <c r="C243" s="14" t="str">
        <f>IFERROR(__xludf.DUMMYFUNCTION("""COMPUTED_VALUE"""),"06068")</f>
        <v>06068</v>
      </c>
      <c r="D243" s="13" t="str">
        <f>IFERROR(__xludf.DUMMYFUNCTION("""COMPUTED_VALUE"""),"MONTVIEW MATH &amp; HEALTH SCIENCES ELEMENTARY SCHOOL")</f>
        <v>MONTVIEW MATH &amp; HEALTH SCIENCES ELEMENTARY SCHOOL</v>
      </c>
      <c r="E243" s="13" t="str">
        <f>IFERROR(__xludf.DUMMYFUNCTION("""COMPUTED_VALUE"""),"Group 17")</f>
        <v>Group 17</v>
      </c>
      <c r="F243" s="13" t="str">
        <f>IFERROR(__xludf.DUMMYFUNCTION("""COMPUTED_VALUE"""),"2024 - 2025")</f>
        <v>2024 - 2025</v>
      </c>
      <c r="G243" s="13" t="str">
        <f>IFERROR(__xludf.DUMMYFUNCTION("""COMPUTED_VALUE"""),"2023 - 2024")</f>
        <v>2023 - 2024</v>
      </c>
      <c r="H243" s="13">
        <f>IFERROR(__xludf.DUMMYFUNCTION("""COMPUTED_VALUE"""),99.89)</f>
        <v>99.89</v>
      </c>
      <c r="I243" s="15">
        <f>IFERROR(__xludf.DUMMYFUNCTION("""COMPUTED_VALUE"""),0.10999999999999943)</f>
        <v>0.11</v>
      </c>
    </row>
    <row r="244">
      <c r="A244" s="13" t="str">
        <f>IFERROR(__xludf.DUMMYFUNCTION("""COMPUTED_VALUE"""),"0180")</f>
        <v>0180</v>
      </c>
      <c r="B244" s="13" t="str">
        <f>IFERROR(__xludf.DUMMYFUNCTION("""COMPUTED_VALUE"""),"ADAMS-ARAPAHOE 28J")</f>
        <v>ADAMS-ARAPAHOE 28J</v>
      </c>
      <c r="C244" s="14" t="str">
        <f>IFERROR(__xludf.DUMMYFUNCTION("""COMPUTED_VALUE"""),"09060")</f>
        <v>09060</v>
      </c>
      <c r="D244" s="13" t="str">
        <f>IFERROR(__xludf.DUMMYFUNCTION("""COMPUTED_VALUE"""),"VAUGHN ELEMENTARY SCHOOL")</f>
        <v>VAUGHN ELEMENTARY SCHOOL</v>
      </c>
      <c r="E244" s="13" t="str">
        <f>IFERROR(__xludf.DUMMYFUNCTION("""COMPUTED_VALUE"""),"Group 17")</f>
        <v>Group 17</v>
      </c>
      <c r="F244" s="13" t="str">
        <f>IFERROR(__xludf.DUMMYFUNCTION("""COMPUTED_VALUE"""),"2024 - 2025")</f>
        <v>2024 - 2025</v>
      </c>
      <c r="G244" s="13" t="str">
        <f>IFERROR(__xludf.DUMMYFUNCTION("""COMPUTED_VALUE"""),"2023 - 2024")</f>
        <v>2023 - 2024</v>
      </c>
      <c r="H244" s="13">
        <f>IFERROR(__xludf.DUMMYFUNCTION("""COMPUTED_VALUE"""),99.89)</f>
        <v>99.89</v>
      </c>
      <c r="I244" s="15">
        <f>IFERROR(__xludf.DUMMYFUNCTION("""COMPUTED_VALUE"""),0.10999999999999943)</f>
        <v>0.11</v>
      </c>
    </row>
    <row r="245">
      <c r="A245" s="13" t="str">
        <f>IFERROR(__xludf.DUMMYFUNCTION("""COMPUTED_VALUE"""),"0180")</f>
        <v>0180</v>
      </c>
      <c r="B245" s="13" t="str">
        <f>IFERROR(__xludf.DUMMYFUNCTION("""COMPUTED_VALUE"""),"ADAMS-ARAPAHOE 28J")</f>
        <v>ADAMS-ARAPAHOE 28J</v>
      </c>
      <c r="C245" s="14" t="str">
        <f>IFERROR(__xludf.DUMMYFUNCTION("""COMPUTED_VALUE"""),"09514")</f>
        <v>09514</v>
      </c>
      <c r="D245" s="13" t="str">
        <f>IFERROR(__xludf.DUMMYFUNCTION("""COMPUTED_VALUE"""),"Clara Brown Entrepreneurial Academy")</f>
        <v>Clara Brown Entrepreneurial Academy</v>
      </c>
      <c r="E245" s="13" t="str">
        <f>IFERROR(__xludf.DUMMYFUNCTION("""COMPUTED_VALUE"""),"Group 17")</f>
        <v>Group 17</v>
      </c>
      <c r="F245" s="13" t="str">
        <f>IFERROR(__xludf.DUMMYFUNCTION("""COMPUTED_VALUE"""),"2024 - 2025")</f>
        <v>2024 - 2025</v>
      </c>
      <c r="G245" s="13" t="str">
        <f>IFERROR(__xludf.DUMMYFUNCTION("""COMPUTED_VALUE"""),"2023 - 2024")</f>
        <v>2023 - 2024</v>
      </c>
      <c r="H245" s="13">
        <f>IFERROR(__xludf.DUMMYFUNCTION("""COMPUTED_VALUE"""),99.89)</f>
        <v>99.89</v>
      </c>
      <c r="I245" s="15">
        <f>IFERROR(__xludf.DUMMYFUNCTION("""COMPUTED_VALUE"""),0.10999999999999943)</f>
        <v>0.11</v>
      </c>
    </row>
    <row r="246">
      <c r="A246" s="13" t="str">
        <f>IFERROR(__xludf.DUMMYFUNCTION("""COMPUTED_VALUE"""),"0180")</f>
        <v>0180</v>
      </c>
      <c r="B246" s="13" t="str">
        <f>IFERROR(__xludf.DUMMYFUNCTION("""COMPUTED_VALUE"""),"ADAMS-ARAPAHOE 28J")</f>
        <v>ADAMS-ARAPAHOE 28J</v>
      </c>
      <c r="C246" s="14" t="str">
        <f>IFERROR(__xludf.DUMMYFUNCTION("""COMPUTED_VALUE"""),"05957")</f>
        <v>05957</v>
      </c>
      <c r="D246" s="13" t="str">
        <f>IFERROR(__xludf.DUMMYFUNCTION("""COMPUTED_VALUE"""),"MONTESSORI DEL MUNDO CHARTER SCHOOL")</f>
        <v>MONTESSORI DEL MUNDO CHARTER SCHOOL</v>
      </c>
      <c r="E246" s="13" t="str">
        <f>IFERROR(__xludf.DUMMYFUNCTION("""COMPUTED_VALUE"""),"Group 17")</f>
        <v>Group 17</v>
      </c>
      <c r="F246" s="13" t="str">
        <f>IFERROR(__xludf.DUMMYFUNCTION("""COMPUTED_VALUE"""),"2024 - 2025")</f>
        <v>2024 - 2025</v>
      </c>
      <c r="G246" s="13" t="str">
        <f>IFERROR(__xludf.DUMMYFUNCTION("""COMPUTED_VALUE"""),"2023 - 2024")</f>
        <v>2023 - 2024</v>
      </c>
      <c r="H246" s="13">
        <f>IFERROR(__xludf.DUMMYFUNCTION("""COMPUTED_VALUE"""),99.89)</f>
        <v>99.89</v>
      </c>
      <c r="I246" s="15">
        <f>IFERROR(__xludf.DUMMYFUNCTION("""COMPUTED_VALUE"""),0.10999999999999943)</f>
        <v>0.11</v>
      </c>
    </row>
    <row r="247">
      <c r="A247" s="13" t="str">
        <f>IFERROR(__xludf.DUMMYFUNCTION("""COMPUTED_VALUE"""),"0180")</f>
        <v>0180</v>
      </c>
      <c r="B247" s="13" t="str">
        <f>IFERROR(__xludf.DUMMYFUNCTION("""COMPUTED_VALUE"""),"ADAMS-ARAPAHOE 28J")</f>
        <v>ADAMS-ARAPAHOE 28J</v>
      </c>
      <c r="C247" s="14" t="str">
        <f>IFERROR(__xludf.DUMMYFUNCTION("""COMPUTED_VALUE"""),"02114")</f>
        <v>02114</v>
      </c>
      <c r="D247" s="13" t="str">
        <f>IFERROR(__xludf.DUMMYFUNCTION("""COMPUTED_VALUE"""),"DARTMOUTH ELEMENTARY SCHOOL")</f>
        <v>DARTMOUTH ELEMENTARY SCHOOL</v>
      </c>
      <c r="E247" s="13" t="str">
        <f>IFERROR(__xludf.DUMMYFUNCTION("""COMPUTED_VALUE"""),"Group 2")</f>
        <v>Group 2</v>
      </c>
      <c r="F247" s="13" t="str">
        <f>IFERROR(__xludf.DUMMYFUNCTION("""COMPUTED_VALUE"""),"2024 - 2025")</f>
        <v>2024 - 2025</v>
      </c>
      <c r="G247" s="13" t="str">
        <f>IFERROR(__xludf.DUMMYFUNCTION("""COMPUTED_VALUE"""),"2023 - 2024")</f>
        <v>2023 - 2024</v>
      </c>
      <c r="H247" s="13">
        <f>IFERROR(__xludf.DUMMYFUNCTION("""COMPUTED_VALUE"""),91.54)</f>
        <v>91.54</v>
      </c>
      <c r="I247" s="15">
        <f>IFERROR(__xludf.DUMMYFUNCTION("""COMPUTED_VALUE"""),8.459999999999994)</f>
        <v>8.46</v>
      </c>
    </row>
    <row r="248">
      <c r="A248" s="13" t="str">
        <f>IFERROR(__xludf.DUMMYFUNCTION("""COMPUTED_VALUE"""),"0180")</f>
        <v>0180</v>
      </c>
      <c r="B248" s="13" t="str">
        <f>IFERROR(__xludf.DUMMYFUNCTION("""COMPUTED_VALUE"""),"ADAMS-ARAPAHOE 28J")</f>
        <v>ADAMS-ARAPAHOE 28J</v>
      </c>
      <c r="C248" s="14" t="str">
        <f>IFERROR(__xludf.DUMMYFUNCTION("""COMPUTED_VALUE"""),"04385")</f>
        <v>04385</v>
      </c>
      <c r="D248" s="13" t="str">
        <f>IFERROR(__xludf.DUMMYFUNCTION("""COMPUTED_VALUE"""),"JAMAICA CHILD DEVELOPMENT CENTER")</f>
        <v>JAMAICA CHILD DEVELOPMENT CENTER</v>
      </c>
      <c r="E248" s="13" t="str">
        <f>IFERROR(__xludf.DUMMYFUNCTION("""COMPUTED_VALUE"""),"Group 3")</f>
        <v>Group 3</v>
      </c>
      <c r="F248" s="13" t="str">
        <f>IFERROR(__xludf.DUMMYFUNCTION("""COMPUTED_VALUE"""),"2024 - 2025")</f>
        <v>2024 - 2025</v>
      </c>
      <c r="G248" s="13" t="str">
        <f>IFERROR(__xludf.DUMMYFUNCTION("""COMPUTED_VALUE"""),"2023 - 2024")</f>
        <v>2023 - 2024</v>
      </c>
      <c r="H248" s="13">
        <f>IFERROR(__xludf.DUMMYFUNCTION("""COMPUTED_VALUE"""),89.09)</f>
        <v>89.09</v>
      </c>
      <c r="I248" s="15">
        <f>IFERROR(__xludf.DUMMYFUNCTION("""COMPUTED_VALUE"""),10.909999999999997)</f>
        <v>10.91</v>
      </c>
    </row>
    <row r="249">
      <c r="A249" s="13" t="str">
        <f>IFERROR(__xludf.DUMMYFUNCTION("""COMPUTED_VALUE"""),"0180")</f>
        <v>0180</v>
      </c>
      <c r="B249" s="13" t="str">
        <f>IFERROR(__xludf.DUMMYFUNCTION("""COMPUTED_VALUE"""),"ADAMS-ARAPAHOE 28J")</f>
        <v>ADAMS-ARAPAHOE 28J</v>
      </c>
      <c r="C249" s="14" t="str">
        <f>IFERROR(__xludf.DUMMYFUNCTION("""COMPUTED_VALUE"""),"07865")</f>
        <v>07865</v>
      </c>
      <c r="D249" s="13" t="str">
        <f>IFERROR(__xludf.DUMMYFUNCTION("""COMPUTED_VALUE"""),"SIDE CREEK ELEMENTARY SCHOOL")</f>
        <v>SIDE CREEK ELEMENTARY SCHOOL</v>
      </c>
      <c r="E249" s="13" t="str">
        <f>IFERROR(__xludf.DUMMYFUNCTION("""COMPUTED_VALUE"""),"Group 3")</f>
        <v>Group 3</v>
      </c>
      <c r="F249" s="13" t="str">
        <f>IFERROR(__xludf.DUMMYFUNCTION("""COMPUTED_VALUE"""),"2024 - 2025")</f>
        <v>2024 - 2025</v>
      </c>
      <c r="G249" s="13" t="str">
        <f>IFERROR(__xludf.DUMMYFUNCTION("""COMPUTED_VALUE"""),"2023 - 2024")</f>
        <v>2023 - 2024</v>
      </c>
      <c r="H249" s="13">
        <f>IFERROR(__xludf.DUMMYFUNCTION("""COMPUTED_VALUE"""),89.09)</f>
        <v>89.09</v>
      </c>
      <c r="I249" s="15">
        <f>IFERROR(__xludf.DUMMYFUNCTION("""COMPUTED_VALUE"""),10.909999999999997)</f>
        <v>10.91</v>
      </c>
    </row>
    <row r="250">
      <c r="A250" s="13" t="str">
        <f>IFERROR(__xludf.DUMMYFUNCTION("""COMPUTED_VALUE"""),"0180")</f>
        <v>0180</v>
      </c>
      <c r="B250" s="13" t="str">
        <f>IFERROR(__xludf.DUMMYFUNCTION("""COMPUTED_VALUE"""),"ADAMS-ARAPAHOE 28J")</f>
        <v>ADAMS-ARAPAHOE 28J</v>
      </c>
      <c r="C250" s="14" t="str">
        <f>IFERROR(__xludf.DUMMYFUNCTION("""COMPUTED_VALUE"""),"00464")</f>
        <v>00464</v>
      </c>
      <c r="D250" s="13" t="str">
        <f>IFERROR(__xludf.DUMMYFUNCTION("""COMPUTED_VALUE"""),"AURORA HILLS MIDDLE SCHOOL")</f>
        <v>AURORA HILLS MIDDLE SCHOOL</v>
      </c>
      <c r="E250" s="13" t="str">
        <f>IFERROR(__xludf.DUMMYFUNCTION("""COMPUTED_VALUE"""),"Group 4")</f>
        <v>Group 4</v>
      </c>
      <c r="F250" s="13" t="str">
        <f>IFERROR(__xludf.DUMMYFUNCTION("""COMPUTED_VALUE"""),"2024 - 2025")</f>
        <v>2024 - 2025</v>
      </c>
      <c r="G250" s="13" t="str">
        <f>IFERROR(__xludf.DUMMYFUNCTION("""COMPUTED_VALUE"""),"2023 - 2024")</f>
        <v>2023 - 2024</v>
      </c>
      <c r="H250" s="13">
        <f>IFERROR(__xludf.DUMMYFUNCTION("""COMPUTED_VALUE"""),99.63)</f>
        <v>99.63</v>
      </c>
      <c r="I250" s="15">
        <f>IFERROR(__xludf.DUMMYFUNCTION("""COMPUTED_VALUE"""),0.37000000000000455)</f>
        <v>0.37</v>
      </c>
    </row>
    <row r="251">
      <c r="A251" s="13" t="str">
        <f>IFERROR(__xludf.DUMMYFUNCTION("""COMPUTED_VALUE"""),"0180")</f>
        <v>0180</v>
      </c>
      <c r="B251" s="13" t="str">
        <f>IFERROR(__xludf.DUMMYFUNCTION("""COMPUTED_VALUE"""),"ADAMS-ARAPAHOE 28J")</f>
        <v>ADAMS-ARAPAHOE 28J</v>
      </c>
      <c r="C251" s="14" t="str">
        <f>IFERROR(__xludf.DUMMYFUNCTION("""COMPUTED_VALUE"""),"09059")</f>
        <v>09059</v>
      </c>
      <c r="D251" s="13" t="str">
        <f>IFERROR(__xludf.DUMMYFUNCTION("""COMPUTED_VALUE"""),"VASSAR ELEMENTARY SCHOOL")</f>
        <v>VASSAR ELEMENTARY SCHOOL</v>
      </c>
      <c r="E251" s="13" t="str">
        <f>IFERROR(__xludf.DUMMYFUNCTION("""COMPUTED_VALUE"""),"Group 4")</f>
        <v>Group 4</v>
      </c>
      <c r="F251" s="13" t="str">
        <f>IFERROR(__xludf.DUMMYFUNCTION("""COMPUTED_VALUE"""),"2024 - 2025")</f>
        <v>2024 - 2025</v>
      </c>
      <c r="G251" s="13" t="str">
        <f>IFERROR(__xludf.DUMMYFUNCTION("""COMPUTED_VALUE"""),"2023 - 2024")</f>
        <v>2023 - 2024</v>
      </c>
      <c r="H251" s="13">
        <f>IFERROR(__xludf.DUMMYFUNCTION("""COMPUTED_VALUE"""),99.63)</f>
        <v>99.63</v>
      </c>
      <c r="I251" s="15">
        <f>IFERROR(__xludf.DUMMYFUNCTION("""COMPUTED_VALUE"""),0.37000000000000455)</f>
        <v>0.37</v>
      </c>
    </row>
    <row r="252">
      <c r="A252" s="13" t="str">
        <f>IFERROR(__xludf.DUMMYFUNCTION("""COMPUTED_VALUE"""),"0180")</f>
        <v>0180</v>
      </c>
      <c r="B252" s="13" t="str">
        <f>IFERROR(__xludf.DUMMYFUNCTION("""COMPUTED_VALUE"""),"ADAMS-ARAPAHOE 28J")</f>
        <v>ADAMS-ARAPAHOE 28J</v>
      </c>
      <c r="C252" s="14" t="str">
        <f>IFERROR(__xludf.DUMMYFUNCTION("""COMPUTED_VALUE"""),"06266")</f>
        <v>06266</v>
      </c>
      <c r="D252" s="13" t="str">
        <f>IFERROR(__xludf.DUMMYFUNCTION("""COMPUTED_VALUE"""),"New Legacy")</f>
        <v>New Legacy</v>
      </c>
      <c r="E252" s="13" t="str">
        <f>IFERROR(__xludf.DUMMYFUNCTION("""COMPUTED_VALUE"""),"Group 4")</f>
        <v>Group 4</v>
      </c>
      <c r="F252" s="13" t="str">
        <f>IFERROR(__xludf.DUMMYFUNCTION("""COMPUTED_VALUE"""),"2024 - 2025")</f>
        <v>2024 - 2025</v>
      </c>
      <c r="G252" s="13" t="str">
        <f>IFERROR(__xludf.DUMMYFUNCTION("""COMPUTED_VALUE"""),"2023 - 2024")</f>
        <v>2023 - 2024</v>
      </c>
      <c r="H252" s="13">
        <f>IFERROR(__xludf.DUMMYFUNCTION("""COMPUTED_VALUE"""),99.63)</f>
        <v>99.63</v>
      </c>
      <c r="I252" s="15">
        <f>IFERROR(__xludf.DUMMYFUNCTION("""COMPUTED_VALUE"""),0.37000000000000455)</f>
        <v>0.37</v>
      </c>
    </row>
    <row r="253">
      <c r="A253" s="13" t="str">
        <f>IFERROR(__xludf.DUMMYFUNCTION("""COMPUTED_VALUE"""),"0180")</f>
        <v>0180</v>
      </c>
      <c r="B253" s="13" t="str">
        <f>IFERROR(__xludf.DUMMYFUNCTION("""COMPUTED_VALUE"""),"ADAMS-ARAPAHOE 28J")</f>
        <v>ADAMS-ARAPAHOE 28J</v>
      </c>
      <c r="C253" s="14" t="str">
        <f>IFERROR(__xludf.DUMMYFUNCTION("""COMPUTED_VALUE"""),"02951")</f>
        <v>02951</v>
      </c>
      <c r="D253" s="13" t="str">
        <f>IFERROR(__xludf.DUMMYFUNCTION("""COMPUTED_VALUE"""),"LAREDO CHILD DEVELOPMENT CENTER")</f>
        <v>LAREDO CHILD DEVELOPMENT CENTER</v>
      </c>
      <c r="E253" s="13" t="str">
        <f>IFERROR(__xludf.DUMMYFUNCTION("""COMPUTED_VALUE"""),"Group 5")</f>
        <v>Group 5</v>
      </c>
      <c r="F253" s="13" t="str">
        <f>IFERROR(__xludf.DUMMYFUNCTION("""COMPUTED_VALUE"""),"2024 - 2025")</f>
        <v>2024 - 2025</v>
      </c>
      <c r="G253" s="13" t="str">
        <f>IFERROR(__xludf.DUMMYFUNCTION("""COMPUTED_VALUE"""),"2023 - 2024")</f>
        <v>2023 - 2024</v>
      </c>
      <c r="H253" s="13">
        <f>IFERROR(__xludf.DUMMYFUNCTION("""COMPUTED_VALUE"""),74.26)</f>
        <v>74.26</v>
      </c>
      <c r="I253" s="15">
        <f>IFERROR(__xludf.DUMMYFUNCTION("""COMPUTED_VALUE"""),25.739999999999995)</f>
        <v>25.74</v>
      </c>
    </row>
    <row r="254">
      <c r="A254" s="13" t="str">
        <f>IFERROR(__xludf.DUMMYFUNCTION("""COMPUTED_VALUE"""),"0180")</f>
        <v>0180</v>
      </c>
      <c r="B254" s="13" t="str">
        <f>IFERROR(__xludf.DUMMYFUNCTION("""COMPUTED_VALUE"""),"ADAMS-ARAPAHOE 28J")</f>
        <v>ADAMS-ARAPAHOE 28J</v>
      </c>
      <c r="C254" s="14" t="str">
        <f>IFERROR(__xludf.DUMMYFUNCTION("""COMPUTED_VALUE"""),"05751")</f>
        <v>05751</v>
      </c>
      <c r="D254" s="13" t="str">
        <f>IFERROR(__xludf.DUMMYFUNCTION("""COMPUTED_VALUE"""),"MEADOWOOD CHILD DEVELOPMENT CENTER")</f>
        <v>MEADOWOOD CHILD DEVELOPMENT CENTER</v>
      </c>
      <c r="E254" s="13" t="str">
        <f>IFERROR(__xludf.DUMMYFUNCTION("""COMPUTED_VALUE"""),"Group 5")</f>
        <v>Group 5</v>
      </c>
      <c r="F254" s="13" t="str">
        <f>IFERROR(__xludf.DUMMYFUNCTION("""COMPUTED_VALUE"""),"2024 - 2025")</f>
        <v>2024 - 2025</v>
      </c>
      <c r="G254" s="13" t="str">
        <f>IFERROR(__xludf.DUMMYFUNCTION("""COMPUTED_VALUE"""),"2023 - 2024")</f>
        <v>2023 - 2024</v>
      </c>
      <c r="H254" s="13">
        <f>IFERROR(__xludf.DUMMYFUNCTION("""COMPUTED_VALUE"""),74.26)</f>
        <v>74.26</v>
      </c>
      <c r="I254" s="15">
        <f>IFERROR(__xludf.DUMMYFUNCTION("""COMPUTED_VALUE"""),25.739999999999995)</f>
        <v>25.74</v>
      </c>
    </row>
    <row r="255">
      <c r="A255" s="13" t="str">
        <f>IFERROR(__xludf.DUMMYFUNCTION("""COMPUTED_VALUE"""),"0180")</f>
        <v>0180</v>
      </c>
      <c r="B255" s="13" t="str">
        <f>IFERROR(__xludf.DUMMYFUNCTION("""COMPUTED_VALUE"""),"ADAMS-ARAPAHOE 28J")</f>
        <v>ADAMS-ARAPAHOE 28J</v>
      </c>
      <c r="C255" s="14" t="str">
        <f>IFERROR(__xludf.DUMMYFUNCTION("""COMPUTED_VALUE"""),"07232")</f>
        <v>07232</v>
      </c>
      <c r="D255" s="13" t="str">
        <f>IFERROR(__xludf.DUMMYFUNCTION("""COMPUTED_VALUE"""),"AURORA QUEST K-8")</f>
        <v>AURORA QUEST K-8</v>
      </c>
      <c r="E255" s="13" t="str">
        <f>IFERROR(__xludf.DUMMYFUNCTION("""COMPUTED_VALUE"""),"Group 5")</f>
        <v>Group 5</v>
      </c>
      <c r="F255" s="13" t="str">
        <f>IFERROR(__xludf.DUMMYFUNCTION("""COMPUTED_VALUE"""),"2024 - 2025")</f>
        <v>2024 - 2025</v>
      </c>
      <c r="G255" s="13" t="str">
        <f>IFERROR(__xludf.DUMMYFUNCTION("""COMPUTED_VALUE"""),"2023 - 2024")</f>
        <v>2023 - 2024</v>
      </c>
      <c r="H255" s="13">
        <f>IFERROR(__xludf.DUMMYFUNCTION("""COMPUTED_VALUE"""),74.26)</f>
        <v>74.26</v>
      </c>
      <c r="I255" s="15">
        <f>IFERROR(__xludf.DUMMYFUNCTION("""COMPUTED_VALUE"""),25.739999999999995)</f>
        <v>25.74</v>
      </c>
    </row>
    <row r="256">
      <c r="A256" s="13" t="str">
        <f>IFERROR(__xludf.DUMMYFUNCTION("""COMPUTED_VALUE"""),"0180")</f>
        <v>0180</v>
      </c>
      <c r="B256" s="13" t="str">
        <f>IFERROR(__xludf.DUMMYFUNCTION("""COMPUTED_VALUE"""),"ADAMS-ARAPAHOE 28J")</f>
        <v>ADAMS-ARAPAHOE 28J</v>
      </c>
      <c r="C256" s="14" t="str">
        <f>IFERROR(__xludf.DUMMYFUNCTION("""COMPUTED_VALUE"""),"08356")</f>
        <v>08356</v>
      </c>
      <c r="D256" s="13" t="str">
        <f>IFERROR(__xludf.DUMMYFUNCTION("""COMPUTED_VALUE"""),"WILLIAM SMITH HIGH SCHOOL")</f>
        <v>WILLIAM SMITH HIGH SCHOOL</v>
      </c>
      <c r="E256" s="13" t="str">
        <f>IFERROR(__xludf.DUMMYFUNCTION("""COMPUTED_VALUE"""),"Group 5")</f>
        <v>Group 5</v>
      </c>
      <c r="F256" s="13" t="str">
        <f>IFERROR(__xludf.DUMMYFUNCTION("""COMPUTED_VALUE"""),"2024 - 2025")</f>
        <v>2024 - 2025</v>
      </c>
      <c r="G256" s="13" t="str">
        <f>IFERROR(__xludf.DUMMYFUNCTION("""COMPUTED_VALUE"""),"2023 - 2024")</f>
        <v>2023 - 2024</v>
      </c>
      <c r="H256" s="13">
        <f>IFERROR(__xludf.DUMMYFUNCTION("""COMPUTED_VALUE"""),74.26)</f>
        <v>74.26</v>
      </c>
      <c r="I256" s="15">
        <f>IFERROR(__xludf.DUMMYFUNCTION("""COMPUTED_VALUE"""),25.739999999999995)</f>
        <v>25.74</v>
      </c>
    </row>
    <row r="257">
      <c r="A257" s="13" t="str">
        <f>IFERROR(__xludf.DUMMYFUNCTION("""COMPUTED_VALUE"""),"0180")</f>
        <v>0180</v>
      </c>
      <c r="B257" s="13" t="str">
        <f>IFERROR(__xludf.DUMMYFUNCTION("""COMPUTED_VALUE"""),"ADAMS-ARAPAHOE 28J")</f>
        <v>ADAMS-ARAPAHOE 28J</v>
      </c>
      <c r="C257" s="14" t="str">
        <f>IFERROR(__xludf.DUMMYFUNCTION("""COMPUTED_VALUE"""),"05964")</f>
        <v>05964</v>
      </c>
      <c r="D257" s="13" t="str">
        <f>IFERROR(__xludf.DUMMYFUNCTION("""COMPUTED_VALUE"""),"Aurora Science &amp; Technology High School")</f>
        <v>Aurora Science &amp; Technology High School</v>
      </c>
      <c r="E257" s="13" t="str">
        <f>IFERROR(__xludf.DUMMYFUNCTION("""COMPUTED_VALUE"""),"Group 5")</f>
        <v>Group 5</v>
      </c>
      <c r="F257" s="13" t="str">
        <f>IFERROR(__xludf.DUMMYFUNCTION("""COMPUTED_VALUE"""),"2024 - 2025")</f>
        <v>2024 - 2025</v>
      </c>
      <c r="G257" s="13" t="str">
        <f>IFERROR(__xludf.DUMMYFUNCTION("""COMPUTED_VALUE"""),"2023 - 2024")</f>
        <v>2023 - 2024</v>
      </c>
      <c r="H257" s="13">
        <f>IFERROR(__xludf.DUMMYFUNCTION("""COMPUTED_VALUE"""),74.26)</f>
        <v>74.26</v>
      </c>
      <c r="I257" s="15">
        <f>IFERROR(__xludf.DUMMYFUNCTION("""COMPUTED_VALUE"""),25.739999999999995)</f>
        <v>25.74</v>
      </c>
    </row>
    <row r="258">
      <c r="A258" s="13" t="str">
        <f>IFERROR(__xludf.DUMMYFUNCTION("""COMPUTED_VALUE"""),"0180")</f>
        <v>0180</v>
      </c>
      <c r="B258" s="13" t="str">
        <f>IFERROR(__xludf.DUMMYFUNCTION("""COMPUTED_VALUE"""),"ADAMS-ARAPAHOE 28J")</f>
        <v>ADAMS-ARAPAHOE 28J</v>
      </c>
      <c r="C258" s="14" t="str">
        <f>IFERROR(__xludf.DUMMYFUNCTION("""COMPUTED_VALUE"""),"06758")</f>
        <v>06758</v>
      </c>
      <c r="D258" s="13" t="str">
        <f>IFERROR(__xludf.DUMMYFUNCTION("""COMPUTED_VALUE"""),"PARK LANE ELEMENTARY SCHOOL")</f>
        <v>PARK LANE ELEMENTARY SCHOOL</v>
      </c>
      <c r="E258" s="13" t="str">
        <f>IFERROR(__xludf.DUMMYFUNCTION("""COMPUTED_VALUE"""),"Group 6")</f>
        <v>Group 6</v>
      </c>
      <c r="F258" s="13" t="str">
        <f>IFERROR(__xludf.DUMMYFUNCTION("""COMPUTED_VALUE"""),"2024 - 2025")</f>
        <v>2024 - 2025</v>
      </c>
      <c r="G258" s="13" t="str">
        <f>IFERROR(__xludf.DUMMYFUNCTION("""COMPUTED_VALUE"""),"2023 - 2024")</f>
        <v>2023 - 2024</v>
      </c>
      <c r="H258" s="13">
        <f>IFERROR(__xludf.DUMMYFUNCTION("""COMPUTED_VALUE"""),99.55)</f>
        <v>99.55</v>
      </c>
      <c r="I258" s="15">
        <f>IFERROR(__xludf.DUMMYFUNCTION("""COMPUTED_VALUE"""),0.45000000000000284)</f>
        <v>0.45</v>
      </c>
    </row>
    <row r="259">
      <c r="A259" s="13" t="str">
        <f>IFERROR(__xludf.DUMMYFUNCTION("""COMPUTED_VALUE"""),"0180")</f>
        <v>0180</v>
      </c>
      <c r="B259" s="13" t="str">
        <f>IFERROR(__xludf.DUMMYFUNCTION("""COMPUTED_VALUE"""),"ADAMS-ARAPAHOE 28J")</f>
        <v>ADAMS-ARAPAHOE 28J</v>
      </c>
      <c r="C259" s="14" t="str">
        <f>IFERROR(__xludf.DUMMYFUNCTION("""COMPUTED_VALUE"""),"09140")</f>
        <v>09140</v>
      </c>
      <c r="D259" s="13" t="str">
        <f>IFERROR(__xludf.DUMMYFUNCTION("""COMPUTED_VALUE"""),"VIRGINIA COURT ELEMENTARY SCHOOL")</f>
        <v>VIRGINIA COURT ELEMENTARY SCHOOL</v>
      </c>
      <c r="E259" s="13" t="str">
        <f>IFERROR(__xludf.DUMMYFUNCTION("""COMPUTED_VALUE"""),"Group 6")</f>
        <v>Group 6</v>
      </c>
      <c r="F259" s="13" t="str">
        <f>IFERROR(__xludf.DUMMYFUNCTION("""COMPUTED_VALUE"""),"2024 - 2025")</f>
        <v>2024 - 2025</v>
      </c>
      <c r="G259" s="13" t="str">
        <f>IFERROR(__xludf.DUMMYFUNCTION("""COMPUTED_VALUE"""),"2023 - 2024")</f>
        <v>2023 - 2024</v>
      </c>
      <c r="H259" s="13">
        <f>IFERROR(__xludf.DUMMYFUNCTION("""COMPUTED_VALUE"""),99.55)</f>
        <v>99.55</v>
      </c>
      <c r="I259" s="15">
        <f>IFERROR(__xludf.DUMMYFUNCTION("""COMPUTED_VALUE"""),0.45000000000000284)</f>
        <v>0.45</v>
      </c>
    </row>
    <row r="260">
      <c r="A260" s="13" t="str">
        <f>IFERROR(__xludf.DUMMYFUNCTION("""COMPUTED_VALUE"""),"0180")</f>
        <v>0180</v>
      </c>
      <c r="B260" s="13" t="str">
        <f>IFERROR(__xludf.DUMMYFUNCTION("""COMPUTED_VALUE"""),"ADAMS-ARAPAHOE 28J")</f>
        <v>ADAMS-ARAPAHOE 28J</v>
      </c>
      <c r="C260" s="14" t="str">
        <f>IFERROR(__xludf.DUMMYFUNCTION("""COMPUTED_VALUE"""),"00126")</f>
        <v>00126</v>
      </c>
      <c r="D260" s="13" t="str">
        <f>IFERROR(__xludf.DUMMYFUNCTION("""COMPUTED_VALUE"""),"ACADEMY OF ADVANCED LEARNING")</f>
        <v>ACADEMY OF ADVANCED LEARNING</v>
      </c>
      <c r="E260" s="13" t="str">
        <f>IFERROR(__xludf.DUMMYFUNCTION("""COMPUTED_VALUE"""),"Group 6")</f>
        <v>Group 6</v>
      </c>
      <c r="F260" s="13" t="str">
        <f>IFERROR(__xludf.DUMMYFUNCTION("""COMPUTED_VALUE"""),"2024 - 2025")</f>
        <v>2024 - 2025</v>
      </c>
      <c r="G260" s="13" t="str">
        <f>IFERROR(__xludf.DUMMYFUNCTION("""COMPUTED_VALUE"""),"2023 - 2024")</f>
        <v>2023 - 2024</v>
      </c>
      <c r="H260" s="13">
        <f>IFERROR(__xludf.DUMMYFUNCTION("""COMPUTED_VALUE"""),99.55)</f>
        <v>99.55</v>
      </c>
      <c r="I260" s="15">
        <f>IFERROR(__xludf.DUMMYFUNCTION("""COMPUTED_VALUE"""),0.45000000000000284)</f>
        <v>0.45</v>
      </c>
    </row>
    <row r="261">
      <c r="A261" s="13" t="str">
        <f>IFERROR(__xludf.DUMMYFUNCTION("""COMPUTED_VALUE"""),"0180")</f>
        <v>0180</v>
      </c>
      <c r="B261" s="13" t="str">
        <f>IFERROR(__xludf.DUMMYFUNCTION("""COMPUTED_VALUE"""),"ADAMS-ARAPAHOE 28J")</f>
        <v>ADAMS-ARAPAHOE 28J</v>
      </c>
      <c r="C261" s="14" t="str">
        <f>IFERROR(__xludf.DUMMYFUNCTION("""COMPUTED_VALUE"""),"08858")</f>
        <v>08858</v>
      </c>
      <c r="D261" s="13" t="str">
        <f>IFERROR(__xludf.DUMMYFUNCTION("""COMPUTED_VALUE"""),"TOLLGATE ELEMENTARY SCHOOL OF EXPEDITIONARY LEARNING")</f>
        <v>TOLLGATE ELEMENTARY SCHOOL OF EXPEDITIONARY LEARNING</v>
      </c>
      <c r="E261" s="13" t="str">
        <f>IFERROR(__xludf.DUMMYFUNCTION("""COMPUTED_VALUE"""),"Group 7")</f>
        <v>Group 7</v>
      </c>
      <c r="F261" s="13" t="str">
        <f>IFERROR(__xludf.DUMMYFUNCTION("""COMPUTED_VALUE"""),"2024 - 2025")</f>
        <v>2024 - 2025</v>
      </c>
      <c r="G261" s="13" t="str">
        <f>IFERROR(__xludf.DUMMYFUNCTION("""COMPUTED_VALUE"""),"2023 - 2024")</f>
        <v>2023 - 2024</v>
      </c>
      <c r="H261" s="13">
        <f>IFERROR(__xludf.DUMMYFUNCTION("""COMPUTED_VALUE"""),94.5)</f>
        <v>94.5</v>
      </c>
      <c r="I261" s="15">
        <f>IFERROR(__xludf.DUMMYFUNCTION("""COMPUTED_VALUE"""),5.5)</f>
        <v>5.5</v>
      </c>
    </row>
    <row r="262">
      <c r="A262" s="13" t="str">
        <f>IFERROR(__xludf.DUMMYFUNCTION("""COMPUTED_VALUE"""),"0180")</f>
        <v>0180</v>
      </c>
      <c r="B262" s="13" t="str">
        <f>IFERROR(__xludf.DUMMYFUNCTION("""COMPUTED_VALUE"""),"ADAMS-ARAPAHOE 28J")</f>
        <v>ADAMS-ARAPAHOE 28J</v>
      </c>
      <c r="C262" s="14" t="str">
        <f>IFERROR(__xludf.DUMMYFUNCTION("""COMPUTED_VALUE"""),"00465")</f>
        <v>00465</v>
      </c>
      <c r="D262" s="13" t="str">
        <f>IFERROR(__xludf.DUMMYFUNCTION("""COMPUTED_VALUE"""),"AURORA FRONTIER K-8")</f>
        <v>AURORA FRONTIER K-8</v>
      </c>
      <c r="E262" s="13" t="str">
        <f>IFERROR(__xludf.DUMMYFUNCTION("""COMPUTED_VALUE"""),"Group 8")</f>
        <v>Group 8</v>
      </c>
      <c r="F262" s="13" t="str">
        <f>IFERROR(__xludf.DUMMYFUNCTION("""COMPUTED_VALUE"""),"2024 - 2025")</f>
        <v>2024 - 2025</v>
      </c>
      <c r="G262" s="13" t="str">
        <f>IFERROR(__xludf.DUMMYFUNCTION("""COMPUTED_VALUE"""),"2023 - 2024")</f>
        <v>2023 - 2024</v>
      </c>
      <c r="H262" s="13">
        <f>IFERROR(__xludf.DUMMYFUNCTION("""COMPUTED_VALUE"""),89.2)</f>
        <v>89.2</v>
      </c>
      <c r="I262" s="15">
        <f>IFERROR(__xludf.DUMMYFUNCTION("""COMPUTED_VALUE"""),10.799999999999997)</f>
        <v>10.8</v>
      </c>
    </row>
    <row r="263">
      <c r="A263" s="13" t="str">
        <f>IFERROR(__xludf.DUMMYFUNCTION("""COMPUTED_VALUE"""),"0180")</f>
        <v>0180</v>
      </c>
      <c r="B263" s="13" t="str">
        <f>IFERROR(__xludf.DUMMYFUNCTION("""COMPUTED_VALUE"""),"ADAMS-ARAPAHOE 28J")</f>
        <v>ADAMS-ARAPAHOE 28J</v>
      </c>
      <c r="C263" s="14" t="str">
        <f>IFERROR(__xludf.DUMMYFUNCTION("""COMPUTED_VALUE"""),"01458")</f>
        <v>01458</v>
      </c>
      <c r="D263" s="13" t="str">
        <f>IFERROR(__xludf.DUMMYFUNCTION("""COMPUTED_VALUE"""),"AURORA CENTRAL CAMPUS")</f>
        <v>AURORA CENTRAL CAMPUS</v>
      </c>
      <c r="E263" s="13" t="str">
        <f>IFERROR(__xludf.DUMMYFUNCTION("""COMPUTED_VALUE"""),"Group 8")</f>
        <v>Group 8</v>
      </c>
      <c r="F263" s="13" t="str">
        <f>IFERROR(__xludf.DUMMYFUNCTION("""COMPUTED_VALUE"""),"2024 - 2025")</f>
        <v>2024 - 2025</v>
      </c>
      <c r="G263" s="13" t="str">
        <f>IFERROR(__xludf.DUMMYFUNCTION("""COMPUTED_VALUE"""),"2023 - 2024")</f>
        <v>2023 - 2024</v>
      </c>
      <c r="H263" s="13">
        <f>IFERROR(__xludf.DUMMYFUNCTION("""COMPUTED_VALUE"""),89.2)</f>
        <v>89.2</v>
      </c>
      <c r="I263" s="15">
        <f>IFERROR(__xludf.DUMMYFUNCTION("""COMPUTED_VALUE"""),10.799999999999997)</f>
        <v>10.8</v>
      </c>
    </row>
    <row r="264">
      <c r="A264" s="13" t="str">
        <f>IFERROR(__xludf.DUMMYFUNCTION("""COMPUTED_VALUE"""),"0180")</f>
        <v>0180</v>
      </c>
      <c r="B264" s="13" t="str">
        <f>IFERROR(__xludf.DUMMYFUNCTION("""COMPUTED_VALUE"""),"ADAMS-ARAPAHOE 28J")</f>
        <v>ADAMS-ARAPAHOE 28J</v>
      </c>
      <c r="C264" s="14" t="str">
        <f>IFERROR(__xludf.DUMMYFUNCTION("""COMPUTED_VALUE"""),"02673")</f>
        <v>02673</v>
      </c>
      <c r="D264" s="13" t="str">
        <f>IFERROR(__xludf.DUMMYFUNCTION("""COMPUTED_VALUE"""),"EDNA AND JOHN W. MOSLEY P-8")</f>
        <v>EDNA AND JOHN W. MOSLEY P-8</v>
      </c>
      <c r="E264" s="13" t="str">
        <f>IFERROR(__xludf.DUMMYFUNCTION("""COMPUTED_VALUE"""),"Group 8")</f>
        <v>Group 8</v>
      </c>
      <c r="F264" s="13" t="str">
        <f>IFERROR(__xludf.DUMMYFUNCTION("""COMPUTED_VALUE"""),"2024 - 2025")</f>
        <v>2024 - 2025</v>
      </c>
      <c r="G264" s="13" t="str">
        <f>IFERROR(__xludf.DUMMYFUNCTION("""COMPUTED_VALUE"""),"2023 - 2024")</f>
        <v>2023 - 2024</v>
      </c>
      <c r="H264" s="13">
        <f>IFERROR(__xludf.DUMMYFUNCTION("""COMPUTED_VALUE"""),89.2)</f>
        <v>89.2</v>
      </c>
      <c r="I264" s="15">
        <f>IFERROR(__xludf.DUMMYFUNCTION("""COMPUTED_VALUE"""),10.799999999999997)</f>
        <v>10.8</v>
      </c>
    </row>
    <row r="265">
      <c r="A265" s="13" t="str">
        <f>IFERROR(__xludf.DUMMYFUNCTION("""COMPUTED_VALUE"""),"0180")</f>
        <v>0180</v>
      </c>
      <c r="B265" s="13" t="str">
        <f>IFERROR(__xludf.DUMMYFUNCTION("""COMPUTED_VALUE"""),"ADAMS-ARAPAHOE 28J")</f>
        <v>ADAMS-ARAPAHOE 28J</v>
      </c>
      <c r="C265" s="14" t="str">
        <f>IFERROR(__xludf.DUMMYFUNCTION("""COMPUTED_VALUE"""),"04024")</f>
        <v>04024</v>
      </c>
      <c r="D265" s="13" t="str">
        <f>IFERROR(__xludf.DUMMYFUNCTION("""COMPUTED_VALUE"""),"HINKLEY HIGH SCHOOL")</f>
        <v>HINKLEY HIGH SCHOOL</v>
      </c>
      <c r="E265" s="13" t="str">
        <f>IFERROR(__xludf.DUMMYFUNCTION("""COMPUTED_VALUE"""),"Group 9")</f>
        <v>Group 9</v>
      </c>
      <c r="F265" s="13" t="str">
        <f>IFERROR(__xludf.DUMMYFUNCTION("""COMPUTED_VALUE"""),"2024 - 2025")</f>
        <v>2024 - 2025</v>
      </c>
      <c r="G265" s="13" t="str">
        <f>IFERROR(__xludf.DUMMYFUNCTION("""COMPUTED_VALUE"""),"2023 - 2024")</f>
        <v>2023 - 2024</v>
      </c>
      <c r="H265" s="13">
        <f>IFERROR(__xludf.DUMMYFUNCTION("""COMPUTED_VALUE"""),91.92)</f>
        <v>91.92</v>
      </c>
      <c r="I265" s="15">
        <f>IFERROR(__xludf.DUMMYFUNCTION("""COMPUTED_VALUE"""),8.079999999999998)</f>
        <v>8.08</v>
      </c>
    </row>
    <row r="266">
      <c r="A266" s="13" t="str">
        <f>IFERROR(__xludf.DUMMYFUNCTION("""COMPUTED_VALUE"""),"0180")</f>
        <v>0180</v>
      </c>
      <c r="B266" s="13" t="str">
        <f>IFERROR(__xludf.DUMMYFUNCTION("""COMPUTED_VALUE"""),"ADAMS-ARAPAHOE 28J")</f>
        <v>ADAMS-ARAPAHOE 28J</v>
      </c>
      <c r="C266" s="14" t="str">
        <f>IFERROR(__xludf.DUMMYFUNCTION("""COMPUTED_VALUE"""),"03471")</f>
        <v>03471</v>
      </c>
      <c r="D266" s="13" t="str">
        <f>IFERROR(__xludf.DUMMYFUNCTION("""COMPUTED_VALUE"""),"GLOBAL VILLAGE ACADEMY AURORA")</f>
        <v>GLOBAL VILLAGE ACADEMY AURORA</v>
      </c>
      <c r="E266" s="13" t="str">
        <f>IFERROR(__xludf.DUMMYFUNCTION("""COMPUTED_VALUE"""),"Group 9")</f>
        <v>Group 9</v>
      </c>
      <c r="F266" s="13" t="str">
        <f>IFERROR(__xludf.DUMMYFUNCTION("""COMPUTED_VALUE"""),"2024 - 2025")</f>
        <v>2024 - 2025</v>
      </c>
      <c r="G266" s="13" t="str">
        <f>IFERROR(__xludf.DUMMYFUNCTION("""COMPUTED_VALUE"""),"2023 - 2024")</f>
        <v>2023 - 2024</v>
      </c>
      <c r="H266" s="13">
        <f>IFERROR(__xludf.DUMMYFUNCTION("""COMPUTED_VALUE"""),91.92)</f>
        <v>91.92</v>
      </c>
      <c r="I266" s="15">
        <f>IFERROR(__xludf.DUMMYFUNCTION("""COMPUTED_VALUE"""),8.079999999999998)</f>
        <v>8.08</v>
      </c>
    </row>
    <row r="267">
      <c r="A267" s="13" t="str">
        <f>IFERROR(__xludf.DUMMYFUNCTION("""COMPUTED_VALUE"""),"0190")</f>
        <v>0190</v>
      </c>
      <c r="B267" s="13" t="str">
        <f>IFERROR(__xludf.DUMMYFUNCTION("""COMPUTED_VALUE"""),"BYERS 32J")</f>
        <v>BYERS 32J</v>
      </c>
      <c r="C267" s="14" t="str">
        <f>IFERROR(__xludf.DUMMYFUNCTION("""COMPUTED_VALUE"""),"01168")</f>
        <v>01168</v>
      </c>
      <c r="D267" s="13" t="str">
        <f>IFERROR(__xludf.DUMMYFUNCTION("""COMPUTED_VALUE"""),"BYERS ELEMENTARY SCHOOL")</f>
        <v>BYERS ELEMENTARY SCHOOL</v>
      </c>
      <c r="E267" s="13" t="str">
        <f>IFERROR(__xludf.DUMMYFUNCTION("""COMPUTED_VALUE"""),"Group 1")</f>
        <v>Group 1</v>
      </c>
      <c r="F267" s="13" t="str">
        <f>IFERROR(__xludf.DUMMYFUNCTION("""COMPUTED_VALUE"""),"2024 - 2025")</f>
        <v>2024 - 2025</v>
      </c>
      <c r="G267" s="13" t="str">
        <f>IFERROR(__xludf.DUMMYFUNCTION("""COMPUTED_VALUE"""),"2023 - 2024")</f>
        <v>2023 - 2024</v>
      </c>
      <c r="H267" s="13">
        <f>IFERROR(__xludf.DUMMYFUNCTION("""COMPUTED_VALUE"""),57.42)</f>
        <v>57.42</v>
      </c>
      <c r="I267" s="15">
        <f>IFERROR(__xludf.DUMMYFUNCTION("""COMPUTED_VALUE"""),42.58)</f>
        <v>42.58</v>
      </c>
    </row>
    <row r="268">
      <c r="A268" s="13" t="str">
        <f>IFERROR(__xludf.DUMMYFUNCTION("""COMPUTED_VALUE"""),"0190")</f>
        <v>0190</v>
      </c>
      <c r="B268" s="13" t="str">
        <f>IFERROR(__xludf.DUMMYFUNCTION("""COMPUTED_VALUE"""),"BYERS 32J")</f>
        <v>BYERS 32J</v>
      </c>
      <c r="C268" s="14" t="str">
        <f>IFERROR(__xludf.DUMMYFUNCTION("""COMPUTED_VALUE"""),"01176")</f>
        <v>01176</v>
      </c>
      <c r="D268" s="13" t="str">
        <f>IFERROR(__xludf.DUMMYFUNCTION("""COMPUTED_VALUE"""),"BYERS JUNIOR-SENIOR HIGH SCHOOL")</f>
        <v>BYERS JUNIOR-SENIOR HIGH SCHOOL</v>
      </c>
      <c r="E268" s="13" t="str">
        <f>IFERROR(__xludf.DUMMYFUNCTION("""COMPUTED_VALUE"""),"Group 1")</f>
        <v>Group 1</v>
      </c>
      <c r="F268" s="13" t="str">
        <f>IFERROR(__xludf.DUMMYFUNCTION("""COMPUTED_VALUE"""),"2024 - 2025")</f>
        <v>2024 - 2025</v>
      </c>
      <c r="G268" s="13" t="str">
        <f>IFERROR(__xludf.DUMMYFUNCTION("""COMPUTED_VALUE"""),"2023 - 2024")</f>
        <v>2023 - 2024</v>
      </c>
      <c r="H268" s="13">
        <f>IFERROR(__xludf.DUMMYFUNCTION("""COMPUTED_VALUE"""),57.42)</f>
        <v>57.42</v>
      </c>
      <c r="I268" s="15">
        <f>IFERROR(__xludf.DUMMYFUNCTION("""COMPUTED_VALUE"""),42.58)</f>
        <v>42.58</v>
      </c>
    </row>
    <row r="269">
      <c r="A269" s="13" t="str">
        <f>IFERROR(__xludf.DUMMYFUNCTION("""COMPUTED_VALUE"""),"0220")</f>
        <v>0220</v>
      </c>
      <c r="B269" s="13" t="str">
        <f>IFERROR(__xludf.DUMMYFUNCTION("""COMPUTED_VALUE"""),"ARCHULETA COUNTY 50 JT")</f>
        <v>ARCHULETA COUNTY 50 JT</v>
      </c>
      <c r="C269" s="14" t="str">
        <f>IFERROR(__xludf.DUMMYFUNCTION("""COMPUTED_VALUE"""),"06652")</f>
        <v>06652</v>
      </c>
      <c r="D269" s="13" t="str">
        <f>IFERROR(__xludf.DUMMYFUNCTION("""COMPUTED_VALUE"""),"PAGOSA SPRINGS ELEMENTARY SCHOOL")</f>
        <v>PAGOSA SPRINGS ELEMENTARY SCHOOL</v>
      </c>
      <c r="E269" s="13" t="str">
        <f>IFERROR(__xludf.DUMMYFUNCTION("""COMPUTED_VALUE"""),"Group 1")</f>
        <v>Group 1</v>
      </c>
      <c r="F269" s="13" t="str">
        <f>IFERROR(__xludf.DUMMYFUNCTION("""COMPUTED_VALUE"""),"2024 - 2025")</f>
        <v>2024 - 2025</v>
      </c>
      <c r="G269" s="13" t="str">
        <f>IFERROR(__xludf.DUMMYFUNCTION("""COMPUTED_VALUE"""),"2023 - 2024")</f>
        <v>2023 - 2024</v>
      </c>
      <c r="H269" s="13">
        <f>IFERROR(__xludf.DUMMYFUNCTION("""COMPUTED_VALUE"""),91.34)</f>
        <v>91.34</v>
      </c>
      <c r="I269" s="15">
        <f>IFERROR(__xludf.DUMMYFUNCTION("""COMPUTED_VALUE"""),8.659999999999997)</f>
        <v>8.66</v>
      </c>
    </row>
    <row r="270">
      <c r="A270" s="13" t="str">
        <f>IFERROR(__xludf.DUMMYFUNCTION("""COMPUTED_VALUE"""),"0220")</f>
        <v>0220</v>
      </c>
      <c r="B270" s="13" t="str">
        <f>IFERROR(__xludf.DUMMYFUNCTION("""COMPUTED_VALUE"""),"ARCHULETA COUNTY 50 JT")</f>
        <v>ARCHULETA COUNTY 50 JT</v>
      </c>
      <c r="C270" s="14" t="str">
        <f>IFERROR(__xludf.DUMMYFUNCTION("""COMPUTED_VALUE"""),"06657")</f>
        <v>06657</v>
      </c>
      <c r="D270" s="13" t="str">
        <f>IFERROR(__xludf.DUMMYFUNCTION("""COMPUTED_VALUE"""),"PAGOSA SPRINGS MIDDLE SCHOOL")</f>
        <v>PAGOSA SPRINGS MIDDLE SCHOOL</v>
      </c>
      <c r="E270" s="13" t="str">
        <f>IFERROR(__xludf.DUMMYFUNCTION("""COMPUTED_VALUE"""),"Group 1")</f>
        <v>Group 1</v>
      </c>
      <c r="F270" s="13" t="str">
        <f>IFERROR(__xludf.DUMMYFUNCTION("""COMPUTED_VALUE"""),"2024 - 2025")</f>
        <v>2024 - 2025</v>
      </c>
      <c r="G270" s="13" t="str">
        <f>IFERROR(__xludf.DUMMYFUNCTION("""COMPUTED_VALUE"""),"2023 - 2024")</f>
        <v>2023 - 2024</v>
      </c>
      <c r="H270" s="13">
        <f>IFERROR(__xludf.DUMMYFUNCTION("""COMPUTED_VALUE"""),91.34)</f>
        <v>91.34</v>
      </c>
      <c r="I270" s="15">
        <f>IFERROR(__xludf.DUMMYFUNCTION("""COMPUTED_VALUE"""),8.659999999999997)</f>
        <v>8.66</v>
      </c>
    </row>
    <row r="271">
      <c r="A271" s="13" t="str">
        <f>IFERROR(__xludf.DUMMYFUNCTION("""COMPUTED_VALUE"""),"0220")</f>
        <v>0220</v>
      </c>
      <c r="B271" s="13" t="str">
        <f>IFERROR(__xludf.DUMMYFUNCTION("""COMPUTED_VALUE"""),"ARCHULETA COUNTY 50 JT")</f>
        <v>ARCHULETA COUNTY 50 JT</v>
      </c>
      <c r="C271" s="14" t="str">
        <f>IFERROR(__xludf.DUMMYFUNCTION("""COMPUTED_VALUE"""),"06658")</f>
        <v>06658</v>
      </c>
      <c r="D271" s="13" t="str">
        <f>IFERROR(__xludf.DUMMYFUNCTION("""COMPUTED_VALUE"""),"PAGOSA SPRINGS HIGH SCHOOL")</f>
        <v>PAGOSA SPRINGS HIGH SCHOOL</v>
      </c>
      <c r="E271" s="13" t="str">
        <f>IFERROR(__xludf.DUMMYFUNCTION("""COMPUTED_VALUE"""),"Group 2")</f>
        <v>Group 2</v>
      </c>
      <c r="F271" s="13" t="str">
        <f>IFERROR(__xludf.DUMMYFUNCTION("""COMPUTED_VALUE"""),"2024 - 2025")</f>
        <v>2024 - 2025</v>
      </c>
      <c r="G271" s="13" t="str">
        <f>IFERROR(__xludf.DUMMYFUNCTION("""COMPUTED_VALUE"""),"2023 - 2024")</f>
        <v>2023 - 2024</v>
      </c>
      <c r="H271" s="13">
        <f>IFERROR(__xludf.DUMMYFUNCTION("""COMPUTED_VALUE"""),71.23)</f>
        <v>71.23</v>
      </c>
      <c r="I271" s="15">
        <f>IFERROR(__xludf.DUMMYFUNCTION("""COMPUTED_VALUE"""),28.769999999999996)</f>
        <v>28.77</v>
      </c>
    </row>
    <row r="272">
      <c r="A272" s="13" t="str">
        <f>IFERROR(__xludf.DUMMYFUNCTION("""COMPUTED_VALUE"""),"0220")</f>
        <v>0220</v>
      </c>
      <c r="B272" s="13" t="str">
        <f>IFERROR(__xludf.DUMMYFUNCTION("""COMPUTED_VALUE"""),"ARCHULETA COUNTY 50 JT")</f>
        <v>ARCHULETA COUNTY 50 JT</v>
      </c>
      <c r="C272" s="14" t="str">
        <f>IFERROR(__xludf.DUMMYFUNCTION("""COMPUTED_VALUE"""),"02269")</f>
        <v>02269</v>
      </c>
      <c r="D272" s="13" t="str">
        <f>IFERROR(__xludf.DUMMYFUNCTION("""COMPUTED_VALUE"""),"SAN JUAN MOUNTAIN SCHOOL")</f>
        <v>SAN JUAN MOUNTAIN SCHOOL</v>
      </c>
      <c r="E272" s="13" t="str">
        <f>IFERROR(__xludf.DUMMYFUNCTION("""COMPUTED_VALUE"""),"Group 3")</f>
        <v>Group 3</v>
      </c>
      <c r="F272" s="13" t="str">
        <f>IFERROR(__xludf.DUMMYFUNCTION("""COMPUTED_VALUE"""),"2024 - 2025")</f>
        <v>2024 - 2025</v>
      </c>
      <c r="G272" s="13" t="str">
        <f>IFERROR(__xludf.DUMMYFUNCTION("""COMPUTED_VALUE"""),"2023 - 2024")</f>
        <v>2023 - 2024</v>
      </c>
      <c r="H272" s="13">
        <f>IFERROR(__xludf.DUMMYFUNCTION("""COMPUTED_VALUE"""),88.9)</f>
        <v>88.9</v>
      </c>
      <c r="I272" s="15">
        <f>IFERROR(__xludf.DUMMYFUNCTION("""COMPUTED_VALUE"""),11.099999999999994)</f>
        <v>11.1</v>
      </c>
    </row>
    <row r="273">
      <c r="A273" s="13" t="str">
        <f>IFERROR(__xludf.DUMMYFUNCTION("""COMPUTED_VALUE"""),"0230")</f>
        <v>0230</v>
      </c>
      <c r="B273" s="13" t="str">
        <f>IFERROR(__xludf.DUMMYFUNCTION("""COMPUTED_VALUE"""),"WALSH RE-1")</f>
        <v>WALSH RE-1</v>
      </c>
      <c r="C273" s="14" t="str">
        <f>IFERROR(__xludf.DUMMYFUNCTION("""COMPUTED_VALUE"""),"09222")</f>
        <v>09222</v>
      </c>
      <c r="D273" s="13" t="str">
        <f>IFERROR(__xludf.DUMMYFUNCTION("""COMPUTED_VALUE"""),"WALSH ELEMENTARY SCHOOL")</f>
        <v>WALSH ELEMENTARY SCHOOL</v>
      </c>
      <c r="E273" s="13" t="str">
        <f>IFERROR(__xludf.DUMMYFUNCTION("""COMPUTED_VALUE"""),"Group 1")</f>
        <v>Group 1</v>
      </c>
      <c r="F273" s="13" t="str">
        <f>IFERROR(__xludf.DUMMYFUNCTION("""COMPUTED_VALUE"""),"2024 - 2025")</f>
        <v>2024 - 2025</v>
      </c>
      <c r="G273" s="13" t="str">
        <f>IFERROR(__xludf.DUMMYFUNCTION("""COMPUTED_VALUE"""),"2023 - 2024")</f>
        <v>2023 - 2024</v>
      </c>
      <c r="H273" s="13">
        <f>IFERROR(__xludf.DUMMYFUNCTION("""COMPUTED_VALUE"""),83.55)</f>
        <v>83.55</v>
      </c>
      <c r="I273" s="15">
        <f>IFERROR(__xludf.DUMMYFUNCTION("""COMPUTED_VALUE"""),16.450000000000003)</f>
        <v>16.45</v>
      </c>
    </row>
    <row r="274">
      <c r="A274" s="13" t="str">
        <f>IFERROR(__xludf.DUMMYFUNCTION("""COMPUTED_VALUE"""),"0230")</f>
        <v>0230</v>
      </c>
      <c r="B274" s="13" t="str">
        <f>IFERROR(__xludf.DUMMYFUNCTION("""COMPUTED_VALUE"""),"WALSH RE-1")</f>
        <v>WALSH RE-1</v>
      </c>
      <c r="C274" s="14" t="str">
        <f>IFERROR(__xludf.DUMMYFUNCTION("""COMPUTED_VALUE"""),"09226")</f>
        <v>09226</v>
      </c>
      <c r="D274" s="13" t="str">
        <f>IFERROR(__xludf.DUMMYFUNCTION("""COMPUTED_VALUE"""),"WALSH HIGH SCHOOL")</f>
        <v>WALSH HIGH SCHOOL</v>
      </c>
      <c r="E274" s="13" t="str">
        <f>IFERROR(__xludf.DUMMYFUNCTION("""COMPUTED_VALUE"""),"Group 1")</f>
        <v>Group 1</v>
      </c>
      <c r="F274" s="13" t="str">
        <f>IFERROR(__xludf.DUMMYFUNCTION("""COMPUTED_VALUE"""),"2024 - 2025")</f>
        <v>2024 - 2025</v>
      </c>
      <c r="G274" s="13" t="str">
        <f>IFERROR(__xludf.DUMMYFUNCTION("""COMPUTED_VALUE"""),"2023 - 2024")</f>
        <v>2023 - 2024</v>
      </c>
      <c r="H274" s="13">
        <f>IFERROR(__xludf.DUMMYFUNCTION("""COMPUTED_VALUE"""),83.55)</f>
        <v>83.55</v>
      </c>
      <c r="I274" s="15">
        <f>IFERROR(__xludf.DUMMYFUNCTION("""COMPUTED_VALUE"""),16.450000000000003)</f>
        <v>16.45</v>
      </c>
    </row>
    <row r="275">
      <c r="A275" s="13" t="str">
        <f>IFERROR(__xludf.DUMMYFUNCTION("""COMPUTED_VALUE"""),"0240")</f>
        <v>0240</v>
      </c>
      <c r="B275" s="13" t="str">
        <f>IFERROR(__xludf.DUMMYFUNCTION("""COMPUTED_VALUE"""),"PRITCHETT RE-3")</f>
        <v>PRITCHETT RE-3</v>
      </c>
      <c r="C275" s="14" t="str">
        <f>IFERROR(__xludf.DUMMYFUNCTION("""COMPUTED_VALUE"""),"07180")</f>
        <v>07180</v>
      </c>
      <c r="D275" s="13" t="str">
        <f>IFERROR(__xludf.DUMMYFUNCTION("""COMPUTED_VALUE"""),"PRITCHETT UNDIVIDED HIGH SCHOOL")</f>
        <v>PRITCHETT UNDIVIDED HIGH SCHOOL</v>
      </c>
      <c r="E275" s="13" t="str">
        <f>IFERROR(__xludf.DUMMYFUNCTION("""COMPUTED_VALUE"""),"Group 1")</f>
        <v>Group 1</v>
      </c>
      <c r="F275" s="13" t="str">
        <f>IFERROR(__xludf.DUMMYFUNCTION("""COMPUTED_VALUE"""),"2024 - 2025")</f>
        <v>2024 - 2025</v>
      </c>
      <c r="G275" s="13" t="str">
        <f>IFERROR(__xludf.DUMMYFUNCTION("""COMPUTED_VALUE"""),"2023 - 2024")</f>
        <v>2023 - 2024</v>
      </c>
      <c r="H275" s="13">
        <f>IFERROR(__xludf.DUMMYFUNCTION("""COMPUTED_VALUE"""),98.46)</f>
        <v>98.46</v>
      </c>
      <c r="I275" s="15">
        <f>IFERROR(__xludf.DUMMYFUNCTION("""COMPUTED_VALUE"""),1.5400000000000063)</f>
        <v>1.54</v>
      </c>
    </row>
    <row r="276">
      <c r="A276" s="13" t="str">
        <f>IFERROR(__xludf.DUMMYFUNCTION("""COMPUTED_VALUE"""),"0250")</f>
        <v>0250</v>
      </c>
      <c r="B276" s="13" t="str">
        <f>IFERROR(__xludf.DUMMYFUNCTION("""COMPUTED_VALUE"""),"SPRINGFIELD RE-4")</f>
        <v>SPRINGFIELD RE-4</v>
      </c>
      <c r="C276" s="14" t="str">
        <f>IFERROR(__xludf.DUMMYFUNCTION("""COMPUTED_VALUE"""),"08160")</f>
        <v>08160</v>
      </c>
      <c r="D276" s="13" t="str">
        <f>IFERROR(__xludf.DUMMYFUNCTION("""COMPUTED_VALUE"""),"SPRINGFIELD ELEMENTARY SCHOOL")</f>
        <v>SPRINGFIELD ELEMENTARY SCHOOL</v>
      </c>
      <c r="E276" s="13" t="str">
        <f>IFERROR(__xludf.DUMMYFUNCTION("""COMPUTED_VALUE"""),"Group 1")</f>
        <v>Group 1</v>
      </c>
      <c r="F276" s="13" t="str">
        <f>IFERROR(__xludf.DUMMYFUNCTION("""COMPUTED_VALUE"""),"2024 - 2025")</f>
        <v>2024 - 2025</v>
      </c>
      <c r="G276" s="13" t="str">
        <f>IFERROR(__xludf.DUMMYFUNCTION("""COMPUTED_VALUE"""),"2023 - 2024")</f>
        <v>2023 - 2024</v>
      </c>
      <c r="H276" s="13">
        <f>IFERROR(__xludf.DUMMYFUNCTION("""COMPUTED_VALUE"""),86.98)</f>
        <v>86.98</v>
      </c>
      <c r="I276" s="15">
        <f>IFERROR(__xludf.DUMMYFUNCTION("""COMPUTED_VALUE"""),13.019999999999996)</f>
        <v>13.02</v>
      </c>
    </row>
    <row r="277">
      <c r="A277" s="13" t="str">
        <f>IFERROR(__xludf.DUMMYFUNCTION("""COMPUTED_VALUE"""),"0250")</f>
        <v>0250</v>
      </c>
      <c r="B277" s="13" t="str">
        <f>IFERROR(__xludf.DUMMYFUNCTION("""COMPUTED_VALUE"""),"SPRINGFIELD RE-4")</f>
        <v>SPRINGFIELD RE-4</v>
      </c>
      <c r="C277" s="14" t="str">
        <f>IFERROR(__xludf.DUMMYFUNCTION("""COMPUTED_VALUE"""),"08168")</f>
        <v>08168</v>
      </c>
      <c r="D277" s="13" t="str">
        <f>IFERROR(__xludf.DUMMYFUNCTION("""COMPUTED_VALUE"""),"SPRINGFIELD JUNIOR/SENIOR HIGH SCHOOL")</f>
        <v>SPRINGFIELD JUNIOR/SENIOR HIGH SCHOOL</v>
      </c>
      <c r="E277" s="13" t="str">
        <f>IFERROR(__xludf.DUMMYFUNCTION("""COMPUTED_VALUE"""),"Group 1")</f>
        <v>Group 1</v>
      </c>
      <c r="F277" s="13" t="str">
        <f>IFERROR(__xludf.DUMMYFUNCTION("""COMPUTED_VALUE"""),"2024 - 2025")</f>
        <v>2024 - 2025</v>
      </c>
      <c r="G277" s="13" t="str">
        <f>IFERROR(__xludf.DUMMYFUNCTION("""COMPUTED_VALUE"""),"2023 - 2024")</f>
        <v>2023 - 2024</v>
      </c>
      <c r="H277" s="13">
        <f>IFERROR(__xludf.DUMMYFUNCTION("""COMPUTED_VALUE"""),86.98)</f>
        <v>86.98</v>
      </c>
      <c r="I277" s="15">
        <f>IFERROR(__xludf.DUMMYFUNCTION("""COMPUTED_VALUE"""),13.019999999999996)</f>
        <v>13.02</v>
      </c>
    </row>
    <row r="278">
      <c r="A278" s="13" t="str">
        <f>IFERROR(__xludf.DUMMYFUNCTION("""COMPUTED_VALUE"""),"0260")</f>
        <v>0260</v>
      </c>
      <c r="B278" s="13" t="str">
        <f>IFERROR(__xludf.DUMMYFUNCTION("""COMPUTED_VALUE"""),"VILAS RE-5")</f>
        <v>VILAS RE-5</v>
      </c>
      <c r="C278" s="14" t="str">
        <f>IFERROR(__xludf.DUMMYFUNCTION("""COMPUTED_VALUE"""),"09090")</f>
        <v>09090</v>
      </c>
      <c r="D278" s="13" t="str">
        <f>IFERROR(__xludf.DUMMYFUNCTION("""COMPUTED_VALUE"""),"VILAS ELEMENTARY SCHOOL")</f>
        <v>VILAS ELEMENTARY SCHOOL</v>
      </c>
      <c r="E278" s="13" t="str">
        <f>IFERROR(__xludf.DUMMYFUNCTION("""COMPUTED_VALUE"""),"Group 1")</f>
        <v>Group 1</v>
      </c>
      <c r="F278" s="13" t="str">
        <f>IFERROR(__xludf.DUMMYFUNCTION("""COMPUTED_VALUE"""),"2024 - 2025")</f>
        <v>2024 - 2025</v>
      </c>
      <c r="G278" s="13" t="str">
        <f>IFERROR(__xludf.DUMMYFUNCTION("""COMPUTED_VALUE"""),"2023 - 2024")</f>
        <v>2023 - 2024</v>
      </c>
      <c r="H278" s="13">
        <f>IFERROR(__xludf.DUMMYFUNCTION("""COMPUTED_VALUE"""),92.3)</f>
        <v>92.3</v>
      </c>
      <c r="I278" s="15">
        <f>IFERROR(__xludf.DUMMYFUNCTION("""COMPUTED_VALUE"""),7.700000000000003)</f>
        <v>7.7</v>
      </c>
    </row>
    <row r="279">
      <c r="A279" s="13" t="str">
        <f>IFERROR(__xludf.DUMMYFUNCTION("""COMPUTED_VALUE"""),"0260")</f>
        <v>0260</v>
      </c>
      <c r="B279" s="13" t="str">
        <f>IFERROR(__xludf.DUMMYFUNCTION("""COMPUTED_VALUE"""),"VILAS RE-5")</f>
        <v>VILAS RE-5</v>
      </c>
      <c r="C279" s="14" t="str">
        <f>IFERROR(__xludf.DUMMYFUNCTION("""COMPUTED_VALUE"""),"09100")</f>
        <v>09100</v>
      </c>
      <c r="D279" s="13" t="str">
        <f>IFERROR(__xludf.DUMMYFUNCTION("""COMPUTED_VALUE"""),"VILAS UNDIVIDED HIGH SCHOOL")</f>
        <v>VILAS UNDIVIDED HIGH SCHOOL</v>
      </c>
      <c r="E279" s="13" t="str">
        <f>IFERROR(__xludf.DUMMYFUNCTION("""COMPUTED_VALUE"""),"Group 1")</f>
        <v>Group 1</v>
      </c>
      <c r="F279" s="13" t="str">
        <f>IFERROR(__xludf.DUMMYFUNCTION("""COMPUTED_VALUE"""),"2024 - 2025")</f>
        <v>2024 - 2025</v>
      </c>
      <c r="G279" s="13" t="str">
        <f>IFERROR(__xludf.DUMMYFUNCTION("""COMPUTED_VALUE"""),"2023 - 2024")</f>
        <v>2023 - 2024</v>
      </c>
      <c r="H279" s="13">
        <f>IFERROR(__xludf.DUMMYFUNCTION("""COMPUTED_VALUE"""),92.3)</f>
        <v>92.3</v>
      </c>
      <c r="I279" s="15">
        <f>IFERROR(__xludf.DUMMYFUNCTION("""COMPUTED_VALUE"""),7.700000000000003)</f>
        <v>7.7</v>
      </c>
    </row>
    <row r="280">
      <c r="A280" s="13" t="str">
        <f>IFERROR(__xludf.DUMMYFUNCTION("""COMPUTED_VALUE"""),"0270")</f>
        <v>0270</v>
      </c>
      <c r="B280" s="13" t="str">
        <f>IFERROR(__xludf.DUMMYFUNCTION("""COMPUTED_VALUE"""),"CAMPO RE-6")</f>
        <v>CAMPO RE-6</v>
      </c>
      <c r="C280" s="14" t="str">
        <f>IFERROR(__xludf.DUMMYFUNCTION("""COMPUTED_VALUE"""),"01248")</f>
        <v>01248</v>
      </c>
      <c r="D280" s="13" t="str">
        <f>IFERROR(__xludf.DUMMYFUNCTION("""COMPUTED_VALUE"""),"CAMPO ELEMENTARY SCHOOL")</f>
        <v>CAMPO ELEMENTARY SCHOOL</v>
      </c>
      <c r="E280" s="13" t="str">
        <f>IFERROR(__xludf.DUMMYFUNCTION("""COMPUTED_VALUE"""),"Group 1")</f>
        <v>Group 1</v>
      </c>
      <c r="F280" s="13" t="str">
        <f>IFERROR(__xludf.DUMMYFUNCTION("""COMPUTED_VALUE"""),"2024 - 2025")</f>
        <v>2024 - 2025</v>
      </c>
      <c r="G280" s="13" t="str">
        <f>IFERROR(__xludf.DUMMYFUNCTION("""COMPUTED_VALUE"""),"2023 - 2024")</f>
        <v>2023 - 2024</v>
      </c>
      <c r="H280" s="13">
        <f>IFERROR(__xludf.DUMMYFUNCTION("""COMPUTED_VALUE"""),73.14)</f>
        <v>73.14</v>
      </c>
      <c r="I280" s="15">
        <f>IFERROR(__xludf.DUMMYFUNCTION("""COMPUTED_VALUE"""),26.86)</f>
        <v>26.86</v>
      </c>
    </row>
    <row r="281">
      <c r="A281" s="13" t="str">
        <f>IFERROR(__xludf.DUMMYFUNCTION("""COMPUTED_VALUE"""),"0270")</f>
        <v>0270</v>
      </c>
      <c r="B281" s="13" t="str">
        <f>IFERROR(__xludf.DUMMYFUNCTION("""COMPUTED_VALUE"""),"CAMPO RE-6")</f>
        <v>CAMPO RE-6</v>
      </c>
      <c r="C281" s="14" t="str">
        <f>IFERROR(__xludf.DUMMYFUNCTION("""COMPUTED_VALUE"""),"01252")</f>
        <v>01252</v>
      </c>
      <c r="D281" s="13" t="str">
        <f>IFERROR(__xludf.DUMMYFUNCTION("""COMPUTED_VALUE"""),"CAMPO UNDIVIDED HIGH SCHOOL")</f>
        <v>CAMPO UNDIVIDED HIGH SCHOOL</v>
      </c>
      <c r="E281" s="13" t="str">
        <f>IFERROR(__xludf.DUMMYFUNCTION("""COMPUTED_VALUE"""),"Group 1")</f>
        <v>Group 1</v>
      </c>
      <c r="F281" s="13" t="str">
        <f>IFERROR(__xludf.DUMMYFUNCTION("""COMPUTED_VALUE"""),"2024 - 2025")</f>
        <v>2024 - 2025</v>
      </c>
      <c r="G281" s="13" t="str">
        <f>IFERROR(__xludf.DUMMYFUNCTION("""COMPUTED_VALUE"""),"2023 - 2024")</f>
        <v>2023 - 2024</v>
      </c>
      <c r="H281" s="13">
        <f>IFERROR(__xludf.DUMMYFUNCTION("""COMPUTED_VALUE"""),73.14)</f>
        <v>73.14</v>
      </c>
      <c r="I281" s="15">
        <f>IFERROR(__xludf.DUMMYFUNCTION("""COMPUTED_VALUE"""),26.86)</f>
        <v>26.86</v>
      </c>
    </row>
    <row r="282">
      <c r="A282" s="13" t="str">
        <f>IFERROR(__xludf.DUMMYFUNCTION("""COMPUTED_VALUE"""),"0290")</f>
        <v>0290</v>
      </c>
      <c r="B282" s="13" t="str">
        <f>IFERROR(__xludf.DUMMYFUNCTION("""COMPUTED_VALUE"""),"Bent County School District #1")</f>
        <v>Bent County School District #1</v>
      </c>
      <c r="C282" s="14" t="str">
        <f>IFERROR(__xludf.DUMMYFUNCTION("""COMPUTED_VALUE"""),"01812")</f>
        <v>01812</v>
      </c>
      <c r="D282" s="13" t="str">
        <f>IFERROR(__xludf.DUMMYFUNCTION("""COMPUTED_VALUE"""),"LAS ANIMAS ELEMENTARY SCHOOL")</f>
        <v>LAS ANIMAS ELEMENTARY SCHOOL</v>
      </c>
      <c r="E282" s="13" t="str">
        <f>IFERROR(__xludf.DUMMYFUNCTION("""COMPUTED_VALUE"""),"Group 1")</f>
        <v>Group 1</v>
      </c>
      <c r="F282" s="13" t="str">
        <f>IFERROR(__xludf.DUMMYFUNCTION("""COMPUTED_VALUE"""),"2024 - 2025")</f>
        <v>2024 - 2025</v>
      </c>
      <c r="G282" s="13" t="str">
        <f>IFERROR(__xludf.DUMMYFUNCTION("""COMPUTED_VALUE"""),"2023 - 2024")</f>
        <v>2023 - 2024</v>
      </c>
      <c r="H282" s="13">
        <f>IFERROR(__xludf.DUMMYFUNCTION("""COMPUTED_VALUE"""),100.0)</f>
        <v>100</v>
      </c>
      <c r="I282" s="15">
        <f>IFERROR(__xludf.DUMMYFUNCTION("""COMPUTED_VALUE"""),0.0)</f>
        <v>0</v>
      </c>
    </row>
    <row r="283">
      <c r="A283" s="13" t="str">
        <f>IFERROR(__xludf.DUMMYFUNCTION("""COMPUTED_VALUE"""),"0290")</f>
        <v>0290</v>
      </c>
      <c r="B283" s="13" t="str">
        <f>IFERROR(__xludf.DUMMYFUNCTION("""COMPUTED_VALUE"""),"Bent County School District #1")</f>
        <v>Bent County School District #1</v>
      </c>
      <c r="C283" s="14" t="str">
        <f>IFERROR(__xludf.DUMMYFUNCTION("""COMPUTED_VALUE"""),"04986")</f>
        <v>04986</v>
      </c>
      <c r="D283" s="13" t="str">
        <f>IFERROR(__xludf.DUMMYFUNCTION("""COMPUTED_VALUE"""),"LAS ANIMAS JUNIOR HIGH SCHOOL")</f>
        <v>LAS ANIMAS JUNIOR HIGH SCHOOL</v>
      </c>
      <c r="E283" s="13" t="str">
        <f>IFERROR(__xludf.DUMMYFUNCTION("""COMPUTED_VALUE"""),"Group 1")</f>
        <v>Group 1</v>
      </c>
      <c r="F283" s="13" t="str">
        <f>IFERROR(__xludf.DUMMYFUNCTION("""COMPUTED_VALUE"""),"2024 - 2025")</f>
        <v>2024 - 2025</v>
      </c>
      <c r="G283" s="13" t="str">
        <f>IFERROR(__xludf.DUMMYFUNCTION("""COMPUTED_VALUE"""),"2023 - 2024")</f>
        <v>2023 - 2024</v>
      </c>
      <c r="H283" s="13">
        <f>IFERROR(__xludf.DUMMYFUNCTION("""COMPUTED_VALUE"""),100.0)</f>
        <v>100</v>
      </c>
      <c r="I283" s="15">
        <f>IFERROR(__xludf.DUMMYFUNCTION("""COMPUTED_VALUE"""),0.0)</f>
        <v>0</v>
      </c>
    </row>
    <row r="284">
      <c r="A284" s="13" t="str">
        <f>IFERROR(__xludf.DUMMYFUNCTION("""COMPUTED_VALUE"""),"0290")</f>
        <v>0290</v>
      </c>
      <c r="B284" s="13" t="str">
        <f>IFERROR(__xludf.DUMMYFUNCTION("""COMPUTED_VALUE"""),"Bent County School District #1")</f>
        <v>Bent County School District #1</v>
      </c>
      <c r="C284" s="14" t="str">
        <f>IFERROR(__xludf.DUMMYFUNCTION("""COMPUTED_VALUE"""),"04990")</f>
        <v>04990</v>
      </c>
      <c r="D284" s="13" t="str">
        <f>IFERROR(__xludf.DUMMYFUNCTION("""COMPUTED_VALUE"""),"LAS ANIMAS HIGH SCHOOL")</f>
        <v>LAS ANIMAS HIGH SCHOOL</v>
      </c>
      <c r="E284" s="13" t="str">
        <f>IFERROR(__xludf.DUMMYFUNCTION("""COMPUTED_VALUE"""),"Group 1")</f>
        <v>Group 1</v>
      </c>
      <c r="F284" s="13" t="str">
        <f>IFERROR(__xludf.DUMMYFUNCTION("""COMPUTED_VALUE"""),"2024 - 2025")</f>
        <v>2024 - 2025</v>
      </c>
      <c r="G284" s="13" t="str">
        <f>IFERROR(__xludf.DUMMYFUNCTION("""COMPUTED_VALUE"""),"2023 - 2024")</f>
        <v>2023 - 2024</v>
      </c>
      <c r="H284" s="13">
        <f>IFERROR(__xludf.DUMMYFUNCTION("""COMPUTED_VALUE"""),100.0)</f>
        <v>100</v>
      </c>
      <c r="I284" s="15">
        <f>IFERROR(__xludf.DUMMYFUNCTION("""COMPUTED_VALUE"""),0.0)</f>
        <v>0</v>
      </c>
    </row>
    <row r="285">
      <c r="A285" s="13" t="str">
        <f>IFERROR(__xludf.DUMMYFUNCTION("""COMPUTED_VALUE"""),"0310")</f>
        <v>0310</v>
      </c>
      <c r="B285" s="13" t="str">
        <f>IFERROR(__xludf.DUMMYFUNCTION("""COMPUTED_VALUE"""),"McCLAVE RE-2")</f>
        <v>McCLAVE RE-2</v>
      </c>
      <c r="C285" s="14" t="str">
        <f>IFERROR(__xludf.DUMMYFUNCTION("""COMPUTED_VALUE"""),"05670")</f>
        <v>05670</v>
      </c>
      <c r="D285" s="13" t="str">
        <f>IFERROR(__xludf.DUMMYFUNCTION("""COMPUTED_VALUE"""),"McCLAVE UNDIVIDED HIGH SCHOOL")</f>
        <v>McCLAVE UNDIVIDED HIGH SCHOOL</v>
      </c>
      <c r="E285" s="13" t="str">
        <f>IFERROR(__xludf.DUMMYFUNCTION("""COMPUTED_VALUE"""),"Group 1")</f>
        <v>Group 1</v>
      </c>
      <c r="F285" s="13" t="str">
        <f>IFERROR(__xludf.DUMMYFUNCTION("""COMPUTED_VALUE"""),"2024 - 2025")</f>
        <v>2024 - 2025</v>
      </c>
      <c r="G285" s="13" t="str">
        <f>IFERROR(__xludf.DUMMYFUNCTION("""COMPUTED_VALUE"""),"2023 - 2024")</f>
        <v>2023 - 2024</v>
      </c>
      <c r="H285" s="13">
        <f>IFERROR(__xludf.DUMMYFUNCTION("""COMPUTED_VALUE"""),54.74)</f>
        <v>54.74</v>
      </c>
      <c r="I285" s="15">
        <f>IFERROR(__xludf.DUMMYFUNCTION("""COMPUTED_VALUE"""),45.26)</f>
        <v>45.26</v>
      </c>
    </row>
    <row r="286">
      <c r="A286" s="13" t="str">
        <f>IFERROR(__xludf.DUMMYFUNCTION("""COMPUTED_VALUE"""),"0310")</f>
        <v>0310</v>
      </c>
      <c r="B286" s="13" t="str">
        <f>IFERROR(__xludf.DUMMYFUNCTION("""COMPUTED_VALUE"""),"McCLAVE RE-2")</f>
        <v>McCLAVE RE-2</v>
      </c>
      <c r="C286" s="14" t="str">
        <f>IFERROR(__xludf.DUMMYFUNCTION("""COMPUTED_VALUE"""),"05666")</f>
        <v>05666</v>
      </c>
      <c r="D286" s="13" t="str">
        <f>IFERROR(__xludf.DUMMYFUNCTION("""COMPUTED_VALUE"""),"McCLAVE ELEMENTARY SCHOOL")</f>
        <v>McCLAVE ELEMENTARY SCHOOL</v>
      </c>
      <c r="E286" s="13" t="str">
        <f>IFERROR(__xludf.DUMMYFUNCTION("""COMPUTED_VALUE"""),"Group 2")</f>
        <v>Group 2</v>
      </c>
      <c r="F286" s="13" t="str">
        <f>IFERROR(__xludf.DUMMYFUNCTION("""COMPUTED_VALUE"""),"2024 - 2025")</f>
        <v>2024 - 2025</v>
      </c>
      <c r="G286" s="13" t="str">
        <f>IFERROR(__xludf.DUMMYFUNCTION("""COMPUTED_VALUE"""),"2023 - 2024")</f>
        <v>2023 - 2024</v>
      </c>
      <c r="H286" s="13">
        <f>IFERROR(__xludf.DUMMYFUNCTION("""COMPUTED_VALUE"""),82.16)</f>
        <v>82.16</v>
      </c>
      <c r="I286" s="15">
        <f>IFERROR(__xludf.DUMMYFUNCTION("""COMPUTED_VALUE"""),17.840000000000003)</f>
        <v>17.84</v>
      </c>
    </row>
    <row r="287">
      <c r="A287" s="13" t="str">
        <f>IFERROR(__xludf.DUMMYFUNCTION("""COMPUTED_VALUE"""),"0470")</f>
        <v>0470</v>
      </c>
      <c r="B287" s="13" t="str">
        <f>IFERROR(__xludf.DUMMYFUNCTION("""COMPUTED_VALUE"""),"ST VRAIN VALLEY RE-1J")</f>
        <v>ST VRAIN VALLEY RE-1J</v>
      </c>
      <c r="C287" s="14" t="str">
        <f>IFERROR(__xludf.DUMMYFUNCTION("""COMPUTED_VALUE"""),"00060")</f>
        <v>00060</v>
      </c>
      <c r="D287" s="13" t="str">
        <f>IFERROR(__xludf.DUMMYFUNCTION("""COMPUTED_VALUE"""),"LEGACY ELEMENTARY")</f>
        <v>LEGACY ELEMENTARY</v>
      </c>
      <c r="E287" s="13" t="str">
        <f>IFERROR(__xludf.DUMMYFUNCTION("""COMPUTED_VALUE"""),"Group 1")</f>
        <v>Group 1</v>
      </c>
      <c r="F287" s="13" t="str">
        <f>IFERROR(__xludf.DUMMYFUNCTION("""COMPUTED_VALUE"""),"2024 - 2025")</f>
        <v>2024 - 2025</v>
      </c>
      <c r="G287" s="13" t="str">
        <f>IFERROR(__xludf.DUMMYFUNCTION("""COMPUTED_VALUE"""),"2023 - 2024")</f>
        <v>2023 - 2024</v>
      </c>
      <c r="H287" s="13">
        <f>IFERROR(__xludf.DUMMYFUNCTION("""COMPUTED_VALUE"""),40.54)</f>
        <v>40.54</v>
      </c>
      <c r="I287" s="15">
        <f>IFERROR(__xludf.DUMMYFUNCTION("""COMPUTED_VALUE"""),59.46)</f>
        <v>59.46</v>
      </c>
    </row>
    <row r="288">
      <c r="A288" s="13" t="str">
        <f>IFERROR(__xludf.DUMMYFUNCTION("""COMPUTED_VALUE"""),"0470")</f>
        <v>0470</v>
      </c>
      <c r="B288" s="13" t="str">
        <f>IFERROR(__xludf.DUMMYFUNCTION("""COMPUTED_VALUE"""),"ST VRAIN VALLEY RE-1J")</f>
        <v>ST VRAIN VALLEY RE-1J</v>
      </c>
      <c r="C288" s="14" t="str">
        <f>IFERROR(__xludf.DUMMYFUNCTION("""COMPUTED_VALUE"""),"00875")</f>
        <v>00875</v>
      </c>
      <c r="D288" s="13" t="str">
        <f>IFERROR(__xludf.DUMMYFUNCTION("""COMPUTED_VALUE"""),"BLACK ROCK ELEMENTARY")</f>
        <v>BLACK ROCK ELEMENTARY</v>
      </c>
      <c r="E288" s="13" t="str">
        <f>IFERROR(__xludf.DUMMYFUNCTION("""COMPUTED_VALUE"""),"Group 1")</f>
        <v>Group 1</v>
      </c>
      <c r="F288" s="13" t="str">
        <f>IFERROR(__xludf.DUMMYFUNCTION("""COMPUTED_VALUE"""),"2024 - 2025")</f>
        <v>2024 - 2025</v>
      </c>
      <c r="G288" s="13" t="str">
        <f>IFERROR(__xludf.DUMMYFUNCTION("""COMPUTED_VALUE"""),"2023 - 2024")</f>
        <v>2023 - 2024</v>
      </c>
      <c r="H288" s="13">
        <f>IFERROR(__xludf.DUMMYFUNCTION("""COMPUTED_VALUE"""),40.54)</f>
        <v>40.54</v>
      </c>
      <c r="I288" s="15">
        <f>IFERROR(__xludf.DUMMYFUNCTION("""COMPUTED_VALUE"""),59.46)</f>
        <v>59.46</v>
      </c>
    </row>
    <row r="289">
      <c r="A289" s="13" t="str">
        <f>IFERROR(__xludf.DUMMYFUNCTION("""COMPUTED_VALUE"""),"0470")</f>
        <v>0470</v>
      </c>
      <c r="B289" s="13" t="str">
        <f>IFERROR(__xludf.DUMMYFUNCTION("""COMPUTED_VALUE"""),"ST VRAIN VALLEY RE-1J")</f>
        <v>ST VRAIN VALLEY RE-1J</v>
      </c>
      <c r="C289" s="14" t="str">
        <f>IFERROR(__xludf.DUMMYFUNCTION("""COMPUTED_VALUE"""),"02758")</f>
        <v>02758</v>
      </c>
      <c r="D289" s="13" t="str">
        <f>IFERROR(__xludf.DUMMYFUNCTION("""COMPUTED_VALUE"""),"ERIE ELEMENTARY SCHOOL")</f>
        <v>ERIE ELEMENTARY SCHOOL</v>
      </c>
      <c r="E289" s="13" t="str">
        <f>IFERROR(__xludf.DUMMYFUNCTION("""COMPUTED_VALUE"""),"Group 1")</f>
        <v>Group 1</v>
      </c>
      <c r="F289" s="13" t="str">
        <f>IFERROR(__xludf.DUMMYFUNCTION("""COMPUTED_VALUE"""),"2024 - 2025")</f>
        <v>2024 - 2025</v>
      </c>
      <c r="G289" s="13" t="str">
        <f>IFERROR(__xludf.DUMMYFUNCTION("""COMPUTED_VALUE"""),"2023 - 2024")</f>
        <v>2023 - 2024</v>
      </c>
      <c r="H289" s="13">
        <f>IFERROR(__xludf.DUMMYFUNCTION("""COMPUTED_VALUE"""),40.54)</f>
        <v>40.54</v>
      </c>
      <c r="I289" s="15">
        <f>IFERROR(__xludf.DUMMYFUNCTION("""COMPUTED_VALUE"""),59.46)</f>
        <v>59.46</v>
      </c>
    </row>
    <row r="290">
      <c r="A290" s="13" t="str">
        <f>IFERROR(__xludf.DUMMYFUNCTION("""COMPUTED_VALUE"""),"0470")</f>
        <v>0470</v>
      </c>
      <c r="B290" s="13" t="str">
        <f>IFERROR(__xludf.DUMMYFUNCTION("""COMPUTED_VALUE"""),"ST VRAIN VALLEY RE-1J")</f>
        <v>ST VRAIN VALLEY RE-1J</v>
      </c>
      <c r="C290" s="14" t="str">
        <f>IFERROR(__xludf.DUMMYFUNCTION("""COMPUTED_VALUE"""),"05286")</f>
        <v>05286</v>
      </c>
      <c r="D290" s="13" t="str">
        <f>IFERROR(__xludf.DUMMYFUNCTION("""COMPUTED_VALUE"""),"SUNSET MIDDLE SCHOOL")</f>
        <v>SUNSET MIDDLE SCHOOL</v>
      </c>
      <c r="E290" s="13" t="str">
        <f>IFERROR(__xludf.DUMMYFUNCTION("""COMPUTED_VALUE"""),"Group 1")</f>
        <v>Group 1</v>
      </c>
      <c r="F290" s="13" t="str">
        <f>IFERROR(__xludf.DUMMYFUNCTION("""COMPUTED_VALUE"""),"2024 - 2025")</f>
        <v>2024 - 2025</v>
      </c>
      <c r="G290" s="13" t="str">
        <f>IFERROR(__xludf.DUMMYFUNCTION("""COMPUTED_VALUE"""),"2023 - 2024")</f>
        <v>2023 - 2024</v>
      </c>
      <c r="H290" s="13">
        <f>IFERROR(__xludf.DUMMYFUNCTION("""COMPUTED_VALUE"""),40.54)</f>
        <v>40.54</v>
      </c>
      <c r="I290" s="15">
        <f>IFERROR(__xludf.DUMMYFUNCTION("""COMPUTED_VALUE"""),59.46)</f>
        <v>59.46</v>
      </c>
    </row>
    <row r="291">
      <c r="A291" s="13" t="str">
        <f>IFERROR(__xludf.DUMMYFUNCTION("""COMPUTED_VALUE"""),"0470")</f>
        <v>0470</v>
      </c>
      <c r="B291" s="13" t="str">
        <f>IFERROR(__xludf.DUMMYFUNCTION("""COMPUTED_VALUE"""),"ST VRAIN VALLEY RE-1J")</f>
        <v>ST VRAIN VALLEY RE-1J</v>
      </c>
      <c r="C291" s="14" t="str">
        <f>IFERROR(__xludf.DUMMYFUNCTION("""COMPUTED_VALUE"""),"05730")</f>
        <v>05730</v>
      </c>
      <c r="D291" s="13" t="str">
        <f>IFERROR(__xludf.DUMMYFUNCTION("""COMPUTED_VALUE"""),"MEAD MIDDLE SCHOOL")</f>
        <v>MEAD MIDDLE SCHOOL</v>
      </c>
      <c r="E291" s="13" t="str">
        <f>IFERROR(__xludf.DUMMYFUNCTION("""COMPUTED_VALUE"""),"Group 1")</f>
        <v>Group 1</v>
      </c>
      <c r="F291" s="13" t="str">
        <f>IFERROR(__xludf.DUMMYFUNCTION("""COMPUTED_VALUE"""),"2024 - 2025")</f>
        <v>2024 - 2025</v>
      </c>
      <c r="G291" s="13" t="str">
        <f>IFERROR(__xludf.DUMMYFUNCTION("""COMPUTED_VALUE"""),"2023 - 2024")</f>
        <v>2023 - 2024</v>
      </c>
      <c r="H291" s="13">
        <f>IFERROR(__xludf.DUMMYFUNCTION("""COMPUTED_VALUE"""),40.54)</f>
        <v>40.54</v>
      </c>
      <c r="I291" s="15">
        <f>IFERROR(__xludf.DUMMYFUNCTION("""COMPUTED_VALUE"""),59.46)</f>
        <v>59.46</v>
      </c>
    </row>
    <row r="292">
      <c r="A292" s="13" t="str">
        <f>IFERROR(__xludf.DUMMYFUNCTION("""COMPUTED_VALUE"""),"0470")</f>
        <v>0470</v>
      </c>
      <c r="B292" s="13" t="str">
        <f>IFERROR(__xludf.DUMMYFUNCTION("""COMPUTED_VALUE"""),"ST VRAIN VALLEY RE-1J")</f>
        <v>ST VRAIN VALLEY RE-1J</v>
      </c>
      <c r="C292" s="14" t="str">
        <f>IFERROR(__xludf.DUMMYFUNCTION("""COMPUTED_VALUE"""),"08903")</f>
        <v>08903</v>
      </c>
      <c r="D292" s="13" t="str">
        <f>IFERROR(__xludf.DUMMYFUNCTION("""COMPUTED_VALUE"""),"TRAIL RIDGE MIDDLE SCHOOL")</f>
        <v>TRAIL RIDGE MIDDLE SCHOOL</v>
      </c>
      <c r="E292" s="13" t="str">
        <f>IFERROR(__xludf.DUMMYFUNCTION("""COMPUTED_VALUE"""),"Group 1")</f>
        <v>Group 1</v>
      </c>
      <c r="F292" s="13" t="str">
        <f>IFERROR(__xludf.DUMMYFUNCTION("""COMPUTED_VALUE"""),"2024 - 2025")</f>
        <v>2024 - 2025</v>
      </c>
      <c r="G292" s="13" t="str">
        <f>IFERROR(__xludf.DUMMYFUNCTION("""COMPUTED_VALUE"""),"2023 - 2024")</f>
        <v>2023 - 2024</v>
      </c>
      <c r="H292" s="13">
        <f>IFERROR(__xludf.DUMMYFUNCTION("""COMPUTED_VALUE"""),40.54)</f>
        <v>40.54</v>
      </c>
      <c r="I292" s="15">
        <f>IFERROR(__xludf.DUMMYFUNCTION("""COMPUTED_VALUE"""),59.46)</f>
        <v>59.46</v>
      </c>
    </row>
    <row r="293">
      <c r="A293" s="13" t="str">
        <f>IFERROR(__xludf.DUMMYFUNCTION("""COMPUTED_VALUE"""),"0470")</f>
        <v>0470</v>
      </c>
      <c r="B293" s="13" t="str">
        <f>IFERROR(__xludf.DUMMYFUNCTION("""COMPUTED_VALUE"""),"ST VRAIN VALLEY RE-1J")</f>
        <v>ST VRAIN VALLEY RE-1J</v>
      </c>
      <c r="C293" s="14" t="str">
        <f>IFERROR(__xludf.DUMMYFUNCTION("""COMPUTED_VALUE"""),"07561")</f>
        <v>07561</v>
      </c>
      <c r="D293" s="13" t="str">
        <f>IFERROR(__xludf.DUMMYFUNCTION("""COMPUTED_VALUE"""),"SPARK! Discovery Preschool")</f>
        <v>SPARK! Discovery Preschool</v>
      </c>
      <c r="E293" s="13" t="str">
        <f>IFERROR(__xludf.DUMMYFUNCTION("""COMPUTED_VALUE"""),"Group 1")</f>
        <v>Group 1</v>
      </c>
      <c r="F293" s="13" t="str">
        <f>IFERROR(__xludf.DUMMYFUNCTION("""COMPUTED_VALUE"""),"2024 - 2025")</f>
        <v>2024 - 2025</v>
      </c>
      <c r="G293" s="13" t="str">
        <f>IFERROR(__xludf.DUMMYFUNCTION("""COMPUTED_VALUE"""),"2023 - 2024")</f>
        <v>2023 - 2024</v>
      </c>
      <c r="H293" s="13">
        <f>IFERROR(__xludf.DUMMYFUNCTION("""COMPUTED_VALUE"""),40.54)</f>
        <v>40.54</v>
      </c>
      <c r="I293" s="15">
        <f>IFERROR(__xludf.DUMMYFUNCTION("""COMPUTED_VALUE"""),59.46)</f>
        <v>59.46</v>
      </c>
    </row>
    <row r="294">
      <c r="A294" s="13" t="str">
        <f>IFERROR(__xludf.DUMMYFUNCTION("""COMPUTED_VALUE"""),"0470")</f>
        <v>0470</v>
      </c>
      <c r="B294" s="13" t="str">
        <f>IFERROR(__xludf.DUMMYFUNCTION("""COMPUTED_VALUE"""),"ST VRAIN VALLEY RE-1J")</f>
        <v>ST VRAIN VALLEY RE-1J</v>
      </c>
      <c r="C294" s="14" t="str">
        <f>IFERROR(__xludf.DUMMYFUNCTION("""COMPUTED_VALUE"""),"06421")</f>
        <v>06421</v>
      </c>
      <c r="D294" s="13" t="str">
        <f>IFERROR(__xludf.DUMMYFUNCTION("""COMPUTED_VALUE"""),"Highlands Elementary")</f>
        <v>Highlands Elementary</v>
      </c>
      <c r="E294" s="13" t="str">
        <f>IFERROR(__xludf.DUMMYFUNCTION("""COMPUTED_VALUE"""),"Group 1")</f>
        <v>Group 1</v>
      </c>
      <c r="F294" s="13" t="str">
        <f>IFERROR(__xludf.DUMMYFUNCTION("""COMPUTED_VALUE"""),"2024 - 2025")</f>
        <v>2024 - 2025</v>
      </c>
      <c r="G294" s="13" t="str">
        <f>IFERROR(__xludf.DUMMYFUNCTION("""COMPUTED_VALUE"""),"2023 - 2024")</f>
        <v>2023 - 2024</v>
      </c>
      <c r="H294" s="13">
        <f>IFERROR(__xludf.DUMMYFUNCTION("""COMPUTED_VALUE"""),40.54)</f>
        <v>40.54</v>
      </c>
      <c r="I294" s="15">
        <f>IFERROR(__xludf.DUMMYFUNCTION("""COMPUTED_VALUE"""),59.46)</f>
        <v>59.46</v>
      </c>
    </row>
    <row r="295">
      <c r="A295" s="13" t="str">
        <f>IFERROR(__xludf.DUMMYFUNCTION("""COMPUTED_VALUE"""),"0470")</f>
        <v>0470</v>
      </c>
      <c r="B295" s="13" t="str">
        <f>IFERROR(__xludf.DUMMYFUNCTION("""COMPUTED_VALUE"""),"ST VRAIN VALLEY RE-1J")</f>
        <v>ST VRAIN VALLEY RE-1J</v>
      </c>
      <c r="C295" s="14" t="str">
        <f>IFERROR(__xludf.DUMMYFUNCTION("""COMPUTED_VALUE"""),"00061")</f>
        <v>00061</v>
      </c>
      <c r="D295" s="13" t="str">
        <f>IFERROR(__xludf.DUMMYFUNCTION("""COMPUTED_VALUE"""),"ALPINE ELEMENTARY")</f>
        <v>ALPINE ELEMENTARY</v>
      </c>
      <c r="E295" s="13" t="str">
        <f>IFERROR(__xludf.DUMMYFUNCTION("""COMPUTED_VALUE"""),"Group 10")</f>
        <v>Group 10</v>
      </c>
      <c r="F295" s="13" t="str">
        <f>IFERROR(__xludf.DUMMYFUNCTION("""COMPUTED_VALUE"""),"2024 - 2025")</f>
        <v>2024 - 2025</v>
      </c>
      <c r="G295" s="13" t="str">
        <f>IFERROR(__xludf.DUMMYFUNCTION("""COMPUTED_VALUE"""),"2023 - 2024")</f>
        <v>2023 - 2024</v>
      </c>
      <c r="H295" s="13">
        <f>IFERROR(__xludf.DUMMYFUNCTION("""COMPUTED_VALUE"""),72.29)</f>
        <v>72.29</v>
      </c>
      <c r="I295" s="15">
        <f>IFERROR(__xludf.DUMMYFUNCTION("""COMPUTED_VALUE"""),27.709999999999994)</f>
        <v>27.71</v>
      </c>
    </row>
    <row r="296">
      <c r="A296" s="13" t="str">
        <f>IFERROR(__xludf.DUMMYFUNCTION("""COMPUTED_VALUE"""),"0470")</f>
        <v>0470</v>
      </c>
      <c r="B296" s="13" t="str">
        <f>IFERROR(__xludf.DUMMYFUNCTION("""COMPUTED_VALUE"""),"ST VRAIN VALLEY RE-1J")</f>
        <v>ST VRAIN VALLEY RE-1J</v>
      </c>
      <c r="C296" s="14" t="str">
        <f>IFERROR(__xludf.DUMMYFUNCTION("""COMPUTED_VALUE"""),"01434")</f>
        <v>01434</v>
      </c>
      <c r="D296" s="13" t="str">
        <f>IFERROR(__xludf.DUMMYFUNCTION("""COMPUTED_VALUE"""),"CENTRAL ELEMENTARY SCHOOL")</f>
        <v>CENTRAL ELEMENTARY SCHOOL</v>
      </c>
      <c r="E296" s="13" t="str">
        <f>IFERROR(__xludf.DUMMYFUNCTION("""COMPUTED_VALUE"""),"Group 11")</f>
        <v>Group 11</v>
      </c>
      <c r="F296" s="13" t="str">
        <f>IFERROR(__xludf.DUMMYFUNCTION("""COMPUTED_VALUE"""),"2024 - 2025")</f>
        <v>2024 - 2025</v>
      </c>
      <c r="G296" s="13" t="str">
        <f>IFERROR(__xludf.DUMMYFUNCTION("""COMPUTED_VALUE"""),"2023 - 2024")</f>
        <v>2023 - 2024</v>
      </c>
      <c r="H296" s="13">
        <f>IFERROR(__xludf.DUMMYFUNCTION("""COMPUTED_VALUE"""),40.05)</f>
        <v>40.05</v>
      </c>
      <c r="I296" s="15">
        <f>IFERROR(__xludf.DUMMYFUNCTION("""COMPUTED_VALUE"""),59.95)</f>
        <v>59.95</v>
      </c>
    </row>
    <row r="297">
      <c r="A297" s="13" t="str">
        <f>IFERROR(__xludf.DUMMYFUNCTION("""COMPUTED_VALUE"""),"0470")</f>
        <v>0470</v>
      </c>
      <c r="B297" s="13" t="str">
        <f>IFERROR(__xludf.DUMMYFUNCTION("""COMPUTED_VALUE"""),"ST VRAIN VALLEY RE-1J")</f>
        <v>ST VRAIN VALLEY RE-1J</v>
      </c>
      <c r="C297" s="14" t="str">
        <f>IFERROR(__xludf.DUMMYFUNCTION("""COMPUTED_VALUE"""),"03194")</f>
        <v>03194</v>
      </c>
      <c r="D297" s="13" t="str">
        <f>IFERROR(__xludf.DUMMYFUNCTION("""COMPUTED_VALUE"""),"COAL RIDGE MIDDLE SCHOOL")</f>
        <v>COAL RIDGE MIDDLE SCHOOL</v>
      </c>
      <c r="E297" s="13" t="str">
        <f>IFERROR(__xludf.DUMMYFUNCTION("""COMPUTED_VALUE"""),"Group 11")</f>
        <v>Group 11</v>
      </c>
      <c r="F297" s="13" t="str">
        <f>IFERROR(__xludf.DUMMYFUNCTION("""COMPUTED_VALUE"""),"2024 - 2025")</f>
        <v>2024 - 2025</v>
      </c>
      <c r="G297" s="13" t="str">
        <f>IFERROR(__xludf.DUMMYFUNCTION("""COMPUTED_VALUE"""),"2023 - 2024")</f>
        <v>2023 - 2024</v>
      </c>
      <c r="H297" s="13">
        <f>IFERROR(__xludf.DUMMYFUNCTION("""COMPUTED_VALUE"""),40.05)</f>
        <v>40.05</v>
      </c>
      <c r="I297" s="15">
        <f>IFERROR(__xludf.DUMMYFUNCTION("""COMPUTED_VALUE"""),59.95)</f>
        <v>59.95</v>
      </c>
    </row>
    <row r="298">
      <c r="A298" s="13" t="str">
        <f>IFERROR(__xludf.DUMMYFUNCTION("""COMPUTED_VALUE"""),"0470")</f>
        <v>0470</v>
      </c>
      <c r="B298" s="13" t="str">
        <f>IFERROR(__xludf.DUMMYFUNCTION("""COMPUTED_VALUE"""),"ST VRAIN VALLEY RE-1J")</f>
        <v>ST VRAIN VALLEY RE-1J</v>
      </c>
      <c r="C298" s="14" t="str">
        <f>IFERROR(__xludf.DUMMYFUNCTION("""COMPUTED_VALUE"""),"03196")</f>
        <v>03196</v>
      </c>
      <c r="D298" s="13" t="str">
        <f>IFERROR(__xludf.DUMMYFUNCTION("""COMPUTED_VALUE"""),"FREDERICK SENIOR HIGH SCHOOL")</f>
        <v>FREDERICK SENIOR HIGH SCHOOL</v>
      </c>
      <c r="E298" s="13" t="str">
        <f>IFERROR(__xludf.DUMMYFUNCTION("""COMPUTED_VALUE"""),"Group 11")</f>
        <v>Group 11</v>
      </c>
      <c r="F298" s="13" t="str">
        <f>IFERROR(__xludf.DUMMYFUNCTION("""COMPUTED_VALUE"""),"2024 - 2025")</f>
        <v>2024 - 2025</v>
      </c>
      <c r="G298" s="13" t="str">
        <f>IFERROR(__xludf.DUMMYFUNCTION("""COMPUTED_VALUE"""),"2023 - 2024")</f>
        <v>2023 - 2024</v>
      </c>
      <c r="H298" s="13">
        <f>IFERROR(__xludf.DUMMYFUNCTION("""COMPUTED_VALUE"""),40.05)</f>
        <v>40.05</v>
      </c>
      <c r="I298" s="15">
        <f>IFERROR(__xludf.DUMMYFUNCTION("""COMPUTED_VALUE"""),59.95)</f>
        <v>59.95</v>
      </c>
    </row>
    <row r="299">
      <c r="A299" s="13" t="str">
        <f>IFERROR(__xludf.DUMMYFUNCTION("""COMPUTED_VALUE"""),"0470")</f>
        <v>0470</v>
      </c>
      <c r="B299" s="13" t="str">
        <f>IFERROR(__xludf.DUMMYFUNCTION("""COMPUTED_VALUE"""),"ST VRAIN VALLEY RE-1J")</f>
        <v>ST VRAIN VALLEY RE-1J</v>
      </c>
      <c r="C299" s="14" t="str">
        <f>IFERROR(__xludf.DUMMYFUNCTION("""COMPUTED_VALUE"""),"04202")</f>
        <v>04202</v>
      </c>
      <c r="D299" s="13" t="str">
        <f>IFERROR(__xludf.DUMMYFUNCTION("""COMPUTED_VALUE"""),"HYGIENE ELEMENTARY SCHOOL")</f>
        <v>HYGIENE ELEMENTARY SCHOOL</v>
      </c>
      <c r="E299" s="13" t="str">
        <f>IFERROR(__xludf.DUMMYFUNCTION("""COMPUTED_VALUE"""),"Group 11")</f>
        <v>Group 11</v>
      </c>
      <c r="F299" s="13" t="str">
        <f>IFERROR(__xludf.DUMMYFUNCTION("""COMPUTED_VALUE"""),"2024 - 2025")</f>
        <v>2024 - 2025</v>
      </c>
      <c r="G299" s="13" t="str">
        <f>IFERROR(__xludf.DUMMYFUNCTION("""COMPUTED_VALUE"""),"2023 - 2024")</f>
        <v>2023 - 2024</v>
      </c>
      <c r="H299" s="13">
        <f>IFERROR(__xludf.DUMMYFUNCTION("""COMPUTED_VALUE"""),40.05)</f>
        <v>40.05</v>
      </c>
      <c r="I299" s="15">
        <f>IFERROR(__xludf.DUMMYFUNCTION("""COMPUTED_VALUE"""),59.95)</f>
        <v>59.95</v>
      </c>
    </row>
    <row r="300">
      <c r="A300" s="13" t="str">
        <f>IFERROR(__xludf.DUMMYFUNCTION("""COMPUTED_VALUE"""),"0470")</f>
        <v>0470</v>
      </c>
      <c r="B300" s="13" t="str">
        <f>IFERROR(__xludf.DUMMYFUNCTION("""COMPUTED_VALUE"""),"ST VRAIN VALLEY RE-1J")</f>
        <v>ST VRAIN VALLEY RE-1J</v>
      </c>
      <c r="C300" s="14" t="str">
        <f>IFERROR(__xludf.DUMMYFUNCTION("""COMPUTED_VALUE"""),"05282")</f>
        <v>05282</v>
      </c>
      <c r="D300" s="13" t="str">
        <f>IFERROR(__xludf.DUMMYFUNCTION("""COMPUTED_VALUE"""),"LONGMONT HIGH SCHOOL")</f>
        <v>LONGMONT HIGH SCHOOL</v>
      </c>
      <c r="E300" s="13" t="str">
        <f>IFERROR(__xludf.DUMMYFUNCTION("""COMPUTED_VALUE"""),"Group 11")</f>
        <v>Group 11</v>
      </c>
      <c r="F300" s="13" t="str">
        <f>IFERROR(__xludf.DUMMYFUNCTION("""COMPUTED_VALUE"""),"2024 - 2025")</f>
        <v>2024 - 2025</v>
      </c>
      <c r="G300" s="13" t="str">
        <f>IFERROR(__xludf.DUMMYFUNCTION("""COMPUTED_VALUE"""),"2023 - 2024")</f>
        <v>2023 - 2024</v>
      </c>
      <c r="H300" s="13">
        <f>IFERROR(__xludf.DUMMYFUNCTION("""COMPUTED_VALUE"""),40.05)</f>
        <v>40.05</v>
      </c>
      <c r="I300" s="15">
        <f>IFERROR(__xludf.DUMMYFUNCTION("""COMPUTED_VALUE"""),59.95)</f>
        <v>59.95</v>
      </c>
    </row>
    <row r="301">
      <c r="A301" s="13" t="str">
        <f>IFERROR(__xludf.DUMMYFUNCTION("""COMPUTED_VALUE"""),"0470")</f>
        <v>0470</v>
      </c>
      <c r="B301" s="13" t="str">
        <f>IFERROR(__xludf.DUMMYFUNCTION("""COMPUTED_VALUE"""),"ST VRAIN VALLEY RE-1J")</f>
        <v>ST VRAIN VALLEY RE-1J</v>
      </c>
      <c r="C301" s="14" t="str">
        <f>IFERROR(__xludf.DUMMYFUNCTION("""COMPUTED_VALUE"""),"05364")</f>
        <v>05364</v>
      </c>
      <c r="D301" s="13" t="str">
        <f>IFERROR(__xludf.DUMMYFUNCTION("""COMPUTED_VALUE"""),"LYONS ELEMENTARY SCHOOL")</f>
        <v>LYONS ELEMENTARY SCHOOL</v>
      </c>
      <c r="E301" s="13" t="str">
        <f>IFERROR(__xludf.DUMMYFUNCTION("""COMPUTED_VALUE"""),"Group 11")</f>
        <v>Group 11</v>
      </c>
      <c r="F301" s="13" t="str">
        <f>IFERROR(__xludf.DUMMYFUNCTION("""COMPUTED_VALUE"""),"2024 - 2025")</f>
        <v>2024 - 2025</v>
      </c>
      <c r="G301" s="13" t="str">
        <f>IFERROR(__xludf.DUMMYFUNCTION("""COMPUTED_VALUE"""),"2023 - 2024")</f>
        <v>2023 - 2024</v>
      </c>
      <c r="H301" s="13">
        <f>IFERROR(__xludf.DUMMYFUNCTION("""COMPUTED_VALUE"""),40.05)</f>
        <v>40.05</v>
      </c>
      <c r="I301" s="15">
        <f>IFERROR(__xludf.DUMMYFUNCTION("""COMPUTED_VALUE"""),59.95)</f>
        <v>59.95</v>
      </c>
    </row>
    <row r="302">
      <c r="A302" s="13" t="str">
        <f>IFERROR(__xludf.DUMMYFUNCTION("""COMPUTED_VALUE"""),"0470")</f>
        <v>0470</v>
      </c>
      <c r="B302" s="13" t="str">
        <f>IFERROR(__xludf.DUMMYFUNCTION("""COMPUTED_VALUE"""),"ST VRAIN VALLEY RE-1J")</f>
        <v>ST VRAIN VALLEY RE-1J</v>
      </c>
      <c r="C302" s="14" t="str">
        <f>IFERROR(__xludf.DUMMYFUNCTION("""COMPUTED_VALUE"""),"05722")</f>
        <v>05722</v>
      </c>
      <c r="D302" s="13" t="str">
        <f>IFERROR(__xludf.DUMMYFUNCTION("""COMPUTED_VALUE"""),"MEAD HIGH SCHOOL")</f>
        <v>MEAD HIGH SCHOOL</v>
      </c>
      <c r="E302" s="13" t="str">
        <f>IFERROR(__xludf.DUMMYFUNCTION("""COMPUTED_VALUE"""),"Group 11")</f>
        <v>Group 11</v>
      </c>
      <c r="F302" s="13" t="str">
        <f>IFERROR(__xludf.DUMMYFUNCTION("""COMPUTED_VALUE"""),"2024 - 2025")</f>
        <v>2024 - 2025</v>
      </c>
      <c r="G302" s="13" t="str">
        <f>IFERROR(__xludf.DUMMYFUNCTION("""COMPUTED_VALUE"""),"2023 - 2024")</f>
        <v>2023 - 2024</v>
      </c>
      <c r="H302" s="13">
        <f>IFERROR(__xludf.DUMMYFUNCTION("""COMPUTED_VALUE"""),40.05)</f>
        <v>40.05</v>
      </c>
      <c r="I302" s="15">
        <f>IFERROR(__xludf.DUMMYFUNCTION("""COMPUTED_VALUE"""),59.95)</f>
        <v>59.95</v>
      </c>
    </row>
    <row r="303">
      <c r="A303" s="13" t="str">
        <f>IFERROR(__xludf.DUMMYFUNCTION("""COMPUTED_VALUE"""),"0470")</f>
        <v>0470</v>
      </c>
      <c r="B303" s="13" t="str">
        <f>IFERROR(__xludf.DUMMYFUNCTION("""COMPUTED_VALUE"""),"ST VRAIN VALLEY RE-1J")</f>
        <v>ST VRAIN VALLEY RE-1J</v>
      </c>
      <c r="C303" s="14" t="str">
        <f>IFERROR(__xludf.DUMMYFUNCTION("""COMPUTED_VALUE"""),"05726")</f>
        <v>05726</v>
      </c>
      <c r="D303" s="13" t="str">
        <f>IFERROR(__xludf.DUMMYFUNCTION("""COMPUTED_VALUE"""),"MEAD ELEMENTARY SCHOOL")</f>
        <v>MEAD ELEMENTARY SCHOOL</v>
      </c>
      <c r="E303" s="13" t="str">
        <f>IFERROR(__xludf.DUMMYFUNCTION("""COMPUTED_VALUE"""),"Group 11")</f>
        <v>Group 11</v>
      </c>
      <c r="F303" s="13" t="str">
        <f>IFERROR(__xludf.DUMMYFUNCTION("""COMPUTED_VALUE"""),"2024 - 2025")</f>
        <v>2024 - 2025</v>
      </c>
      <c r="G303" s="13" t="str">
        <f>IFERROR(__xludf.DUMMYFUNCTION("""COMPUTED_VALUE"""),"2023 - 2024")</f>
        <v>2023 - 2024</v>
      </c>
      <c r="H303" s="13">
        <f>IFERROR(__xludf.DUMMYFUNCTION("""COMPUTED_VALUE"""),40.05)</f>
        <v>40.05</v>
      </c>
      <c r="I303" s="15">
        <f>IFERROR(__xludf.DUMMYFUNCTION("""COMPUTED_VALUE"""),59.95)</f>
        <v>59.95</v>
      </c>
    </row>
    <row r="304">
      <c r="A304" s="13" t="str">
        <f>IFERROR(__xludf.DUMMYFUNCTION("""COMPUTED_VALUE"""),"0470")</f>
        <v>0470</v>
      </c>
      <c r="B304" s="13" t="str">
        <f>IFERROR(__xludf.DUMMYFUNCTION("""COMPUTED_VALUE"""),"ST VRAIN VALLEY RE-1J")</f>
        <v>ST VRAIN VALLEY RE-1J</v>
      </c>
      <c r="C304" s="14" t="str">
        <f>IFERROR(__xludf.DUMMYFUNCTION("""COMPUTED_VALUE"""),"06274")</f>
        <v>06274</v>
      </c>
      <c r="D304" s="13" t="str">
        <f>IFERROR(__xludf.DUMMYFUNCTION("""COMPUTED_VALUE"""),"NIWOT ELEMENTARY SCHOOL")</f>
        <v>NIWOT ELEMENTARY SCHOOL</v>
      </c>
      <c r="E304" s="13" t="str">
        <f>IFERROR(__xludf.DUMMYFUNCTION("""COMPUTED_VALUE"""),"Group 11")</f>
        <v>Group 11</v>
      </c>
      <c r="F304" s="13" t="str">
        <f>IFERROR(__xludf.DUMMYFUNCTION("""COMPUTED_VALUE"""),"2024 - 2025")</f>
        <v>2024 - 2025</v>
      </c>
      <c r="G304" s="13" t="str">
        <f>IFERROR(__xludf.DUMMYFUNCTION("""COMPUTED_VALUE"""),"2023 - 2024")</f>
        <v>2023 - 2024</v>
      </c>
      <c r="H304" s="13">
        <f>IFERROR(__xludf.DUMMYFUNCTION("""COMPUTED_VALUE"""),40.05)</f>
        <v>40.05</v>
      </c>
      <c r="I304" s="15">
        <f>IFERROR(__xludf.DUMMYFUNCTION("""COMPUTED_VALUE"""),59.95)</f>
        <v>59.95</v>
      </c>
    </row>
    <row r="305">
      <c r="A305" s="13" t="str">
        <f>IFERROR(__xludf.DUMMYFUNCTION("""COMPUTED_VALUE"""),"0470")</f>
        <v>0470</v>
      </c>
      <c r="B305" s="13" t="str">
        <f>IFERROR(__xludf.DUMMYFUNCTION("""COMPUTED_VALUE"""),"ST VRAIN VALLEY RE-1J")</f>
        <v>ST VRAIN VALLEY RE-1J</v>
      </c>
      <c r="C305" s="14" t="str">
        <f>IFERROR(__xludf.DUMMYFUNCTION("""COMPUTED_VALUE"""),"06498")</f>
        <v>06498</v>
      </c>
      <c r="D305" s="13" t="str">
        <f>IFERROR(__xludf.DUMMYFUNCTION("""COMPUTED_VALUE"""),"New Meridian High School")</f>
        <v>New Meridian High School</v>
      </c>
      <c r="E305" s="13" t="str">
        <f>IFERROR(__xludf.DUMMYFUNCTION("""COMPUTED_VALUE"""),"Group 11")</f>
        <v>Group 11</v>
      </c>
      <c r="F305" s="13" t="str">
        <f>IFERROR(__xludf.DUMMYFUNCTION("""COMPUTED_VALUE"""),"2024 - 2025")</f>
        <v>2024 - 2025</v>
      </c>
      <c r="G305" s="13" t="str">
        <f>IFERROR(__xludf.DUMMYFUNCTION("""COMPUTED_VALUE"""),"2023 - 2024")</f>
        <v>2023 - 2024</v>
      </c>
      <c r="H305" s="13">
        <f>IFERROR(__xludf.DUMMYFUNCTION("""COMPUTED_VALUE"""),40.05)</f>
        <v>40.05</v>
      </c>
      <c r="I305" s="15">
        <f>IFERROR(__xludf.DUMMYFUNCTION("""COMPUTED_VALUE"""),59.95)</f>
        <v>59.95</v>
      </c>
    </row>
    <row r="306">
      <c r="A306" s="13" t="str">
        <f>IFERROR(__xludf.DUMMYFUNCTION("""COMPUTED_VALUE"""),"0470")</f>
        <v>0470</v>
      </c>
      <c r="B306" s="13" t="str">
        <f>IFERROR(__xludf.DUMMYFUNCTION("""COMPUTED_VALUE"""),"ST VRAIN VALLEY RE-1J")</f>
        <v>ST VRAIN VALLEY RE-1J</v>
      </c>
      <c r="C306" s="14" t="str">
        <f>IFERROR(__xludf.DUMMYFUNCTION("""COMPUTED_VALUE"""),"07954")</f>
        <v>07954</v>
      </c>
      <c r="D306" s="13" t="str">
        <f>IFERROR(__xludf.DUMMYFUNCTION("""COMPUTED_VALUE"""),"SKYLINE HIGH SCHOOL")</f>
        <v>SKYLINE HIGH SCHOOL</v>
      </c>
      <c r="E306" s="13" t="str">
        <f>IFERROR(__xludf.DUMMYFUNCTION("""COMPUTED_VALUE"""),"Group 11")</f>
        <v>Group 11</v>
      </c>
      <c r="F306" s="13" t="str">
        <f>IFERROR(__xludf.DUMMYFUNCTION("""COMPUTED_VALUE"""),"2024 - 2025")</f>
        <v>2024 - 2025</v>
      </c>
      <c r="G306" s="13" t="str">
        <f>IFERROR(__xludf.DUMMYFUNCTION("""COMPUTED_VALUE"""),"2023 - 2024")</f>
        <v>2023 - 2024</v>
      </c>
      <c r="H306" s="13">
        <f>IFERROR(__xludf.DUMMYFUNCTION("""COMPUTED_VALUE"""),40.05)</f>
        <v>40.05</v>
      </c>
      <c r="I306" s="15">
        <f>IFERROR(__xludf.DUMMYFUNCTION("""COMPUTED_VALUE"""),59.95)</f>
        <v>59.95</v>
      </c>
    </row>
    <row r="307">
      <c r="A307" s="13" t="str">
        <f>IFERROR(__xludf.DUMMYFUNCTION("""COMPUTED_VALUE"""),"0470")</f>
        <v>0470</v>
      </c>
      <c r="B307" s="13" t="str">
        <f>IFERROR(__xludf.DUMMYFUNCTION("""COMPUTED_VALUE"""),"ST VRAIN VALLEY RE-1J")</f>
        <v>ST VRAIN VALLEY RE-1J</v>
      </c>
      <c r="C307" s="14" t="str">
        <f>IFERROR(__xludf.DUMMYFUNCTION("""COMPUTED_VALUE"""),"03473")</f>
        <v>03473</v>
      </c>
      <c r="D307" s="13" t="str">
        <f>IFERROR(__xludf.DUMMYFUNCTION("""COMPUTED_VALUE"""),"GRAND VIEW ELEMENTARY")</f>
        <v>GRAND VIEW ELEMENTARY</v>
      </c>
      <c r="E307" s="13" t="str">
        <f>IFERROR(__xludf.DUMMYFUNCTION("""COMPUTED_VALUE"""),"Group 11")</f>
        <v>Group 11</v>
      </c>
      <c r="F307" s="13" t="str">
        <f>IFERROR(__xludf.DUMMYFUNCTION("""COMPUTED_VALUE"""),"2024 - 2025")</f>
        <v>2024 - 2025</v>
      </c>
      <c r="G307" s="13" t="str">
        <f>IFERROR(__xludf.DUMMYFUNCTION("""COMPUTED_VALUE"""),"2023 - 2024")</f>
        <v>2023 - 2024</v>
      </c>
      <c r="H307" s="13">
        <f>IFERROR(__xludf.DUMMYFUNCTION("""COMPUTED_VALUE"""),40.05)</f>
        <v>40.05</v>
      </c>
      <c r="I307" s="15">
        <f>IFERROR(__xludf.DUMMYFUNCTION("""COMPUTED_VALUE"""),59.95)</f>
        <v>59.95</v>
      </c>
    </row>
    <row r="308">
      <c r="A308" s="13" t="str">
        <f>IFERROR(__xludf.DUMMYFUNCTION("""COMPUTED_VALUE"""),"0470")</f>
        <v>0470</v>
      </c>
      <c r="B308" s="13" t="str">
        <f>IFERROR(__xludf.DUMMYFUNCTION("""COMPUTED_VALUE"""),"ST VRAIN VALLEY RE-1J")</f>
        <v>ST VRAIN VALLEY RE-1J</v>
      </c>
      <c r="C308" s="14" t="str">
        <f>IFERROR(__xludf.DUMMYFUNCTION("""COMPUTED_VALUE"""),"08055")</f>
        <v>08055</v>
      </c>
      <c r="D308" s="13" t="str">
        <f>IFERROR(__xludf.DUMMYFUNCTION("""COMPUTED_VALUE"""),"Soaring Heights")</f>
        <v>Soaring Heights</v>
      </c>
      <c r="E308" s="13" t="str">
        <f>IFERROR(__xludf.DUMMYFUNCTION("""COMPUTED_VALUE"""),"Group 11")</f>
        <v>Group 11</v>
      </c>
      <c r="F308" s="13" t="str">
        <f>IFERROR(__xludf.DUMMYFUNCTION("""COMPUTED_VALUE"""),"2024 - 2025")</f>
        <v>2024 - 2025</v>
      </c>
      <c r="G308" s="13" t="str">
        <f>IFERROR(__xludf.DUMMYFUNCTION("""COMPUTED_VALUE"""),"2023 - 2024")</f>
        <v>2023 - 2024</v>
      </c>
      <c r="H308" s="13">
        <f>IFERROR(__xludf.DUMMYFUNCTION("""COMPUTED_VALUE"""),40.05)</f>
        <v>40.05</v>
      </c>
      <c r="I308" s="15">
        <f>IFERROR(__xludf.DUMMYFUNCTION("""COMPUTED_VALUE"""),59.95)</f>
        <v>59.95</v>
      </c>
    </row>
    <row r="309">
      <c r="A309" s="13" t="str">
        <f>IFERROR(__xludf.DUMMYFUNCTION("""COMPUTED_VALUE"""),"0470")</f>
        <v>0470</v>
      </c>
      <c r="B309" s="13" t="str">
        <f>IFERROR(__xludf.DUMMYFUNCTION("""COMPUTED_VALUE"""),"ST VRAIN VALLEY RE-1J")</f>
        <v>ST VRAIN VALLEY RE-1J</v>
      </c>
      <c r="C309" s="14" t="str">
        <f>IFERROR(__xludf.DUMMYFUNCTION("""COMPUTED_VALUE"""),"06156")</f>
        <v>06156</v>
      </c>
      <c r="D309" s="13" t="str">
        <f>IFERROR(__xludf.DUMMYFUNCTION("""COMPUTED_VALUE"""),"MOUNTAIN VIEW ELEMENTARY SCHOOL")</f>
        <v>MOUNTAIN VIEW ELEMENTARY SCHOOL</v>
      </c>
      <c r="E309" s="13" t="str">
        <f>IFERROR(__xludf.DUMMYFUNCTION("""COMPUTED_VALUE"""),"Group 2")</f>
        <v>Group 2</v>
      </c>
      <c r="F309" s="13" t="str">
        <f>IFERROR(__xludf.DUMMYFUNCTION("""COMPUTED_VALUE"""),"2024 - 2025")</f>
        <v>2024 - 2025</v>
      </c>
      <c r="G309" s="13" t="str">
        <f>IFERROR(__xludf.DUMMYFUNCTION("""COMPUTED_VALUE"""),"2023 - 2024")</f>
        <v>2023 - 2024</v>
      </c>
      <c r="H309" s="13">
        <f>IFERROR(__xludf.DUMMYFUNCTION("""COMPUTED_VALUE"""),98.16)</f>
        <v>98.16</v>
      </c>
      <c r="I309" s="15">
        <f>IFERROR(__xludf.DUMMYFUNCTION("""COMPUTED_VALUE"""),1.8400000000000034)</f>
        <v>1.84</v>
      </c>
    </row>
    <row r="310">
      <c r="A310" s="13" t="str">
        <f>IFERROR(__xludf.DUMMYFUNCTION("""COMPUTED_VALUE"""),"0470")</f>
        <v>0470</v>
      </c>
      <c r="B310" s="13" t="str">
        <f>IFERROR(__xludf.DUMMYFUNCTION("""COMPUTED_VALUE"""),"ST VRAIN VALLEY RE-1J")</f>
        <v>ST VRAIN VALLEY RE-1J</v>
      </c>
      <c r="C310" s="14" t="str">
        <f>IFERROR(__xludf.DUMMYFUNCTION("""COMPUTED_VALUE"""),"06404")</f>
        <v>06404</v>
      </c>
      <c r="D310" s="13" t="str">
        <f>IFERROR(__xludf.DUMMYFUNCTION("""COMPUTED_VALUE"""),"NORTHRIDGE ELEMENTARY SCHOOL")</f>
        <v>NORTHRIDGE ELEMENTARY SCHOOL</v>
      </c>
      <c r="E310" s="13" t="str">
        <f>IFERROR(__xludf.DUMMYFUNCTION("""COMPUTED_VALUE"""),"Group 2")</f>
        <v>Group 2</v>
      </c>
      <c r="F310" s="13" t="str">
        <f>IFERROR(__xludf.DUMMYFUNCTION("""COMPUTED_VALUE"""),"2024 - 2025")</f>
        <v>2024 - 2025</v>
      </c>
      <c r="G310" s="13" t="str">
        <f>IFERROR(__xludf.DUMMYFUNCTION("""COMPUTED_VALUE"""),"2023 - 2024")</f>
        <v>2023 - 2024</v>
      </c>
      <c r="H310" s="13">
        <f>IFERROR(__xludf.DUMMYFUNCTION("""COMPUTED_VALUE"""),98.16)</f>
        <v>98.16</v>
      </c>
      <c r="I310" s="15">
        <f>IFERROR(__xludf.DUMMYFUNCTION("""COMPUTED_VALUE"""),1.8400000000000034)</f>
        <v>1.84</v>
      </c>
    </row>
    <row r="311">
      <c r="A311" s="13" t="str">
        <f>IFERROR(__xludf.DUMMYFUNCTION("""COMPUTED_VALUE"""),"0470")</f>
        <v>0470</v>
      </c>
      <c r="B311" s="13" t="str">
        <f>IFERROR(__xludf.DUMMYFUNCTION("""COMPUTED_VALUE"""),"ST VRAIN VALLEY RE-1J")</f>
        <v>ST VRAIN VALLEY RE-1J</v>
      </c>
      <c r="C311" s="14" t="str">
        <f>IFERROR(__xludf.DUMMYFUNCTION("""COMPUTED_VALUE"""),"07464")</f>
        <v>07464</v>
      </c>
      <c r="D311" s="13" t="str">
        <f>IFERROR(__xludf.DUMMYFUNCTION("""COMPUTED_VALUE"""),"ROCKY MOUNTAIN ELEMENTARY SCHOOL")</f>
        <v>ROCKY MOUNTAIN ELEMENTARY SCHOOL</v>
      </c>
      <c r="E311" s="13" t="str">
        <f>IFERROR(__xludf.DUMMYFUNCTION("""COMPUTED_VALUE"""),"Group 2")</f>
        <v>Group 2</v>
      </c>
      <c r="F311" s="13" t="str">
        <f>IFERROR(__xludf.DUMMYFUNCTION("""COMPUTED_VALUE"""),"2024 - 2025")</f>
        <v>2024 - 2025</v>
      </c>
      <c r="G311" s="13" t="str">
        <f>IFERROR(__xludf.DUMMYFUNCTION("""COMPUTED_VALUE"""),"2023 - 2024")</f>
        <v>2023 - 2024</v>
      </c>
      <c r="H311" s="13">
        <f>IFERROR(__xludf.DUMMYFUNCTION("""COMPUTED_VALUE"""),98.16)</f>
        <v>98.16</v>
      </c>
      <c r="I311" s="15">
        <f>IFERROR(__xludf.DUMMYFUNCTION("""COMPUTED_VALUE"""),1.8400000000000034)</f>
        <v>1.84</v>
      </c>
    </row>
    <row r="312">
      <c r="A312" s="13" t="str">
        <f>IFERROR(__xludf.DUMMYFUNCTION("""COMPUTED_VALUE"""),"0470")</f>
        <v>0470</v>
      </c>
      <c r="B312" s="13" t="str">
        <f>IFERROR(__xludf.DUMMYFUNCTION("""COMPUTED_VALUE"""),"ST VRAIN VALLEY RE-1J")</f>
        <v>ST VRAIN VALLEY RE-1J</v>
      </c>
      <c r="C312" s="14" t="str">
        <f>IFERROR(__xludf.DUMMYFUNCTION("""COMPUTED_VALUE"""),"05284")</f>
        <v>05284</v>
      </c>
      <c r="D312" s="13" t="str">
        <f>IFERROR(__xludf.DUMMYFUNCTION("""COMPUTED_VALUE"""),"LONGMONT ESTATES ELEMENTARY SCHOOL")</f>
        <v>LONGMONT ESTATES ELEMENTARY SCHOOL</v>
      </c>
      <c r="E312" s="13" t="str">
        <f>IFERROR(__xludf.DUMMYFUNCTION("""COMPUTED_VALUE"""),"Group 3")</f>
        <v>Group 3</v>
      </c>
      <c r="F312" s="13" t="str">
        <f>IFERROR(__xludf.DUMMYFUNCTION("""COMPUTED_VALUE"""),"2024 - 2025")</f>
        <v>2024 - 2025</v>
      </c>
      <c r="G312" s="13" t="str">
        <f>IFERROR(__xludf.DUMMYFUNCTION("""COMPUTED_VALUE"""),"2023 - 2024")</f>
        <v>2023 - 2024</v>
      </c>
      <c r="H312" s="13">
        <f>IFERROR(__xludf.DUMMYFUNCTION("""COMPUTED_VALUE"""),50.86)</f>
        <v>50.86</v>
      </c>
      <c r="I312" s="15">
        <f>IFERROR(__xludf.DUMMYFUNCTION("""COMPUTED_VALUE"""),49.14)</f>
        <v>49.14</v>
      </c>
    </row>
    <row r="313">
      <c r="A313" s="13" t="str">
        <f>IFERROR(__xludf.DUMMYFUNCTION("""COMPUTED_VALUE"""),"0470")</f>
        <v>0470</v>
      </c>
      <c r="B313" s="13" t="str">
        <f>IFERROR(__xludf.DUMMYFUNCTION("""COMPUTED_VALUE"""),"ST VRAIN VALLEY RE-1J")</f>
        <v>ST VRAIN VALLEY RE-1J</v>
      </c>
      <c r="C313" s="14" t="str">
        <f>IFERROR(__xludf.DUMMYFUNCTION("""COMPUTED_VALUE"""),"07157")</f>
        <v>07157</v>
      </c>
      <c r="D313" s="13" t="str">
        <f>IFERROR(__xludf.DUMMYFUNCTION("""COMPUTED_VALUE"""),"PRAIRIE RIDGE ELEMENTARY SCHOOL")</f>
        <v>PRAIRIE RIDGE ELEMENTARY SCHOOL</v>
      </c>
      <c r="E313" s="13" t="str">
        <f>IFERROR(__xludf.DUMMYFUNCTION("""COMPUTED_VALUE"""),"Group 3")</f>
        <v>Group 3</v>
      </c>
      <c r="F313" s="13" t="str">
        <f>IFERROR(__xludf.DUMMYFUNCTION("""COMPUTED_VALUE"""),"2024 - 2025")</f>
        <v>2024 - 2025</v>
      </c>
      <c r="G313" s="13" t="str">
        <f>IFERROR(__xludf.DUMMYFUNCTION("""COMPUTED_VALUE"""),"2023 - 2024")</f>
        <v>2023 - 2024</v>
      </c>
      <c r="H313" s="13">
        <f>IFERROR(__xludf.DUMMYFUNCTION("""COMPUTED_VALUE"""),50.86)</f>
        <v>50.86</v>
      </c>
      <c r="I313" s="15">
        <f>IFERROR(__xludf.DUMMYFUNCTION("""COMPUTED_VALUE"""),49.14)</f>
        <v>49.14</v>
      </c>
    </row>
    <row r="314">
      <c r="A314" s="13" t="str">
        <f>IFERROR(__xludf.DUMMYFUNCTION("""COMPUTED_VALUE"""),"0470")</f>
        <v>0470</v>
      </c>
      <c r="B314" s="13" t="str">
        <f>IFERROR(__xludf.DUMMYFUNCTION("""COMPUTED_VALUE"""),"ST VRAIN VALLEY RE-1J")</f>
        <v>ST VRAIN VALLEY RE-1J</v>
      </c>
      <c r="C314" s="14" t="str">
        <f>IFERROR(__xludf.DUMMYFUNCTION("""COMPUTED_VALUE"""),"01844")</f>
        <v>01844</v>
      </c>
      <c r="D314" s="13" t="str">
        <f>IFERROR(__xludf.DUMMYFUNCTION("""COMPUTED_VALUE"""),"COLUMBINE ELEMENTARY SCHOOL")</f>
        <v>COLUMBINE ELEMENTARY SCHOOL</v>
      </c>
      <c r="E314" s="13" t="str">
        <f>IFERROR(__xludf.DUMMYFUNCTION("""COMPUTED_VALUE"""),"Group 4")</f>
        <v>Group 4</v>
      </c>
      <c r="F314" s="13" t="str">
        <f>IFERROR(__xludf.DUMMYFUNCTION("""COMPUTED_VALUE"""),"2024 - 2025")</f>
        <v>2024 - 2025</v>
      </c>
      <c r="G314" s="13" t="str">
        <f>IFERROR(__xludf.DUMMYFUNCTION("""COMPUTED_VALUE"""),"2023 - 2024")</f>
        <v>2023 - 2024</v>
      </c>
      <c r="H314" s="13">
        <f>IFERROR(__xludf.DUMMYFUNCTION("""COMPUTED_VALUE"""),98.67)</f>
        <v>98.67</v>
      </c>
      <c r="I314" s="15">
        <f>IFERROR(__xludf.DUMMYFUNCTION("""COMPUTED_VALUE"""),1.3299999999999983)</f>
        <v>1.33</v>
      </c>
    </row>
    <row r="315">
      <c r="A315" s="13" t="str">
        <f>IFERROR(__xludf.DUMMYFUNCTION("""COMPUTED_VALUE"""),"0470")</f>
        <v>0470</v>
      </c>
      <c r="B315" s="13" t="str">
        <f>IFERROR(__xludf.DUMMYFUNCTION("""COMPUTED_VALUE"""),"ST VRAIN VALLEY RE-1J")</f>
        <v>ST VRAIN VALLEY RE-1J</v>
      </c>
      <c r="C315" s="14" t="str">
        <f>IFERROR(__xludf.DUMMYFUNCTION("""COMPUTED_VALUE"""),"04278")</f>
        <v>04278</v>
      </c>
      <c r="D315" s="13" t="str">
        <f>IFERROR(__xludf.DUMMYFUNCTION("""COMPUTED_VALUE"""),"INDIAN PEAKS ELEMENTARY SCHOOL")</f>
        <v>INDIAN PEAKS ELEMENTARY SCHOOL</v>
      </c>
      <c r="E315" s="13" t="str">
        <f>IFERROR(__xludf.DUMMYFUNCTION("""COMPUTED_VALUE"""),"Group 4")</f>
        <v>Group 4</v>
      </c>
      <c r="F315" s="13" t="str">
        <f>IFERROR(__xludf.DUMMYFUNCTION("""COMPUTED_VALUE"""),"2024 - 2025")</f>
        <v>2024 - 2025</v>
      </c>
      <c r="G315" s="13" t="str">
        <f>IFERROR(__xludf.DUMMYFUNCTION("""COMPUTED_VALUE"""),"2023 - 2024")</f>
        <v>2023 - 2024</v>
      </c>
      <c r="H315" s="13">
        <f>IFERROR(__xludf.DUMMYFUNCTION("""COMPUTED_VALUE"""),98.67)</f>
        <v>98.67</v>
      </c>
      <c r="I315" s="15">
        <f>IFERROR(__xludf.DUMMYFUNCTION("""COMPUTED_VALUE"""),1.3299999999999983)</f>
        <v>1.33</v>
      </c>
    </row>
    <row r="316">
      <c r="A316" s="13" t="str">
        <f>IFERROR(__xludf.DUMMYFUNCTION("""COMPUTED_VALUE"""),"0470")</f>
        <v>0470</v>
      </c>
      <c r="B316" s="13" t="str">
        <f>IFERROR(__xludf.DUMMYFUNCTION("""COMPUTED_VALUE"""),"ST VRAIN VALLEY RE-1J")</f>
        <v>ST VRAIN VALLEY RE-1J</v>
      </c>
      <c r="C316" s="14" t="str">
        <f>IFERROR(__xludf.DUMMYFUNCTION("""COMPUTED_VALUE"""),"07584")</f>
        <v>07584</v>
      </c>
      <c r="D316" s="13" t="str">
        <f>IFERROR(__xludf.DUMMYFUNCTION("""COMPUTED_VALUE"""),"SANBORN ELEMENTARY SCHOOL")</f>
        <v>SANBORN ELEMENTARY SCHOOL</v>
      </c>
      <c r="E316" s="13" t="str">
        <f>IFERROR(__xludf.DUMMYFUNCTION("""COMPUTED_VALUE"""),"Group 4")</f>
        <v>Group 4</v>
      </c>
      <c r="F316" s="13" t="str">
        <f>IFERROR(__xludf.DUMMYFUNCTION("""COMPUTED_VALUE"""),"2024 - 2025")</f>
        <v>2024 - 2025</v>
      </c>
      <c r="G316" s="13" t="str">
        <f>IFERROR(__xludf.DUMMYFUNCTION("""COMPUTED_VALUE"""),"2023 - 2024")</f>
        <v>2023 - 2024</v>
      </c>
      <c r="H316" s="13">
        <f>IFERROR(__xludf.DUMMYFUNCTION("""COMPUTED_VALUE"""),98.67)</f>
        <v>98.67</v>
      </c>
      <c r="I316" s="15">
        <f>IFERROR(__xludf.DUMMYFUNCTION("""COMPUTED_VALUE"""),1.3299999999999983)</f>
        <v>1.33</v>
      </c>
    </row>
    <row r="317">
      <c r="A317" s="13" t="str">
        <f>IFERROR(__xludf.DUMMYFUNCTION("""COMPUTED_VALUE"""),"0470")</f>
        <v>0470</v>
      </c>
      <c r="B317" s="13" t="str">
        <f>IFERROR(__xludf.DUMMYFUNCTION("""COMPUTED_VALUE"""),"ST VRAIN VALLEY RE-1J")</f>
        <v>ST VRAIN VALLEY RE-1J</v>
      </c>
      <c r="C317" s="14" t="str">
        <f>IFERROR(__xludf.DUMMYFUNCTION("""COMPUTED_VALUE"""),"01148")</f>
        <v>01148</v>
      </c>
      <c r="D317" s="13" t="str">
        <f>IFERROR(__xludf.DUMMYFUNCTION("""COMPUTED_VALUE"""),"BURLINGTON ELEMENTARY SCHOOL")</f>
        <v>BURLINGTON ELEMENTARY SCHOOL</v>
      </c>
      <c r="E317" s="13" t="str">
        <f>IFERROR(__xludf.DUMMYFUNCTION("""COMPUTED_VALUE"""),"Group 5")</f>
        <v>Group 5</v>
      </c>
      <c r="F317" s="13" t="str">
        <f>IFERROR(__xludf.DUMMYFUNCTION("""COMPUTED_VALUE"""),"2024 - 2025")</f>
        <v>2024 - 2025</v>
      </c>
      <c r="G317" s="13" t="str">
        <f>IFERROR(__xludf.DUMMYFUNCTION("""COMPUTED_VALUE"""),"2023 - 2024")</f>
        <v>2023 - 2024</v>
      </c>
      <c r="H317" s="13">
        <f>IFERROR(__xludf.DUMMYFUNCTION("""COMPUTED_VALUE"""),89.41)</f>
        <v>89.41</v>
      </c>
      <c r="I317" s="15">
        <f>IFERROR(__xludf.DUMMYFUNCTION("""COMPUTED_VALUE"""),10.590000000000003)</f>
        <v>10.59</v>
      </c>
    </row>
    <row r="318">
      <c r="A318" s="13" t="str">
        <f>IFERROR(__xludf.DUMMYFUNCTION("""COMPUTED_VALUE"""),"0470")</f>
        <v>0470</v>
      </c>
      <c r="B318" s="13" t="str">
        <f>IFERROR(__xludf.DUMMYFUNCTION("""COMPUTED_VALUE"""),"ST VRAIN VALLEY RE-1J")</f>
        <v>ST VRAIN VALLEY RE-1J</v>
      </c>
      <c r="C318" s="14" t="str">
        <f>IFERROR(__xludf.DUMMYFUNCTION("""COMPUTED_VALUE"""),"05288")</f>
        <v>05288</v>
      </c>
      <c r="D318" s="13" t="str">
        <f>IFERROR(__xludf.DUMMYFUNCTION("""COMPUTED_VALUE"""),"LONGS PEAK MIDDLE SCHOOL")</f>
        <v>LONGS PEAK MIDDLE SCHOOL</v>
      </c>
      <c r="E318" s="13" t="str">
        <f>IFERROR(__xludf.DUMMYFUNCTION("""COMPUTED_VALUE"""),"Group 5")</f>
        <v>Group 5</v>
      </c>
      <c r="F318" s="13" t="str">
        <f>IFERROR(__xludf.DUMMYFUNCTION("""COMPUTED_VALUE"""),"2024 - 2025")</f>
        <v>2024 - 2025</v>
      </c>
      <c r="G318" s="13" t="str">
        <f>IFERROR(__xludf.DUMMYFUNCTION("""COMPUTED_VALUE"""),"2023 - 2024")</f>
        <v>2023 - 2024</v>
      </c>
      <c r="H318" s="13">
        <f>IFERROR(__xludf.DUMMYFUNCTION("""COMPUTED_VALUE"""),89.41)</f>
        <v>89.41</v>
      </c>
      <c r="I318" s="15">
        <f>IFERROR(__xludf.DUMMYFUNCTION("""COMPUTED_VALUE"""),10.590000000000003)</f>
        <v>10.59</v>
      </c>
    </row>
    <row r="319">
      <c r="A319" s="13" t="str">
        <f>IFERROR(__xludf.DUMMYFUNCTION("""COMPUTED_VALUE"""),"0470")</f>
        <v>0470</v>
      </c>
      <c r="B319" s="13" t="str">
        <f>IFERROR(__xludf.DUMMYFUNCTION("""COMPUTED_VALUE"""),"ST VRAIN VALLEY RE-1J")</f>
        <v>ST VRAIN VALLEY RE-1J</v>
      </c>
      <c r="C319" s="14" t="str">
        <f>IFERROR(__xludf.DUMMYFUNCTION("""COMPUTED_VALUE"""),"02912")</f>
        <v>02912</v>
      </c>
      <c r="D319" s="13" t="str">
        <f>IFERROR(__xludf.DUMMYFUNCTION("""COMPUTED_VALUE"""),"FALL RIVER ELEMENTARY SCHOOL")</f>
        <v>FALL RIVER ELEMENTARY SCHOOL</v>
      </c>
      <c r="E319" s="13" t="str">
        <f>IFERROR(__xludf.DUMMYFUNCTION("""COMPUTED_VALUE"""),"Group 6")</f>
        <v>Group 6</v>
      </c>
      <c r="F319" s="13" t="str">
        <f>IFERROR(__xludf.DUMMYFUNCTION("""COMPUTED_VALUE"""),"2024 - 2025")</f>
        <v>2024 - 2025</v>
      </c>
      <c r="G319" s="13" t="str">
        <f>IFERROR(__xludf.DUMMYFUNCTION("""COMPUTED_VALUE"""),"2023 - 2024")</f>
        <v>2023 - 2024</v>
      </c>
      <c r="H319" s="13">
        <f>IFERROR(__xludf.DUMMYFUNCTION("""COMPUTED_VALUE"""),40.91)</f>
        <v>40.91</v>
      </c>
      <c r="I319" s="15">
        <f>IFERROR(__xludf.DUMMYFUNCTION("""COMPUTED_VALUE"""),59.09)</f>
        <v>59.09</v>
      </c>
    </row>
    <row r="320">
      <c r="A320" s="13" t="str">
        <f>IFERROR(__xludf.DUMMYFUNCTION("""COMPUTED_VALUE"""),"0470")</f>
        <v>0470</v>
      </c>
      <c r="B320" s="13" t="str">
        <f>IFERROR(__xludf.DUMMYFUNCTION("""COMPUTED_VALUE"""),"ST VRAIN VALLEY RE-1J")</f>
        <v>ST VRAIN VALLEY RE-1J</v>
      </c>
      <c r="C320" s="14" t="str">
        <f>IFERROR(__xludf.DUMMYFUNCTION("""COMPUTED_VALUE"""),"09430")</f>
        <v>09430</v>
      </c>
      <c r="D320" s="13" t="str">
        <f>IFERROR(__xludf.DUMMYFUNCTION("""COMPUTED_VALUE"""),"WESTVIEW MIDDLE SCHOOL")</f>
        <v>WESTVIEW MIDDLE SCHOOL</v>
      </c>
      <c r="E320" s="13" t="str">
        <f>IFERROR(__xludf.DUMMYFUNCTION("""COMPUTED_VALUE"""),"Group 6")</f>
        <v>Group 6</v>
      </c>
      <c r="F320" s="13" t="str">
        <f>IFERROR(__xludf.DUMMYFUNCTION("""COMPUTED_VALUE"""),"2024 - 2025")</f>
        <v>2024 - 2025</v>
      </c>
      <c r="G320" s="13" t="str">
        <f>IFERROR(__xludf.DUMMYFUNCTION("""COMPUTED_VALUE"""),"2023 - 2024")</f>
        <v>2023 - 2024</v>
      </c>
      <c r="H320" s="13">
        <f>IFERROR(__xludf.DUMMYFUNCTION("""COMPUTED_VALUE"""),40.91)</f>
        <v>40.91</v>
      </c>
      <c r="I320" s="15">
        <f>IFERROR(__xludf.DUMMYFUNCTION("""COMPUTED_VALUE"""),59.09)</f>
        <v>59.09</v>
      </c>
    </row>
    <row r="321">
      <c r="A321" s="13" t="str">
        <f>IFERROR(__xludf.DUMMYFUNCTION("""COMPUTED_VALUE"""),"0470")</f>
        <v>0470</v>
      </c>
      <c r="B321" s="13" t="str">
        <f>IFERROR(__xludf.DUMMYFUNCTION("""COMPUTED_VALUE"""),"ST VRAIN VALLEY RE-1J")</f>
        <v>ST VRAIN VALLEY RE-1J</v>
      </c>
      <c r="C321" s="14" t="str">
        <f>IFERROR(__xludf.DUMMYFUNCTION("""COMPUTED_VALUE"""),"01284")</f>
        <v>01284</v>
      </c>
      <c r="D321" s="13" t="str">
        <f>IFERROR(__xludf.DUMMYFUNCTION("""COMPUTED_VALUE"""),"Carbon Valley Academy")</f>
        <v>Carbon Valley Academy</v>
      </c>
      <c r="E321" s="13" t="str">
        <f>IFERROR(__xludf.DUMMYFUNCTION("""COMPUTED_VALUE"""),"Group 7")</f>
        <v>Group 7</v>
      </c>
      <c r="F321" s="13" t="str">
        <f>IFERROR(__xludf.DUMMYFUNCTION("""COMPUTED_VALUE"""),"2024 - 2025")</f>
        <v>2024 - 2025</v>
      </c>
      <c r="G321" s="13" t="str">
        <f>IFERROR(__xludf.DUMMYFUNCTION("""COMPUTED_VALUE"""),"2023 - 2024")</f>
        <v>2023 - 2024</v>
      </c>
      <c r="H321" s="13">
        <f>IFERROR(__xludf.DUMMYFUNCTION("""COMPUTED_VALUE"""),59.33)</f>
        <v>59.33</v>
      </c>
      <c r="I321" s="15">
        <f>IFERROR(__xludf.DUMMYFUNCTION("""COMPUTED_VALUE"""),40.67)</f>
        <v>40.67</v>
      </c>
    </row>
    <row r="322">
      <c r="A322" s="13" t="str">
        <f>IFERROR(__xludf.DUMMYFUNCTION("""COMPUTED_VALUE"""),"0470")</f>
        <v>0470</v>
      </c>
      <c r="B322" s="13" t="str">
        <f>IFERROR(__xludf.DUMMYFUNCTION("""COMPUTED_VALUE"""),"ST VRAIN VALLEY RE-1J")</f>
        <v>ST VRAIN VALLEY RE-1J</v>
      </c>
      <c r="C322" s="14" t="str">
        <f>IFERROR(__xludf.DUMMYFUNCTION("""COMPUTED_VALUE"""),"02343")</f>
        <v>02343</v>
      </c>
      <c r="D322" s="13" t="str">
        <f>IFERROR(__xludf.DUMMYFUNCTION("""COMPUTED_VALUE"""),"EAGLE CREST ELEMENTARY SCHOOL")</f>
        <v>EAGLE CREST ELEMENTARY SCHOOL</v>
      </c>
      <c r="E322" s="13" t="str">
        <f>IFERROR(__xludf.DUMMYFUNCTION("""COMPUTED_VALUE"""),"Group 8")</f>
        <v>Group 8</v>
      </c>
      <c r="F322" s="13" t="str">
        <f>IFERROR(__xludf.DUMMYFUNCTION("""COMPUTED_VALUE"""),"2024 - 2025")</f>
        <v>2024 - 2025</v>
      </c>
      <c r="G322" s="13" t="str">
        <f>IFERROR(__xludf.DUMMYFUNCTION("""COMPUTED_VALUE"""),"2023 - 2024")</f>
        <v>2023 - 2024</v>
      </c>
      <c r="H322" s="13">
        <f>IFERROR(__xludf.DUMMYFUNCTION("""COMPUTED_VALUE"""),40.14)</f>
        <v>40.14</v>
      </c>
      <c r="I322" s="15">
        <f>IFERROR(__xludf.DUMMYFUNCTION("""COMPUTED_VALUE"""),59.86)</f>
        <v>59.86</v>
      </c>
    </row>
    <row r="323">
      <c r="A323" s="13" t="str">
        <f>IFERROR(__xludf.DUMMYFUNCTION("""COMPUTED_VALUE"""),"0470")</f>
        <v>0470</v>
      </c>
      <c r="B323" s="13" t="str">
        <f>IFERROR(__xludf.DUMMYFUNCTION("""COMPUTED_VALUE"""),"ST VRAIN VALLEY RE-1J")</f>
        <v>ST VRAIN VALLEY RE-1J</v>
      </c>
      <c r="C323" s="14" t="str">
        <f>IFERROR(__xludf.DUMMYFUNCTION("""COMPUTED_VALUE"""),"05181")</f>
        <v>05181</v>
      </c>
      <c r="D323" s="13" t="str">
        <f>IFERROR(__xludf.DUMMYFUNCTION("""COMPUTED_VALUE"""),"Red Hawk Elementary")</f>
        <v>Red Hawk Elementary</v>
      </c>
      <c r="E323" s="13" t="str">
        <f>IFERROR(__xludf.DUMMYFUNCTION("""COMPUTED_VALUE"""),"Group 8")</f>
        <v>Group 8</v>
      </c>
      <c r="F323" s="13" t="str">
        <f>IFERROR(__xludf.DUMMYFUNCTION("""COMPUTED_VALUE"""),"2024 - 2025")</f>
        <v>2024 - 2025</v>
      </c>
      <c r="G323" s="13" t="str">
        <f>IFERROR(__xludf.DUMMYFUNCTION("""COMPUTED_VALUE"""),"2023 - 2024")</f>
        <v>2023 - 2024</v>
      </c>
      <c r="H323" s="13">
        <f>IFERROR(__xludf.DUMMYFUNCTION("""COMPUTED_VALUE"""),40.14)</f>
        <v>40.14</v>
      </c>
      <c r="I323" s="15">
        <f>IFERROR(__xludf.DUMMYFUNCTION("""COMPUTED_VALUE"""),59.86)</f>
        <v>59.86</v>
      </c>
    </row>
    <row r="324">
      <c r="A324" s="13" t="str">
        <f>IFERROR(__xludf.DUMMYFUNCTION("""COMPUTED_VALUE"""),"0470")</f>
        <v>0470</v>
      </c>
      <c r="B324" s="13" t="str">
        <f>IFERROR(__xludf.DUMMYFUNCTION("""COMPUTED_VALUE"""),"ST VRAIN VALLEY RE-1J")</f>
        <v>ST VRAIN VALLEY RE-1J</v>
      </c>
      <c r="C324" s="14" t="str">
        <f>IFERROR(__xludf.DUMMYFUNCTION("""COMPUTED_VALUE"""),"08927")</f>
        <v>08927</v>
      </c>
      <c r="D324" s="13" t="str">
        <f>IFERROR(__xludf.DUMMYFUNCTION("""COMPUTED_VALUE"""),"TWIN PEAKS CLASSICAL ACADEMY")</f>
        <v>TWIN PEAKS CLASSICAL ACADEMY</v>
      </c>
      <c r="E324" s="13" t="str">
        <f>IFERROR(__xludf.DUMMYFUNCTION("""COMPUTED_VALUE"""),"Group 8")</f>
        <v>Group 8</v>
      </c>
      <c r="F324" s="13" t="str">
        <f>IFERROR(__xludf.DUMMYFUNCTION("""COMPUTED_VALUE"""),"2024 - 2025")</f>
        <v>2024 - 2025</v>
      </c>
      <c r="G324" s="13" t="str">
        <f>IFERROR(__xludf.DUMMYFUNCTION("""COMPUTED_VALUE"""),"2023 - 2024")</f>
        <v>2023 - 2024</v>
      </c>
      <c r="H324" s="13">
        <f>IFERROR(__xludf.DUMMYFUNCTION("""COMPUTED_VALUE"""),40.14)</f>
        <v>40.14</v>
      </c>
      <c r="I324" s="15">
        <f>IFERROR(__xludf.DUMMYFUNCTION("""COMPUTED_VALUE"""),59.86)</f>
        <v>59.86</v>
      </c>
    </row>
    <row r="325">
      <c r="A325" s="13" t="str">
        <f>IFERROR(__xludf.DUMMYFUNCTION("""COMPUTED_VALUE"""),"0470")</f>
        <v>0470</v>
      </c>
      <c r="B325" s="13" t="str">
        <f>IFERROR(__xludf.DUMMYFUNCTION("""COMPUTED_VALUE"""),"ST VRAIN VALLEY RE-1J")</f>
        <v>ST VRAIN VALLEY RE-1J</v>
      </c>
      <c r="C325" s="14" t="str">
        <f>IFERROR(__xludf.DUMMYFUNCTION("""COMPUTED_VALUE"""),"03192")</f>
        <v>03192</v>
      </c>
      <c r="D325" s="13" t="str">
        <f>IFERROR(__xludf.DUMMYFUNCTION("""COMPUTED_VALUE"""),"Thunder Valley PK-8")</f>
        <v>Thunder Valley PK-8</v>
      </c>
      <c r="E325" s="13" t="str">
        <f>IFERROR(__xludf.DUMMYFUNCTION("""COMPUTED_VALUE"""),"Group 9")</f>
        <v>Group 9</v>
      </c>
      <c r="F325" s="13" t="str">
        <f>IFERROR(__xludf.DUMMYFUNCTION("""COMPUTED_VALUE"""),"2024 - 2025")</f>
        <v>2024 - 2025</v>
      </c>
      <c r="G325" s="13" t="str">
        <f>IFERROR(__xludf.DUMMYFUNCTION("""COMPUTED_VALUE"""),"2023 - 2024")</f>
        <v>2023 - 2024</v>
      </c>
      <c r="H325" s="13">
        <f>IFERROR(__xludf.DUMMYFUNCTION("""COMPUTED_VALUE"""),88.4)</f>
        <v>88.4</v>
      </c>
      <c r="I325" s="15">
        <f>IFERROR(__xludf.DUMMYFUNCTION("""COMPUTED_VALUE"""),11.599999999999994)</f>
        <v>11.6</v>
      </c>
    </row>
    <row r="326">
      <c r="A326" s="13" t="str">
        <f>IFERROR(__xludf.DUMMYFUNCTION("""COMPUTED_VALUE"""),"0470")</f>
        <v>0470</v>
      </c>
      <c r="B326" s="13" t="str">
        <f>IFERROR(__xludf.DUMMYFUNCTION("""COMPUTED_VALUE"""),"ST VRAIN VALLEY RE-1J")</f>
        <v>ST VRAIN VALLEY RE-1J</v>
      </c>
      <c r="C326" s="14" t="str">
        <f>IFERROR(__xludf.DUMMYFUNCTION("""COMPUTED_VALUE"""),"06010")</f>
        <v>06010</v>
      </c>
      <c r="D326" s="13" t="str">
        <f>IFERROR(__xludf.DUMMYFUNCTION("""COMPUTED_VALUE"""),"Timberline PK-8")</f>
        <v>Timberline PK-8</v>
      </c>
      <c r="E326" s="13" t="str">
        <f>IFERROR(__xludf.DUMMYFUNCTION("""COMPUTED_VALUE"""),"Group 9")</f>
        <v>Group 9</v>
      </c>
      <c r="F326" s="13" t="str">
        <f>IFERROR(__xludf.DUMMYFUNCTION("""COMPUTED_VALUE"""),"2024 - 2025")</f>
        <v>2024 - 2025</v>
      </c>
      <c r="G326" s="13" t="str">
        <f>IFERROR(__xludf.DUMMYFUNCTION("""COMPUTED_VALUE"""),"2023 - 2024")</f>
        <v>2023 - 2024</v>
      </c>
      <c r="H326" s="13">
        <f>IFERROR(__xludf.DUMMYFUNCTION("""COMPUTED_VALUE"""),88.4)</f>
        <v>88.4</v>
      </c>
      <c r="I326" s="15">
        <f>IFERROR(__xludf.DUMMYFUNCTION("""COMPUTED_VALUE"""),11.599999999999994)</f>
        <v>11.6</v>
      </c>
    </row>
    <row r="327">
      <c r="A327" s="13" t="str">
        <f>IFERROR(__xludf.DUMMYFUNCTION("""COMPUTED_VALUE"""),"0480")</f>
        <v>0480</v>
      </c>
      <c r="B327" s="13" t="str">
        <f>IFERROR(__xludf.DUMMYFUNCTION("""COMPUTED_VALUE"""),"BOULDER VALLEY RE 2")</f>
        <v>BOULDER VALLEY RE 2</v>
      </c>
      <c r="C327" s="14" t="str">
        <f>IFERROR(__xludf.DUMMYFUNCTION("""COMPUTED_VALUE"""),"01842")</f>
        <v>01842</v>
      </c>
      <c r="D327" s="13" t="str">
        <f>IFERROR(__xludf.DUMMYFUNCTION("""COMPUTED_VALUE"""),"COLUMBINE ELEMENTARY SCHOOL")</f>
        <v>COLUMBINE ELEMENTARY SCHOOL</v>
      </c>
      <c r="E327" s="13" t="str">
        <f>IFERROR(__xludf.DUMMYFUNCTION("""COMPUTED_VALUE"""),"Group 1")</f>
        <v>Group 1</v>
      </c>
      <c r="F327" s="13" t="str">
        <f>IFERROR(__xludf.DUMMYFUNCTION("""COMPUTED_VALUE"""),"2024 - 2025")</f>
        <v>2024 - 2025</v>
      </c>
      <c r="G327" s="13" t="str">
        <f>IFERROR(__xludf.DUMMYFUNCTION("""COMPUTED_VALUE"""),"2023 - 2024")</f>
        <v>2023 - 2024</v>
      </c>
      <c r="H327" s="13">
        <f>IFERROR(__xludf.DUMMYFUNCTION("""COMPUTED_VALUE"""),91.66)</f>
        <v>91.66</v>
      </c>
      <c r="I327" s="15">
        <f>IFERROR(__xludf.DUMMYFUNCTION("""COMPUTED_VALUE"""),8.340000000000003)</f>
        <v>8.34</v>
      </c>
    </row>
    <row r="328">
      <c r="A328" s="13" t="str">
        <f>IFERROR(__xludf.DUMMYFUNCTION("""COMPUTED_VALUE"""),"0480")</f>
        <v>0480</v>
      </c>
      <c r="B328" s="13" t="str">
        <f>IFERROR(__xludf.DUMMYFUNCTION("""COMPUTED_VALUE"""),"BOULDER VALLEY RE 2")</f>
        <v>BOULDER VALLEY RE 2</v>
      </c>
      <c r="C328" s="14" t="str">
        <f>IFERROR(__xludf.DUMMYFUNCTION("""COMPUTED_VALUE"""),"06962")</f>
        <v>06962</v>
      </c>
      <c r="D328" s="13" t="str">
        <f>IFERROR(__xludf.DUMMYFUNCTION("""COMPUTED_VALUE"""),"PIONEER BILINGUAL ELEMENTARY SCHOOL")</f>
        <v>PIONEER BILINGUAL ELEMENTARY SCHOOL</v>
      </c>
      <c r="E328" s="13" t="str">
        <f>IFERROR(__xludf.DUMMYFUNCTION("""COMPUTED_VALUE"""),"Group 1")</f>
        <v>Group 1</v>
      </c>
      <c r="F328" s="13" t="str">
        <f>IFERROR(__xludf.DUMMYFUNCTION("""COMPUTED_VALUE"""),"2024 - 2025")</f>
        <v>2024 - 2025</v>
      </c>
      <c r="G328" s="13" t="str">
        <f>IFERROR(__xludf.DUMMYFUNCTION("""COMPUTED_VALUE"""),"2023 - 2024")</f>
        <v>2023 - 2024</v>
      </c>
      <c r="H328" s="13">
        <f>IFERROR(__xludf.DUMMYFUNCTION("""COMPUTED_VALUE"""),91.66)</f>
        <v>91.66</v>
      </c>
      <c r="I328" s="15">
        <f>IFERROR(__xludf.DUMMYFUNCTION("""COMPUTED_VALUE"""),8.340000000000003)</f>
        <v>8.34</v>
      </c>
    </row>
    <row r="329">
      <c r="A329" s="13" t="str">
        <f>IFERROR(__xludf.DUMMYFUNCTION("""COMPUTED_VALUE"""),"0480")</f>
        <v>0480</v>
      </c>
      <c r="B329" s="13" t="str">
        <f>IFERROR(__xludf.DUMMYFUNCTION("""COMPUTED_VALUE"""),"BOULDER VALLEY RE 2")</f>
        <v>BOULDER VALLEY RE 2</v>
      </c>
      <c r="C329" s="14" t="str">
        <f>IFERROR(__xludf.DUMMYFUNCTION("""COMPUTED_VALUE"""),"07592")</f>
        <v>07592</v>
      </c>
      <c r="D329" s="13" t="str">
        <f>IFERROR(__xludf.DUMMYFUNCTION("""COMPUTED_VALUE"""),"SANCHEZ ELEMENTARY SCHOOL")</f>
        <v>SANCHEZ ELEMENTARY SCHOOL</v>
      </c>
      <c r="E329" s="13" t="str">
        <f>IFERROR(__xludf.DUMMYFUNCTION("""COMPUTED_VALUE"""),"Group 1")</f>
        <v>Group 1</v>
      </c>
      <c r="F329" s="13" t="str">
        <f>IFERROR(__xludf.DUMMYFUNCTION("""COMPUTED_VALUE"""),"2024 - 2025")</f>
        <v>2024 - 2025</v>
      </c>
      <c r="G329" s="13" t="str">
        <f>IFERROR(__xludf.DUMMYFUNCTION("""COMPUTED_VALUE"""),"2023 - 2024")</f>
        <v>2023 - 2024</v>
      </c>
      <c r="H329" s="13">
        <f>IFERROR(__xludf.DUMMYFUNCTION("""COMPUTED_VALUE"""),91.66)</f>
        <v>91.66</v>
      </c>
      <c r="I329" s="15">
        <f>IFERROR(__xludf.DUMMYFUNCTION("""COMPUTED_VALUE"""),8.340000000000003)</f>
        <v>8.34</v>
      </c>
    </row>
    <row r="330">
      <c r="A330" s="13" t="str">
        <f>IFERROR(__xludf.DUMMYFUNCTION("""COMPUTED_VALUE"""),"0480")</f>
        <v>0480</v>
      </c>
      <c r="B330" s="13" t="str">
        <f>IFERROR(__xludf.DUMMYFUNCTION("""COMPUTED_VALUE"""),"BOULDER VALLEY RE 2")</f>
        <v>BOULDER VALLEY RE 2</v>
      </c>
      <c r="C330" s="14" t="str">
        <f>IFERROR(__xludf.DUMMYFUNCTION("""COMPUTED_VALUE"""),"00872")</f>
        <v>00872</v>
      </c>
      <c r="D330" s="13" t="str">
        <f>IFERROR(__xludf.DUMMYFUNCTION("""COMPUTED_VALUE"""),"BIRCH ELEMENTARY SCHOOL")</f>
        <v>BIRCH ELEMENTARY SCHOOL</v>
      </c>
      <c r="E330" s="13" t="str">
        <f>IFERROR(__xludf.DUMMYFUNCTION("""COMPUTED_VALUE"""),"Group 10")</f>
        <v>Group 10</v>
      </c>
      <c r="F330" s="13" t="str">
        <f>IFERROR(__xludf.DUMMYFUNCTION("""COMPUTED_VALUE"""),"2024 - 2025")</f>
        <v>2024 - 2025</v>
      </c>
      <c r="G330" s="13" t="str">
        <f>IFERROR(__xludf.DUMMYFUNCTION("""COMPUTED_VALUE"""),"2023 - 2024")</f>
        <v>2023 - 2024</v>
      </c>
      <c r="H330" s="13">
        <f>IFERROR(__xludf.DUMMYFUNCTION("""COMPUTED_VALUE"""),60.56)</f>
        <v>60.56</v>
      </c>
      <c r="I330" s="15">
        <f>IFERROR(__xludf.DUMMYFUNCTION("""COMPUTED_VALUE"""),39.44)</f>
        <v>39.44</v>
      </c>
    </row>
    <row r="331">
      <c r="A331" s="13" t="str">
        <f>IFERROR(__xludf.DUMMYFUNCTION("""COMPUTED_VALUE"""),"0480")</f>
        <v>0480</v>
      </c>
      <c r="B331" s="13" t="str">
        <f>IFERROR(__xludf.DUMMYFUNCTION("""COMPUTED_VALUE"""),"BOULDER VALLEY RE 2")</f>
        <v>BOULDER VALLEY RE 2</v>
      </c>
      <c r="C331" s="14" t="str">
        <f>IFERROR(__xludf.DUMMYFUNCTION("""COMPUTED_VALUE"""),"02702")</f>
        <v>02702</v>
      </c>
      <c r="D331" s="13" t="str">
        <f>IFERROR(__xludf.DUMMYFUNCTION("""COMPUTED_VALUE"""),"EMERALD ELEMENTARY SCHOOL")</f>
        <v>EMERALD ELEMENTARY SCHOOL</v>
      </c>
      <c r="E331" s="13" t="str">
        <f>IFERROR(__xludf.DUMMYFUNCTION("""COMPUTED_VALUE"""),"Group 11")</f>
        <v>Group 11</v>
      </c>
      <c r="F331" s="13" t="str">
        <f>IFERROR(__xludf.DUMMYFUNCTION("""COMPUTED_VALUE"""),"2024 - 2025")</f>
        <v>2024 - 2025</v>
      </c>
      <c r="G331" s="13" t="str">
        <f>IFERROR(__xludf.DUMMYFUNCTION("""COMPUTED_VALUE"""),"2023 - 2024")</f>
        <v>2023 - 2024</v>
      </c>
      <c r="H331" s="13">
        <f>IFERROR(__xludf.DUMMYFUNCTION("""COMPUTED_VALUE"""),75.41)</f>
        <v>75.41</v>
      </c>
      <c r="I331" s="15">
        <f>IFERROR(__xludf.DUMMYFUNCTION("""COMPUTED_VALUE"""),24.590000000000003)</f>
        <v>24.59</v>
      </c>
    </row>
    <row r="332">
      <c r="A332" s="13" t="str">
        <f>IFERROR(__xludf.DUMMYFUNCTION("""COMPUTED_VALUE"""),"0480")</f>
        <v>0480</v>
      </c>
      <c r="B332" s="13" t="str">
        <f>IFERROR(__xludf.DUMMYFUNCTION("""COMPUTED_VALUE"""),"BOULDER VALLEY RE 2")</f>
        <v>BOULDER VALLEY RE 2</v>
      </c>
      <c r="C332" s="14" t="str">
        <f>IFERROR(__xludf.DUMMYFUNCTION("""COMPUTED_VALUE"""),"01883")</f>
        <v>01883</v>
      </c>
      <c r="D332" s="13" t="str">
        <f>IFERROR(__xludf.DUMMYFUNCTION("""COMPUTED_VALUE"""),"COMMUNITY MONTESSORI SCHOOL")</f>
        <v>COMMUNITY MONTESSORI SCHOOL</v>
      </c>
      <c r="E332" s="13" t="str">
        <f>IFERROR(__xludf.DUMMYFUNCTION("""COMPUTED_VALUE"""),"Group 12")</f>
        <v>Group 12</v>
      </c>
      <c r="F332" s="13" t="str">
        <f>IFERROR(__xludf.DUMMYFUNCTION("""COMPUTED_VALUE"""),"2024 - 2025")</f>
        <v>2024 - 2025</v>
      </c>
      <c r="G332" s="13" t="str">
        <f>IFERROR(__xludf.DUMMYFUNCTION("""COMPUTED_VALUE"""),"2023 - 2024")</f>
        <v>2023 - 2024</v>
      </c>
      <c r="H332" s="13">
        <f>IFERROR(__xludf.DUMMYFUNCTION("""COMPUTED_VALUE"""),50.48)</f>
        <v>50.48</v>
      </c>
      <c r="I332" s="15">
        <f>IFERROR(__xludf.DUMMYFUNCTION("""COMPUTED_VALUE"""),49.52)</f>
        <v>49.52</v>
      </c>
    </row>
    <row r="333">
      <c r="A333" s="13" t="str">
        <f>IFERROR(__xludf.DUMMYFUNCTION("""COMPUTED_VALUE"""),"0480")</f>
        <v>0480</v>
      </c>
      <c r="B333" s="13" t="str">
        <f>IFERROR(__xludf.DUMMYFUNCTION("""COMPUTED_VALUE"""),"BOULDER VALLEY RE 2")</f>
        <v>BOULDER VALLEY RE 2</v>
      </c>
      <c r="C333" s="14" t="str">
        <f>IFERROR(__xludf.DUMMYFUNCTION("""COMPUTED_VALUE"""),"09544")</f>
        <v>09544</v>
      </c>
      <c r="D333" s="13" t="str">
        <f>IFERROR(__xludf.DUMMYFUNCTION("""COMPUTED_VALUE"""),"WHITTIER ELEMENTARY SCHOOL")</f>
        <v>WHITTIER ELEMENTARY SCHOOL</v>
      </c>
      <c r="E333" s="13" t="str">
        <f>IFERROR(__xludf.DUMMYFUNCTION("""COMPUTED_VALUE"""),"Group 12")</f>
        <v>Group 12</v>
      </c>
      <c r="F333" s="13" t="str">
        <f>IFERROR(__xludf.DUMMYFUNCTION("""COMPUTED_VALUE"""),"2024 - 2025")</f>
        <v>2024 - 2025</v>
      </c>
      <c r="G333" s="13" t="str">
        <f>IFERROR(__xludf.DUMMYFUNCTION("""COMPUTED_VALUE"""),"2023 - 2024")</f>
        <v>2023 - 2024</v>
      </c>
      <c r="H333" s="13">
        <f>IFERROR(__xludf.DUMMYFUNCTION("""COMPUTED_VALUE"""),50.48)</f>
        <v>50.48</v>
      </c>
      <c r="I333" s="15">
        <f>IFERROR(__xludf.DUMMYFUNCTION("""COMPUTED_VALUE"""),49.52)</f>
        <v>49.52</v>
      </c>
    </row>
    <row r="334">
      <c r="A334" s="13" t="str">
        <f>IFERROR(__xludf.DUMMYFUNCTION("""COMPUTED_VALUE"""),"0480")</f>
        <v>0480</v>
      </c>
      <c r="B334" s="13" t="str">
        <f>IFERROR(__xludf.DUMMYFUNCTION("""COMPUTED_VALUE"""),"BOULDER VALLEY RE 2")</f>
        <v>BOULDER VALLEY RE 2</v>
      </c>
      <c r="C334" s="14" t="str">
        <f>IFERROR(__xludf.DUMMYFUNCTION("""COMPUTED_VALUE"""),"04496")</f>
        <v>04496</v>
      </c>
      <c r="D334" s="13" t="str">
        <f>IFERROR(__xludf.DUMMYFUNCTION("""COMPUTED_VALUE"""),"JUSTICE HIGH CHARTER SCHOOL")</f>
        <v>JUSTICE HIGH CHARTER SCHOOL</v>
      </c>
      <c r="E334" s="13" t="str">
        <f>IFERROR(__xludf.DUMMYFUNCTION("""COMPUTED_VALUE"""),"Group 13")</f>
        <v>Group 13</v>
      </c>
      <c r="F334" s="13" t="str">
        <f>IFERROR(__xludf.DUMMYFUNCTION("""COMPUTED_VALUE"""),"2024 - 2025")</f>
        <v>2024 - 2025</v>
      </c>
      <c r="G334" s="13" t="str">
        <f>IFERROR(__xludf.DUMMYFUNCTION("""COMPUTED_VALUE"""),"2023 - 2024")</f>
        <v>2023 - 2024</v>
      </c>
      <c r="H334" s="13">
        <f>IFERROR(__xludf.DUMMYFUNCTION("""COMPUTED_VALUE"""),87.92)</f>
        <v>87.92</v>
      </c>
      <c r="I334" s="15">
        <f>IFERROR(__xludf.DUMMYFUNCTION("""COMPUTED_VALUE"""),12.079999999999998)</f>
        <v>12.08</v>
      </c>
    </row>
    <row r="335">
      <c r="A335" s="13" t="str">
        <f>IFERROR(__xludf.DUMMYFUNCTION("""COMPUTED_VALUE"""),"0480")</f>
        <v>0480</v>
      </c>
      <c r="B335" s="13" t="str">
        <f>IFERROR(__xludf.DUMMYFUNCTION("""COMPUTED_VALUE"""),"BOULDER VALLEY RE 2")</f>
        <v>BOULDER VALLEY RE 2</v>
      </c>
      <c r="C335" s="14" t="str">
        <f>IFERROR(__xludf.DUMMYFUNCTION("""COMPUTED_VALUE"""),"08978")</f>
        <v>08978</v>
      </c>
      <c r="D335" s="13" t="str">
        <f>IFERROR(__xludf.DUMMYFUNCTION("""COMPUTED_VALUE"""),"UNIVERSITY HILL ELEMENTARY SCHOOL")</f>
        <v>UNIVERSITY HILL ELEMENTARY SCHOOL</v>
      </c>
      <c r="E335" s="13" t="str">
        <f>IFERROR(__xludf.DUMMYFUNCTION("""COMPUTED_VALUE"""),"Group 13")</f>
        <v>Group 13</v>
      </c>
      <c r="F335" s="13" t="str">
        <f>IFERROR(__xludf.DUMMYFUNCTION("""COMPUTED_VALUE"""),"2024 - 2025")</f>
        <v>2024 - 2025</v>
      </c>
      <c r="G335" s="13" t="str">
        <f>IFERROR(__xludf.DUMMYFUNCTION("""COMPUTED_VALUE"""),"2023 - 2024")</f>
        <v>2023 - 2024</v>
      </c>
      <c r="H335" s="13">
        <f>IFERROR(__xludf.DUMMYFUNCTION("""COMPUTED_VALUE"""),87.92)</f>
        <v>87.92</v>
      </c>
      <c r="I335" s="15">
        <f>IFERROR(__xludf.DUMMYFUNCTION("""COMPUTED_VALUE"""),12.079999999999998)</f>
        <v>12.08</v>
      </c>
    </row>
    <row r="336">
      <c r="A336" s="13" t="str">
        <f>IFERROR(__xludf.DUMMYFUNCTION("""COMPUTED_VALUE"""),"0480")</f>
        <v>0480</v>
      </c>
      <c r="B336" s="13" t="str">
        <f>IFERROR(__xludf.DUMMYFUNCTION("""COMPUTED_VALUE"""),"BOULDER VALLEY RE 2")</f>
        <v>BOULDER VALLEY RE 2</v>
      </c>
      <c r="C336" s="14" t="str">
        <f>IFERROR(__xludf.DUMMYFUNCTION("""COMPUTED_VALUE"""),"00441")</f>
        <v>00441</v>
      </c>
      <c r="D336" s="13" t="str">
        <f>IFERROR(__xludf.DUMMYFUNCTION("""COMPUTED_VALUE"""),"ASPEN CREEK K-8 SCHOOL")</f>
        <v>ASPEN CREEK K-8 SCHOOL</v>
      </c>
      <c r="E336" s="13" t="str">
        <f>IFERROR(__xludf.DUMMYFUNCTION("""COMPUTED_VALUE"""),"Group 14")</f>
        <v>Group 14</v>
      </c>
      <c r="F336" s="13" t="str">
        <f>IFERROR(__xludf.DUMMYFUNCTION("""COMPUTED_VALUE"""),"2024 - 2025")</f>
        <v>2024 - 2025</v>
      </c>
      <c r="G336" s="13" t="str">
        <f>IFERROR(__xludf.DUMMYFUNCTION("""COMPUTED_VALUE"""),"2023 - 2024")</f>
        <v>2023 - 2024</v>
      </c>
      <c r="H336" s="13">
        <f>IFERROR(__xludf.DUMMYFUNCTION("""COMPUTED_VALUE"""),40.26)</f>
        <v>40.26</v>
      </c>
      <c r="I336" s="15">
        <f>IFERROR(__xludf.DUMMYFUNCTION("""COMPUTED_VALUE"""),59.74)</f>
        <v>59.74</v>
      </c>
    </row>
    <row r="337">
      <c r="A337" s="13" t="str">
        <f>IFERROR(__xludf.DUMMYFUNCTION("""COMPUTED_VALUE"""),"0480")</f>
        <v>0480</v>
      </c>
      <c r="B337" s="13" t="str">
        <f>IFERROR(__xludf.DUMMYFUNCTION("""COMPUTED_VALUE"""),"BOULDER VALLEY RE 2")</f>
        <v>BOULDER VALLEY RE 2</v>
      </c>
      <c r="C337" s="14" t="str">
        <f>IFERROR(__xludf.DUMMYFUNCTION("""COMPUTED_VALUE"""),"01066")</f>
        <v>01066</v>
      </c>
      <c r="D337" s="13" t="str">
        <f>IFERROR(__xludf.DUMMYFUNCTION("""COMPUTED_VALUE"""),"BROOMFIELD HEIGHTS MIDDLE SCHOOL")</f>
        <v>BROOMFIELD HEIGHTS MIDDLE SCHOOL</v>
      </c>
      <c r="E337" s="13" t="str">
        <f>IFERROR(__xludf.DUMMYFUNCTION("""COMPUTED_VALUE"""),"Group 14")</f>
        <v>Group 14</v>
      </c>
      <c r="F337" s="13" t="str">
        <f>IFERROR(__xludf.DUMMYFUNCTION("""COMPUTED_VALUE"""),"2024 - 2025")</f>
        <v>2024 - 2025</v>
      </c>
      <c r="G337" s="13" t="str">
        <f>IFERROR(__xludf.DUMMYFUNCTION("""COMPUTED_VALUE"""),"2023 - 2024")</f>
        <v>2023 - 2024</v>
      </c>
      <c r="H337" s="13">
        <f>IFERROR(__xludf.DUMMYFUNCTION("""COMPUTED_VALUE"""),40.26)</f>
        <v>40.26</v>
      </c>
      <c r="I337" s="15">
        <f>IFERROR(__xludf.DUMMYFUNCTION("""COMPUTED_VALUE"""),59.74)</f>
        <v>59.74</v>
      </c>
    </row>
    <row r="338">
      <c r="A338" s="13" t="str">
        <f>IFERROR(__xludf.DUMMYFUNCTION("""COMPUTED_VALUE"""),"0480")</f>
        <v>0480</v>
      </c>
      <c r="B338" s="13" t="str">
        <f>IFERROR(__xludf.DUMMYFUNCTION("""COMPUTED_VALUE"""),"BOULDER VALLEY RE 2")</f>
        <v>BOULDER VALLEY RE 2</v>
      </c>
      <c r="C338" s="14" t="str">
        <f>IFERROR(__xludf.DUMMYFUNCTION("""COMPUTED_VALUE"""),"01136")</f>
        <v>01136</v>
      </c>
      <c r="D338" s="13" t="str">
        <f>IFERROR(__xludf.DUMMYFUNCTION("""COMPUTED_VALUE"""),"MANHATTAN MIDDLE SCHOOL OF THE ARTS AND ACADEMICS")</f>
        <v>MANHATTAN MIDDLE SCHOOL OF THE ARTS AND ACADEMICS</v>
      </c>
      <c r="E338" s="13" t="str">
        <f>IFERROR(__xludf.DUMMYFUNCTION("""COMPUTED_VALUE"""),"Group 14")</f>
        <v>Group 14</v>
      </c>
      <c r="F338" s="13" t="str">
        <f>IFERROR(__xludf.DUMMYFUNCTION("""COMPUTED_VALUE"""),"2024 - 2025")</f>
        <v>2024 - 2025</v>
      </c>
      <c r="G338" s="13" t="str">
        <f>IFERROR(__xludf.DUMMYFUNCTION("""COMPUTED_VALUE"""),"2023 - 2024")</f>
        <v>2023 - 2024</v>
      </c>
      <c r="H338" s="13">
        <f>IFERROR(__xludf.DUMMYFUNCTION("""COMPUTED_VALUE"""),40.26)</f>
        <v>40.26</v>
      </c>
      <c r="I338" s="15">
        <f>IFERROR(__xludf.DUMMYFUNCTION("""COMPUTED_VALUE"""),59.74)</f>
        <v>59.74</v>
      </c>
    </row>
    <row r="339">
      <c r="A339" s="13" t="str">
        <f>IFERROR(__xludf.DUMMYFUNCTION("""COMPUTED_VALUE"""),"0480")</f>
        <v>0480</v>
      </c>
      <c r="B339" s="13" t="str">
        <f>IFERROR(__xludf.DUMMYFUNCTION("""COMPUTED_VALUE"""),"BOULDER VALLEY RE 2")</f>
        <v>BOULDER VALLEY RE 2</v>
      </c>
      <c r="C339" s="14" t="str">
        <f>IFERROR(__xludf.DUMMYFUNCTION("""COMPUTED_VALUE"""),"01352")</f>
        <v>01352</v>
      </c>
      <c r="D339" s="13" t="str">
        <f>IFERROR(__xludf.DUMMYFUNCTION("""COMPUTED_VALUE"""),"CASEY MIDDLE SCHOOL")</f>
        <v>CASEY MIDDLE SCHOOL</v>
      </c>
      <c r="E339" s="13" t="str">
        <f>IFERROR(__xludf.DUMMYFUNCTION("""COMPUTED_VALUE"""),"Group 14")</f>
        <v>Group 14</v>
      </c>
      <c r="F339" s="13" t="str">
        <f>IFERROR(__xludf.DUMMYFUNCTION("""COMPUTED_VALUE"""),"2024 - 2025")</f>
        <v>2024 - 2025</v>
      </c>
      <c r="G339" s="13" t="str">
        <f>IFERROR(__xludf.DUMMYFUNCTION("""COMPUTED_VALUE"""),"2023 - 2024")</f>
        <v>2023 - 2024</v>
      </c>
      <c r="H339" s="13">
        <f>IFERROR(__xludf.DUMMYFUNCTION("""COMPUTED_VALUE"""),40.26)</f>
        <v>40.26</v>
      </c>
      <c r="I339" s="15">
        <f>IFERROR(__xludf.DUMMYFUNCTION("""COMPUTED_VALUE"""),59.74)</f>
        <v>59.74</v>
      </c>
    </row>
    <row r="340">
      <c r="A340" s="13" t="str">
        <f>IFERROR(__xludf.DUMMYFUNCTION("""COMPUTED_VALUE"""),"0480")</f>
        <v>0480</v>
      </c>
      <c r="B340" s="13" t="str">
        <f>IFERROR(__xludf.DUMMYFUNCTION("""COMPUTED_VALUE"""),"BOULDER VALLEY RE 2")</f>
        <v>BOULDER VALLEY RE 2</v>
      </c>
      <c r="C340" s="14" t="str">
        <f>IFERROR(__xludf.DUMMYFUNCTION("""COMPUTED_VALUE"""),"01725")</f>
        <v>01725</v>
      </c>
      <c r="D340" s="13" t="str">
        <f>IFERROR(__xludf.DUMMYFUNCTION("""COMPUTED_VALUE"""),"COAL CREEK ELEMENTARY SCHOOL")</f>
        <v>COAL CREEK ELEMENTARY SCHOOL</v>
      </c>
      <c r="E340" s="13" t="str">
        <f>IFERROR(__xludf.DUMMYFUNCTION("""COMPUTED_VALUE"""),"Group 14")</f>
        <v>Group 14</v>
      </c>
      <c r="F340" s="13" t="str">
        <f>IFERROR(__xludf.DUMMYFUNCTION("""COMPUTED_VALUE"""),"2024 - 2025")</f>
        <v>2024 - 2025</v>
      </c>
      <c r="G340" s="13" t="str">
        <f>IFERROR(__xludf.DUMMYFUNCTION("""COMPUTED_VALUE"""),"2023 - 2024")</f>
        <v>2023 - 2024</v>
      </c>
      <c r="H340" s="13">
        <f>IFERROR(__xludf.DUMMYFUNCTION("""COMPUTED_VALUE"""),40.26)</f>
        <v>40.26</v>
      </c>
      <c r="I340" s="15">
        <f>IFERROR(__xludf.DUMMYFUNCTION("""COMPUTED_VALUE"""),59.74)</f>
        <v>59.74</v>
      </c>
    </row>
    <row r="341">
      <c r="A341" s="13" t="str">
        <f>IFERROR(__xludf.DUMMYFUNCTION("""COMPUTED_VALUE"""),"0480")</f>
        <v>0480</v>
      </c>
      <c r="B341" s="13" t="str">
        <f>IFERROR(__xludf.DUMMYFUNCTION("""COMPUTED_VALUE"""),"BOULDER VALLEY RE 2")</f>
        <v>BOULDER VALLEY RE 2</v>
      </c>
      <c r="C341" s="14" t="str">
        <f>IFERROR(__xludf.DUMMYFUNCTION("""COMPUTED_VALUE"""),"02940")</f>
        <v>02940</v>
      </c>
      <c r="D341" s="13" t="str">
        <f>IFERROR(__xludf.DUMMYFUNCTION("""COMPUTED_VALUE"""),"FIRESIDE ELEMENTARY SCHOOL")</f>
        <v>FIRESIDE ELEMENTARY SCHOOL</v>
      </c>
      <c r="E341" s="13" t="str">
        <f>IFERROR(__xludf.DUMMYFUNCTION("""COMPUTED_VALUE"""),"Group 14")</f>
        <v>Group 14</v>
      </c>
      <c r="F341" s="13" t="str">
        <f>IFERROR(__xludf.DUMMYFUNCTION("""COMPUTED_VALUE"""),"2024 - 2025")</f>
        <v>2024 - 2025</v>
      </c>
      <c r="G341" s="13" t="str">
        <f>IFERROR(__xludf.DUMMYFUNCTION("""COMPUTED_VALUE"""),"2023 - 2024")</f>
        <v>2023 - 2024</v>
      </c>
      <c r="H341" s="13">
        <f>IFERROR(__xludf.DUMMYFUNCTION("""COMPUTED_VALUE"""),40.26)</f>
        <v>40.26</v>
      </c>
      <c r="I341" s="15">
        <f>IFERROR(__xludf.DUMMYFUNCTION("""COMPUTED_VALUE"""),59.74)</f>
        <v>59.74</v>
      </c>
    </row>
    <row r="342">
      <c r="A342" s="13" t="str">
        <f>IFERROR(__xludf.DUMMYFUNCTION("""COMPUTED_VALUE"""),"0480")</f>
        <v>0480</v>
      </c>
      <c r="B342" s="13" t="str">
        <f>IFERROR(__xludf.DUMMYFUNCTION("""COMPUTED_VALUE"""),"BOULDER VALLEY RE 2")</f>
        <v>BOULDER VALLEY RE 2</v>
      </c>
      <c r="C342" s="14" t="str">
        <f>IFERROR(__xludf.DUMMYFUNCTION("""COMPUTED_VALUE"""),"03882")</f>
        <v>03882</v>
      </c>
      <c r="D342" s="13" t="str">
        <f>IFERROR(__xludf.DUMMYFUNCTION("""COMPUTED_VALUE"""),"HEATHERWOOD ELEMENTARY SCHOOL")</f>
        <v>HEATHERWOOD ELEMENTARY SCHOOL</v>
      </c>
      <c r="E342" s="13" t="str">
        <f>IFERROR(__xludf.DUMMYFUNCTION("""COMPUTED_VALUE"""),"Group 14")</f>
        <v>Group 14</v>
      </c>
      <c r="F342" s="13" t="str">
        <f>IFERROR(__xludf.DUMMYFUNCTION("""COMPUTED_VALUE"""),"2024 - 2025")</f>
        <v>2024 - 2025</v>
      </c>
      <c r="G342" s="13" t="str">
        <f>IFERROR(__xludf.DUMMYFUNCTION("""COMPUTED_VALUE"""),"2023 - 2024")</f>
        <v>2023 - 2024</v>
      </c>
      <c r="H342" s="13">
        <f>IFERROR(__xludf.DUMMYFUNCTION("""COMPUTED_VALUE"""),40.26)</f>
        <v>40.26</v>
      </c>
      <c r="I342" s="15">
        <f>IFERROR(__xludf.DUMMYFUNCTION("""COMPUTED_VALUE"""),59.74)</f>
        <v>59.74</v>
      </c>
    </row>
    <row r="343">
      <c r="A343" s="13" t="str">
        <f>IFERROR(__xludf.DUMMYFUNCTION("""COMPUTED_VALUE"""),"0480")</f>
        <v>0480</v>
      </c>
      <c r="B343" s="13" t="str">
        <f>IFERROR(__xludf.DUMMYFUNCTION("""COMPUTED_VALUE"""),"BOULDER VALLEY RE 2")</f>
        <v>BOULDER VALLEY RE 2</v>
      </c>
      <c r="C343" s="14" t="str">
        <f>IFERROR(__xludf.DUMMYFUNCTION("""COMPUTED_VALUE"""),"04874")</f>
        <v>04874</v>
      </c>
      <c r="D343" s="13" t="str">
        <f>IFERROR(__xludf.DUMMYFUNCTION("""COMPUTED_VALUE"""),"LAFAYETTE ELEMENTARY SCHOOL")</f>
        <v>LAFAYETTE ELEMENTARY SCHOOL</v>
      </c>
      <c r="E343" s="13" t="str">
        <f>IFERROR(__xludf.DUMMYFUNCTION("""COMPUTED_VALUE"""),"Group 14")</f>
        <v>Group 14</v>
      </c>
      <c r="F343" s="13" t="str">
        <f>IFERROR(__xludf.DUMMYFUNCTION("""COMPUTED_VALUE"""),"2024 - 2025")</f>
        <v>2024 - 2025</v>
      </c>
      <c r="G343" s="13" t="str">
        <f>IFERROR(__xludf.DUMMYFUNCTION("""COMPUTED_VALUE"""),"2023 - 2024")</f>
        <v>2023 - 2024</v>
      </c>
      <c r="H343" s="13">
        <f>IFERROR(__xludf.DUMMYFUNCTION("""COMPUTED_VALUE"""),40.26)</f>
        <v>40.26</v>
      </c>
      <c r="I343" s="15">
        <f>IFERROR(__xludf.DUMMYFUNCTION("""COMPUTED_VALUE"""),59.74)</f>
        <v>59.74</v>
      </c>
    </row>
    <row r="344">
      <c r="A344" s="13" t="str">
        <f>IFERROR(__xludf.DUMMYFUNCTION("""COMPUTED_VALUE"""),"0480")</f>
        <v>0480</v>
      </c>
      <c r="B344" s="13" t="str">
        <f>IFERROR(__xludf.DUMMYFUNCTION("""COMPUTED_VALUE"""),"BOULDER VALLEY RE 2")</f>
        <v>BOULDER VALLEY RE 2</v>
      </c>
      <c r="C344" s="14" t="str">
        <f>IFERROR(__xludf.DUMMYFUNCTION("""COMPUTED_VALUE"""),"05606")</f>
        <v>05606</v>
      </c>
      <c r="D344" s="13" t="str">
        <f>IFERROR(__xludf.DUMMYFUNCTION("""COMPUTED_VALUE"""),"CREEKSIDE ELEMENTARY SCHOOL AT MARTIN PARK")</f>
        <v>CREEKSIDE ELEMENTARY SCHOOL AT MARTIN PARK</v>
      </c>
      <c r="E344" s="13" t="str">
        <f>IFERROR(__xludf.DUMMYFUNCTION("""COMPUTED_VALUE"""),"Group 14")</f>
        <v>Group 14</v>
      </c>
      <c r="F344" s="13" t="str">
        <f>IFERROR(__xludf.DUMMYFUNCTION("""COMPUTED_VALUE"""),"2024 - 2025")</f>
        <v>2024 - 2025</v>
      </c>
      <c r="G344" s="13" t="str">
        <f>IFERROR(__xludf.DUMMYFUNCTION("""COMPUTED_VALUE"""),"2023 - 2024")</f>
        <v>2023 - 2024</v>
      </c>
      <c r="H344" s="13">
        <f>IFERROR(__xludf.DUMMYFUNCTION("""COMPUTED_VALUE"""),40.26)</f>
        <v>40.26</v>
      </c>
      <c r="I344" s="15">
        <f>IFERROR(__xludf.DUMMYFUNCTION("""COMPUTED_VALUE"""),59.74)</f>
        <v>59.74</v>
      </c>
    </row>
    <row r="345">
      <c r="A345" s="13" t="str">
        <f>IFERROR(__xludf.DUMMYFUNCTION("""COMPUTED_VALUE"""),"0480")</f>
        <v>0480</v>
      </c>
      <c r="B345" s="13" t="str">
        <f>IFERROR(__xludf.DUMMYFUNCTION("""COMPUTED_VALUE"""),"BOULDER VALLEY RE 2")</f>
        <v>BOULDER VALLEY RE 2</v>
      </c>
      <c r="C345" s="14" t="str">
        <f>IFERROR(__xludf.DUMMYFUNCTION("""COMPUTED_VALUE"""),"06000")</f>
        <v>06000</v>
      </c>
      <c r="D345" s="13" t="str">
        <f>IFERROR(__xludf.DUMMYFUNCTION("""COMPUTED_VALUE"""),"MONARCH K-8 SCHOOL")</f>
        <v>MONARCH K-8 SCHOOL</v>
      </c>
      <c r="E345" s="13" t="str">
        <f>IFERROR(__xludf.DUMMYFUNCTION("""COMPUTED_VALUE"""),"Group 14")</f>
        <v>Group 14</v>
      </c>
      <c r="F345" s="13" t="str">
        <f>IFERROR(__xludf.DUMMYFUNCTION("""COMPUTED_VALUE"""),"2024 - 2025")</f>
        <v>2024 - 2025</v>
      </c>
      <c r="G345" s="13" t="str">
        <f>IFERROR(__xludf.DUMMYFUNCTION("""COMPUTED_VALUE"""),"2023 - 2024")</f>
        <v>2023 - 2024</v>
      </c>
      <c r="H345" s="13">
        <f>IFERROR(__xludf.DUMMYFUNCTION("""COMPUTED_VALUE"""),40.26)</f>
        <v>40.26</v>
      </c>
      <c r="I345" s="15">
        <f>IFERROR(__xludf.DUMMYFUNCTION("""COMPUTED_VALUE"""),59.74)</f>
        <v>59.74</v>
      </c>
    </row>
    <row r="346">
      <c r="A346" s="13" t="str">
        <f>IFERROR(__xludf.DUMMYFUNCTION("""COMPUTED_VALUE"""),"0480")</f>
        <v>0480</v>
      </c>
      <c r="B346" s="13" t="str">
        <f>IFERROR(__xludf.DUMMYFUNCTION("""COMPUTED_VALUE"""),"BOULDER VALLEY RE 2")</f>
        <v>BOULDER VALLEY RE 2</v>
      </c>
      <c r="C346" s="14" t="str">
        <f>IFERROR(__xludf.DUMMYFUNCTION("""COMPUTED_VALUE"""),"01380")</f>
        <v>01380</v>
      </c>
      <c r="D346" s="13" t="str">
        <f>IFERROR(__xludf.DUMMYFUNCTION("""COMPUTED_VALUE"""),"CENTAURUS HIGH SCHOOL")</f>
        <v>CENTAURUS HIGH SCHOOL</v>
      </c>
      <c r="E346" s="13" t="str">
        <f>IFERROR(__xludf.DUMMYFUNCTION("""COMPUTED_VALUE"""),"Group 2")</f>
        <v>Group 2</v>
      </c>
      <c r="F346" s="13" t="str">
        <f>IFERROR(__xludf.DUMMYFUNCTION("""COMPUTED_VALUE"""),"2024 - 2025")</f>
        <v>2024 - 2025</v>
      </c>
      <c r="G346" s="13" t="str">
        <f>IFERROR(__xludf.DUMMYFUNCTION("""COMPUTED_VALUE"""),"2023 - 2024")</f>
        <v>2023 - 2024</v>
      </c>
      <c r="H346" s="13">
        <f>IFERROR(__xludf.DUMMYFUNCTION("""COMPUTED_VALUE"""),41.55)</f>
        <v>41.55</v>
      </c>
      <c r="I346" s="15">
        <f>IFERROR(__xludf.DUMMYFUNCTION("""COMPUTED_VALUE"""),58.45)</f>
        <v>58.45</v>
      </c>
    </row>
    <row r="347">
      <c r="A347" s="13" t="str">
        <f>IFERROR(__xludf.DUMMYFUNCTION("""COMPUTED_VALUE"""),"0480")</f>
        <v>0480</v>
      </c>
      <c r="B347" s="13" t="str">
        <f>IFERROR(__xludf.DUMMYFUNCTION("""COMPUTED_VALUE"""),"BOULDER VALLEY RE 2")</f>
        <v>BOULDER VALLEY RE 2</v>
      </c>
      <c r="C347" s="14" t="str">
        <f>IFERROR(__xludf.DUMMYFUNCTION("""COMPUTED_VALUE"""),"00924")</f>
        <v>00924</v>
      </c>
      <c r="D347" s="13" t="str">
        <f>IFERROR(__xludf.DUMMYFUNCTION("""COMPUTED_VALUE"""),"BOULDER HIGH SCHOOL")</f>
        <v>BOULDER HIGH SCHOOL</v>
      </c>
      <c r="E347" s="13" t="str">
        <f>IFERROR(__xludf.DUMMYFUNCTION("""COMPUTED_VALUE"""),"Group 3")</f>
        <v>Group 3</v>
      </c>
      <c r="F347" s="13" t="str">
        <f>IFERROR(__xludf.DUMMYFUNCTION("""COMPUTED_VALUE"""),"2024 - 2025")</f>
        <v>2024 - 2025</v>
      </c>
      <c r="G347" s="13" t="str">
        <f>IFERROR(__xludf.DUMMYFUNCTION("""COMPUTED_VALUE"""),"2023 - 2024")</f>
        <v>2023 - 2024</v>
      </c>
      <c r="H347" s="13">
        <f>IFERROR(__xludf.DUMMYFUNCTION("""COMPUTED_VALUE"""),40.13)</f>
        <v>40.13</v>
      </c>
      <c r="I347" s="15">
        <f>IFERROR(__xludf.DUMMYFUNCTION("""COMPUTED_VALUE"""),59.87)</f>
        <v>59.87</v>
      </c>
    </row>
    <row r="348">
      <c r="A348" s="13" t="str">
        <f>IFERROR(__xludf.DUMMYFUNCTION("""COMPUTED_VALUE"""),"0480")</f>
        <v>0480</v>
      </c>
      <c r="B348" s="13" t="str">
        <f>IFERROR(__xludf.DUMMYFUNCTION("""COMPUTED_VALUE"""),"BOULDER VALLEY RE 2")</f>
        <v>BOULDER VALLEY RE 2</v>
      </c>
      <c r="C348" s="14" t="str">
        <f>IFERROR(__xludf.DUMMYFUNCTION("""COMPUTED_VALUE"""),"02552")</f>
        <v>02552</v>
      </c>
      <c r="D348" s="13" t="str">
        <f>IFERROR(__xludf.DUMMYFUNCTION("""COMPUTED_VALUE"""),"EISENHOWER ELEMENTARY SCHOOL")</f>
        <v>EISENHOWER ELEMENTARY SCHOOL</v>
      </c>
      <c r="E348" s="13" t="str">
        <f>IFERROR(__xludf.DUMMYFUNCTION("""COMPUTED_VALUE"""),"Group 3")</f>
        <v>Group 3</v>
      </c>
      <c r="F348" s="13" t="str">
        <f>IFERROR(__xludf.DUMMYFUNCTION("""COMPUTED_VALUE"""),"2024 - 2025")</f>
        <v>2024 - 2025</v>
      </c>
      <c r="G348" s="13" t="str">
        <f>IFERROR(__xludf.DUMMYFUNCTION("""COMPUTED_VALUE"""),"2023 - 2024")</f>
        <v>2023 - 2024</v>
      </c>
      <c r="H348" s="13">
        <f>IFERROR(__xludf.DUMMYFUNCTION("""COMPUTED_VALUE"""),40.13)</f>
        <v>40.13</v>
      </c>
      <c r="I348" s="15">
        <f>IFERROR(__xludf.DUMMYFUNCTION("""COMPUTED_VALUE"""),59.87)</f>
        <v>59.87</v>
      </c>
    </row>
    <row r="349">
      <c r="A349" s="13" t="str">
        <f>IFERROR(__xludf.DUMMYFUNCTION("""COMPUTED_VALUE"""),"0480")</f>
        <v>0480</v>
      </c>
      <c r="B349" s="13" t="str">
        <f>IFERROR(__xludf.DUMMYFUNCTION("""COMPUTED_VALUE"""),"BOULDER VALLEY RE 2")</f>
        <v>BOULDER VALLEY RE 2</v>
      </c>
      <c r="C349" s="14" t="str">
        <f>IFERROR(__xludf.DUMMYFUNCTION("""COMPUTED_VALUE"""),"06195")</f>
        <v>06195</v>
      </c>
      <c r="D349" s="13" t="str">
        <f>IFERROR(__xludf.DUMMYFUNCTION("""COMPUTED_VALUE"""),"NEW VISTA HIGH SCHOOL")</f>
        <v>NEW VISTA HIGH SCHOOL</v>
      </c>
      <c r="E349" s="13" t="str">
        <f>IFERROR(__xludf.DUMMYFUNCTION("""COMPUTED_VALUE"""),"Group 3")</f>
        <v>Group 3</v>
      </c>
      <c r="F349" s="13" t="str">
        <f>IFERROR(__xludf.DUMMYFUNCTION("""COMPUTED_VALUE"""),"2024 - 2025")</f>
        <v>2024 - 2025</v>
      </c>
      <c r="G349" s="13" t="str">
        <f>IFERROR(__xludf.DUMMYFUNCTION("""COMPUTED_VALUE"""),"2023 - 2024")</f>
        <v>2023 - 2024</v>
      </c>
      <c r="H349" s="13">
        <f>IFERROR(__xludf.DUMMYFUNCTION("""COMPUTED_VALUE"""),40.13)</f>
        <v>40.13</v>
      </c>
      <c r="I349" s="15">
        <f>IFERROR(__xludf.DUMMYFUNCTION("""COMPUTED_VALUE"""),59.87)</f>
        <v>59.87</v>
      </c>
    </row>
    <row r="350">
      <c r="A350" s="13" t="str">
        <f>IFERROR(__xludf.DUMMYFUNCTION("""COMPUTED_VALUE"""),"0480")</f>
        <v>0480</v>
      </c>
      <c r="B350" s="13" t="str">
        <f>IFERROR(__xludf.DUMMYFUNCTION("""COMPUTED_VALUE"""),"BOULDER VALLEY RE 2")</f>
        <v>BOULDER VALLEY RE 2</v>
      </c>
      <c r="C350" s="14" t="str">
        <f>IFERROR(__xludf.DUMMYFUNCTION("""COMPUTED_VALUE"""),"06208")</f>
        <v>06208</v>
      </c>
      <c r="D350" s="13" t="str">
        <f>IFERROR(__xludf.DUMMYFUNCTION("""COMPUTED_VALUE"""),"NEDERLAND ELEMENTARY SCHOOL")</f>
        <v>NEDERLAND ELEMENTARY SCHOOL</v>
      </c>
      <c r="E350" s="13" t="str">
        <f>IFERROR(__xludf.DUMMYFUNCTION("""COMPUTED_VALUE"""),"Group 4")</f>
        <v>Group 4</v>
      </c>
      <c r="F350" s="13" t="str">
        <f>IFERROR(__xludf.DUMMYFUNCTION("""COMPUTED_VALUE"""),"2024 - 2025")</f>
        <v>2024 - 2025</v>
      </c>
      <c r="G350" s="13" t="str">
        <f>IFERROR(__xludf.DUMMYFUNCTION("""COMPUTED_VALUE"""),"2023 - 2024")</f>
        <v>2023 - 2024</v>
      </c>
      <c r="H350" s="13">
        <f>IFERROR(__xludf.DUMMYFUNCTION("""COMPUTED_VALUE"""),53.33)</f>
        <v>53.33</v>
      </c>
      <c r="I350" s="15">
        <f>IFERROR(__xludf.DUMMYFUNCTION("""COMPUTED_VALUE"""),46.67)</f>
        <v>46.67</v>
      </c>
    </row>
    <row r="351">
      <c r="A351" s="13" t="str">
        <f>IFERROR(__xludf.DUMMYFUNCTION("""COMPUTED_VALUE"""),"0480")</f>
        <v>0480</v>
      </c>
      <c r="B351" s="13" t="str">
        <f>IFERROR(__xludf.DUMMYFUNCTION("""COMPUTED_VALUE"""),"BOULDER VALLEY RE 2")</f>
        <v>BOULDER VALLEY RE 2</v>
      </c>
      <c r="C351" s="14" t="str">
        <f>IFERROR(__xludf.DUMMYFUNCTION("""COMPUTED_VALUE"""),"01390")</f>
        <v>01390</v>
      </c>
      <c r="D351" s="13" t="str">
        <f>IFERROR(__xludf.DUMMYFUNCTION("""COMPUTED_VALUE"""),"CENTENNIAL MIDDLE SCHOOL")</f>
        <v>CENTENNIAL MIDDLE SCHOOL</v>
      </c>
      <c r="E351" s="13" t="str">
        <f>IFERROR(__xludf.DUMMYFUNCTION("""COMPUTED_VALUE"""),"Group 5")</f>
        <v>Group 5</v>
      </c>
      <c r="F351" s="13" t="str">
        <f>IFERROR(__xludf.DUMMYFUNCTION("""COMPUTED_VALUE"""),"2024 - 2025")</f>
        <v>2024 - 2025</v>
      </c>
      <c r="G351" s="13" t="str">
        <f>IFERROR(__xludf.DUMMYFUNCTION("""COMPUTED_VALUE"""),"2023 - 2024")</f>
        <v>2023 - 2024</v>
      </c>
      <c r="H351" s="13">
        <f>IFERROR(__xludf.DUMMYFUNCTION("""COMPUTED_VALUE"""),40.7)</f>
        <v>40.7</v>
      </c>
      <c r="I351" s="15">
        <f>IFERROR(__xludf.DUMMYFUNCTION("""COMPUTED_VALUE"""),59.3)</f>
        <v>59.3</v>
      </c>
    </row>
    <row r="352">
      <c r="A352" s="13" t="str">
        <f>IFERROR(__xludf.DUMMYFUNCTION("""COMPUTED_VALUE"""),"0480")</f>
        <v>0480</v>
      </c>
      <c r="B352" s="13" t="str">
        <f>IFERROR(__xludf.DUMMYFUNCTION("""COMPUTED_VALUE"""),"BOULDER VALLEY RE 2")</f>
        <v>BOULDER VALLEY RE 2</v>
      </c>
      <c r="C352" s="14" t="str">
        <f>IFERROR(__xludf.DUMMYFUNCTION("""COMPUTED_VALUE"""),"05302")</f>
        <v>05302</v>
      </c>
      <c r="D352" s="13" t="str">
        <f>IFERROR(__xludf.DUMMYFUNCTION("""COMPUTED_VALUE"""),"LOUISVILLE ELEMENTARY SCHOOL")</f>
        <v>LOUISVILLE ELEMENTARY SCHOOL</v>
      </c>
      <c r="E352" s="13" t="str">
        <f>IFERROR(__xludf.DUMMYFUNCTION("""COMPUTED_VALUE"""),"Group 5")</f>
        <v>Group 5</v>
      </c>
      <c r="F352" s="13" t="str">
        <f>IFERROR(__xludf.DUMMYFUNCTION("""COMPUTED_VALUE"""),"2024 - 2025")</f>
        <v>2024 - 2025</v>
      </c>
      <c r="G352" s="13" t="str">
        <f>IFERROR(__xludf.DUMMYFUNCTION("""COMPUTED_VALUE"""),"2023 - 2024")</f>
        <v>2023 - 2024</v>
      </c>
      <c r="H352" s="13">
        <f>IFERROR(__xludf.DUMMYFUNCTION("""COMPUTED_VALUE"""),40.7)</f>
        <v>40.7</v>
      </c>
      <c r="I352" s="15">
        <f>IFERROR(__xludf.DUMMYFUNCTION("""COMPUTED_VALUE"""),59.3)</f>
        <v>59.3</v>
      </c>
    </row>
    <row r="353">
      <c r="A353" s="13" t="str">
        <f>IFERROR(__xludf.DUMMYFUNCTION("""COMPUTED_VALUE"""),"0480")</f>
        <v>0480</v>
      </c>
      <c r="B353" s="13" t="str">
        <f>IFERROR(__xludf.DUMMYFUNCTION("""COMPUTED_VALUE"""),"BOULDER VALLEY RE 2")</f>
        <v>BOULDER VALLEY RE 2</v>
      </c>
      <c r="C353" s="14" t="str">
        <f>IFERROR(__xludf.DUMMYFUNCTION("""COMPUTED_VALUE"""),"03499")</f>
        <v>03499</v>
      </c>
      <c r="D353" s="13" t="str">
        <f>IFERROR(__xludf.DUMMYFUNCTION("""COMPUTED_VALUE"""),"HALCYON SCHOOL")</f>
        <v>HALCYON SCHOOL</v>
      </c>
      <c r="E353" s="13" t="str">
        <f>IFERROR(__xludf.DUMMYFUNCTION("""COMPUTED_VALUE"""),"Group 6")</f>
        <v>Group 6</v>
      </c>
      <c r="F353" s="13" t="str">
        <f>IFERROR(__xludf.DUMMYFUNCTION("""COMPUTED_VALUE"""),"2024 - 2025")</f>
        <v>2024 - 2025</v>
      </c>
      <c r="G353" s="13" t="str">
        <f>IFERROR(__xludf.DUMMYFUNCTION("""COMPUTED_VALUE"""),"2023 - 2024")</f>
        <v>2023 - 2024</v>
      </c>
      <c r="H353" s="13">
        <f>IFERROR(__xludf.DUMMYFUNCTION("""COMPUTED_VALUE"""),100.0)</f>
        <v>100</v>
      </c>
      <c r="I353" s="15">
        <f>IFERROR(__xludf.DUMMYFUNCTION("""COMPUTED_VALUE"""),0.0)</f>
        <v>0</v>
      </c>
    </row>
    <row r="354">
      <c r="A354" s="13" t="str">
        <f>IFERROR(__xludf.DUMMYFUNCTION("""COMPUTED_VALUE"""),"0480")</f>
        <v>0480</v>
      </c>
      <c r="B354" s="13" t="str">
        <f>IFERROR(__xludf.DUMMYFUNCTION("""COMPUTED_VALUE"""),"BOULDER VALLEY RE 2")</f>
        <v>BOULDER VALLEY RE 2</v>
      </c>
      <c r="C354" s="14" t="str">
        <f>IFERROR(__xludf.DUMMYFUNCTION("""COMPUTED_VALUE"""),"07528")</f>
        <v>07528</v>
      </c>
      <c r="D354" s="13" t="str">
        <f>IFERROR(__xludf.DUMMYFUNCTION("""COMPUTED_VALUE"""),"RYAN ELEMENTARY SCHOOL")</f>
        <v>RYAN ELEMENTARY SCHOOL</v>
      </c>
      <c r="E354" s="13" t="str">
        <f>IFERROR(__xludf.DUMMYFUNCTION("""COMPUTED_VALUE"""),"Group 7")</f>
        <v>Group 7</v>
      </c>
      <c r="F354" s="13" t="str">
        <f>IFERROR(__xludf.DUMMYFUNCTION("""COMPUTED_VALUE"""),"2024 - 2025")</f>
        <v>2024 - 2025</v>
      </c>
      <c r="G354" s="13" t="str">
        <f>IFERROR(__xludf.DUMMYFUNCTION("""COMPUTED_VALUE"""),"2023 - 2024")</f>
        <v>2023 - 2024</v>
      </c>
      <c r="H354" s="13">
        <f>IFERROR(__xludf.DUMMYFUNCTION("""COMPUTED_VALUE"""),49.42)</f>
        <v>49.42</v>
      </c>
      <c r="I354" s="15">
        <f>IFERROR(__xludf.DUMMYFUNCTION("""COMPUTED_VALUE"""),50.58)</f>
        <v>50.58</v>
      </c>
    </row>
    <row r="355">
      <c r="A355" s="13" t="str">
        <f>IFERROR(__xludf.DUMMYFUNCTION("""COMPUTED_VALUE"""),"0480")</f>
        <v>0480</v>
      </c>
      <c r="B355" s="13" t="str">
        <f>IFERROR(__xludf.DUMMYFUNCTION("""COMPUTED_VALUE"""),"BOULDER VALLEY RE 2")</f>
        <v>BOULDER VALLEY RE 2</v>
      </c>
      <c r="C355" s="14" t="str">
        <f>IFERROR(__xludf.DUMMYFUNCTION("""COMPUTED_VALUE"""),"00125")</f>
        <v>00125</v>
      </c>
      <c r="D355" s="13" t="str">
        <f>IFERROR(__xludf.DUMMYFUNCTION("""COMPUTED_VALUE"""),"ARAPAHOE RIDGE HIGH SCHOOL")</f>
        <v>ARAPAHOE RIDGE HIGH SCHOOL</v>
      </c>
      <c r="E355" s="13" t="str">
        <f>IFERROR(__xludf.DUMMYFUNCTION("""COMPUTED_VALUE"""),"Group 8")</f>
        <v>Group 8</v>
      </c>
      <c r="F355" s="13" t="str">
        <f>IFERROR(__xludf.DUMMYFUNCTION("""COMPUTED_VALUE"""),"2024 - 2025")</f>
        <v>2024 - 2025</v>
      </c>
      <c r="G355" s="13" t="str">
        <f>IFERROR(__xludf.DUMMYFUNCTION("""COMPUTED_VALUE"""),"2023 - 2024")</f>
        <v>2023 - 2024</v>
      </c>
      <c r="H355" s="13">
        <f>IFERROR(__xludf.DUMMYFUNCTION("""COMPUTED_VALUE"""),61.22)</f>
        <v>61.22</v>
      </c>
      <c r="I355" s="15">
        <f>IFERROR(__xludf.DUMMYFUNCTION("""COMPUTED_VALUE"""),38.78)</f>
        <v>38.78</v>
      </c>
    </row>
    <row r="356">
      <c r="A356" s="13" t="str">
        <f>IFERROR(__xludf.DUMMYFUNCTION("""COMPUTED_VALUE"""),"0480")</f>
        <v>0480</v>
      </c>
      <c r="B356" s="13" t="str">
        <f>IFERROR(__xludf.DUMMYFUNCTION("""COMPUTED_VALUE"""),"BOULDER VALLEY RE 2")</f>
        <v>BOULDER VALLEY RE 2</v>
      </c>
      <c r="C356" s="14" t="str">
        <f>IFERROR(__xludf.DUMMYFUNCTION("""COMPUTED_VALUE"""),"01996")</f>
        <v>01996</v>
      </c>
      <c r="D356" s="13" t="str">
        <f>IFERROR(__xludf.DUMMYFUNCTION("""COMPUTED_VALUE"""),"CREST VIEW ELEMENTARY SCHOOL")</f>
        <v>CREST VIEW ELEMENTARY SCHOOL</v>
      </c>
      <c r="E356" s="13" t="str">
        <f>IFERROR(__xludf.DUMMYFUNCTION("""COMPUTED_VALUE"""),"Group 8")</f>
        <v>Group 8</v>
      </c>
      <c r="F356" s="13" t="str">
        <f>IFERROR(__xludf.DUMMYFUNCTION("""COMPUTED_VALUE"""),"2024 - 2025")</f>
        <v>2024 - 2025</v>
      </c>
      <c r="G356" s="13" t="str">
        <f>IFERROR(__xludf.DUMMYFUNCTION("""COMPUTED_VALUE"""),"2023 - 2024")</f>
        <v>2023 - 2024</v>
      </c>
      <c r="H356" s="13">
        <f>IFERROR(__xludf.DUMMYFUNCTION("""COMPUTED_VALUE"""),61.22)</f>
        <v>61.22</v>
      </c>
      <c r="I356" s="15">
        <f>IFERROR(__xludf.DUMMYFUNCTION("""COMPUTED_VALUE"""),38.78)</f>
        <v>38.78</v>
      </c>
    </row>
    <row r="357">
      <c r="A357" s="13" t="str">
        <f>IFERROR(__xludf.DUMMYFUNCTION("""COMPUTED_VALUE"""),"0480")</f>
        <v>0480</v>
      </c>
      <c r="B357" s="13" t="str">
        <f>IFERROR(__xludf.DUMMYFUNCTION("""COMPUTED_VALUE"""),"BOULDER VALLEY RE 2")</f>
        <v>BOULDER VALLEY RE 2</v>
      </c>
      <c r="C357" s="14" t="str">
        <f>IFERROR(__xludf.DUMMYFUNCTION("""COMPUTED_VALUE"""),"02970")</f>
        <v>02970</v>
      </c>
      <c r="D357" s="13" t="str">
        <f>IFERROR(__xludf.DUMMYFUNCTION("""COMPUTED_VALUE"""),"FLATIRONS ELEMENTARY SCHOOL")</f>
        <v>FLATIRONS ELEMENTARY SCHOOL</v>
      </c>
      <c r="E357" s="13" t="str">
        <f>IFERROR(__xludf.DUMMYFUNCTION("""COMPUTED_VALUE"""),"Group 8")</f>
        <v>Group 8</v>
      </c>
      <c r="F357" s="13" t="str">
        <f>IFERROR(__xludf.DUMMYFUNCTION("""COMPUTED_VALUE"""),"2024 - 2025")</f>
        <v>2024 - 2025</v>
      </c>
      <c r="G357" s="13" t="str">
        <f>IFERROR(__xludf.DUMMYFUNCTION("""COMPUTED_VALUE"""),"2023 - 2024")</f>
        <v>2023 - 2024</v>
      </c>
      <c r="H357" s="13">
        <f>IFERROR(__xludf.DUMMYFUNCTION("""COMPUTED_VALUE"""),61.22)</f>
        <v>61.22</v>
      </c>
      <c r="I357" s="15">
        <f>IFERROR(__xludf.DUMMYFUNCTION("""COMPUTED_VALUE"""),38.78)</f>
        <v>38.78</v>
      </c>
    </row>
    <row r="358">
      <c r="A358" s="13" t="str">
        <f>IFERROR(__xludf.DUMMYFUNCTION("""COMPUTED_VALUE"""),"0480")</f>
        <v>0480</v>
      </c>
      <c r="B358" s="13" t="str">
        <f>IFERROR(__xludf.DUMMYFUNCTION("""COMPUTED_VALUE"""),"BOULDER VALLEY RE 2")</f>
        <v>BOULDER VALLEY RE 2</v>
      </c>
      <c r="C358" s="14" t="str">
        <f>IFERROR(__xludf.DUMMYFUNCTION("""COMPUTED_VALUE"""),"04792")</f>
        <v>04792</v>
      </c>
      <c r="D358" s="13" t="str">
        <f>IFERROR(__xludf.DUMMYFUNCTION("""COMPUTED_VALUE"""),"KOHL ELEMENTARY SCHOOL")</f>
        <v>KOHL ELEMENTARY SCHOOL</v>
      </c>
      <c r="E358" s="13" t="str">
        <f>IFERROR(__xludf.DUMMYFUNCTION("""COMPUTED_VALUE"""),"Group 9")</f>
        <v>Group 9</v>
      </c>
      <c r="F358" s="13" t="str">
        <f>IFERROR(__xludf.DUMMYFUNCTION("""COMPUTED_VALUE"""),"2024 - 2025")</f>
        <v>2024 - 2025</v>
      </c>
      <c r="G358" s="13" t="str">
        <f>IFERROR(__xludf.DUMMYFUNCTION("""COMPUTED_VALUE"""),"2023 - 2024")</f>
        <v>2023 - 2024</v>
      </c>
      <c r="H358" s="13">
        <f>IFERROR(__xludf.DUMMYFUNCTION("""COMPUTED_VALUE"""),40.19)</f>
        <v>40.19</v>
      </c>
      <c r="I358" s="15">
        <f>IFERROR(__xludf.DUMMYFUNCTION("""COMPUTED_VALUE"""),59.81)</f>
        <v>59.81</v>
      </c>
    </row>
    <row r="359">
      <c r="A359" s="13" t="str">
        <f>IFERROR(__xludf.DUMMYFUNCTION("""COMPUTED_VALUE"""),"0480")</f>
        <v>0480</v>
      </c>
      <c r="B359" s="13" t="str">
        <f>IFERROR(__xludf.DUMMYFUNCTION("""COMPUTED_VALUE"""),"BOULDER VALLEY RE 2")</f>
        <v>BOULDER VALLEY RE 2</v>
      </c>
      <c r="C359" s="14" t="str">
        <f>IFERROR(__xludf.DUMMYFUNCTION("""COMPUTED_VALUE"""),"04878")</f>
        <v>04878</v>
      </c>
      <c r="D359" s="13" t="str">
        <f>IFERROR(__xludf.DUMMYFUNCTION("""COMPUTED_VALUE"""),"ANGEVINE MIDDLE SCHOOL")</f>
        <v>ANGEVINE MIDDLE SCHOOL</v>
      </c>
      <c r="E359" s="13" t="str">
        <f>IFERROR(__xludf.DUMMYFUNCTION("""COMPUTED_VALUE"""),"Group 9")</f>
        <v>Group 9</v>
      </c>
      <c r="F359" s="13" t="str">
        <f>IFERROR(__xludf.DUMMYFUNCTION("""COMPUTED_VALUE"""),"2024 - 2025")</f>
        <v>2024 - 2025</v>
      </c>
      <c r="G359" s="13" t="str">
        <f>IFERROR(__xludf.DUMMYFUNCTION("""COMPUTED_VALUE"""),"2023 - 2024")</f>
        <v>2023 - 2024</v>
      </c>
      <c r="H359" s="13">
        <f>IFERROR(__xludf.DUMMYFUNCTION("""COMPUTED_VALUE"""),40.19)</f>
        <v>40.19</v>
      </c>
      <c r="I359" s="15">
        <f>IFERROR(__xludf.DUMMYFUNCTION("""COMPUTED_VALUE"""),59.81)</f>
        <v>59.81</v>
      </c>
    </row>
    <row r="360">
      <c r="A360" s="13" t="str">
        <f>IFERROR(__xludf.DUMMYFUNCTION("""COMPUTED_VALUE"""),"0480")</f>
        <v>0480</v>
      </c>
      <c r="B360" s="13" t="str">
        <f>IFERROR(__xludf.DUMMYFUNCTION("""COMPUTED_VALUE"""),"BOULDER VALLEY RE 2")</f>
        <v>BOULDER VALLEY RE 2</v>
      </c>
      <c r="C360" s="14" t="str">
        <f>IFERROR(__xludf.DUMMYFUNCTION("""COMPUTED_VALUE"""),"05838")</f>
        <v>05838</v>
      </c>
      <c r="D360" s="13" t="str">
        <f>IFERROR(__xludf.DUMMYFUNCTION("""COMPUTED_VALUE"""),"MESA ELEMENTARY SCHOOL")</f>
        <v>MESA ELEMENTARY SCHOOL</v>
      </c>
      <c r="E360" s="13" t="str">
        <f>IFERROR(__xludf.DUMMYFUNCTION("""COMPUTED_VALUE"""),"Group 9")</f>
        <v>Group 9</v>
      </c>
      <c r="F360" s="13" t="str">
        <f>IFERROR(__xludf.DUMMYFUNCTION("""COMPUTED_VALUE"""),"2024 - 2025")</f>
        <v>2024 - 2025</v>
      </c>
      <c r="G360" s="13" t="str">
        <f>IFERROR(__xludf.DUMMYFUNCTION("""COMPUTED_VALUE"""),"2023 - 2024")</f>
        <v>2023 - 2024</v>
      </c>
      <c r="H360" s="13">
        <f>IFERROR(__xludf.DUMMYFUNCTION("""COMPUTED_VALUE"""),40.19)</f>
        <v>40.19</v>
      </c>
      <c r="I360" s="15">
        <f>IFERROR(__xludf.DUMMYFUNCTION("""COMPUTED_VALUE"""),59.81)</f>
        <v>59.81</v>
      </c>
    </row>
    <row r="361">
      <c r="A361" s="13" t="str">
        <f>IFERROR(__xludf.DUMMYFUNCTION("""COMPUTED_VALUE"""),"0480")</f>
        <v>0480</v>
      </c>
      <c r="B361" s="13" t="str">
        <f>IFERROR(__xludf.DUMMYFUNCTION("""COMPUTED_VALUE"""),"BOULDER VALLEY RE 2")</f>
        <v>BOULDER VALLEY RE 2</v>
      </c>
      <c r="C361" s="14" t="str">
        <f>IFERROR(__xludf.DUMMYFUNCTION("""COMPUTED_VALUE"""),"06212")</f>
        <v>06212</v>
      </c>
      <c r="D361" s="13" t="str">
        <f>IFERROR(__xludf.DUMMYFUNCTION("""COMPUTED_VALUE"""),"NEDERLAND MIDDLE-SENIOR HIGH SCHOOL")</f>
        <v>NEDERLAND MIDDLE-SENIOR HIGH SCHOOL</v>
      </c>
      <c r="E361" s="13" t="str">
        <f>IFERROR(__xludf.DUMMYFUNCTION("""COMPUTED_VALUE"""),"Group 9")</f>
        <v>Group 9</v>
      </c>
      <c r="F361" s="13" t="str">
        <f>IFERROR(__xludf.DUMMYFUNCTION("""COMPUTED_VALUE"""),"2024 - 2025")</f>
        <v>2024 - 2025</v>
      </c>
      <c r="G361" s="13" t="str">
        <f>IFERROR(__xludf.DUMMYFUNCTION("""COMPUTED_VALUE"""),"2023 - 2024")</f>
        <v>2023 - 2024</v>
      </c>
      <c r="H361" s="13">
        <f>IFERROR(__xludf.DUMMYFUNCTION("""COMPUTED_VALUE"""),40.19)</f>
        <v>40.19</v>
      </c>
      <c r="I361" s="15">
        <f>IFERROR(__xludf.DUMMYFUNCTION("""COMPUTED_VALUE"""),59.81)</f>
        <v>59.81</v>
      </c>
    </row>
    <row r="362">
      <c r="A362" s="13" t="str">
        <f>IFERROR(__xludf.DUMMYFUNCTION("""COMPUTED_VALUE"""),"0480")</f>
        <v>0480</v>
      </c>
      <c r="B362" s="13" t="str">
        <f>IFERROR(__xludf.DUMMYFUNCTION("""COMPUTED_VALUE"""),"BOULDER VALLEY RE 2")</f>
        <v>BOULDER VALLEY RE 2</v>
      </c>
      <c r="C362" s="14" t="str">
        <f>IFERROR(__xludf.DUMMYFUNCTION("""COMPUTED_VALUE"""),"08418")</f>
        <v>08418</v>
      </c>
      <c r="D362" s="13" t="str">
        <f>IFERROR(__xludf.DUMMYFUNCTION("""COMPUTED_VALUE"""),"SUPERIOR ELEMENTARY SCHOOL")</f>
        <v>SUPERIOR ELEMENTARY SCHOOL</v>
      </c>
      <c r="E362" s="13" t="str">
        <f>IFERROR(__xludf.DUMMYFUNCTION("""COMPUTED_VALUE"""),"Group 9")</f>
        <v>Group 9</v>
      </c>
      <c r="F362" s="13" t="str">
        <f>IFERROR(__xludf.DUMMYFUNCTION("""COMPUTED_VALUE"""),"2024 - 2025")</f>
        <v>2024 - 2025</v>
      </c>
      <c r="G362" s="13" t="str">
        <f>IFERROR(__xludf.DUMMYFUNCTION("""COMPUTED_VALUE"""),"2023 - 2024")</f>
        <v>2023 - 2024</v>
      </c>
      <c r="H362" s="13">
        <f>IFERROR(__xludf.DUMMYFUNCTION("""COMPUTED_VALUE"""),40.19)</f>
        <v>40.19</v>
      </c>
      <c r="I362" s="15">
        <f>IFERROR(__xludf.DUMMYFUNCTION("""COMPUTED_VALUE"""),59.81)</f>
        <v>59.81</v>
      </c>
    </row>
    <row r="363">
      <c r="A363" s="13" t="str">
        <f>IFERROR(__xludf.DUMMYFUNCTION("""COMPUTED_VALUE"""),"0480")</f>
        <v>0480</v>
      </c>
      <c r="B363" s="13" t="str">
        <f>IFERROR(__xludf.DUMMYFUNCTION("""COMPUTED_VALUE"""),"BOULDER VALLEY RE 2")</f>
        <v>BOULDER VALLEY RE 2</v>
      </c>
      <c r="C363" s="14" t="str">
        <f>IFERROR(__xludf.DUMMYFUNCTION("""COMPUTED_VALUE"""),"05617")</f>
        <v>05617</v>
      </c>
      <c r="D363" s="13" t="str">
        <f>IFERROR(__xludf.DUMMYFUNCTION("""COMPUTED_VALUE"""),"Mapleton Early Childhood Center")</f>
        <v>Mapleton Early Childhood Center</v>
      </c>
      <c r="E363" s="13" t="str">
        <f>IFERROR(__xludf.DUMMYFUNCTION("""COMPUTED_VALUE"""),"Group 9")</f>
        <v>Group 9</v>
      </c>
      <c r="F363" s="13" t="str">
        <f>IFERROR(__xludf.DUMMYFUNCTION("""COMPUTED_VALUE"""),"2024 - 2025")</f>
        <v>2024 - 2025</v>
      </c>
      <c r="G363" s="13" t="str">
        <f>IFERROR(__xludf.DUMMYFUNCTION("""COMPUTED_VALUE"""),"2023 - 2024")</f>
        <v>2023 - 2024</v>
      </c>
      <c r="H363" s="13">
        <f>IFERROR(__xludf.DUMMYFUNCTION("""COMPUTED_VALUE"""),40.19)</f>
        <v>40.19</v>
      </c>
      <c r="I363" s="15">
        <f>IFERROR(__xludf.DUMMYFUNCTION("""COMPUTED_VALUE"""),59.81)</f>
        <v>59.81</v>
      </c>
    </row>
    <row r="364">
      <c r="A364" s="13" t="str">
        <f>IFERROR(__xludf.DUMMYFUNCTION("""COMPUTED_VALUE"""),"0490")</f>
        <v>0490</v>
      </c>
      <c r="B364" s="13" t="str">
        <f>IFERROR(__xludf.DUMMYFUNCTION("""COMPUTED_VALUE"""),"BUENA VISTA R-31")</f>
        <v>BUENA VISTA R-31</v>
      </c>
      <c r="C364" s="14" t="str">
        <f>IFERROR(__xludf.DUMMYFUNCTION("""COMPUTED_VALUE"""),"01132")</f>
        <v>01132</v>
      </c>
      <c r="D364" s="13" t="str">
        <f>IFERROR(__xludf.DUMMYFUNCTION("""COMPUTED_VALUE"""),"Buena Vista Middle School")</f>
        <v>Buena Vista Middle School</v>
      </c>
      <c r="E364" s="13" t="str">
        <f>IFERROR(__xludf.DUMMYFUNCTION("""COMPUTED_VALUE"""),"Group 1")</f>
        <v>Group 1</v>
      </c>
      <c r="F364" s="13" t="str">
        <f>IFERROR(__xludf.DUMMYFUNCTION("""COMPUTED_VALUE"""),"2024 - 2025")</f>
        <v>2024 - 2025</v>
      </c>
      <c r="G364" s="13" t="str">
        <f>IFERROR(__xludf.DUMMYFUNCTION("""COMPUTED_VALUE"""),"2023 - 2024")</f>
        <v>2023 - 2024</v>
      </c>
      <c r="H364" s="13">
        <f>IFERROR(__xludf.DUMMYFUNCTION("""COMPUTED_VALUE"""),54.11)</f>
        <v>54.11</v>
      </c>
      <c r="I364" s="15">
        <f>IFERROR(__xludf.DUMMYFUNCTION("""COMPUTED_VALUE"""),45.89)</f>
        <v>45.89</v>
      </c>
    </row>
    <row r="365">
      <c r="A365" s="13" t="str">
        <f>IFERROR(__xludf.DUMMYFUNCTION("""COMPUTED_VALUE"""),"0490")</f>
        <v>0490</v>
      </c>
      <c r="B365" s="13" t="str">
        <f>IFERROR(__xludf.DUMMYFUNCTION("""COMPUTED_VALUE"""),"BUENA VISTA R-31")</f>
        <v>BUENA VISTA R-31</v>
      </c>
      <c r="C365" s="14" t="str">
        <f>IFERROR(__xludf.DUMMYFUNCTION("""COMPUTED_VALUE"""),"01508")</f>
        <v>01508</v>
      </c>
      <c r="D365" s="13" t="str">
        <f>IFERROR(__xludf.DUMMYFUNCTION("""COMPUTED_VALUE"""),"CHAFFEE COUNTY HIGH SCHOOL")</f>
        <v>CHAFFEE COUNTY HIGH SCHOOL</v>
      </c>
      <c r="E365" s="13" t="str">
        <f>IFERROR(__xludf.DUMMYFUNCTION("""COMPUTED_VALUE"""),"Group 1")</f>
        <v>Group 1</v>
      </c>
      <c r="F365" s="13" t="str">
        <f>IFERROR(__xludf.DUMMYFUNCTION("""COMPUTED_VALUE"""),"2024 - 2025")</f>
        <v>2024 - 2025</v>
      </c>
      <c r="G365" s="13" t="str">
        <f>IFERROR(__xludf.DUMMYFUNCTION("""COMPUTED_VALUE"""),"2023 - 2024")</f>
        <v>2023 - 2024</v>
      </c>
      <c r="H365" s="13">
        <f>IFERROR(__xludf.DUMMYFUNCTION("""COMPUTED_VALUE"""),54.11)</f>
        <v>54.11</v>
      </c>
      <c r="I365" s="15">
        <f>IFERROR(__xludf.DUMMYFUNCTION("""COMPUTED_VALUE"""),45.89)</f>
        <v>45.89</v>
      </c>
    </row>
    <row r="366">
      <c r="A366" s="13" t="str">
        <f>IFERROR(__xludf.DUMMYFUNCTION("""COMPUTED_VALUE"""),"0490")</f>
        <v>0490</v>
      </c>
      <c r="B366" s="13" t="str">
        <f>IFERROR(__xludf.DUMMYFUNCTION("""COMPUTED_VALUE"""),"BUENA VISTA R-31")</f>
        <v>BUENA VISTA R-31</v>
      </c>
      <c r="C366" s="14" t="str">
        <f>IFERROR(__xludf.DUMMYFUNCTION("""COMPUTED_VALUE"""),"00137")</f>
        <v>00137</v>
      </c>
      <c r="D366" s="13" t="str">
        <f>IFERROR(__xludf.DUMMYFUNCTION("""COMPUTED_VALUE"""),"The Grove, BVSD's Early Learning Program")</f>
        <v>The Grove, BVSD's Early Learning Program</v>
      </c>
      <c r="E366" s="13" t="str">
        <f>IFERROR(__xludf.DUMMYFUNCTION("""COMPUTED_VALUE"""),"Group 1")</f>
        <v>Group 1</v>
      </c>
      <c r="F366" s="13" t="str">
        <f>IFERROR(__xludf.DUMMYFUNCTION("""COMPUTED_VALUE"""),"2024 - 2025")</f>
        <v>2024 - 2025</v>
      </c>
      <c r="G366" s="13" t="str">
        <f>IFERROR(__xludf.DUMMYFUNCTION("""COMPUTED_VALUE"""),"2023 - 2024")</f>
        <v>2023 - 2024</v>
      </c>
      <c r="H366" s="13">
        <f>IFERROR(__xludf.DUMMYFUNCTION("""COMPUTED_VALUE"""),54.11)</f>
        <v>54.11</v>
      </c>
      <c r="I366" s="15">
        <f>IFERROR(__xludf.DUMMYFUNCTION("""COMPUTED_VALUE"""),45.89)</f>
        <v>45.89</v>
      </c>
    </row>
    <row r="367">
      <c r="A367" s="13" t="str">
        <f>IFERROR(__xludf.DUMMYFUNCTION("""COMPUTED_VALUE"""),"0490")</f>
        <v>0490</v>
      </c>
      <c r="B367" s="13" t="str">
        <f>IFERROR(__xludf.DUMMYFUNCTION("""COMPUTED_VALUE"""),"BUENA VISTA R-31")</f>
        <v>BUENA VISTA R-31</v>
      </c>
      <c r="C367" s="14" t="str">
        <f>IFERROR(__xludf.DUMMYFUNCTION("""COMPUTED_VALUE"""),"04306")</f>
        <v>04306</v>
      </c>
      <c r="D367" s="13" t="str">
        <f>IFERROR(__xludf.DUMMYFUNCTION("""COMPUTED_VALUE"""),"AVERY/PARSONS ELEMENTARY SCHOOL")</f>
        <v>AVERY/PARSONS ELEMENTARY SCHOOL</v>
      </c>
      <c r="E367" s="13" t="str">
        <f>IFERROR(__xludf.DUMMYFUNCTION("""COMPUTED_VALUE"""),"Group 2")</f>
        <v>Group 2</v>
      </c>
      <c r="F367" s="13" t="str">
        <f>IFERROR(__xludf.DUMMYFUNCTION("""COMPUTED_VALUE"""),"2024 - 2025")</f>
        <v>2024 - 2025</v>
      </c>
      <c r="G367" s="13" t="str">
        <f>IFERROR(__xludf.DUMMYFUNCTION("""COMPUTED_VALUE"""),"2023 - 2024")</f>
        <v>2023 - 2024</v>
      </c>
      <c r="H367" s="13">
        <f>IFERROR(__xludf.DUMMYFUNCTION("""COMPUTED_VALUE"""),50.45)</f>
        <v>50.45</v>
      </c>
      <c r="I367" s="15">
        <f>IFERROR(__xludf.DUMMYFUNCTION("""COMPUTED_VALUE"""),49.55)</f>
        <v>49.55</v>
      </c>
    </row>
    <row r="368">
      <c r="A368" s="13" t="str">
        <f>IFERROR(__xludf.DUMMYFUNCTION("""COMPUTED_VALUE"""),"0490")</f>
        <v>0490</v>
      </c>
      <c r="B368" s="13" t="str">
        <f>IFERROR(__xludf.DUMMYFUNCTION("""COMPUTED_VALUE"""),"BUENA VISTA R-31")</f>
        <v>BUENA VISTA R-31</v>
      </c>
      <c r="C368" s="14" t="str">
        <f>IFERROR(__xludf.DUMMYFUNCTION("""COMPUTED_VALUE"""),"01130")</f>
        <v>01130</v>
      </c>
      <c r="D368" s="13" t="str">
        <f>IFERROR(__xludf.DUMMYFUNCTION("""COMPUTED_VALUE"""),"BUENA VISTA HIGH SCHOOL")</f>
        <v>BUENA VISTA HIGH SCHOOL</v>
      </c>
      <c r="E368" s="13" t="str">
        <f>IFERROR(__xludf.DUMMYFUNCTION("""COMPUTED_VALUE"""),"Group 3")</f>
        <v>Group 3</v>
      </c>
      <c r="F368" s="13" t="str">
        <f>IFERROR(__xludf.DUMMYFUNCTION("""COMPUTED_VALUE"""),"2024 - 2025")</f>
        <v>2024 - 2025</v>
      </c>
      <c r="G368" s="13" t="str">
        <f>IFERROR(__xludf.DUMMYFUNCTION("""COMPUTED_VALUE"""),"2023 - 2024")</f>
        <v>2023 - 2024</v>
      </c>
      <c r="H368" s="13">
        <f>IFERROR(__xludf.DUMMYFUNCTION("""COMPUTED_VALUE"""),43.02)</f>
        <v>43.02</v>
      </c>
      <c r="I368" s="15">
        <f>IFERROR(__xludf.DUMMYFUNCTION("""COMPUTED_VALUE"""),56.98)</f>
        <v>56.98</v>
      </c>
    </row>
    <row r="369">
      <c r="A369" s="13" t="str">
        <f>IFERROR(__xludf.DUMMYFUNCTION("""COMPUTED_VALUE"""),"0500")</f>
        <v>0500</v>
      </c>
      <c r="B369" s="13" t="str">
        <f>IFERROR(__xludf.DUMMYFUNCTION("""COMPUTED_VALUE"""),"SALIDA R-32")</f>
        <v>SALIDA R-32</v>
      </c>
      <c r="C369" s="14" t="str">
        <f>IFERROR(__xludf.DUMMYFUNCTION("""COMPUTED_VALUE"""),"07568")</f>
        <v>07568</v>
      </c>
      <c r="D369" s="13" t="str">
        <f>IFERROR(__xludf.DUMMYFUNCTION("""COMPUTED_VALUE"""),"SALIDA HIGH SCHOOL")</f>
        <v>SALIDA HIGH SCHOOL</v>
      </c>
      <c r="E369" s="13" t="str">
        <f>IFERROR(__xludf.DUMMYFUNCTION("""COMPUTED_VALUE"""),"Group 1")</f>
        <v>Group 1</v>
      </c>
      <c r="F369" s="13" t="str">
        <f>IFERROR(__xludf.DUMMYFUNCTION("""COMPUTED_VALUE"""),"2024 - 2025")</f>
        <v>2024 - 2025</v>
      </c>
      <c r="G369" s="13" t="str">
        <f>IFERROR(__xludf.DUMMYFUNCTION("""COMPUTED_VALUE"""),"2023 - 2024")</f>
        <v>2023 - 2024</v>
      </c>
      <c r="H369" s="13">
        <f>IFERROR(__xludf.DUMMYFUNCTION("""COMPUTED_VALUE"""),41.41)</f>
        <v>41.41</v>
      </c>
      <c r="I369" s="15">
        <f>IFERROR(__xludf.DUMMYFUNCTION("""COMPUTED_VALUE"""),58.59)</f>
        <v>58.59</v>
      </c>
    </row>
    <row r="370">
      <c r="A370" s="13" t="str">
        <f>IFERROR(__xludf.DUMMYFUNCTION("""COMPUTED_VALUE"""),"0500")</f>
        <v>0500</v>
      </c>
      <c r="B370" s="13" t="str">
        <f>IFERROR(__xludf.DUMMYFUNCTION("""COMPUTED_VALUE"""),"SALIDA R-32")</f>
        <v>SALIDA R-32</v>
      </c>
      <c r="C370" s="14" t="str">
        <f>IFERROR(__xludf.DUMMYFUNCTION("""COMPUTED_VALUE"""),"01554")</f>
        <v>01554</v>
      </c>
      <c r="D370" s="13" t="str">
        <f>IFERROR(__xludf.DUMMYFUNCTION("""COMPUTED_VALUE"""),"Crest Academy")</f>
        <v>Crest Academy</v>
      </c>
      <c r="E370" s="13" t="str">
        <f>IFERROR(__xludf.DUMMYFUNCTION("""COMPUTED_VALUE"""),"Group 1")</f>
        <v>Group 1</v>
      </c>
      <c r="F370" s="13" t="str">
        <f>IFERROR(__xludf.DUMMYFUNCTION("""COMPUTED_VALUE"""),"2024 - 2025")</f>
        <v>2024 - 2025</v>
      </c>
      <c r="G370" s="13" t="str">
        <f>IFERROR(__xludf.DUMMYFUNCTION("""COMPUTED_VALUE"""),"2023 - 2024")</f>
        <v>2023 - 2024</v>
      </c>
      <c r="H370" s="13">
        <f>IFERROR(__xludf.DUMMYFUNCTION("""COMPUTED_VALUE"""),41.41)</f>
        <v>41.41</v>
      </c>
      <c r="I370" s="15">
        <f>IFERROR(__xludf.DUMMYFUNCTION("""COMPUTED_VALUE"""),58.59)</f>
        <v>58.59</v>
      </c>
    </row>
    <row r="371">
      <c r="A371" s="13" t="str">
        <f>IFERROR(__xludf.DUMMYFUNCTION("""COMPUTED_VALUE"""),"0500")</f>
        <v>0500</v>
      </c>
      <c r="B371" s="13" t="str">
        <f>IFERROR(__xludf.DUMMYFUNCTION("""COMPUTED_VALUE"""),"SALIDA R-32")</f>
        <v>SALIDA R-32</v>
      </c>
      <c r="C371" s="14" t="str">
        <f>IFERROR(__xludf.DUMMYFUNCTION("""COMPUTED_VALUE"""),"04680")</f>
        <v>04680</v>
      </c>
      <c r="D371" s="13" t="str">
        <f>IFERROR(__xludf.DUMMYFUNCTION("""COMPUTED_VALUE"""),"SALIDA MIDDLE SCHOOL")</f>
        <v>SALIDA MIDDLE SCHOOL</v>
      </c>
      <c r="E371" s="13" t="str">
        <f>IFERROR(__xludf.DUMMYFUNCTION("""COMPUTED_VALUE"""),"Group 2")</f>
        <v>Group 2</v>
      </c>
      <c r="F371" s="13" t="str">
        <f>IFERROR(__xludf.DUMMYFUNCTION("""COMPUTED_VALUE"""),"2024 - 2025")</f>
        <v>2024 - 2025</v>
      </c>
      <c r="G371" s="13" t="str">
        <f>IFERROR(__xludf.DUMMYFUNCTION("""COMPUTED_VALUE"""),"2023 - 2024")</f>
        <v>2023 - 2024</v>
      </c>
      <c r="H371" s="13">
        <f>IFERROR(__xludf.DUMMYFUNCTION("""COMPUTED_VALUE"""),66.83)</f>
        <v>66.83</v>
      </c>
      <c r="I371" s="15">
        <f>IFERROR(__xludf.DUMMYFUNCTION("""COMPUTED_VALUE"""),33.17)</f>
        <v>33.17</v>
      </c>
    </row>
    <row r="372">
      <c r="A372" s="13" t="str">
        <f>IFERROR(__xludf.DUMMYFUNCTION("""COMPUTED_VALUE"""),"0500")</f>
        <v>0500</v>
      </c>
      <c r="B372" s="13" t="str">
        <f>IFERROR(__xludf.DUMMYFUNCTION("""COMPUTED_VALUE"""),"SALIDA R-32")</f>
        <v>SALIDA R-32</v>
      </c>
      <c r="C372" s="14" t="str">
        <f>IFERROR(__xludf.DUMMYFUNCTION("""COMPUTED_VALUE"""),"04085")</f>
        <v>04085</v>
      </c>
      <c r="D372" s="13" t="str">
        <f>IFERROR(__xludf.DUMMYFUNCTION("""COMPUTED_VALUE"""),"HORIZONS EXPLORATORY ACADEMY")</f>
        <v>HORIZONS EXPLORATORY ACADEMY</v>
      </c>
      <c r="E372" s="13" t="str">
        <f>IFERROR(__xludf.DUMMYFUNCTION("""COMPUTED_VALUE"""),"Group 3")</f>
        <v>Group 3</v>
      </c>
      <c r="F372" s="13" t="str">
        <f>IFERROR(__xludf.DUMMYFUNCTION("""COMPUTED_VALUE"""),"2024 - 2025")</f>
        <v>2024 - 2025</v>
      </c>
      <c r="G372" s="13" t="str">
        <f>IFERROR(__xludf.DUMMYFUNCTION("""COMPUTED_VALUE"""),"2023 - 2024")</f>
        <v>2023 - 2024</v>
      </c>
      <c r="H372" s="13">
        <f>IFERROR(__xludf.DUMMYFUNCTION("""COMPUTED_VALUE"""),66.48)</f>
        <v>66.48</v>
      </c>
      <c r="I372" s="15">
        <f>IFERROR(__xludf.DUMMYFUNCTION("""COMPUTED_VALUE"""),33.519999999999996)</f>
        <v>33.52</v>
      </c>
    </row>
    <row r="373">
      <c r="A373" s="13" t="str">
        <f>IFERROR(__xludf.DUMMYFUNCTION("""COMPUTED_VALUE"""),"0500")</f>
        <v>0500</v>
      </c>
      <c r="B373" s="13" t="str">
        <f>IFERROR(__xludf.DUMMYFUNCTION("""COMPUTED_VALUE"""),"SALIDA R-32")</f>
        <v>SALIDA R-32</v>
      </c>
      <c r="C373" s="14" t="str">
        <f>IFERROR(__xludf.DUMMYFUNCTION("""COMPUTED_VALUE"""),"05268")</f>
        <v>05268</v>
      </c>
      <c r="D373" s="13" t="str">
        <f>IFERROR(__xludf.DUMMYFUNCTION("""COMPUTED_VALUE"""),"LONGFELLOW ELEMENTARY SCHOOL")</f>
        <v>LONGFELLOW ELEMENTARY SCHOOL</v>
      </c>
      <c r="E373" s="13" t="str">
        <f>IFERROR(__xludf.DUMMYFUNCTION("""COMPUTED_VALUE"""),"Group 3")</f>
        <v>Group 3</v>
      </c>
      <c r="F373" s="13" t="str">
        <f>IFERROR(__xludf.DUMMYFUNCTION("""COMPUTED_VALUE"""),"2024 - 2025")</f>
        <v>2024 - 2025</v>
      </c>
      <c r="G373" s="13" t="str">
        <f>IFERROR(__xludf.DUMMYFUNCTION("""COMPUTED_VALUE"""),"2023 - 2024")</f>
        <v>2023 - 2024</v>
      </c>
      <c r="H373" s="13">
        <f>IFERROR(__xludf.DUMMYFUNCTION("""COMPUTED_VALUE"""),66.48)</f>
        <v>66.48</v>
      </c>
      <c r="I373" s="15">
        <f>IFERROR(__xludf.DUMMYFUNCTION("""COMPUTED_VALUE"""),33.519999999999996)</f>
        <v>33.52</v>
      </c>
    </row>
    <row r="374">
      <c r="A374" s="13" t="str">
        <f>IFERROR(__xludf.DUMMYFUNCTION("""COMPUTED_VALUE"""),"0510")</f>
        <v>0510</v>
      </c>
      <c r="B374" s="13" t="str">
        <f>IFERROR(__xludf.DUMMYFUNCTION("""COMPUTED_VALUE"""),"KIT CARSON R-1")</f>
        <v>KIT CARSON R-1</v>
      </c>
      <c r="C374" s="14" t="str">
        <f>IFERROR(__xludf.DUMMYFUNCTION("""COMPUTED_VALUE"""),"04742")</f>
        <v>04742</v>
      </c>
      <c r="D374" s="13" t="str">
        <f>IFERROR(__xludf.DUMMYFUNCTION("""COMPUTED_VALUE"""),"KIT CARSON JUNIOR-SENIOR HIGH SCHOOL")</f>
        <v>KIT CARSON JUNIOR-SENIOR HIGH SCHOOL</v>
      </c>
      <c r="E374" s="13" t="str">
        <f>IFERROR(__xludf.DUMMYFUNCTION("""COMPUTED_VALUE"""),"Group 1")</f>
        <v>Group 1</v>
      </c>
      <c r="F374" s="13" t="str">
        <f>IFERROR(__xludf.DUMMYFUNCTION("""COMPUTED_VALUE"""),"2024 - 2025")</f>
        <v>2024 - 2025</v>
      </c>
      <c r="G374" s="13" t="str">
        <f>IFERROR(__xludf.DUMMYFUNCTION("""COMPUTED_VALUE"""),"2023 - 2024")</f>
        <v>2023 - 2024</v>
      </c>
      <c r="H374" s="13">
        <f>IFERROR(__xludf.DUMMYFUNCTION("""COMPUTED_VALUE"""),64.61)</f>
        <v>64.61</v>
      </c>
      <c r="I374" s="15">
        <f>IFERROR(__xludf.DUMMYFUNCTION("""COMPUTED_VALUE"""),35.39)</f>
        <v>35.39</v>
      </c>
    </row>
    <row r="375">
      <c r="A375" s="13" t="str">
        <f>IFERROR(__xludf.DUMMYFUNCTION("""COMPUTED_VALUE"""),"0510")</f>
        <v>0510</v>
      </c>
      <c r="B375" s="13" t="str">
        <f>IFERROR(__xludf.DUMMYFUNCTION("""COMPUTED_VALUE"""),"KIT CARSON R-1")</f>
        <v>KIT CARSON R-1</v>
      </c>
      <c r="C375" s="14" t="str">
        <f>IFERROR(__xludf.DUMMYFUNCTION("""COMPUTED_VALUE"""),"04738")</f>
        <v>04738</v>
      </c>
      <c r="D375" s="13" t="str">
        <f>IFERROR(__xludf.DUMMYFUNCTION("""COMPUTED_VALUE"""),"KIT CARSON ELEMENTARY SCHOOL")</f>
        <v>KIT CARSON ELEMENTARY SCHOOL</v>
      </c>
      <c r="E375" s="13" t="str">
        <f>IFERROR(__xludf.DUMMYFUNCTION("""COMPUTED_VALUE"""),"Group 2")</f>
        <v>Group 2</v>
      </c>
      <c r="F375" s="13" t="str">
        <f>IFERROR(__xludf.DUMMYFUNCTION("""COMPUTED_VALUE"""),"2024 - 2025")</f>
        <v>2024 - 2025</v>
      </c>
      <c r="G375" s="13" t="str">
        <f>IFERROR(__xludf.DUMMYFUNCTION("""COMPUTED_VALUE"""),"2023 - 2024")</f>
        <v>2023 - 2024</v>
      </c>
      <c r="H375" s="13">
        <f>IFERROR(__xludf.DUMMYFUNCTION("""COMPUTED_VALUE"""),73.84)</f>
        <v>73.84</v>
      </c>
      <c r="I375" s="15">
        <f>IFERROR(__xludf.DUMMYFUNCTION("""COMPUTED_VALUE"""),26.159999999999997)</f>
        <v>26.16</v>
      </c>
    </row>
    <row r="376">
      <c r="A376" s="13" t="str">
        <f>IFERROR(__xludf.DUMMYFUNCTION("""COMPUTED_VALUE"""),"0520")</f>
        <v>0520</v>
      </c>
      <c r="B376" s="13" t="str">
        <f>IFERROR(__xludf.DUMMYFUNCTION("""COMPUTED_VALUE"""),"CHEYENNE COUNTY RE-5")</f>
        <v>CHEYENNE COUNTY RE-5</v>
      </c>
      <c r="C376" s="14" t="str">
        <f>IFERROR(__xludf.DUMMYFUNCTION("""COMPUTED_VALUE"""),"01608")</f>
        <v>01608</v>
      </c>
      <c r="D376" s="13" t="str">
        <f>IFERROR(__xludf.DUMMYFUNCTION("""COMPUTED_VALUE"""),"CHEYENNE WELLS ELEMENTARY SCHOOL")</f>
        <v>CHEYENNE WELLS ELEMENTARY SCHOOL</v>
      </c>
      <c r="E376" s="13" t="str">
        <f>IFERROR(__xludf.DUMMYFUNCTION("""COMPUTED_VALUE"""),"Group 1")</f>
        <v>Group 1</v>
      </c>
      <c r="F376" s="13" t="str">
        <f>IFERROR(__xludf.DUMMYFUNCTION("""COMPUTED_VALUE"""),"2024 - 2025")</f>
        <v>2024 - 2025</v>
      </c>
      <c r="G376" s="13" t="str">
        <f>IFERROR(__xludf.DUMMYFUNCTION("""COMPUTED_VALUE"""),"2023 - 2024")</f>
        <v>2023 - 2024</v>
      </c>
      <c r="H376" s="13">
        <f>IFERROR(__xludf.DUMMYFUNCTION("""COMPUTED_VALUE"""),77.62)</f>
        <v>77.62</v>
      </c>
      <c r="I376" s="15">
        <f>IFERROR(__xludf.DUMMYFUNCTION("""COMPUTED_VALUE"""),22.379999999999995)</f>
        <v>22.38</v>
      </c>
    </row>
    <row r="377">
      <c r="A377" s="13" t="str">
        <f>IFERROR(__xludf.DUMMYFUNCTION("""COMPUTED_VALUE"""),"0520")</f>
        <v>0520</v>
      </c>
      <c r="B377" s="13" t="str">
        <f>IFERROR(__xludf.DUMMYFUNCTION("""COMPUTED_VALUE"""),"CHEYENNE COUNTY RE-5")</f>
        <v>CHEYENNE COUNTY RE-5</v>
      </c>
      <c r="C377" s="14" t="str">
        <f>IFERROR(__xludf.DUMMYFUNCTION("""COMPUTED_VALUE"""),"01612")</f>
        <v>01612</v>
      </c>
      <c r="D377" s="13" t="str">
        <f>IFERROR(__xludf.DUMMYFUNCTION("""COMPUTED_VALUE"""),"CHEYENNE WELLS JUNIOR/HIGH SCHOOL")</f>
        <v>CHEYENNE WELLS JUNIOR/HIGH SCHOOL</v>
      </c>
      <c r="E377" s="13" t="str">
        <f>IFERROR(__xludf.DUMMYFUNCTION("""COMPUTED_VALUE"""),"Group 2")</f>
        <v>Group 2</v>
      </c>
      <c r="F377" s="13" t="str">
        <f>IFERROR(__xludf.DUMMYFUNCTION("""COMPUTED_VALUE"""),"2024 - 2025")</f>
        <v>2024 - 2025</v>
      </c>
      <c r="G377" s="13" t="str">
        <f>IFERROR(__xludf.DUMMYFUNCTION("""COMPUTED_VALUE"""),"2023 - 2024")</f>
        <v>2023 - 2024</v>
      </c>
      <c r="H377" s="13">
        <f>IFERROR(__xludf.DUMMYFUNCTION("""COMPUTED_VALUE"""),66.13)</f>
        <v>66.13</v>
      </c>
      <c r="I377" s="15">
        <f>IFERROR(__xludf.DUMMYFUNCTION("""COMPUTED_VALUE"""),33.870000000000005)</f>
        <v>33.87</v>
      </c>
    </row>
    <row r="378">
      <c r="A378" s="13" t="str">
        <f>IFERROR(__xludf.DUMMYFUNCTION("""COMPUTED_VALUE"""),"0540")</f>
        <v>0540</v>
      </c>
      <c r="B378" s="13" t="str">
        <f>IFERROR(__xludf.DUMMYFUNCTION("""COMPUTED_VALUE"""),"CLEAR CREEK RE-1")</f>
        <v>CLEAR CREEK RE-1</v>
      </c>
      <c r="C378" s="14" t="str">
        <f>IFERROR(__xludf.DUMMYFUNCTION("""COMPUTED_VALUE"""),"01660")</f>
        <v>01660</v>
      </c>
      <c r="D378" s="13" t="str">
        <f>IFERROR(__xludf.DUMMYFUNCTION("""COMPUTED_VALUE"""),"CLEAR CREEK MIDDLE SCHOOL")</f>
        <v>CLEAR CREEK MIDDLE SCHOOL</v>
      </c>
      <c r="E378" s="13" t="str">
        <f>IFERROR(__xludf.DUMMYFUNCTION("""COMPUTED_VALUE"""),"Group 1")</f>
        <v>Group 1</v>
      </c>
      <c r="F378" s="13" t="str">
        <f>IFERROR(__xludf.DUMMYFUNCTION("""COMPUTED_VALUE"""),"2024 - 2025")</f>
        <v>2024 - 2025</v>
      </c>
      <c r="G378" s="13" t="str">
        <f>IFERROR(__xludf.DUMMYFUNCTION("""COMPUTED_VALUE"""),"2023 - 2024")</f>
        <v>2023 - 2024</v>
      </c>
      <c r="H378" s="13">
        <f>IFERROR(__xludf.DUMMYFUNCTION("""COMPUTED_VALUE"""),44.06)</f>
        <v>44.06</v>
      </c>
      <c r="I378" s="15">
        <f>IFERROR(__xludf.DUMMYFUNCTION("""COMPUTED_VALUE"""),55.94)</f>
        <v>55.94</v>
      </c>
    </row>
    <row r="379">
      <c r="A379" s="13" t="str">
        <f>IFERROR(__xludf.DUMMYFUNCTION("""COMPUTED_VALUE"""),"0540")</f>
        <v>0540</v>
      </c>
      <c r="B379" s="13" t="str">
        <f>IFERROR(__xludf.DUMMYFUNCTION("""COMPUTED_VALUE"""),"CLEAR CREEK RE-1")</f>
        <v>CLEAR CREEK RE-1</v>
      </c>
      <c r="C379" s="14" t="str">
        <f>IFERROR(__xludf.DUMMYFUNCTION("""COMPUTED_VALUE"""),"03385")</f>
        <v>03385</v>
      </c>
      <c r="D379" s="13" t="str">
        <f>IFERROR(__xludf.DUMMYFUNCTION("""COMPUTED_VALUE"""),"GEORGETOWN COMMUNITY SCHOOL")</f>
        <v>GEORGETOWN COMMUNITY SCHOOL</v>
      </c>
      <c r="E379" s="13" t="str">
        <f>IFERROR(__xludf.DUMMYFUNCTION("""COMPUTED_VALUE"""),"Group 1")</f>
        <v>Group 1</v>
      </c>
      <c r="F379" s="13" t="str">
        <f>IFERROR(__xludf.DUMMYFUNCTION("""COMPUTED_VALUE"""),"2024 - 2025")</f>
        <v>2024 - 2025</v>
      </c>
      <c r="G379" s="13" t="str">
        <f>IFERROR(__xludf.DUMMYFUNCTION("""COMPUTED_VALUE"""),"2023 - 2024")</f>
        <v>2023 - 2024</v>
      </c>
      <c r="H379" s="13">
        <f>IFERROR(__xludf.DUMMYFUNCTION("""COMPUTED_VALUE"""),44.06)</f>
        <v>44.06</v>
      </c>
      <c r="I379" s="15">
        <f>IFERROR(__xludf.DUMMYFUNCTION("""COMPUTED_VALUE"""),55.94)</f>
        <v>55.94</v>
      </c>
    </row>
    <row r="380">
      <c r="A380" s="13" t="str">
        <f>IFERROR(__xludf.DUMMYFUNCTION("""COMPUTED_VALUE"""),"0540")</f>
        <v>0540</v>
      </c>
      <c r="B380" s="13" t="str">
        <f>IFERROR(__xludf.DUMMYFUNCTION("""COMPUTED_VALUE"""),"CLEAR CREEK RE-1")</f>
        <v>CLEAR CREEK RE-1</v>
      </c>
      <c r="C380" s="14" t="str">
        <f>IFERROR(__xludf.DUMMYFUNCTION("""COMPUTED_VALUE"""),"04212")</f>
        <v>04212</v>
      </c>
      <c r="D380" s="13" t="str">
        <f>IFERROR(__xludf.DUMMYFUNCTION("""COMPUTED_VALUE"""),"CARLSON ELEMENTARY SCHOOL")</f>
        <v>CARLSON ELEMENTARY SCHOOL</v>
      </c>
      <c r="E380" s="13" t="str">
        <f>IFERROR(__xludf.DUMMYFUNCTION("""COMPUTED_VALUE"""),"Group 1")</f>
        <v>Group 1</v>
      </c>
      <c r="F380" s="13" t="str">
        <f>IFERROR(__xludf.DUMMYFUNCTION("""COMPUTED_VALUE"""),"2024 - 2025")</f>
        <v>2024 - 2025</v>
      </c>
      <c r="G380" s="13" t="str">
        <f>IFERROR(__xludf.DUMMYFUNCTION("""COMPUTED_VALUE"""),"2023 - 2024")</f>
        <v>2023 - 2024</v>
      </c>
      <c r="H380" s="13">
        <f>IFERROR(__xludf.DUMMYFUNCTION("""COMPUTED_VALUE"""),44.06)</f>
        <v>44.06</v>
      </c>
      <c r="I380" s="15">
        <f>IFERROR(__xludf.DUMMYFUNCTION("""COMPUTED_VALUE"""),55.94)</f>
        <v>55.94</v>
      </c>
    </row>
    <row r="381">
      <c r="A381" s="13" t="str">
        <f>IFERROR(__xludf.DUMMYFUNCTION("""COMPUTED_VALUE"""),"0550")</f>
        <v>0550</v>
      </c>
      <c r="B381" s="13" t="str">
        <f>IFERROR(__xludf.DUMMYFUNCTION("""COMPUTED_VALUE"""),"NORTH CONEJOS RE-1J")</f>
        <v>NORTH CONEJOS RE-1J</v>
      </c>
      <c r="C381" s="14" t="str">
        <f>IFERROR(__xludf.DUMMYFUNCTION("""COMPUTED_VALUE"""),"06339")</f>
        <v>06339</v>
      </c>
      <c r="D381" s="13" t="str">
        <f>IFERROR(__xludf.DUMMYFUNCTION("""COMPUTED_VALUE"""),"NORTH CONEJOS ALTERNATIVE PROGRAM")</f>
        <v>NORTH CONEJOS ALTERNATIVE PROGRAM</v>
      </c>
      <c r="E381" s="13" t="str">
        <f>IFERROR(__xludf.DUMMYFUNCTION("""COMPUTED_VALUE"""),"Group 1")</f>
        <v>Group 1</v>
      </c>
      <c r="F381" s="13" t="str">
        <f>IFERROR(__xludf.DUMMYFUNCTION("""COMPUTED_VALUE"""),"2024 - 2025")</f>
        <v>2024 - 2025</v>
      </c>
      <c r="G381" s="13" t="str">
        <f>IFERROR(__xludf.DUMMYFUNCTION("""COMPUTED_VALUE"""),"2023 - 2024")</f>
        <v>2023 - 2024</v>
      </c>
      <c r="H381" s="13">
        <f>IFERROR(__xludf.DUMMYFUNCTION("""COMPUTED_VALUE"""),98.82)</f>
        <v>98.82</v>
      </c>
      <c r="I381" s="15">
        <f>IFERROR(__xludf.DUMMYFUNCTION("""COMPUTED_VALUE"""),1.1800000000000068)</f>
        <v>1.18</v>
      </c>
    </row>
    <row r="382">
      <c r="A382" s="13" t="str">
        <f>IFERROR(__xludf.DUMMYFUNCTION("""COMPUTED_VALUE"""),"0550")</f>
        <v>0550</v>
      </c>
      <c r="B382" s="13" t="str">
        <f>IFERROR(__xludf.DUMMYFUNCTION("""COMPUTED_VALUE"""),"NORTH CONEJOS RE-1J")</f>
        <v>NORTH CONEJOS RE-1J</v>
      </c>
      <c r="C382" s="14" t="str">
        <f>IFERROR(__xludf.DUMMYFUNCTION("""COMPUTED_VALUE"""),"05422")</f>
        <v>05422</v>
      </c>
      <c r="D382" s="13" t="str">
        <f>IFERROR(__xludf.DUMMYFUNCTION("""COMPUTED_VALUE"""),"MANASSA ELEMENTARY SCHOOL")</f>
        <v>MANASSA ELEMENTARY SCHOOL</v>
      </c>
      <c r="E382" s="13" t="str">
        <f>IFERROR(__xludf.DUMMYFUNCTION("""COMPUTED_VALUE"""),"Group 2")</f>
        <v>Group 2</v>
      </c>
      <c r="F382" s="13" t="str">
        <f>IFERROR(__xludf.DUMMYFUNCTION("""COMPUTED_VALUE"""),"2024 - 2025")</f>
        <v>2024 - 2025</v>
      </c>
      <c r="G382" s="13" t="str">
        <f>IFERROR(__xludf.DUMMYFUNCTION("""COMPUTED_VALUE"""),"2023 - 2024")</f>
        <v>2023 - 2024</v>
      </c>
      <c r="H382" s="13">
        <f>IFERROR(__xludf.DUMMYFUNCTION("""COMPUTED_VALUE"""),69.57)</f>
        <v>69.57</v>
      </c>
      <c r="I382" s="15">
        <f>IFERROR(__xludf.DUMMYFUNCTION("""COMPUTED_VALUE"""),30.430000000000007)</f>
        <v>30.43</v>
      </c>
    </row>
    <row r="383">
      <c r="A383" s="13" t="str">
        <f>IFERROR(__xludf.DUMMYFUNCTION("""COMPUTED_VALUE"""),"0550")</f>
        <v>0550</v>
      </c>
      <c r="B383" s="13" t="str">
        <f>IFERROR(__xludf.DUMMYFUNCTION("""COMPUTED_VALUE"""),"NORTH CONEJOS RE-1J")</f>
        <v>NORTH CONEJOS RE-1J</v>
      </c>
      <c r="C383" s="14" t="str">
        <f>IFERROR(__xludf.DUMMYFUNCTION("""COMPUTED_VALUE"""),"01378")</f>
        <v>01378</v>
      </c>
      <c r="D383" s="13" t="str">
        <f>IFERROR(__xludf.DUMMYFUNCTION("""COMPUTED_VALUE"""),"CENTAURI HIGH SCHOOL")</f>
        <v>CENTAURI HIGH SCHOOL</v>
      </c>
      <c r="E383" s="13" t="str">
        <f>IFERROR(__xludf.DUMMYFUNCTION("""COMPUTED_VALUE"""),"Group 3")</f>
        <v>Group 3</v>
      </c>
      <c r="F383" s="13" t="str">
        <f>IFERROR(__xludf.DUMMYFUNCTION("""COMPUTED_VALUE"""),"2024 - 2025")</f>
        <v>2024 - 2025</v>
      </c>
      <c r="G383" s="13" t="str">
        <f>IFERROR(__xludf.DUMMYFUNCTION("""COMPUTED_VALUE"""),"2023 - 2024")</f>
        <v>2023 - 2024</v>
      </c>
      <c r="H383" s="13">
        <f>IFERROR(__xludf.DUMMYFUNCTION("""COMPUTED_VALUE"""),57.22)</f>
        <v>57.22</v>
      </c>
      <c r="I383" s="15">
        <f>IFERROR(__xludf.DUMMYFUNCTION("""COMPUTED_VALUE"""),42.78)</f>
        <v>42.78</v>
      </c>
    </row>
    <row r="384">
      <c r="A384" s="13" t="str">
        <f>IFERROR(__xludf.DUMMYFUNCTION("""COMPUTED_VALUE"""),"0550")</f>
        <v>0550</v>
      </c>
      <c r="B384" s="13" t="str">
        <f>IFERROR(__xludf.DUMMYFUNCTION("""COMPUTED_VALUE"""),"NORTH CONEJOS RE-1J")</f>
        <v>NORTH CONEJOS RE-1J</v>
      </c>
      <c r="C384" s="14" t="str">
        <f>IFERROR(__xludf.DUMMYFUNCTION("""COMPUTED_VALUE"""),"01276")</f>
        <v>01276</v>
      </c>
      <c r="D384" s="13" t="str">
        <f>IFERROR(__xludf.DUMMYFUNCTION("""COMPUTED_VALUE"""),"CENTAURI MIDDLE SCHOOL")</f>
        <v>CENTAURI MIDDLE SCHOOL</v>
      </c>
      <c r="E384" s="13" t="str">
        <f>IFERROR(__xludf.DUMMYFUNCTION("""COMPUTED_VALUE"""),"Group 4")</f>
        <v>Group 4</v>
      </c>
      <c r="F384" s="13" t="str">
        <f>IFERROR(__xludf.DUMMYFUNCTION("""COMPUTED_VALUE"""),"2024 - 2025")</f>
        <v>2024 - 2025</v>
      </c>
      <c r="G384" s="13" t="str">
        <f>IFERROR(__xludf.DUMMYFUNCTION("""COMPUTED_VALUE"""),"2023 - 2024")</f>
        <v>2023 - 2024</v>
      </c>
      <c r="H384" s="13">
        <f>IFERROR(__xludf.DUMMYFUNCTION("""COMPUTED_VALUE"""),65.14)</f>
        <v>65.14</v>
      </c>
      <c r="I384" s="15">
        <f>IFERROR(__xludf.DUMMYFUNCTION("""COMPUTED_VALUE"""),34.86)</f>
        <v>34.86</v>
      </c>
    </row>
    <row r="385">
      <c r="A385" s="13" t="str">
        <f>IFERROR(__xludf.DUMMYFUNCTION("""COMPUTED_VALUE"""),"0550")</f>
        <v>0550</v>
      </c>
      <c r="B385" s="13" t="str">
        <f>IFERROR(__xludf.DUMMYFUNCTION("""COMPUTED_VALUE"""),"NORTH CONEJOS RE-1J")</f>
        <v>NORTH CONEJOS RE-1J</v>
      </c>
      <c r="C385" s="14" t="str">
        <f>IFERROR(__xludf.DUMMYFUNCTION("""COMPUTED_VALUE"""),"04836")</f>
        <v>04836</v>
      </c>
      <c r="D385" s="13" t="str">
        <f>IFERROR(__xludf.DUMMYFUNCTION("""COMPUTED_VALUE"""),"LA JARA ELEMENTARY SCHOOL")</f>
        <v>LA JARA ELEMENTARY SCHOOL</v>
      </c>
      <c r="E385" s="13" t="str">
        <f>IFERROR(__xludf.DUMMYFUNCTION("""COMPUTED_VALUE"""),"Group 4")</f>
        <v>Group 4</v>
      </c>
      <c r="F385" s="13" t="str">
        <f>IFERROR(__xludf.DUMMYFUNCTION("""COMPUTED_VALUE"""),"2024 - 2025")</f>
        <v>2024 - 2025</v>
      </c>
      <c r="G385" s="13" t="str">
        <f>IFERROR(__xludf.DUMMYFUNCTION("""COMPUTED_VALUE"""),"2023 - 2024")</f>
        <v>2023 - 2024</v>
      </c>
      <c r="H385" s="13">
        <f>IFERROR(__xludf.DUMMYFUNCTION("""COMPUTED_VALUE"""),65.14)</f>
        <v>65.14</v>
      </c>
      <c r="I385" s="15">
        <f>IFERROR(__xludf.DUMMYFUNCTION("""COMPUTED_VALUE"""),34.86)</f>
        <v>34.86</v>
      </c>
    </row>
    <row r="386">
      <c r="A386" s="13" t="str">
        <f>IFERROR(__xludf.DUMMYFUNCTION("""COMPUTED_VALUE"""),"0560")</f>
        <v>0560</v>
      </c>
      <c r="B386" s="13" t="str">
        <f>IFERROR(__xludf.DUMMYFUNCTION("""COMPUTED_VALUE"""),"SANFORD 6J")</f>
        <v>SANFORD 6J</v>
      </c>
      <c r="C386" s="14" t="str">
        <f>IFERROR(__xludf.DUMMYFUNCTION("""COMPUTED_VALUE"""),"07616")</f>
        <v>07616</v>
      </c>
      <c r="D386" s="13" t="str">
        <f>IFERROR(__xludf.DUMMYFUNCTION("""COMPUTED_VALUE"""),"SANFORD JUNIOR/SENIOR HIGH SCHOOL")</f>
        <v>SANFORD JUNIOR/SENIOR HIGH SCHOOL</v>
      </c>
      <c r="E386" s="13" t="str">
        <f>IFERROR(__xludf.DUMMYFUNCTION("""COMPUTED_VALUE"""),"Group 1")</f>
        <v>Group 1</v>
      </c>
      <c r="F386" s="13" t="str">
        <f>IFERROR(__xludf.DUMMYFUNCTION("""COMPUTED_VALUE"""),"2024 - 2025")</f>
        <v>2024 - 2025</v>
      </c>
      <c r="G386" s="13" t="str">
        <f>IFERROR(__xludf.DUMMYFUNCTION("""COMPUTED_VALUE"""),"2023 - 2024")</f>
        <v>2023 - 2024</v>
      </c>
      <c r="H386" s="13">
        <f>IFERROR(__xludf.DUMMYFUNCTION("""COMPUTED_VALUE"""),68.43)</f>
        <v>68.43</v>
      </c>
      <c r="I386" s="15">
        <f>IFERROR(__xludf.DUMMYFUNCTION("""COMPUTED_VALUE"""),31.569999999999993)</f>
        <v>31.57</v>
      </c>
    </row>
    <row r="387">
      <c r="A387" s="13" t="str">
        <f>IFERROR(__xludf.DUMMYFUNCTION("""COMPUTED_VALUE"""),"0560")</f>
        <v>0560</v>
      </c>
      <c r="B387" s="13" t="str">
        <f>IFERROR(__xludf.DUMMYFUNCTION("""COMPUTED_VALUE"""),"SANFORD 6J")</f>
        <v>SANFORD 6J</v>
      </c>
      <c r="C387" s="14" t="str">
        <f>IFERROR(__xludf.DUMMYFUNCTION("""COMPUTED_VALUE"""),"07612")</f>
        <v>07612</v>
      </c>
      <c r="D387" s="13" t="str">
        <f>IFERROR(__xludf.DUMMYFUNCTION("""COMPUTED_VALUE"""),"SANFORD ELEMENTARY SCHOOL")</f>
        <v>SANFORD ELEMENTARY SCHOOL</v>
      </c>
      <c r="E387" s="13" t="str">
        <f>IFERROR(__xludf.DUMMYFUNCTION("""COMPUTED_VALUE"""),"Group 2")</f>
        <v>Group 2</v>
      </c>
      <c r="F387" s="13" t="str">
        <f>IFERROR(__xludf.DUMMYFUNCTION("""COMPUTED_VALUE"""),"2024 - 2025")</f>
        <v>2024 - 2025</v>
      </c>
      <c r="G387" s="13" t="str">
        <f>IFERROR(__xludf.DUMMYFUNCTION("""COMPUTED_VALUE"""),"2023 - 2024")</f>
        <v>2023 - 2024</v>
      </c>
      <c r="H387" s="13">
        <f>IFERROR(__xludf.DUMMYFUNCTION("""COMPUTED_VALUE"""),88.8)</f>
        <v>88.8</v>
      </c>
      <c r="I387" s="15">
        <f>IFERROR(__xludf.DUMMYFUNCTION("""COMPUTED_VALUE"""),11.200000000000003)</f>
        <v>11.2</v>
      </c>
    </row>
    <row r="388">
      <c r="A388" s="13" t="str">
        <f>IFERROR(__xludf.DUMMYFUNCTION("""COMPUTED_VALUE"""),"0580")</f>
        <v>0580</v>
      </c>
      <c r="B388" s="13" t="str">
        <f>IFERROR(__xludf.DUMMYFUNCTION("""COMPUTED_VALUE"""),"SOUTH CONEJOS RE-10")</f>
        <v>SOUTH CONEJOS RE-10</v>
      </c>
      <c r="C388" s="14" t="str">
        <f>IFERROR(__xludf.DUMMYFUNCTION("""COMPUTED_VALUE"""),"00248")</f>
        <v>00248</v>
      </c>
      <c r="D388" s="13" t="str">
        <f>IFERROR(__xludf.DUMMYFUNCTION("""COMPUTED_VALUE"""),"GUADALUPE ELEMENTARY SCHOOL")</f>
        <v>GUADALUPE ELEMENTARY SCHOOL</v>
      </c>
      <c r="E388" s="13" t="str">
        <f>IFERROR(__xludf.DUMMYFUNCTION("""COMPUTED_VALUE"""),"Group 1")</f>
        <v>Group 1</v>
      </c>
      <c r="F388" s="13" t="str">
        <f>IFERROR(__xludf.DUMMYFUNCTION("""COMPUTED_VALUE"""),"2024 - 2025")</f>
        <v>2024 - 2025</v>
      </c>
      <c r="G388" s="13" t="str">
        <f>IFERROR(__xludf.DUMMYFUNCTION("""COMPUTED_VALUE"""),"2023 - 2024")</f>
        <v>2023 - 2024</v>
      </c>
      <c r="H388" s="13">
        <f>IFERROR(__xludf.DUMMYFUNCTION("""COMPUTED_VALUE"""),97.04)</f>
        <v>97.04</v>
      </c>
      <c r="I388" s="15">
        <f>IFERROR(__xludf.DUMMYFUNCTION("""COMPUTED_VALUE"""),2.9599999999999937)</f>
        <v>2.96</v>
      </c>
    </row>
    <row r="389">
      <c r="A389" s="13" t="str">
        <f>IFERROR(__xludf.DUMMYFUNCTION("""COMPUTED_VALUE"""),"0580")</f>
        <v>0580</v>
      </c>
      <c r="B389" s="13" t="str">
        <f>IFERROR(__xludf.DUMMYFUNCTION("""COMPUTED_VALUE"""),"SOUTH CONEJOS RE-10")</f>
        <v>SOUTH CONEJOS RE-10</v>
      </c>
      <c r="C389" s="14" t="str">
        <f>IFERROR(__xludf.DUMMYFUNCTION("""COMPUTED_VALUE"""),"00252")</f>
        <v>00252</v>
      </c>
      <c r="D389" s="13" t="str">
        <f>IFERROR(__xludf.DUMMYFUNCTION("""COMPUTED_VALUE"""),"ANTONITO HIGH SCHOOL")</f>
        <v>ANTONITO HIGH SCHOOL</v>
      </c>
      <c r="E389" s="13" t="str">
        <f>IFERROR(__xludf.DUMMYFUNCTION("""COMPUTED_VALUE"""),"Group 1")</f>
        <v>Group 1</v>
      </c>
      <c r="F389" s="13" t="str">
        <f>IFERROR(__xludf.DUMMYFUNCTION("""COMPUTED_VALUE"""),"2024 - 2025")</f>
        <v>2024 - 2025</v>
      </c>
      <c r="G389" s="13" t="str">
        <f>IFERROR(__xludf.DUMMYFUNCTION("""COMPUTED_VALUE"""),"2023 - 2024")</f>
        <v>2023 - 2024</v>
      </c>
      <c r="H389" s="13">
        <f>IFERROR(__xludf.DUMMYFUNCTION("""COMPUTED_VALUE"""),97.04)</f>
        <v>97.04</v>
      </c>
      <c r="I389" s="15">
        <f>IFERROR(__xludf.DUMMYFUNCTION("""COMPUTED_VALUE"""),2.9599999999999937)</f>
        <v>2.96</v>
      </c>
    </row>
    <row r="390">
      <c r="A390" s="13" t="str">
        <f>IFERROR(__xludf.DUMMYFUNCTION("""COMPUTED_VALUE"""),"0640")</f>
        <v>0640</v>
      </c>
      <c r="B390" s="13" t="str">
        <f>IFERROR(__xludf.DUMMYFUNCTION("""COMPUTED_VALUE"""),"CENTENNIAL R-1")</f>
        <v>CENTENNIAL R-1</v>
      </c>
      <c r="C390" s="14" t="str">
        <f>IFERROR(__xludf.DUMMYFUNCTION("""COMPUTED_VALUE"""),"01398")</f>
        <v>01398</v>
      </c>
      <c r="D390" s="13" t="str">
        <f>IFERROR(__xludf.DUMMYFUNCTION("""COMPUTED_VALUE"""),"CENTENNIAL SCHOOL")</f>
        <v>CENTENNIAL SCHOOL</v>
      </c>
      <c r="E390" s="13" t="str">
        <f>IFERROR(__xludf.DUMMYFUNCTION("""COMPUTED_VALUE"""),"Group 1")</f>
        <v>Group 1</v>
      </c>
      <c r="F390" s="13" t="str">
        <f>IFERROR(__xludf.DUMMYFUNCTION("""COMPUTED_VALUE"""),"2024 - 2025")</f>
        <v>2024 - 2025</v>
      </c>
      <c r="G390" s="13" t="str">
        <f>IFERROR(__xludf.DUMMYFUNCTION("""COMPUTED_VALUE"""),"2023 - 2024")</f>
        <v>2023 - 2024</v>
      </c>
      <c r="H390" s="13">
        <f>IFERROR(__xludf.DUMMYFUNCTION("""COMPUTED_VALUE"""),100.0)</f>
        <v>100</v>
      </c>
      <c r="I390" s="15">
        <f>IFERROR(__xludf.DUMMYFUNCTION("""COMPUTED_VALUE"""),0.0)</f>
        <v>0</v>
      </c>
    </row>
    <row r="391">
      <c r="A391" s="13" t="str">
        <f>IFERROR(__xludf.DUMMYFUNCTION("""COMPUTED_VALUE"""),"0740")</f>
        <v>0740</v>
      </c>
      <c r="B391" s="13" t="str">
        <f>IFERROR(__xludf.DUMMYFUNCTION("""COMPUTED_VALUE"""),"SIERRA GRANDE R-30")</f>
        <v>SIERRA GRANDE R-30</v>
      </c>
      <c r="C391" s="14" t="str">
        <f>IFERROR(__xludf.DUMMYFUNCTION("""COMPUTED_VALUE"""),"07880")</f>
        <v>07880</v>
      </c>
      <c r="D391" s="13" t="str">
        <f>IFERROR(__xludf.DUMMYFUNCTION("""COMPUTED_VALUE"""),"SIERRA GRANDE K-12 SCHOOL")</f>
        <v>SIERRA GRANDE K-12 SCHOOL</v>
      </c>
      <c r="E391" s="13" t="str">
        <f>IFERROR(__xludf.DUMMYFUNCTION("""COMPUTED_VALUE"""),"Group 1")</f>
        <v>Group 1</v>
      </c>
      <c r="F391" s="13" t="str">
        <f>IFERROR(__xludf.DUMMYFUNCTION("""COMPUTED_VALUE"""),"2024 - 2025")</f>
        <v>2024 - 2025</v>
      </c>
      <c r="G391" s="13" t="str">
        <f>IFERROR(__xludf.DUMMYFUNCTION("""COMPUTED_VALUE"""),"2023 - 2024")</f>
        <v>2023 - 2024</v>
      </c>
      <c r="H391" s="13">
        <f>IFERROR(__xludf.DUMMYFUNCTION("""COMPUTED_VALUE"""),100.0)</f>
        <v>100</v>
      </c>
      <c r="I391" s="15">
        <f>IFERROR(__xludf.DUMMYFUNCTION("""COMPUTED_VALUE"""),0.0)</f>
        <v>0</v>
      </c>
    </row>
    <row r="392">
      <c r="A392" s="13" t="str">
        <f>IFERROR(__xludf.DUMMYFUNCTION("""COMPUTED_VALUE"""),"0770")</f>
        <v>0770</v>
      </c>
      <c r="B392" s="13" t="str">
        <f>IFERROR(__xludf.DUMMYFUNCTION("""COMPUTED_VALUE"""),"Crowley County School District RE 1-J")</f>
        <v>Crowley County School District RE 1-J</v>
      </c>
      <c r="C392" s="14" t="str">
        <f>IFERROR(__xludf.DUMMYFUNCTION("""COMPUTED_VALUE"""),"02054")</f>
        <v>02054</v>
      </c>
      <c r="D392" s="13" t="str">
        <f>IFERROR(__xludf.DUMMYFUNCTION("""COMPUTED_VALUE"""),"CROWLEY COUNTY ELEMENTARY K-6")</f>
        <v>CROWLEY COUNTY ELEMENTARY K-6</v>
      </c>
      <c r="E392" s="13" t="str">
        <f>IFERROR(__xludf.DUMMYFUNCTION("""COMPUTED_VALUE"""),"Individual")</f>
        <v>Individual</v>
      </c>
      <c r="F392" s="13" t="str">
        <f>IFERROR(__xludf.DUMMYFUNCTION("""COMPUTED_VALUE"""),"2024 - 2025")</f>
        <v>2024 - 2025</v>
      </c>
      <c r="G392" s="13" t="str">
        <f>IFERROR(__xludf.DUMMYFUNCTION("""COMPUTED_VALUE"""),"2023 - 2024")</f>
        <v>2023 - 2024</v>
      </c>
      <c r="H392" s="13">
        <f>IFERROR(__xludf.DUMMYFUNCTION("""COMPUTED_VALUE"""),100.0)</f>
        <v>100</v>
      </c>
      <c r="I392" s="15">
        <f>IFERROR(__xludf.DUMMYFUNCTION("""COMPUTED_VALUE"""),0.0)</f>
        <v>0</v>
      </c>
    </row>
    <row r="393">
      <c r="A393" s="13" t="str">
        <f>IFERROR(__xludf.DUMMYFUNCTION("""COMPUTED_VALUE"""),"0770")</f>
        <v>0770</v>
      </c>
      <c r="B393" s="13" t="str">
        <f>IFERROR(__xludf.DUMMYFUNCTION("""COMPUTED_VALUE"""),"Crowley County School District RE 1-J")</f>
        <v>Crowley County School District RE 1-J</v>
      </c>
      <c r="C393" s="14" t="str">
        <f>IFERROR(__xludf.DUMMYFUNCTION("""COMPUTED_VALUE"""),"02058")</f>
        <v>02058</v>
      </c>
      <c r="D393" s="13" t="str">
        <f>IFERROR(__xludf.DUMMYFUNCTION("""COMPUTED_VALUE"""),"CROWLEY COUNTY HIGH SCHOOL")</f>
        <v>CROWLEY COUNTY HIGH SCHOOL</v>
      </c>
      <c r="E393" s="13" t="str">
        <f>IFERROR(__xludf.DUMMYFUNCTION("""COMPUTED_VALUE"""),"Individual")</f>
        <v>Individual</v>
      </c>
      <c r="F393" s="13" t="str">
        <f>IFERROR(__xludf.DUMMYFUNCTION("""COMPUTED_VALUE"""),"2024 - 2025")</f>
        <v>2024 - 2025</v>
      </c>
      <c r="G393" s="13" t="str">
        <f>IFERROR(__xludf.DUMMYFUNCTION("""COMPUTED_VALUE"""),"2023 - 2024")</f>
        <v>2023 - 2024</v>
      </c>
      <c r="H393" s="13">
        <f>IFERROR(__xludf.DUMMYFUNCTION("""COMPUTED_VALUE"""),93.92)</f>
        <v>93.92</v>
      </c>
      <c r="I393" s="15">
        <f>IFERROR(__xludf.DUMMYFUNCTION("""COMPUTED_VALUE"""),6.079999999999998)</f>
        <v>6.08</v>
      </c>
    </row>
    <row r="394">
      <c r="A394" s="13" t="str">
        <f>IFERROR(__xludf.DUMMYFUNCTION("""COMPUTED_VALUE"""),"0860")</f>
        <v>0860</v>
      </c>
      <c r="B394" s="13" t="str">
        <f>IFERROR(__xludf.DUMMYFUNCTION("""COMPUTED_VALUE"""),"CUSTER COUNTY SCHOOL DISTRICT C-1")</f>
        <v>CUSTER COUNTY SCHOOL DISTRICT C-1</v>
      </c>
      <c r="C394" s="14" t="str">
        <f>IFERROR(__xludf.DUMMYFUNCTION("""COMPUTED_VALUE"""),"02092")</f>
        <v>02092</v>
      </c>
      <c r="D394" s="13" t="str">
        <f>IFERROR(__xludf.DUMMYFUNCTION("""COMPUTED_VALUE"""),"CUSTER COUNTY HIGH SCHOOL")</f>
        <v>CUSTER COUNTY HIGH SCHOOL</v>
      </c>
      <c r="E394" s="13" t="str">
        <f>IFERROR(__xludf.DUMMYFUNCTION("""COMPUTED_VALUE"""),"Group 1")</f>
        <v>Group 1</v>
      </c>
      <c r="F394" s="13" t="str">
        <f>IFERROR(__xludf.DUMMYFUNCTION("""COMPUTED_VALUE"""),"2024 - 2025")</f>
        <v>2024 - 2025</v>
      </c>
      <c r="G394" s="13" t="str">
        <f>IFERROR(__xludf.DUMMYFUNCTION("""COMPUTED_VALUE"""),"2023 - 2024")</f>
        <v>2023 - 2024</v>
      </c>
      <c r="H394" s="13">
        <f>IFERROR(__xludf.DUMMYFUNCTION("""COMPUTED_VALUE"""),60.35)</f>
        <v>60.35</v>
      </c>
      <c r="I394" s="15">
        <f>IFERROR(__xludf.DUMMYFUNCTION("""COMPUTED_VALUE"""),39.65)</f>
        <v>39.65</v>
      </c>
    </row>
    <row r="395">
      <c r="A395" s="13" t="str">
        <f>IFERROR(__xludf.DUMMYFUNCTION("""COMPUTED_VALUE"""),"0860")</f>
        <v>0860</v>
      </c>
      <c r="B395" s="13" t="str">
        <f>IFERROR(__xludf.DUMMYFUNCTION("""COMPUTED_VALUE"""),"CUSTER COUNTY SCHOOL DISTRICT C-1")</f>
        <v>CUSTER COUNTY SCHOOL DISTRICT C-1</v>
      </c>
      <c r="C395" s="14" t="str">
        <f>IFERROR(__xludf.DUMMYFUNCTION("""COMPUTED_VALUE"""),"02088")</f>
        <v>02088</v>
      </c>
      <c r="D395" s="13" t="str">
        <f>IFERROR(__xludf.DUMMYFUNCTION("""COMPUTED_VALUE"""),"CUSTER COUNTY ELEMENTARY SCHOOL")</f>
        <v>CUSTER COUNTY ELEMENTARY SCHOOL</v>
      </c>
      <c r="E395" s="13" t="str">
        <f>IFERROR(__xludf.DUMMYFUNCTION("""COMPUTED_VALUE"""),"Group 2")</f>
        <v>Group 2</v>
      </c>
      <c r="F395" s="13" t="str">
        <f>IFERROR(__xludf.DUMMYFUNCTION("""COMPUTED_VALUE"""),"2024 - 2025")</f>
        <v>2024 - 2025</v>
      </c>
      <c r="G395" s="13" t="str">
        <f>IFERROR(__xludf.DUMMYFUNCTION("""COMPUTED_VALUE"""),"2023 - 2024")</f>
        <v>2023 - 2024</v>
      </c>
      <c r="H395" s="13">
        <f>IFERROR(__xludf.DUMMYFUNCTION("""COMPUTED_VALUE"""),73.84)</f>
        <v>73.84</v>
      </c>
      <c r="I395" s="15">
        <f>IFERROR(__xludf.DUMMYFUNCTION("""COMPUTED_VALUE"""),26.159999999999997)</f>
        <v>26.16</v>
      </c>
    </row>
    <row r="396">
      <c r="A396" s="13" t="str">
        <f>IFERROR(__xludf.DUMMYFUNCTION("""COMPUTED_VALUE"""),"0860")</f>
        <v>0860</v>
      </c>
      <c r="B396" s="13" t="str">
        <f>IFERROR(__xludf.DUMMYFUNCTION("""COMPUTED_VALUE"""),"CUSTER COUNTY SCHOOL DISTRICT C-1")</f>
        <v>CUSTER COUNTY SCHOOL DISTRICT C-1</v>
      </c>
      <c r="C396" s="14" t="str">
        <f>IFERROR(__xludf.DUMMYFUNCTION("""COMPUTED_VALUE"""),"02091")</f>
        <v>02091</v>
      </c>
      <c r="D396" s="13" t="str">
        <f>IFERROR(__xludf.DUMMYFUNCTION("""COMPUTED_VALUE"""),"CUSTER MIDDLE SCHOOL")</f>
        <v>CUSTER MIDDLE SCHOOL</v>
      </c>
      <c r="E396" s="13" t="str">
        <f>IFERROR(__xludf.DUMMYFUNCTION("""COMPUTED_VALUE"""),"Group 2")</f>
        <v>Group 2</v>
      </c>
      <c r="F396" s="13" t="str">
        <f>IFERROR(__xludf.DUMMYFUNCTION("""COMPUTED_VALUE"""),"2024 - 2025")</f>
        <v>2024 - 2025</v>
      </c>
      <c r="G396" s="13" t="str">
        <f>IFERROR(__xludf.DUMMYFUNCTION("""COMPUTED_VALUE"""),"2023 - 2024")</f>
        <v>2023 - 2024</v>
      </c>
      <c r="H396" s="13">
        <f>IFERROR(__xludf.DUMMYFUNCTION("""COMPUTED_VALUE"""),73.84)</f>
        <v>73.84</v>
      </c>
      <c r="I396" s="15">
        <f>IFERROR(__xludf.DUMMYFUNCTION("""COMPUTED_VALUE"""),26.159999999999997)</f>
        <v>26.16</v>
      </c>
    </row>
    <row r="397">
      <c r="A397" s="13" t="str">
        <f>IFERROR(__xludf.DUMMYFUNCTION("""COMPUTED_VALUE"""),"0870")</f>
        <v>0870</v>
      </c>
      <c r="B397" s="13" t="str">
        <f>IFERROR(__xludf.DUMMYFUNCTION("""COMPUTED_VALUE"""),"DELTA COUNTY 50(J)")</f>
        <v>DELTA COUNTY 50(J)</v>
      </c>
      <c r="C397" s="14" t="str">
        <f>IFERROR(__xludf.DUMMYFUNCTION("""COMPUTED_VALUE"""),"01375")</f>
        <v>01375</v>
      </c>
      <c r="D397" s="13" t="str">
        <f>IFERROR(__xludf.DUMMYFUNCTION("""COMPUTED_VALUE"""),"CEDAREDGE MIDDLE SCHOOL")</f>
        <v>CEDAREDGE MIDDLE SCHOOL</v>
      </c>
      <c r="E397" s="13" t="str">
        <f>IFERROR(__xludf.DUMMYFUNCTION("""COMPUTED_VALUE"""),"Group 1")</f>
        <v>Group 1</v>
      </c>
      <c r="F397" s="13" t="str">
        <f>IFERROR(__xludf.DUMMYFUNCTION("""COMPUTED_VALUE"""),"2024 - 2025")</f>
        <v>2024 - 2025</v>
      </c>
      <c r="G397" s="13" t="str">
        <f>IFERROR(__xludf.DUMMYFUNCTION("""COMPUTED_VALUE"""),"2023 - 2024")</f>
        <v>2023 - 2024</v>
      </c>
      <c r="H397" s="13">
        <f>IFERROR(__xludf.DUMMYFUNCTION("""COMPUTED_VALUE"""),87.65)</f>
        <v>87.65</v>
      </c>
      <c r="I397" s="15">
        <f>IFERROR(__xludf.DUMMYFUNCTION("""COMPUTED_VALUE"""),12.349999999999994)</f>
        <v>12.35</v>
      </c>
    </row>
    <row r="398">
      <c r="A398" s="13" t="str">
        <f>IFERROR(__xludf.DUMMYFUNCTION("""COMPUTED_VALUE"""),"0870")</f>
        <v>0870</v>
      </c>
      <c r="B398" s="13" t="str">
        <f>IFERROR(__xludf.DUMMYFUNCTION("""COMPUTED_VALUE"""),"DELTA COUNTY 50(J)")</f>
        <v>DELTA COUNTY 50(J)</v>
      </c>
      <c r="C398" s="14" t="str">
        <f>IFERROR(__xludf.DUMMYFUNCTION("""COMPUTED_VALUE"""),"03330")</f>
        <v>03330</v>
      </c>
      <c r="D398" s="13" t="str">
        <f>IFERROR(__xludf.DUMMYFUNCTION("""COMPUTED_VALUE"""),"GARNET MESA ELEMENTARY SCHOOL")</f>
        <v>GARNET MESA ELEMENTARY SCHOOL</v>
      </c>
      <c r="E398" s="13" t="str">
        <f>IFERROR(__xludf.DUMMYFUNCTION("""COMPUTED_VALUE"""),"Group 1")</f>
        <v>Group 1</v>
      </c>
      <c r="F398" s="13" t="str">
        <f>IFERROR(__xludf.DUMMYFUNCTION("""COMPUTED_VALUE"""),"2024 - 2025")</f>
        <v>2024 - 2025</v>
      </c>
      <c r="G398" s="13" t="str">
        <f>IFERROR(__xludf.DUMMYFUNCTION("""COMPUTED_VALUE"""),"2023 - 2024")</f>
        <v>2023 - 2024</v>
      </c>
      <c r="H398" s="13">
        <f>IFERROR(__xludf.DUMMYFUNCTION("""COMPUTED_VALUE"""),87.65)</f>
        <v>87.65</v>
      </c>
      <c r="I398" s="15">
        <f>IFERROR(__xludf.DUMMYFUNCTION("""COMPUTED_VALUE"""),12.349999999999994)</f>
        <v>12.35</v>
      </c>
    </row>
    <row r="399">
      <c r="A399" s="13" t="str">
        <f>IFERROR(__xludf.DUMMYFUNCTION("""COMPUTED_VALUE"""),"0870")</f>
        <v>0870</v>
      </c>
      <c r="B399" s="13" t="str">
        <f>IFERROR(__xludf.DUMMYFUNCTION("""COMPUTED_VALUE"""),"DELTA COUNTY 50(J)")</f>
        <v>DELTA COUNTY 50(J)</v>
      </c>
      <c r="C399" s="14" t="str">
        <f>IFERROR(__xludf.DUMMYFUNCTION("""COMPUTED_VALUE"""),"02160")</f>
        <v>02160</v>
      </c>
      <c r="D399" s="13" t="str">
        <f>IFERROR(__xludf.DUMMYFUNCTION("""COMPUTED_VALUE"""),"DELTA MIDDLE SCHOOL")</f>
        <v>DELTA MIDDLE SCHOOL</v>
      </c>
      <c r="E399" s="13" t="str">
        <f>IFERROR(__xludf.DUMMYFUNCTION("""COMPUTED_VALUE"""),"Group 2")</f>
        <v>Group 2</v>
      </c>
      <c r="F399" s="13" t="str">
        <f>IFERROR(__xludf.DUMMYFUNCTION("""COMPUTED_VALUE"""),"2024 - 2025")</f>
        <v>2024 - 2025</v>
      </c>
      <c r="G399" s="13" t="str">
        <f>IFERROR(__xludf.DUMMYFUNCTION("""COMPUTED_VALUE"""),"2023 - 2024")</f>
        <v>2023 - 2024</v>
      </c>
      <c r="H399" s="13">
        <f>IFERROR(__xludf.DUMMYFUNCTION("""COMPUTED_VALUE"""),77.3)</f>
        <v>77.3</v>
      </c>
      <c r="I399" s="15">
        <f>IFERROR(__xludf.DUMMYFUNCTION("""COMPUTED_VALUE"""),22.700000000000003)</f>
        <v>22.7</v>
      </c>
    </row>
    <row r="400">
      <c r="A400" s="13" t="str">
        <f>IFERROR(__xludf.DUMMYFUNCTION("""COMPUTED_VALUE"""),"0870")</f>
        <v>0870</v>
      </c>
      <c r="B400" s="13" t="str">
        <f>IFERROR(__xludf.DUMMYFUNCTION("""COMPUTED_VALUE"""),"DELTA COUNTY 50(J)")</f>
        <v>DELTA COUNTY 50(J)</v>
      </c>
      <c r="C400" s="14" t="str">
        <f>IFERROR(__xludf.DUMMYFUNCTION("""COMPUTED_VALUE"""),"04124")</f>
        <v>04124</v>
      </c>
      <c r="D400" s="13" t="str">
        <f>IFERROR(__xludf.DUMMYFUNCTION("""COMPUTED_VALUE"""),"HOTCHKISS ELEMENTARY SCHOOL")</f>
        <v>HOTCHKISS ELEMENTARY SCHOOL</v>
      </c>
      <c r="E400" s="13" t="str">
        <f>IFERROR(__xludf.DUMMYFUNCTION("""COMPUTED_VALUE"""),"Group 2")</f>
        <v>Group 2</v>
      </c>
      <c r="F400" s="13" t="str">
        <f>IFERROR(__xludf.DUMMYFUNCTION("""COMPUTED_VALUE"""),"2024 - 2025")</f>
        <v>2024 - 2025</v>
      </c>
      <c r="G400" s="13" t="str">
        <f>IFERROR(__xludf.DUMMYFUNCTION("""COMPUTED_VALUE"""),"2023 - 2024")</f>
        <v>2023 - 2024</v>
      </c>
      <c r="H400" s="13">
        <f>IFERROR(__xludf.DUMMYFUNCTION("""COMPUTED_VALUE"""),77.3)</f>
        <v>77.3</v>
      </c>
      <c r="I400" s="15">
        <f>IFERROR(__xludf.DUMMYFUNCTION("""COMPUTED_VALUE"""),22.700000000000003)</f>
        <v>22.7</v>
      </c>
    </row>
    <row r="401">
      <c r="A401" s="13" t="str">
        <f>IFERROR(__xludf.DUMMYFUNCTION("""COMPUTED_VALUE"""),"0870")</f>
        <v>0870</v>
      </c>
      <c r="B401" s="13" t="str">
        <f>IFERROR(__xludf.DUMMYFUNCTION("""COMPUTED_VALUE"""),"DELTA COUNTY 50(J)")</f>
        <v>DELTA COUNTY 50(J)</v>
      </c>
      <c r="C401" s="14" t="str">
        <f>IFERROR(__xludf.DUMMYFUNCTION("""COMPUTED_VALUE"""),"06295")</f>
        <v>06295</v>
      </c>
      <c r="D401" s="13" t="str">
        <f>IFERROR(__xludf.DUMMYFUNCTION("""COMPUTED_VALUE"""),"North Fork School for Integrated Studies")</f>
        <v>North Fork School for Integrated Studies</v>
      </c>
      <c r="E401" s="13" t="str">
        <f>IFERROR(__xludf.DUMMYFUNCTION("""COMPUTED_VALUE"""),"Group 2")</f>
        <v>Group 2</v>
      </c>
      <c r="F401" s="13" t="str">
        <f>IFERROR(__xludf.DUMMYFUNCTION("""COMPUTED_VALUE"""),"2024 - 2025")</f>
        <v>2024 - 2025</v>
      </c>
      <c r="G401" s="13" t="str">
        <f>IFERROR(__xludf.DUMMYFUNCTION("""COMPUTED_VALUE"""),"2023 - 2024")</f>
        <v>2023 - 2024</v>
      </c>
      <c r="H401" s="13">
        <f>IFERROR(__xludf.DUMMYFUNCTION("""COMPUTED_VALUE"""),77.3)</f>
        <v>77.3</v>
      </c>
      <c r="I401" s="15">
        <f>IFERROR(__xludf.DUMMYFUNCTION("""COMPUTED_VALUE"""),22.700000000000003)</f>
        <v>22.7</v>
      </c>
    </row>
    <row r="402">
      <c r="A402" s="13" t="str">
        <f>IFERROR(__xludf.DUMMYFUNCTION("""COMPUTED_VALUE"""),"0870")</f>
        <v>0870</v>
      </c>
      <c r="B402" s="13" t="str">
        <f>IFERROR(__xludf.DUMMYFUNCTION("""COMPUTED_VALUE"""),"DELTA COUNTY 50(J)")</f>
        <v>DELTA COUNTY 50(J)</v>
      </c>
      <c r="C402" s="14" t="str">
        <f>IFERROR(__xludf.DUMMYFUNCTION("""COMPUTED_VALUE"""),"01372")</f>
        <v>01372</v>
      </c>
      <c r="D402" s="13" t="str">
        <f>IFERROR(__xludf.DUMMYFUNCTION("""COMPUTED_VALUE"""),"CEDAREDGE HIGH SCHOOL")</f>
        <v>CEDAREDGE HIGH SCHOOL</v>
      </c>
      <c r="E402" s="13" t="str">
        <f>IFERROR(__xludf.DUMMYFUNCTION("""COMPUTED_VALUE"""),"Group 3")</f>
        <v>Group 3</v>
      </c>
      <c r="F402" s="13" t="str">
        <f>IFERROR(__xludf.DUMMYFUNCTION("""COMPUTED_VALUE"""),"2024 - 2025")</f>
        <v>2024 - 2025</v>
      </c>
      <c r="G402" s="13" t="str">
        <f>IFERROR(__xludf.DUMMYFUNCTION("""COMPUTED_VALUE"""),"2023 - 2024")</f>
        <v>2023 - 2024</v>
      </c>
      <c r="H402" s="13">
        <f>IFERROR(__xludf.DUMMYFUNCTION("""COMPUTED_VALUE"""),65.62)</f>
        <v>65.62</v>
      </c>
      <c r="I402" s="15">
        <f>IFERROR(__xludf.DUMMYFUNCTION("""COMPUTED_VALUE"""),34.379999999999995)</f>
        <v>34.38</v>
      </c>
    </row>
    <row r="403">
      <c r="A403" s="13" t="str">
        <f>IFERROR(__xludf.DUMMYFUNCTION("""COMPUTED_VALUE"""),"0870")</f>
        <v>0870</v>
      </c>
      <c r="B403" s="13" t="str">
        <f>IFERROR(__xludf.DUMMYFUNCTION("""COMPUTED_VALUE"""),"DELTA COUNTY 50(J)")</f>
        <v>DELTA COUNTY 50(J)</v>
      </c>
      <c r="C403" s="14" t="str">
        <f>IFERROR(__xludf.DUMMYFUNCTION("""COMPUTED_VALUE"""),"02155")</f>
        <v>02155</v>
      </c>
      <c r="D403" s="13" t="str">
        <f>IFERROR(__xludf.DUMMYFUNCTION("""COMPUTED_VALUE"""),"Grand Mesa Choice Academy")</f>
        <v>Grand Mesa Choice Academy</v>
      </c>
      <c r="E403" s="13" t="str">
        <f>IFERROR(__xludf.DUMMYFUNCTION("""COMPUTED_VALUE"""),"Group 3")</f>
        <v>Group 3</v>
      </c>
      <c r="F403" s="13" t="str">
        <f>IFERROR(__xludf.DUMMYFUNCTION("""COMPUTED_VALUE"""),"2024 - 2025")</f>
        <v>2024 - 2025</v>
      </c>
      <c r="G403" s="13" t="str">
        <f>IFERROR(__xludf.DUMMYFUNCTION("""COMPUTED_VALUE"""),"2023 - 2024")</f>
        <v>2023 - 2024</v>
      </c>
      <c r="H403" s="13">
        <f>IFERROR(__xludf.DUMMYFUNCTION("""COMPUTED_VALUE"""),65.62)</f>
        <v>65.62</v>
      </c>
      <c r="I403" s="15">
        <f>IFERROR(__xludf.DUMMYFUNCTION("""COMPUTED_VALUE"""),34.379999999999995)</f>
        <v>34.38</v>
      </c>
    </row>
    <row r="404">
      <c r="A404" s="13" t="str">
        <f>IFERROR(__xludf.DUMMYFUNCTION("""COMPUTED_VALUE"""),"0870")</f>
        <v>0870</v>
      </c>
      <c r="B404" s="13" t="str">
        <f>IFERROR(__xludf.DUMMYFUNCTION("""COMPUTED_VALUE"""),"DELTA COUNTY 50(J)")</f>
        <v>DELTA COUNTY 50(J)</v>
      </c>
      <c r="C404" s="14" t="str">
        <f>IFERROR(__xludf.DUMMYFUNCTION("""COMPUTED_VALUE"""),"02164")</f>
        <v>02164</v>
      </c>
      <c r="D404" s="13" t="str">
        <f>IFERROR(__xludf.DUMMYFUNCTION("""COMPUTED_VALUE"""),"DELTA HIGH SCHOOL")</f>
        <v>DELTA HIGH SCHOOL</v>
      </c>
      <c r="E404" s="13" t="str">
        <f>IFERROR(__xludf.DUMMYFUNCTION("""COMPUTED_VALUE"""),"Group 3")</f>
        <v>Group 3</v>
      </c>
      <c r="F404" s="13" t="str">
        <f>IFERROR(__xludf.DUMMYFUNCTION("""COMPUTED_VALUE"""),"2024 - 2025")</f>
        <v>2024 - 2025</v>
      </c>
      <c r="G404" s="13" t="str">
        <f>IFERROR(__xludf.DUMMYFUNCTION("""COMPUTED_VALUE"""),"2023 - 2024")</f>
        <v>2023 - 2024</v>
      </c>
      <c r="H404" s="13">
        <f>IFERROR(__xludf.DUMMYFUNCTION("""COMPUTED_VALUE"""),65.62)</f>
        <v>65.62</v>
      </c>
      <c r="I404" s="15">
        <f>IFERROR(__xludf.DUMMYFUNCTION("""COMPUTED_VALUE"""),34.379999999999995)</f>
        <v>34.38</v>
      </c>
    </row>
    <row r="405">
      <c r="A405" s="13" t="str">
        <f>IFERROR(__xludf.DUMMYFUNCTION("""COMPUTED_VALUE"""),"0870")</f>
        <v>0870</v>
      </c>
      <c r="B405" s="13" t="str">
        <f>IFERROR(__xludf.DUMMYFUNCTION("""COMPUTED_VALUE"""),"DELTA COUNTY 50(J)")</f>
        <v>DELTA COUNTY 50(J)</v>
      </c>
      <c r="C405" s="14" t="str">
        <f>IFERROR(__xludf.DUMMYFUNCTION("""COMPUTED_VALUE"""),"04128")</f>
        <v>04128</v>
      </c>
      <c r="D405" s="13" t="str">
        <f>IFERROR(__xludf.DUMMYFUNCTION("""COMPUTED_VALUE"""),"North Fork High School")</f>
        <v>North Fork High School</v>
      </c>
      <c r="E405" s="13" t="str">
        <f>IFERROR(__xludf.DUMMYFUNCTION("""COMPUTED_VALUE"""),"Group 3")</f>
        <v>Group 3</v>
      </c>
      <c r="F405" s="13" t="str">
        <f>IFERROR(__xludf.DUMMYFUNCTION("""COMPUTED_VALUE"""),"2024 - 2025")</f>
        <v>2024 - 2025</v>
      </c>
      <c r="G405" s="13" t="str">
        <f>IFERROR(__xludf.DUMMYFUNCTION("""COMPUTED_VALUE"""),"2023 - 2024")</f>
        <v>2023 - 2024</v>
      </c>
      <c r="H405" s="13">
        <f>IFERROR(__xludf.DUMMYFUNCTION("""COMPUTED_VALUE"""),65.62)</f>
        <v>65.62</v>
      </c>
      <c r="I405" s="15">
        <f>IFERROR(__xludf.DUMMYFUNCTION("""COMPUTED_VALUE"""),34.379999999999995)</f>
        <v>34.38</v>
      </c>
    </row>
    <row r="406">
      <c r="A406" s="13" t="str">
        <f>IFERROR(__xludf.DUMMYFUNCTION("""COMPUTED_VALUE"""),"0870")</f>
        <v>0870</v>
      </c>
      <c r="B406" s="13" t="str">
        <f>IFERROR(__xludf.DUMMYFUNCTION("""COMPUTED_VALUE"""),"DELTA COUNTY 50(J)")</f>
        <v>DELTA COUNTY 50(J)</v>
      </c>
      <c r="C406" s="14" t="str">
        <f>IFERROR(__xludf.DUMMYFUNCTION("""COMPUTED_VALUE"""),"06700")</f>
        <v>06700</v>
      </c>
      <c r="D406" s="13" t="str">
        <f>IFERROR(__xludf.DUMMYFUNCTION("""COMPUTED_VALUE"""),"PAONIA K-8")</f>
        <v>PAONIA K-8</v>
      </c>
      <c r="E406" s="13" t="str">
        <f>IFERROR(__xludf.DUMMYFUNCTION("""COMPUTED_VALUE"""),"Group 4")</f>
        <v>Group 4</v>
      </c>
      <c r="F406" s="13" t="str">
        <f>IFERROR(__xludf.DUMMYFUNCTION("""COMPUTED_VALUE"""),"2024 - 2025")</f>
        <v>2024 - 2025</v>
      </c>
      <c r="G406" s="13" t="str">
        <f>IFERROR(__xludf.DUMMYFUNCTION("""COMPUTED_VALUE"""),"2023 - 2024")</f>
        <v>2023 - 2024</v>
      </c>
      <c r="H406" s="13">
        <f>IFERROR(__xludf.DUMMYFUNCTION("""COMPUTED_VALUE"""),83.5)</f>
        <v>83.5</v>
      </c>
      <c r="I406" s="15">
        <f>IFERROR(__xludf.DUMMYFUNCTION("""COMPUTED_VALUE"""),16.5)</f>
        <v>16.5</v>
      </c>
    </row>
    <row r="407">
      <c r="A407" s="13" t="str">
        <f>IFERROR(__xludf.DUMMYFUNCTION("""COMPUTED_VALUE"""),"0870")</f>
        <v>0870</v>
      </c>
      <c r="B407" s="13" t="str">
        <f>IFERROR(__xludf.DUMMYFUNCTION("""COMPUTED_VALUE"""),"DELTA COUNTY 50(J)")</f>
        <v>DELTA COUNTY 50(J)</v>
      </c>
      <c r="C407" s="14" t="str">
        <f>IFERROR(__xludf.DUMMYFUNCTION("""COMPUTED_VALUE"""),"00489")</f>
        <v>00489</v>
      </c>
      <c r="D407" s="13" t="str">
        <f>IFERROR(__xludf.DUMMYFUNCTION("""COMPUTED_VALUE"""),"BACKPACK EARLY LEARNING ACADEMY")</f>
        <v>BACKPACK EARLY LEARNING ACADEMY</v>
      </c>
      <c r="E407" s="13" t="str">
        <f>IFERROR(__xludf.DUMMYFUNCTION("""COMPUTED_VALUE"""),"Group 4")</f>
        <v>Group 4</v>
      </c>
      <c r="F407" s="13" t="str">
        <f>IFERROR(__xludf.DUMMYFUNCTION("""COMPUTED_VALUE"""),"2024 - 2025")</f>
        <v>2024 - 2025</v>
      </c>
      <c r="G407" s="13" t="str">
        <f>IFERROR(__xludf.DUMMYFUNCTION("""COMPUTED_VALUE"""),"2023 - 2024")</f>
        <v>2023 - 2024</v>
      </c>
      <c r="H407" s="13">
        <f>IFERROR(__xludf.DUMMYFUNCTION("""COMPUTED_VALUE"""),83.5)</f>
        <v>83.5</v>
      </c>
      <c r="I407" s="15">
        <f>IFERROR(__xludf.DUMMYFUNCTION("""COMPUTED_VALUE"""),16.5)</f>
        <v>16.5</v>
      </c>
    </row>
    <row r="408">
      <c r="A408" s="13" t="str">
        <f>IFERROR(__xludf.DUMMYFUNCTION("""COMPUTED_VALUE"""),"0870")</f>
        <v>0870</v>
      </c>
      <c r="B408" s="13" t="str">
        <f>IFERROR(__xludf.DUMMYFUNCTION("""COMPUTED_VALUE"""),"DELTA COUNTY 50(J)")</f>
        <v>DELTA COUNTY 50(J)</v>
      </c>
      <c r="C408" s="14" t="str">
        <f>IFERROR(__xludf.DUMMYFUNCTION("""COMPUTED_VALUE"""),"01952")</f>
        <v>01952</v>
      </c>
      <c r="D408" s="13" t="str">
        <f>IFERROR(__xludf.DUMMYFUNCTION("""COMPUTED_VALUE"""),"NORTH FORK MONTESSORI @ CRAWFORD")</f>
        <v>NORTH FORK MONTESSORI @ CRAWFORD</v>
      </c>
      <c r="E408" s="13" t="str">
        <f>IFERROR(__xludf.DUMMYFUNCTION("""COMPUTED_VALUE"""),"Group 5")</f>
        <v>Group 5</v>
      </c>
      <c r="F408" s="13" t="str">
        <f>IFERROR(__xludf.DUMMYFUNCTION("""COMPUTED_VALUE"""),"2024 - 2025")</f>
        <v>2024 - 2025</v>
      </c>
      <c r="G408" s="13" t="str">
        <f>IFERROR(__xludf.DUMMYFUNCTION("""COMPUTED_VALUE"""),"2023 - 2024")</f>
        <v>2023 - 2024</v>
      </c>
      <c r="H408" s="13">
        <f>IFERROR(__xludf.DUMMYFUNCTION("""COMPUTED_VALUE"""),96.3)</f>
        <v>96.3</v>
      </c>
      <c r="I408" s="15">
        <f>IFERROR(__xludf.DUMMYFUNCTION("""COMPUTED_VALUE"""),3.700000000000003)</f>
        <v>3.7</v>
      </c>
    </row>
    <row r="409">
      <c r="A409" s="13" t="str">
        <f>IFERROR(__xludf.DUMMYFUNCTION("""COMPUTED_VALUE"""),"0870")</f>
        <v>0870</v>
      </c>
      <c r="B409" s="13" t="str">
        <f>IFERROR(__xludf.DUMMYFUNCTION("""COMPUTED_VALUE"""),"DELTA COUNTY 50(J)")</f>
        <v>DELTA COUNTY 50(J)</v>
      </c>
      <c r="C409" s="14" t="str">
        <f>IFERROR(__xludf.DUMMYFUNCTION("""COMPUTED_VALUE"""),"04182")</f>
        <v>04182</v>
      </c>
      <c r="D409" s="13" t="str">
        <f>IFERROR(__xludf.DUMMYFUNCTION("""COMPUTED_VALUE"""),"CEDAREDGE ELEMENTARY SCHOOL")</f>
        <v>CEDAREDGE ELEMENTARY SCHOOL</v>
      </c>
      <c r="E409" s="13" t="str">
        <f>IFERROR(__xludf.DUMMYFUNCTION("""COMPUTED_VALUE"""),"Group 6")</f>
        <v>Group 6</v>
      </c>
      <c r="F409" s="13" t="str">
        <f>IFERROR(__xludf.DUMMYFUNCTION("""COMPUTED_VALUE"""),"2024 - 2025")</f>
        <v>2024 - 2025</v>
      </c>
      <c r="G409" s="13" t="str">
        <f>IFERROR(__xludf.DUMMYFUNCTION("""COMPUTED_VALUE"""),"2023 - 2024")</f>
        <v>2023 - 2024</v>
      </c>
      <c r="H409" s="13">
        <f>IFERROR(__xludf.DUMMYFUNCTION("""COMPUTED_VALUE"""),92.74)</f>
        <v>92.74</v>
      </c>
      <c r="I409" s="15">
        <f>IFERROR(__xludf.DUMMYFUNCTION("""COMPUTED_VALUE"""),7.260000000000005)</f>
        <v>7.26</v>
      </c>
    </row>
    <row r="410">
      <c r="A410" s="13" t="str">
        <f>IFERROR(__xludf.DUMMYFUNCTION("""COMPUTED_VALUE"""),"0870")</f>
        <v>0870</v>
      </c>
      <c r="B410" s="13" t="str">
        <f>IFERROR(__xludf.DUMMYFUNCTION("""COMPUTED_VALUE"""),"DELTA COUNTY 50(J)")</f>
        <v>DELTA COUNTY 50(J)</v>
      </c>
      <c r="C410" s="14" t="str">
        <f>IFERROR(__xludf.DUMMYFUNCTION("""COMPUTED_VALUE"""),"05154")</f>
        <v>05154</v>
      </c>
      <c r="D410" s="13" t="str">
        <f>IFERROR(__xludf.DUMMYFUNCTION("""COMPUTED_VALUE"""),"LINCOLN ELEMENTARY SCHOOL")</f>
        <v>LINCOLN ELEMENTARY SCHOOL</v>
      </c>
      <c r="E410" s="13" t="str">
        <f>IFERROR(__xludf.DUMMYFUNCTION("""COMPUTED_VALUE"""),"Group 6")</f>
        <v>Group 6</v>
      </c>
      <c r="F410" s="13" t="str">
        <f>IFERROR(__xludf.DUMMYFUNCTION("""COMPUTED_VALUE"""),"2024 - 2025")</f>
        <v>2024 - 2025</v>
      </c>
      <c r="G410" s="13" t="str">
        <f>IFERROR(__xludf.DUMMYFUNCTION("""COMPUTED_VALUE"""),"2023 - 2024")</f>
        <v>2023 - 2024</v>
      </c>
      <c r="H410" s="13">
        <f>IFERROR(__xludf.DUMMYFUNCTION("""COMPUTED_VALUE"""),92.74)</f>
        <v>92.74</v>
      </c>
      <c r="I410" s="15">
        <f>IFERROR(__xludf.DUMMYFUNCTION("""COMPUTED_VALUE"""),7.260000000000005)</f>
        <v>7.26</v>
      </c>
    </row>
    <row r="411">
      <c r="A411" s="13" t="str">
        <f>IFERROR(__xludf.DUMMYFUNCTION("""COMPUTED_VALUE"""),"0880")</f>
        <v>0880</v>
      </c>
      <c r="B411" s="13" t="str">
        <f>IFERROR(__xludf.DUMMYFUNCTION("""COMPUTED_VALUE"""),"DENVER COUNTY 1")</f>
        <v>DENVER COUNTY 1</v>
      </c>
      <c r="C411" s="14" t="str">
        <f>IFERROR(__xludf.DUMMYFUNCTION("""COMPUTED_VALUE"""),"00047")</f>
        <v>00047</v>
      </c>
      <c r="D411" s="13" t="str">
        <f>IFERROR(__xludf.DUMMYFUNCTION("""COMPUTED_VALUE"""),"Next Steps at Fairview")</f>
        <v>Next Steps at Fairview</v>
      </c>
      <c r="E411" s="13" t="str">
        <f>IFERROR(__xludf.DUMMYFUNCTION("""COMPUTED_VALUE"""),"Group 1")</f>
        <v>Group 1</v>
      </c>
      <c r="F411" s="13" t="str">
        <f>IFERROR(__xludf.DUMMYFUNCTION("""COMPUTED_VALUE"""),"2024 - 2025")</f>
        <v>2024 - 2025</v>
      </c>
      <c r="G411" s="13" t="str">
        <f>IFERROR(__xludf.DUMMYFUNCTION("""COMPUTED_VALUE"""),"2023 - 2024")</f>
        <v>2023 - 2024</v>
      </c>
      <c r="H411" s="13">
        <f>IFERROR(__xludf.DUMMYFUNCTION("""COMPUTED_VALUE"""),99.87)</f>
        <v>99.87</v>
      </c>
      <c r="I411" s="15">
        <f>IFERROR(__xludf.DUMMYFUNCTION("""COMPUTED_VALUE"""),0.12999999999999545)</f>
        <v>0.13</v>
      </c>
    </row>
    <row r="412">
      <c r="A412" s="13" t="str">
        <f>IFERROR(__xludf.DUMMYFUNCTION("""COMPUTED_VALUE"""),"0880")</f>
        <v>0880</v>
      </c>
      <c r="B412" s="13" t="str">
        <f>IFERROR(__xludf.DUMMYFUNCTION("""COMPUTED_VALUE"""),"DENVER COUNTY 1")</f>
        <v>DENVER COUNTY 1</v>
      </c>
      <c r="C412" s="14" t="str">
        <f>IFERROR(__xludf.DUMMYFUNCTION("""COMPUTED_VALUE"""),"01774")</f>
        <v>01774</v>
      </c>
      <c r="D412" s="13" t="str">
        <f>IFERROR(__xludf.DUMMYFUNCTION("""COMPUTED_VALUE"""),"COLFAX ELEMENTARY SCHOOL")</f>
        <v>COLFAX ELEMENTARY SCHOOL</v>
      </c>
      <c r="E412" s="13" t="str">
        <f>IFERROR(__xludf.DUMMYFUNCTION("""COMPUTED_VALUE"""),"Group 1")</f>
        <v>Group 1</v>
      </c>
      <c r="F412" s="13" t="str">
        <f>IFERROR(__xludf.DUMMYFUNCTION("""COMPUTED_VALUE"""),"2024 - 2025")</f>
        <v>2024 - 2025</v>
      </c>
      <c r="G412" s="13" t="str">
        <f>IFERROR(__xludf.DUMMYFUNCTION("""COMPUTED_VALUE"""),"2023 - 2024")</f>
        <v>2023 - 2024</v>
      </c>
      <c r="H412" s="13">
        <f>IFERROR(__xludf.DUMMYFUNCTION("""COMPUTED_VALUE"""),99.87)</f>
        <v>99.87</v>
      </c>
      <c r="I412" s="15">
        <f>IFERROR(__xludf.DUMMYFUNCTION("""COMPUTED_VALUE"""),0.12999999999999545)</f>
        <v>0.13</v>
      </c>
    </row>
    <row r="413">
      <c r="A413" s="13" t="str">
        <f>IFERROR(__xludf.DUMMYFUNCTION("""COMPUTED_VALUE"""),"0880")</f>
        <v>0880</v>
      </c>
      <c r="B413" s="13" t="str">
        <f>IFERROR(__xludf.DUMMYFUNCTION("""COMPUTED_VALUE"""),"DENVER COUNTY 1")</f>
        <v>DENVER COUNTY 1</v>
      </c>
      <c r="C413" s="14" t="str">
        <f>IFERROR(__xludf.DUMMYFUNCTION("""COMPUTED_VALUE"""),"02205")</f>
        <v>02205</v>
      </c>
      <c r="D413" s="13" t="str">
        <f>IFERROR(__xludf.DUMMYFUNCTION("""COMPUTED_VALUE"""),"DCIS at Ford")</f>
        <v>DCIS at Ford</v>
      </c>
      <c r="E413" s="13" t="str">
        <f>IFERROR(__xludf.DUMMYFUNCTION("""COMPUTED_VALUE"""),"Group 1")</f>
        <v>Group 1</v>
      </c>
      <c r="F413" s="13" t="str">
        <f>IFERROR(__xludf.DUMMYFUNCTION("""COMPUTED_VALUE"""),"2024 - 2025")</f>
        <v>2024 - 2025</v>
      </c>
      <c r="G413" s="13" t="str">
        <f>IFERROR(__xludf.DUMMYFUNCTION("""COMPUTED_VALUE"""),"2023 - 2024")</f>
        <v>2023 - 2024</v>
      </c>
      <c r="H413" s="13">
        <f>IFERROR(__xludf.DUMMYFUNCTION("""COMPUTED_VALUE"""),99.87)</f>
        <v>99.87</v>
      </c>
      <c r="I413" s="15">
        <f>IFERROR(__xludf.DUMMYFUNCTION("""COMPUTED_VALUE"""),0.12999999999999545)</f>
        <v>0.13</v>
      </c>
    </row>
    <row r="414">
      <c r="A414" s="13" t="str">
        <f>IFERROR(__xludf.DUMMYFUNCTION("""COMPUTED_VALUE"""),"0880")</f>
        <v>0880</v>
      </c>
      <c r="B414" s="13" t="str">
        <f>IFERROR(__xludf.DUMMYFUNCTION("""COMPUTED_VALUE"""),"DENVER COUNTY 1")</f>
        <v>DENVER COUNTY 1</v>
      </c>
      <c r="C414" s="14" t="str">
        <f>IFERROR(__xludf.DUMMYFUNCTION("""COMPUTED_VALUE"""),"02652")</f>
        <v>02652</v>
      </c>
      <c r="D414" s="13" t="str">
        <f>IFERROR(__xludf.DUMMYFUNCTION("""COMPUTED_VALUE"""),"ELLIS ELEMENTARY SCHOOL")</f>
        <v>ELLIS ELEMENTARY SCHOOL</v>
      </c>
      <c r="E414" s="13" t="str">
        <f>IFERROR(__xludf.DUMMYFUNCTION("""COMPUTED_VALUE"""),"Group 1")</f>
        <v>Group 1</v>
      </c>
      <c r="F414" s="13" t="str">
        <f>IFERROR(__xludf.DUMMYFUNCTION("""COMPUTED_VALUE"""),"2024 - 2025")</f>
        <v>2024 - 2025</v>
      </c>
      <c r="G414" s="13" t="str">
        <f>IFERROR(__xludf.DUMMYFUNCTION("""COMPUTED_VALUE"""),"2023 - 2024")</f>
        <v>2023 - 2024</v>
      </c>
      <c r="H414" s="13">
        <f>IFERROR(__xludf.DUMMYFUNCTION("""COMPUTED_VALUE"""),99.87)</f>
        <v>99.87</v>
      </c>
      <c r="I414" s="15">
        <f>IFERROR(__xludf.DUMMYFUNCTION("""COMPUTED_VALUE"""),0.12999999999999545)</f>
        <v>0.13</v>
      </c>
    </row>
    <row r="415">
      <c r="A415" s="13" t="str">
        <f>IFERROR(__xludf.DUMMYFUNCTION("""COMPUTED_VALUE"""),"0880")</f>
        <v>0880</v>
      </c>
      <c r="B415" s="13" t="str">
        <f>IFERROR(__xludf.DUMMYFUNCTION("""COMPUTED_VALUE"""),"DENVER COUNTY 1")</f>
        <v>DENVER COUNTY 1</v>
      </c>
      <c r="C415" s="14" t="str">
        <f>IFERROR(__xludf.DUMMYFUNCTION("""COMPUTED_VALUE"""),"03032")</f>
        <v>03032</v>
      </c>
      <c r="D415" s="13" t="str">
        <f>IFERROR(__xludf.DUMMYFUNCTION("""COMPUTED_VALUE"""),"FORCE ELEMENTARY SCHOOL")</f>
        <v>FORCE ELEMENTARY SCHOOL</v>
      </c>
      <c r="E415" s="13" t="str">
        <f>IFERROR(__xludf.DUMMYFUNCTION("""COMPUTED_VALUE"""),"Group 1")</f>
        <v>Group 1</v>
      </c>
      <c r="F415" s="13" t="str">
        <f>IFERROR(__xludf.DUMMYFUNCTION("""COMPUTED_VALUE"""),"2024 - 2025")</f>
        <v>2024 - 2025</v>
      </c>
      <c r="G415" s="13" t="str">
        <f>IFERROR(__xludf.DUMMYFUNCTION("""COMPUTED_VALUE"""),"2023 - 2024")</f>
        <v>2023 - 2024</v>
      </c>
      <c r="H415" s="13">
        <f>IFERROR(__xludf.DUMMYFUNCTION("""COMPUTED_VALUE"""),99.87)</f>
        <v>99.87</v>
      </c>
      <c r="I415" s="15">
        <f>IFERROR(__xludf.DUMMYFUNCTION("""COMPUTED_VALUE"""),0.12999999999999545)</f>
        <v>0.13</v>
      </c>
    </row>
    <row r="416">
      <c r="A416" s="13" t="str">
        <f>IFERROR(__xludf.DUMMYFUNCTION("""COMPUTED_VALUE"""),"0880")</f>
        <v>0880</v>
      </c>
      <c r="B416" s="13" t="str">
        <f>IFERROR(__xludf.DUMMYFUNCTION("""COMPUTED_VALUE"""),"DENVER COUNTY 1")</f>
        <v>DENVER COUNTY 1</v>
      </c>
      <c r="C416" s="14" t="str">
        <f>IFERROR(__xludf.DUMMYFUNCTION("""COMPUTED_VALUE"""),"03340")</f>
        <v>03340</v>
      </c>
      <c r="D416" s="13" t="str">
        <f>IFERROR(__xludf.DUMMYFUNCTION("""COMPUTED_VALUE"""),"LENA ARCHULETA ELEMENTARY SCHOOL")</f>
        <v>LENA ARCHULETA ELEMENTARY SCHOOL</v>
      </c>
      <c r="E416" s="13" t="str">
        <f>IFERROR(__xludf.DUMMYFUNCTION("""COMPUTED_VALUE"""),"Group 1")</f>
        <v>Group 1</v>
      </c>
      <c r="F416" s="13" t="str">
        <f>IFERROR(__xludf.DUMMYFUNCTION("""COMPUTED_VALUE"""),"2024 - 2025")</f>
        <v>2024 - 2025</v>
      </c>
      <c r="G416" s="13" t="str">
        <f>IFERROR(__xludf.DUMMYFUNCTION("""COMPUTED_VALUE"""),"2023 - 2024")</f>
        <v>2023 - 2024</v>
      </c>
      <c r="H416" s="13">
        <f>IFERROR(__xludf.DUMMYFUNCTION("""COMPUTED_VALUE"""),99.87)</f>
        <v>99.87</v>
      </c>
      <c r="I416" s="15">
        <f>IFERROR(__xludf.DUMMYFUNCTION("""COMPUTED_VALUE"""),0.12999999999999545)</f>
        <v>0.13</v>
      </c>
    </row>
    <row r="417">
      <c r="A417" s="13" t="str">
        <f>IFERROR(__xludf.DUMMYFUNCTION("""COMPUTED_VALUE"""),"0880")</f>
        <v>0880</v>
      </c>
      <c r="B417" s="13" t="str">
        <f>IFERROR(__xludf.DUMMYFUNCTION("""COMPUTED_VALUE"""),"DENVER COUNTY 1")</f>
        <v>DENVER COUNTY 1</v>
      </c>
      <c r="C417" s="14" t="str">
        <f>IFERROR(__xludf.DUMMYFUNCTION("""COMPUTED_VALUE"""),"03655")</f>
        <v>03655</v>
      </c>
      <c r="D417" s="13" t="str">
        <f>IFERROR(__xludf.DUMMYFUNCTION("""COMPUTED_VALUE"""),"GREENLEE ELEMENTARY SCHOOL")</f>
        <v>GREENLEE ELEMENTARY SCHOOL</v>
      </c>
      <c r="E417" s="13" t="str">
        <f>IFERROR(__xludf.DUMMYFUNCTION("""COMPUTED_VALUE"""),"Group 1")</f>
        <v>Group 1</v>
      </c>
      <c r="F417" s="13" t="str">
        <f>IFERROR(__xludf.DUMMYFUNCTION("""COMPUTED_VALUE"""),"2024 - 2025")</f>
        <v>2024 - 2025</v>
      </c>
      <c r="G417" s="13" t="str">
        <f>IFERROR(__xludf.DUMMYFUNCTION("""COMPUTED_VALUE"""),"2023 - 2024")</f>
        <v>2023 - 2024</v>
      </c>
      <c r="H417" s="13">
        <f>IFERROR(__xludf.DUMMYFUNCTION("""COMPUTED_VALUE"""),99.87)</f>
        <v>99.87</v>
      </c>
      <c r="I417" s="15">
        <f>IFERROR(__xludf.DUMMYFUNCTION("""COMPUTED_VALUE"""),0.12999999999999545)</f>
        <v>0.13</v>
      </c>
    </row>
    <row r="418">
      <c r="A418" s="13" t="str">
        <f>IFERROR(__xludf.DUMMYFUNCTION("""COMPUTED_VALUE"""),"0880")</f>
        <v>0880</v>
      </c>
      <c r="B418" s="13" t="str">
        <f>IFERROR(__xludf.DUMMYFUNCTION("""COMPUTED_VALUE"""),"DENVER COUNTY 1")</f>
        <v>DENVER COUNTY 1</v>
      </c>
      <c r="C418" s="14" t="str">
        <f>IFERROR(__xludf.DUMMYFUNCTION("""COMPUTED_VALUE"""),"03746")</f>
        <v>03746</v>
      </c>
      <c r="D418" s="13" t="str">
        <f>IFERROR(__xludf.DUMMYFUNCTION("""COMPUTED_VALUE"""),"HAMILTON MIDDLE SCHOOL")</f>
        <v>HAMILTON MIDDLE SCHOOL</v>
      </c>
      <c r="E418" s="13" t="str">
        <f>IFERROR(__xludf.DUMMYFUNCTION("""COMPUTED_VALUE"""),"Group 1")</f>
        <v>Group 1</v>
      </c>
      <c r="F418" s="13" t="str">
        <f>IFERROR(__xludf.DUMMYFUNCTION("""COMPUTED_VALUE"""),"2024 - 2025")</f>
        <v>2024 - 2025</v>
      </c>
      <c r="G418" s="13" t="str">
        <f>IFERROR(__xludf.DUMMYFUNCTION("""COMPUTED_VALUE"""),"2023 - 2024")</f>
        <v>2023 - 2024</v>
      </c>
      <c r="H418" s="13">
        <f>IFERROR(__xludf.DUMMYFUNCTION("""COMPUTED_VALUE"""),99.87)</f>
        <v>99.87</v>
      </c>
      <c r="I418" s="15">
        <f>IFERROR(__xludf.DUMMYFUNCTION("""COMPUTED_VALUE"""),0.12999999999999545)</f>
        <v>0.13</v>
      </c>
    </row>
    <row r="419">
      <c r="A419" s="13" t="str">
        <f>IFERROR(__xludf.DUMMYFUNCTION("""COMPUTED_VALUE"""),"0880")</f>
        <v>0880</v>
      </c>
      <c r="B419" s="13" t="str">
        <f>IFERROR(__xludf.DUMMYFUNCTION("""COMPUTED_VALUE"""),"DENVER COUNTY 1")</f>
        <v>DENVER COUNTY 1</v>
      </c>
      <c r="C419" s="14" t="str">
        <f>IFERROR(__xludf.DUMMYFUNCTION("""COMPUTED_VALUE"""),"04494")</f>
        <v>04494</v>
      </c>
      <c r="D419" s="13" t="str">
        <f>IFERROR(__xludf.DUMMYFUNCTION("""COMPUTED_VALUE"""),"JUSTICE HIGH SCHOOL DENVER")</f>
        <v>JUSTICE HIGH SCHOOL DENVER</v>
      </c>
      <c r="E419" s="13" t="str">
        <f>IFERROR(__xludf.DUMMYFUNCTION("""COMPUTED_VALUE"""),"Group 1")</f>
        <v>Group 1</v>
      </c>
      <c r="F419" s="13" t="str">
        <f>IFERROR(__xludf.DUMMYFUNCTION("""COMPUTED_VALUE"""),"2024 - 2025")</f>
        <v>2024 - 2025</v>
      </c>
      <c r="G419" s="13" t="str">
        <f>IFERROR(__xludf.DUMMYFUNCTION("""COMPUTED_VALUE"""),"2023 - 2024")</f>
        <v>2023 - 2024</v>
      </c>
      <c r="H419" s="13">
        <f>IFERROR(__xludf.DUMMYFUNCTION("""COMPUTED_VALUE"""),99.87)</f>
        <v>99.87</v>
      </c>
      <c r="I419" s="15">
        <f>IFERROR(__xludf.DUMMYFUNCTION("""COMPUTED_VALUE"""),0.12999999999999545)</f>
        <v>0.13</v>
      </c>
    </row>
    <row r="420">
      <c r="A420" s="13" t="str">
        <f>IFERROR(__xludf.DUMMYFUNCTION("""COMPUTED_VALUE"""),"0880")</f>
        <v>0880</v>
      </c>
      <c r="B420" s="13" t="str">
        <f>IFERROR(__xludf.DUMMYFUNCTION("""COMPUTED_VALUE"""),"DENVER COUNTY 1")</f>
        <v>DENVER COUNTY 1</v>
      </c>
      <c r="C420" s="14" t="str">
        <f>IFERROR(__xludf.DUMMYFUNCTION("""COMPUTED_VALUE"""),"04498")</f>
        <v>04498</v>
      </c>
      <c r="D420" s="13" t="str">
        <f>IFERROR(__xludf.DUMMYFUNCTION("""COMPUTED_VALUE"""),"KAISER ELEMENTARY SCHOOL")</f>
        <v>KAISER ELEMENTARY SCHOOL</v>
      </c>
      <c r="E420" s="13" t="str">
        <f>IFERROR(__xludf.DUMMYFUNCTION("""COMPUTED_VALUE"""),"Group 1")</f>
        <v>Group 1</v>
      </c>
      <c r="F420" s="13" t="str">
        <f>IFERROR(__xludf.DUMMYFUNCTION("""COMPUTED_VALUE"""),"2024 - 2025")</f>
        <v>2024 - 2025</v>
      </c>
      <c r="G420" s="13" t="str">
        <f>IFERROR(__xludf.DUMMYFUNCTION("""COMPUTED_VALUE"""),"2023 - 2024")</f>
        <v>2023 - 2024</v>
      </c>
      <c r="H420" s="13">
        <f>IFERROR(__xludf.DUMMYFUNCTION("""COMPUTED_VALUE"""),99.87)</f>
        <v>99.87</v>
      </c>
      <c r="I420" s="15">
        <f>IFERROR(__xludf.DUMMYFUNCTION("""COMPUTED_VALUE"""),0.12999999999999545)</f>
        <v>0.13</v>
      </c>
    </row>
    <row r="421">
      <c r="A421" s="13" t="str">
        <f>IFERROR(__xludf.DUMMYFUNCTION("""COMPUTED_VALUE"""),"0880")</f>
        <v>0880</v>
      </c>
      <c r="B421" s="13" t="str">
        <f>IFERROR(__xludf.DUMMYFUNCTION("""COMPUTED_VALUE"""),"DENVER COUNTY 1")</f>
        <v>DENVER COUNTY 1</v>
      </c>
      <c r="C421" s="14" t="str">
        <f>IFERROR(__xludf.DUMMYFUNCTION("""COMPUTED_VALUE"""),"04782")</f>
        <v>04782</v>
      </c>
      <c r="D421" s="13" t="str">
        <f>IFERROR(__xludf.DUMMYFUNCTION("""COMPUTED_VALUE"""),"HALLETT FUNDAMENTAL ACADEMY")</f>
        <v>HALLETT FUNDAMENTAL ACADEMY</v>
      </c>
      <c r="E421" s="13" t="str">
        <f>IFERROR(__xludf.DUMMYFUNCTION("""COMPUTED_VALUE"""),"Group 1")</f>
        <v>Group 1</v>
      </c>
      <c r="F421" s="13" t="str">
        <f>IFERROR(__xludf.DUMMYFUNCTION("""COMPUTED_VALUE"""),"2024 - 2025")</f>
        <v>2024 - 2025</v>
      </c>
      <c r="G421" s="13" t="str">
        <f>IFERROR(__xludf.DUMMYFUNCTION("""COMPUTED_VALUE"""),"2023 - 2024")</f>
        <v>2023 - 2024</v>
      </c>
      <c r="H421" s="13">
        <f>IFERROR(__xludf.DUMMYFUNCTION("""COMPUTED_VALUE"""),99.87)</f>
        <v>99.87</v>
      </c>
      <c r="I421" s="15">
        <f>IFERROR(__xludf.DUMMYFUNCTION("""COMPUTED_VALUE"""),0.12999999999999545)</f>
        <v>0.13</v>
      </c>
    </row>
    <row r="422">
      <c r="A422" s="13" t="str">
        <f>IFERROR(__xludf.DUMMYFUNCTION("""COMPUTED_VALUE"""),"0880")</f>
        <v>0880</v>
      </c>
      <c r="B422" s="13" t="str">
        <f>IFERROR(__xludf.DUMMYFUNCTION("""COMPUTED_VALUE"""),"DENVER COUNTY 1")</f>
        <v>DENVER COUNTY 1</v>
      </c>
      <c r="C422" s="14" t="str">
        <f>IFERROR(__xludf.DUMMYFUNCTION("""COMPUTED_VALUE"""),"05448")</f>
        <v>05448</v>
      </c>
      <c r="D422" s="13" t="str">
        <f>IFERROR(__xludf.DUMMYFUNCTION("""COMPUTED_VALUE"""),"MANUAL HIGH SCHOOL")</f>
        <v>MANUAL HIGH SCHOOL</v>
      </c>
      <c r="E422" s="13" t="str">
        <f>IFERROR(__xludf.DUMMYFUNCTION("""COMPUTED_VALUE"""),"Group 1")</f>
        <v>Group 1</v>
      </c>
      <c r="F422" s="13" t="str">
        <f>IFERROR(__xludf.DUMMYFUNCTION("""COMPUTED_VALUE"""),"2024 - 2025")</f>
        <v>2024 - 2025</v>
      </c>
      <c r="G422" s="13" t="str">
        <f>IFERROR(__xludf.DUMMYFUNCTION("""COMPUTED_VALUE"""),"2023 - 2024")</f>
        <v>2023 - 2024</v>
      </c>
      <c r="H422" s="13">
        <f>IFERROR(__xludf.DUMMYFUNCTION("""COMPUTED_VALUE"""),99.87)</f>
        <v>99.87</v>
      </c>
      <c r="I422" s="15">
        <f>IFERROR(__xludf.DUMMYFUNCTION("""COMPUTED_VALUE"""),0.12999999999999545)</f>
        <v>0.13</v>
      </c>
    </row>
    <row r="423">
      <c r="A423" s="13" t="str">
        <f>IFERROR(__xludf.DUMMYFUNCTION("""COMPUTED_VALUE"""),"0880")</f>
        <v>0880</v>
      </c>
      <c r="B423" s="13" t="str">
        <f>IFERROR(__xludf.DUMMYFUNCTION("""COMPUTED_VALUE"""),"DENVER COUNTY 1")</f>
        <v>DENVER COUNTY 1</v>
      </c>
      <c r="C423" s="14" t="str">
        <f>IFERROR(__xludf.DUMMYFUNCTION("""COMPUTED_VALUE"""),"05716")</f>
        <v>05716</v>
      </c>
      <c r="D423" s="13" t="str">
        <f>IFERROR(__xludf.DUMMYFUNCTION("""COMPUTED_VALUE"""),"MCMEEN ELEMENTARY SCHOOL")</f>
        <v>MCMEEN ELEMENTARY SCHOOL</v>
      </c>
      <c r="E423" s="13" t="str">
        <f>IFERROR(__xludf.DUMMYFUNCTION("""COMPUTED_VALUE"""),"Group 1")</f>
        <v>Group 1</v>
      </c>
      <c r="F423" s="13" t="str">
        <f>IFERROR(__xludf.DUMMYFUNCTION("""COMPUTED_VALUE"""),"2024 - 2025")</f>
        <v>2024 - 2025</v>
      </c>
      <c r="G423" s="13" t="str">
        <f>IFERROR(__xludf.DUMMYFUNCTION("""COMPUTED_VALUE"""),"2023 - 2024")</f>
        <v>2023 - 2024</v>
      </c>
      <c r="H423" s="13">
        <f>IFERROR(__xludf.DUMMYFUNCTION("""COMPUTED_VALUE"""),99.87)</f>
        <v>99.87</v>
      </c>
      <c r="I423" s="15">
        <f>IFERROR(__xludf.DUMMYFUNCTION("""COMPUTED_VALUE"""),0.12999999999999545)</f>
        <v>0.13</v>
      </c>
    </row>
    <row r="424">
      <c r="A424" s="13" t="str">
        <f>IFERROR(__xludf.DUMMYFUNCTION("""COMPUTED_VALUE"""),"0880")</f>
        <v>0880</v>
      </c>
      <c r="B424" s="13" t="str">
        <f>IFERROR(__xludf.DUMMYFUNCTION("""COMPUTED_VALUE"""),"DENVER COUNTY 1")</f>
        <v>DENVER COUNTY 1</v>
      </c>
      <c r="C424" s="14" t="str">
        <f>IFERROR(__xludf.DUMMYFUNCTION("""COMPUTED_VALUE"""),"06508")</f>
        <v>06508</v>
      </c>
      <c r="D424" s="13" t="str">
        <f>IFERROR(__xludf.DUMMYFUNCTION("""COMPUTED_VALUE"""),"OMAR D BLAIR CHARTER SCHOOL")</f>
        <v>OMAR D BLAIR CHARTER SCHOOL</v>
      </c>
      <c r="E424" s="13" t="str">
        <f>IFERROR(__xludf.DUMMYFUNCTION("""COMPUTED_VALUE"""),"Group 1")</f>
        <v>Group 1</v>
      </c>
      <c r="F424" s="13" t="str">
        <f>IFERROR(__xludf.DUMMYFUNCTION("""COMPUTED_VALUE"""),"2024 - 2025")</f>
        <v>2024 - 2025</v>
      </c>
      <c r="G424" s="13" t="str">
        <f>IFERROR(__xludf.DUMMYFUNCTION("""COMPUTED_VALUE"""),"2023 - 2024")</f>
        <v>2023 - 2024</v>
      </c>
      <c r="H424" s="13">
        <f>IFERROR(__xludf.DUMMYFUNCTION("""COMPUTED_VALUE"""),99.87)</f>
        <v>99.87</v>
      </c>
      <c r="I424" s="15">
        <f>IFERROR(__xludf.DUMMYFUNCTION("""COMPUTED_VALUE"""),0.12999999999999545)</f>
        <v>0.13</v>
      </c>
    </row>
    <row r="425">
      <c r="A425" s="13" t="str">
        <f>IFERROR(__xludf.DUMMYFUNCTION("""COMPUTED_VALUE"""),"0880")</f>
        <v>0880</v>
      </c>
      <c r="B425" s="13" t="str">
        <f>IFERROR(__xludf.DUMMYFUNCTION("""COMPUTED_VALUE"""),"DENVER COUNTY 1")</f>
        <v>DENVER COUNTY 1</v>
      </c>
      <c r="C425" s="14" t="str">
        <f>IFERROR(__xludf.DUMMYFUNCTION("""COMPUTED_VALUE"""),"08945")</f>
        <v>08945</v>
      </c>
      <c r="D425" s="13" t="str">
        <f>IFERROR(__xludf.DUMMYFUNCTION("""COMPUTED_VALUE"""),"UNIVERSITY PREPARATORY SCHOOL")</f>
        <v>UNIVERSITY PREPARATORY SCHOOL</v>
      </c>
      <c r="E425" s="13" t="str">
        <f>IFERROR(__xludf.DUMMYFUNCTION("""COMPUTED_VALUE"""),"Group 1")</f>
        <v>Group 1</v>
      </c>
      <c r="F425" s="13" t="str">
        <f>IFERROR(__xludf.DUMMYFUNCTION("""COMPUTED_VALUE"""),"2024 - 2025")</f>
        <v>2024 - 2025</v>
      </c>
      <c r="G425" s="13" t="str">
        <f>IFERROR(__xludf.DUMMYFUNCTION("""COMPUTED_VALUE"""),"2023 - 2024")</f>
        <v>2023 - 2024</v>
      </c>
      <c r="H425" s="13">
        <f>IFERROR(__xludf.DUMMYFUNCTION("""COMPUTED_VALUE"""),99.87)</f>
        <v>99.87</v>
      </c>
      <c r="I425" s="15">
        <f>IFERROR(__xludf.DUMMYFUNCTION("""COMPUTED_VALUE"""),0.12999999999999545)</f>
        <v>0.13</v>
      </c>
    </row>
    <row r="426">
      <c r="A426" s="13" t="str">
        <f>IFERROR(__xludf.DUMMYFUNCTION("""COMPUTED_VALUE"""),"0880")</f>
        <v>0880</v>
      </c>
      <c r="B426" s="13" t="str">
        <f>IFERROR(__xludf.DUMMYFUNCTION("""COMPUTED_VALUE"""),"DENVER COUNTY 1")</f>
        <v>DENVER COUNTY 1</v>
      </c>
      <c r="C426" s="14" t="str">
        <f>IFERROR(__xludf.DUMMYFUNCTION("""COMPUTED_VALUE"""),"09050")</f>
        <v>09050</v>
      </c>
      <c r="D426" s="13" t="str">
        <f>IFERROR(__xludf.DUMMYFUNCTION("""COMPUTED_VALUE"""),"VALVERDE ELEMENTARY SCHOOL")</f>
        <v>VALVERDE ELEMENTARY SCHOOL</v>
      </c>
      <c r="E426" s="13" t="str">
        <f>IFERROR(__xludf.DUMMYFUNCTION("""COMPUTED_VALUE"""),"Group 1")</f>
        <v>Group 1</v>
      </c>
      <c r="F426" s="13" t="str">
        <f>IFERROR(__xludf.DUMMYFUNCTION("""COMPUTED_VALUE"""),"2024 - 2025")</f>
        <v>2024 - 2025</v>
      </c>
      <c r="G426" s="13" t="str">
        <f>IFERROR(__xludf.DUMMYFUNCTION("""COMPUTED_VALUE"""),"2023 - 2024")</f>
        <v>2023 - 2024</v>
      </c>
      <c r="H426" s="13">
        <f>IFERROR(__xludf.DUMMYFUNCTION("""COMPUTED_VALUE"""),99.87)</f>
        <v>99.87</v>
      </c>
      <c r="I426" s="15">
        <f>IFERROR(__xludf.DUMMYFUNCTION("""COMPUTED_VALUE"""),0.12999999999999545)</f>
        <v>0.13</v>
      </c>
    </row>
    <row r="427">
      <c r="A427" s="13" t="str">
        <f>IFERROR(__xludf.DUMMYFUNCTION("""COMPUTED_VALUE"""),"0880")</f>
        <v>0880</v>
      </c>
      <c r="B427" s="13" t="str">
        <f>IFERROR(__xludf.DUMMYFUNCTION("""COMPUTED_VALUE"""),"DENVER COUNTY 1")</f>
        <v>DENVER COUNTY 1</v>
      </c>
      <c r="C427" s="14" t="str">
        <f>IFERROR(__xludf.DUMMYFUNCTION("""COMPUTED_VALUE"""),"09548")</f>
        <v>09548</v>
      </c>
      <c r="D427" s="13" t="str">
        <f>IFERROR(__xludf.DUMMYFUNCTION("""COMPUTED_VALUE"""),"WHITTIER K-8 SCHOOL")</f>
        <v>WHITTIER K-8 SCHOOL</v>
      </c>
      <c r="E427" s="13" t="str">
        <f>IFERROR(__xludf.DUMMYFUNCTION("""COMPUTED_VALUE"""),"Group 1")</f>
        <v>Group 1</v>
      </c>
      <c r="F427" s="13" t="str">
        <f>IFERROR(__xludf.DUMMYFUNCTION("""COMPUTED_VALUE"""),"2024 - 2025")</f>
        <v>2024 - 2025</v>
      </c>
      <c r="G427" s="13" t="str">
        <f>IFERROR(__xludf.DUMMYFUNCTION("""COMPUTED_VALUE"""),"2023 - 2024")</f>
        <v>2023 - 2024</v>
      </c>
      <c r="H427" s="13">
        <f>IFERROR(__xludf.DUMMYFUNCTION("""COMPUTED_VALUE"""),99.87)</f>
        <v>99.87</v>
      </c>
      <c r="I427" s="15">
        <f>IFERROR(__xludf.DUMMYFUNCTION("""COMPUTED_VALUE"""),0.12999999999999545)</f>
        <v>0.13</v>
      </c>
    </row>
    <row r="428">
      <c r="A428" s="13" t="str">
        <f>IFERROR(__xludf.DUMMYFUNCTION("""COMPUTED_VALUE"""),"0880")</f>
        <v>0880</v>
      </c>
      <c r="B428" s="13" t="str">
        <f>IFERROR(__xludf.DUMMYFUNCTION("""COMPUTED_VALUE"""),"DENVER COUNTY 1")</f>
        <v>DENVER COUNTY 1</v>
      </c>
      <c r="C428" s="14" t="str">
        <f>IFERROR(__xludf.DUMMYFUNCTION("""COMPUTED_VALUE"""),"09730")</f>
        <v>09730</v>
      </c>
      <c r="D428" s="13" t="str">
        <f>IFERROR(__xludf.DUMMYFUNCTION("""COMPUTED_VALUE"""),"Rocky Mountain Prep Green Valley Ranch")</f>
        <v>Rocky Mountain Prep Green Valley Ranch</v>
      </c>
      <c r="E428" s="13" t="str">
        <f>IFERROR(__xludf.DUMMYFUNCTION("""COMPUTED_VALUE"""),"Group 1")</f>
        <v>Group 1</v>
      </c>
      <c r="F428" s="13" t="str">
        <f>IFERROR(__xludf.DUMMYFUNCTION("""COMPUTED_VALUE"""),"2024 - 2025")</f>
        <v>2024 - 2025</v>
      </c>
      <c r="G428" s="13" t="str">
        <f>IFERROR(__xludf.DUMMYFUNCTION("""COMPUTED_VALUE"""),"2023 - 2024")</f>
        <v>2023 - 2024</v>
      </c>
      <c r="H428" s="13">
        <f>IFERROR(__xludf.DUMMYFUNCTION("""COMPUTED_VALUE"""),99.87)</f>
        <v>99.87</v>
      </c>
      <c r="I428" s="15">
        <f>IFERROR(__xludf.DUMMYFUNCTION("""COMPUTED_VALUE"""),0.12999999999999545)</f>
        <v>0.13</v>
      </c>
    </row>
    <row r="429">
      <c r="A429" s="13" t="str">
        <f>IFERROR(__xludf.DUMMYFUNCTION("""COMPUTED_VALUE"""),"0880")</f>
        <v>0880</v>
      </c>
      <c r="B429" s="13" t="str">
        <f>IFERROR(__xludf.DUMMYFUNCTION("""COMPUTED_VALUE"""),"DENVER COUNTY 1")</f>
        <v>DENVER COUNTY 1</v>
      </c>
      <c r="C429" s="14" t="str">
        <f>IFERROR(__xludf.DUMMYFUNCTION("""COMPUTED_VALUE"""),"00099")</f>
        <v>00099</v>
      </c>
      <c r="D429" s="13" t="str">
        <f>IFERROR(__xludf.DUMMYFUNCTION("""COMPUTED_VALUE"""),"Academy 360")</f>
        <v>Academy 360</v>
      </c>
      <c r="E429" s="13" t="str">
        <f>IFERROR(__xludf.DUMMYFUNCTION("""COMPUTED_VALUE"""),"Group 1")</f>
        <v>Group 1</v>
      </c>
      <c r="F429" s="13" t="str">
        <f>IFERROR(__xludf.DUMMYFUNCTION("""COMPUTED_VALUE"""),"2024 - 2025")</f>
        <v>2024 - 2025</v>
      </c>
      <c r="G429" s="13" t="str">
        <f>IFERROR(__xludf.DUMMYFUNCTION("""COMPUTED_VALUE"""),"2023 - 2024")</f>
        <v>2023 - 2024</v>
      </c>
      <c r="H429" s="13">
        <f>IFERROR(__xludf.DUMMYFUNCTION("""COMPUTED_VALUE"""),99.87)</f>
        <v>99.87</v>
      </c>
      <c r="I429" s="15">
        <f>IFERROR(__xludf.DUMMYFUNCTION("""COMPUTED_VALUE"""),0.12999999999999545)</f>
        <v>0.13</v>
      </c>
    </row>
    <row r="430">
      <c r="A430" s="13" t="str">
        <f>IFERROR(__xludf.DUMMYFUNCTION("""COMPUTED_VALUE"""),"0880")</f>
        <v>0880</v>
      </c>
      <c r="B430" s="13" t="str">
        <f>IFERROR(__xludf.DUMMYFUNCTION("""COMPUTED_VALUE"""),"DENVER COUNTY 1")</f>
        <v>DENVER COUNTY 1</v>
      </c>
      <c r="C430" s="14" t="str">
        <f>IFERROR(__xludf.DUMMYFUNCTION("""COMPUTED_VALUE"""),"04049")</f>
        <v>04049</v>
      </c>
      <c r="D430" s="13" t="str">
        <f>IFERROR(__xludf.DUMMYFUNCTION("""COMPUTED_VALUE"""),"HIGHLINE ACADEMY NORTHEAST")</f>
        <v>HIGHLINE ACADEMY NORTHEAST</v>
      </c>
      <c r="E430" s="13" t="str">
        <f>IFERROR(__xludf.DUMMYFUNCTION("""COMPUTED_VALUE"""),"Group 1")</f>
        <v>Group 1</v>
      </c>
      <c r="F430" s="13" t="str">
        <f>IFERROR(__xludf.DUMMYFUNCTION("""COMPUTED_VALUE"""),"2024 - 2025")</f>
        <v>2024 - 2025</v>
      </c>
      <c r="G430" s="13" t="str">
        <f>IFERROR(__xludf.DUMMYFUNCTION("""COMPUTED_VALUE"""),"2023 - 2024")</f>
        <v>2023 - 2024</v>
      </c>
      <c r="H430" s="13">
        <f>IFERROR(__xludf.DUMMYFUNCTION("""COMPUTED_VALUE"""),99.87)</f>
        <v>99.87</v>
      </c>
      <c r="I430" s="15">
        <f>IFERROR(__xludf.DUMMYFUNCTION("""COMPUTED_VALUE"""),0.12999999999999545)</f>
        <v>0.13</v>
      </c>
    </row>
    <row r="431">
      <c r="A431" s="13" t="str">
        <f>IFERROR(__xludf.DUMMYFUNCTION("""COMPUTED_VALUE"""),"0880")</f>
        <v>0880</v>
      </c>
      <c r="B431" s="13" t="str">
        <f>IFERROR(__xludf.DUMMYFUNCTION("""COMPUTED_VALUE"""),"DENVER COUNTY 1")</f>
        <v>DENVER COUNTY 1</v>
      </c>
      <c r="C431" s="14" t="str">
        <f>IFERROR(__xludf.DUMMYFUNCTION("""COMPUTED_VALUE"""),"04500")</f>
        <v>04500</v>
      </c>
      <c r="D431" s="13" t="str">
        <f>IFERROR(__xludf.DUMMYFUNCTION("""COMPUTED_VALUE"""),"KIPP NORTHEAST ELEMENTARY")</f>
        <v>KIPP NORTHEAST ELEMENTARY</v>
      </c>
      <c r="E431" s="13" t="str">
        <f>IFERROR(__xludf.DUMMYFUNCTION("""COMPUTED_VALUE"""),"Group 1")</f>
        <v>Group 1</v>
      </c>
      <c r="F431" s="13" t="str">
        <f>IFERROR(__xludf.DUMMYFUNCTION("""COMPUTED_VALUE"""),"2024 - 2025")</f>
        <v>2024 - 2025</v>
      </c>
      <c r="G431" s="13" t="str">
        <f>IFERROR(__xludf.DUMMYFUNCTION("""COMPUTED_VALUE"""),"2023 - 2024")</f>
        <v>2023 - 2024</v>
      </c>
      <c r="H431" s="13">
        <f>IFERROR(__xludf.DUMMYFUNCTION("""COMPUTED_VALUE"""),99.87)</f>
        <v>99.87</v>
      </c>
      <c r="I431" s="15">
        <f>IFERROR(__xludf.DUMMYFUNCTION("""COMPUTED_VALUE"""),0.12999999999999545)</f>
        <v>0.13</v>
      </c>
    </row>
    <row r="432">
      <c r="A432" s="13" t="str">
        <f>IFERROR(__xludf.DUMMYFUNCTION("""COMPUTED_VALUE"""),"0880")</f>
        <v>0880</v>
      </c>
      <c r="B432" s="13" t="str">
        <f>IFERROR(__xludf.DUMMYFUNCTION("""COMPUTED_VALUE"""),"DENVER COUNTY 1")</f>
        <v>DENVER COUNTY 1</v>
      </c>
      <c r="C432" s="14" t="str">
        <f>IFERROR(__xludf.DUMMYFUNCTION("""COMPUTED_VALUE"""),"05973")</f>
        <v>05973</v>
      </c>
      <c r="D432" s="13" t="str">
        <f>IFERROR(__xludf.DUMMYFUNCTION("""COMPUTED_VALUE"""),"Manual Middle School")</f>
        <v>Manual Middle School</v>
      </c>
      <c r="E432" s="13" t="str">
        <f>IFERROR(__xludf.DUMMYFUNCTION("""COMPUTED_VALUE"""),"Group 1")</f>
        <v>Group 1</v>
      </c>
      <c r="F432" s="13" t="str">
        <f>IFERROR(__xludf.DUMMYFUNCTION("""COMPUTED_VALUE"""),"2024 - 2025")</f>
        <v>2024 - 2025</v>
      </c>
      <c r="G432" s="13" t="str">
        <f>IFERROR(__xludf.DUMMYFUNCTION("""COMPUTED_VALUE"""),"2023 - 2024")</f>
        <v>2023 - 2024</v>
      </c>
      <c r="H432" s="13">
        <f>IFERROR(__xludf.DUMMYFUNCTION("""COMPUTED_VALUE"""),99.87)</f>
        <v>99.87</v>
      </c>
      <c r="I432" s="15">
        <f>IFERROR(__xludf.DUMMYFUNCTION("""COMPUTED_VALUE"""),0.12999999999999545)</f>
        <v>0.13</v>
      </c>
    </row>
    <row r="433">
      <c r="A433" s="13" t="str">
        <f>IFERROR(__xludf.DUMMYFUNCTION("""COMPUTED_VALUE"""),"0880")</f>
        <v>0880</v>
      </c>
      <c r="B433" s="13" t="str">
        <f>IFERROR(__xludf.DUMMYFUNCTION("""COMPUTED_VALUE"""),"DENVER COUNTY 1")</f>
        <v>DENVER COUNTY 1</v>
      </c>
      <c r="C433" s="14" t="str">
        <f>IFERROR(__xludf.DUMMYFUNCTION("""COMPUTED_VALUE"""),"04850")</f>
        <v>04850</v>
      </c>
      <c r="D433" s="13" t="str">
        <f>IFERROR(__xludf.DUMMYFUNCTION("""COMPUTED_VALUE"""),"KIPP Sunshine Peak Elementary")</f>
        <v>KIPP Sunshine Peak Elementary</v>
      </c>
      <c r="E433" s="13" t="str">
        <f>IFERROR(__xludf.DUMMYFUNCTION("""COMPUTED_VALUE"""),"Group 1")</f>
        <v>Group 1</v>
      </c>
      <c r="F433" s="13" t="str">
        <f>IFERROR(__xludf.DUMMYFUNCTION("""COMPUTED_VALUE"""),"2024 - 2025")</f>
        <v>2024 - 2025</v>
      </c>
      <c r="G433" s="13" t="str">
        <f>IFERROR(__xludf.DUMMYFUNCTION("""COMPUTED_VALUE"""),"2023 - 2024")</f>
        <v>2023 - 2024</v>
      </c>
      <c r="H433" s="13">
        <f>IFERROR(__xludf.DUMMYFUNCTION("""COMPUTED_VALUE"""),99.87)</f>
        <v>99.87</v>
      </c>
      <c r="I433" s="15">
        <f>IFERROR(__xludf.DUMMYFUNCTION("""COMPUTED_VALUE"""),0.12999999999999545)</f>
        <v>0.13</v>
      </c>
    </row>
    <row r="434">
      <c r="A434" s="13" t="str">
        <f>IFERROR(__xludf.DUMMYFUNCTION("""COMPUTED_VALUE"""),"0880")</f>
        <v>0880</v>
      </c>
      <c r="B434" s="13" t="str">
        <f>IFERROR(__xludf.DUMMYFUNCTION("""COMPUTED_VALUE"""),"DENVER COUNTY 1")</f>
        <v>DENVER COUNTY 1</v>
      </c>
      <c r="C434" s="14" t="str">
        <f>IFERROR(__xludf.DUMMYFUNCTION("""COMPUTED_VALUE"""),"02726")</f>
        <v>02726</v>
      </c>
      <c r="D434" s="13" t="str">
        <f>IFERROR(__xludf.DUMMYFUNCTION("""COMPUTED_VALUE"""),"Emily Griffith High School")</f>
        <v>Emily Griffith High School</v>
      </c>
      <c r="E434" s="13" t="str">
        <f>IFERROR(__xludf.DUMMYFUNCTION("""COMPUTED_VALUE"""),"Group 10")</f>
        <v>Group 10</v>
      </c>
      <c r="F434" s="13" t="str">
        <f>IFERROR(__xludf.DUMMYFUNCTION("""COMPUTED_VALUE"""),"2024 - 2025")</f>
        <v>2024 - 2025</v>
      </c>
      <c r="G434" s="13" t="str">
        <f>IFERROR(__xludf.DUMMYFUNCTION("""COMPUTED_VALUE"""),"2023 - 2024")</f>
        <v>2023 - 2024</v>
      </c>
      <c r="H434" s="13">
        <f>IFERROR(__xludf.DUMMYFUNCTION("""COMPUTED_VALUE"""),89.55)</f>
        <v>89.55</v>
      </c>
      <c r="I434" s="15">
        <f>IFERROR(__xludf.DUMMYFUNCTION("""COMPUTED_VALUE"""),10.450000000000003)</f>
        <v>10.45</v>
      </c>
    </row>
    <row r="435">
      <c r="A435" s="13" t="str">
        <f>IFERROR(__xludf.DUMMYFUNCTION("""COMPUTED_VALUE"""),"0880")</f>
        <v>0880</v>
      </c>
      <c r="B435" s="13" t="str">
        <f>IFERROR(__xludf.DUMMYFUNCTION("""COMPUTED_VALUE"""),"DENVER COUNTY 1")</f>
        <v>DENVER COUNTY 1</v>
      </c>
      <c r="C435" s="14" t="str">
        <f>IFERROR(__xludf.DUMMYFUNCTION("""COMPUTED_VALUE"""),"02209")</f>
        <v>02209</v>
      </c>
      <c r="D435" s="13" t="str">
        <f>IFERROR(__xludf.DUMMYFUNCTION("""COMPUTED_VALUE"""),"MONTBELLO HIGH SCHOOL")</f>
        <v>MONTBELLO HIGH SCHOOL</v>
      </c>
      <c r="E435" s="13" t="str">
        <f>IFERROR(__xludf.DUMMYFUNCTION("""COMPUTED_VALUE"""),"Group 10")</f>
        <v>Group 10</v>
      </c>
      <c r="F435" s="13" t="str">
        <f>IFERROR(__xludf.DUMMYFUNCTION("""COMPUTED_VALUE"""),"2024 - 2025")</f>
        <v>2024 - 2025</v>
      </c>
      <c r="G435" s="13" t="str">
        <f>IFERROR(__xludf.DUMMYFUNCTION("""COMPUTED_VALUE"""),"2023 - 2024")</f>
        <v>2023 - 2024</v>
      </c>
      <c r="H435" s="13">
        <f>IFERROR(__xludf.DUMMYFUNCTION("""COMPUTED_VALUE"""),89.55)</f>
        <v>89.55</v>
      </c>
      <c r="I435" s="15">
        <f>IFERROR(__xludf.DUMMYFUNCTION("""COMPUTED_VALUE"""),10.450000000000003)</f>
        <v>10.45</v>
      </c>
    </row>
    <row r="436">
      <c r="A436" s="13" t="str">
        <f>IFERROR(__xludf.DUMMYFUNCTION("""COMPUTED_VALUE"""),"0880")</f>
        <v>0880</v>
      </c>
      <c r="B436" s="13" t="str">
        <f>IFERROR(__xludf.DUMMYFUNCTION("""COMPUTED_VALUE"""),"DENVER COUNTY 1")</f>
        <v>DENVER COUNTY 1</v>
      </c>
      <c r="C436" s="14" t="str">
        <f>IFERROR(__xludf.DUMMYFUNCTION("""COMPUTED_VALUE"""),"01056")</f>
        <v>01056</v>
      </c>
      <c r="D436" s="13" t="str">
        <f>IFERROR(__xludf.DUMMYFUNCTION("""COMPUTED_VALUE"""),"BROMWELL ELEMENTARY SCHOOL")</f>
        <v>BROMWELL ELEMENTARY SCHOOL</v>
      </c>
      <c r="E436" s="13" t="str">
        <f>IFERROR(__xludf.DUMMYFUNCTION("""COMPUTED_VALUE"""),"Group 11")</f>
        <v>Group 11</v>
      </c>
      <c r="F436" s="13" t="str">
        <f>IFERROR(__xludf.DUMMYFUNCTION("""COMPUTED_VALUE"""),"2024 - 2025")</f>
        <v>2024 - 2025</v>
      </c>
      <c r="G436" s="13" t="str">
        <f>IFERROR(__xludf.DUMMYFUNCTION("""COMPUTED_VALUE"""),"2023 - 2024")</f>
        <v>2023 - 2024</v>
      </c>
      <c r="H436" s="13">
        <f>IFERROR(__xludf.DUMMYFUNCTION("""COMPUTED_VALUE"""),65.94)</f>
        <v>65.94</v>
      </c>
      <c r="I436" s="15">
        <f>IFERROR(__xludf.DUMMYFUNCTION("""COMPUTED_VALUE"""),34.06)</f>
        <v>34.06</v>
      </c>
    </row>
    <row r="437">
      <c r="A437" s="13" t="str">
        <f>IFERROR(__xludf.DUMMYFUNCTION("""COMPUTED_VALUE"""),"0880")</f>
        <v>0880</v>
      </c>
      <c r="B437" s="13" t="str">
        <f>IFERROR(__xludf.DUMMYFUNCTION("""COMPUTED_VALUE"""),"DENVER COUNTY 1")</f>
        <v>DENVER COUNTY 1</v>
      </c>
      <c r="C437" s="14" t="str">
        <f>IFERROR(__xludf.DUMMYFUNCTION("""COMPUTED_VALUE"""),"02183")</f>
        <v>02183</v>
      </c>
      <c r="D437" s="13" t="str">
        <f>IFERROR(__xludf.DUMMYFUNCTION("""COMPUTED_VALUE"""),"DENVER CENTER FOR INTERNATIONAL STUDIES")</f>
        <v>DENVER CENTER FOR INTERNATIONAL STUDIES</v>
      </c>
      <c r="E437" s="13" t="str">
        <f>IFERROR(__xludf.DUMMYFUNCTION("""COMPUTED_VALUE"""),"Group 11")</f>
        <v>Group 11</v>
      </c>
      <c r="F437" s="13" t="str">
        <f>IFERROR(__xludf.DUMMYFUNCTION("""COMPUTED_VALUE"""),"2024 - 2025")</f>
        <v>2024 - 2025</v>
      </c>
      <c r="G437" s="13" t="str">
        <f>IFERROR(__xludf.DUMMYFUNCTION("""COMPUTED_VALUE"""),"2023 - 2024")</f>
        <v>2023 - 2024</v>
      </c>
      <c r="H437" s="13">
        <f>IFERROR(__xludf.DUMMYFUNCTION("""COMPUTED_VALUE"""),65.94)</f>
        <v>65.94</v>
      </c>
      <c r="I437" s="15">
        <f>IFERROR(__xludf.DUMMYFUNCTION("""COMPUTED_VALUE"""),34.06)</f>
        <v>34.06</v>
      </c>
    </row>
    <row r="438">
      <c r="A438" s="13" t="str">
        <f>IFERROR(__xludf.DUMMYFUNCTION("""COMPUTED_VALUE"""),"0880")</f>
        <v>0880</v>
      </c>
      <c r="B438" s="13" t="str">
        <f>IFERROR(__xludf.DUMMYFUNCTION("""COMPUTED_VALUE"""),"DENVER COUNTY 1")</f>
        <v>DENVER COUNTY 1</v>
      </c>
      <c r="C438" s="14" t="str">
        <f>IFERROR(__xludf.DUMMYFUNCTION("""COMPUTED_VALUE"""),"06479")</f>
        <v>06479</v>
      </c>
      <c r="D438" s="13" t="str">
        <f>IFERROR(__xludf.DUMMYFUNCTION("""COMPUTED_VALUE"""),"THE ODYSSEY SCHOOL")</f>
        <v>THE ODYSSEY SCHOOL</v>
      </c>
      <c r="E438" s="13" t="str">
        <f>IFERROR(__xludf.DUMMYFUNCTION("""COMPUTED_VALUE"""),"Group 11")</f>
        <v>Group 11</v>
      </c>
      <c r="F438" s="13" t="str">
        <f>IFERROR(__xludf.DUMMYFUNCTION("""COMPUTED_VALUE"""),"2024 - 2025")</f>
        <v>2024 - 2025</v>
      </c>
      <c r="G438" s="13" t="str">
        <f>IFERROR(__xludf.DUMMYFUNCTION("""COMPUTED_VALUE"""),"2023 - 2024")</f>
        <v>2023 - 2024</v>
      </c>
      <c r="H438" s="13">
        <f>IFERROR(__xludf.DUMMYFUNCTION("""COMPUTED_VALUE"""),65.94)</f>
        <v>65.94</v>
      </c>
      <c r="I438" s="15">
        <f>IFERROR(__xludf.DUMMYFUNCTION("""COMPUTED_VALUE"""),34.06)</f>
        <v>34.06</v>
      </c>
    </row>
    <row r="439">
      <c r="A439" s="13" t="str">
        <f>IFERROR(__xludf.DUMMYFUNCTION("""COMPUTED_VALUE"""),"0880")</f>
        <v>0880</v>
      </c>
      <c r="B439" s="13" t="str">
        <f>IFERROR(__xludf.DUMMYFUNCTION("""COMPUTED_VALUE"""),"DENVER COUNTY 1")</f>
        <v>DENVER COUNTY 1</v>
      </c>
      <c r="C439" s="14" t="str">
        <f>IFERROR(__xludf.DUMMYFUNCTION("""COMPUTED_VALUE"""),"08995")</f>
        <v>08995</v>
      </c>
      <c r="D439" s="13" t="str">
        <f>IFERROR(__xludf.DUMMYFUNCTION("""COMPUTED_VALUE"""),"Vista Academy")</f>
        <v>Vista Academy</v>
      </c>
      <c r="E439" s="13" t="str">
        <f>IFERROR(__xludf.DUMMYFUNCTION("""COMPUTED_VALUE"""),"Group 11")</f>
        <v>Group 11</v>
      </c>
      <c r="F439" s="13" t="str">
        <f>IFERROR(__xludf.DUMMYFUNCTION("""COMPUTED_VALUE"""),"2024 - 2025")</f>
        <v>2024 - 2025</v>
      </c>
      <c r="G439" s="13" t="str">
        <f>IFERROR(__xludf.DUMMYFUNCTION("""COMPUTED_VALUE"""),"2023 - 2024")</f>
        <v>2023 - 2024</v>
      </c>
      <c r="H439" s="13">
        <f>IFERROR(__xludf.DUMMYFUNCTION("""COMPUTED_VALUE"""),65.94)</f>
        <v>65.94</v>
      </c>
      <c r="I439" s="15">
        <f>IFERROR(__xludf.DUMMYFUNCTION("""COMPUTED_VALUE"""),34.06)</f>
        <v>34.06</v>
      </c>
    </row>
    <row r="440">
      <c r="A440" s="13" t="str">
        <f>IFERROR(__xludf.DUMMYFUNCTION("""COMPUTED_VALUE"""),"0880")</f>
        <v>0880</v>
      </c>
      <c r="B440" s="13" t="str">
        <f>IFERROR(__xludf.DUMMYFUNCTION("""COMPUTED_VALUE"""),"DENVER COUNTY 1")</f>
        <v>DENVER COUNTY 1</v>
      </c>
      <c r="C440" s="14" t="str">
        <f>IFERROR(__xludf.DUMMYFUNCTION("""COMPUTED_VALUE"""),"07246")</f>
        <v>07246</v>
      </c>
      <c r="D440" s="13" t="str">
        <f>IFERROR(__xludf.DUMMYFUNCTION("""COMPUTED_VALUE"""),"Respect Academy At Lincoln")</f>
        <v>Respect Academy At Lincoln</v>
      </c>
      <c r="E440" s="13" t="str">
        <f>IFERROR(__xludf.DUMMYFUNCTION("""COMPUTED_VALUE"""),"Group 11")</f>
        <v>Group 11</v>
      </c>
      <c r="F440" s="13" t="str">
        <f>IFERROR(__xludf.DUMMYFUNCTION("""COMPUTED_VALUE"""),"2024 - 2025")</f>
        <v>2024 - 2025</v>
      </c>
      <c r="G440" s="13" t="str">
        <f>IFERROR(__xludf.DUMMYFUNCTION("""COMPUTED_VALUE"""),"2023 - 2024")</f>
        <v>2023 - 2024</v>
      </c>
      <c r="H440" s="13">
        <f>IFERROR(__xludf.DUMMYFUNCTION("""COMPUTED_VALUE"""),65.94)</f>
        <v>65.94</v>
      </c>
      <c r="I440" s="15">
        <f>IFERROR(__xludf.DUMMYFUNCTION("""COMPUTED_VALUE"""),34.06)</f>
        <v>34.06</v>
      </c>
    </row>
    <row r="441">
      <c r="A441" s="13" t="str">
        <f>IFERROR(__xludf.DUMMYFUNCTION("""COMPUTED_VALUE"""),"0880")</f>
        <v>0880</v>
      </c>
      <c r="B441" s="13" t="str">
        <f>IFERROR(__xludf.DUMMYFUNCTION("""COMPUTED_VALUE"""),"DENVER COUNTY 1")</f>
        <v>DENVER COUNTY 1</v>
      </c>
      <c r="C441" s="14" t="str">
        <f>IFERROR(__xludf.DUMMYFUNCTION("""COMPUTED_VALUE"""),"04074")</f>
        <v>04074</v>
      </c>
      <c r="D441" s="13" t="str">
        <f>IFERROR(__xludf.DUMMYFUNCTION("""COMPUTED_VALUE"""),"HOLM ELEMENTARY SCHOOL")</f>
        <v>HOLM ELEMENTARY SCHOOL</v>
      </c>
      <c r="E441" s="13" t="str">
        <f>IFERROR(__xludf.DUMMYFUNCTION("""COMPUTED_VALUE"""),"Group 12")</f>
        <v>Group 12</v>
      </c>
      <c r="F441" s="13" t="str">
        <f>IFERROR(__xludf.DUMMYFUNCTION("""COMPUTED_VALUE"""),"2024 - 2025")</f>
        <v>2024 - 2025</v>
      </c>
      <c r="G441" s="13" t="str">
        <f>IFERROR(__xludf.DUMMYFUNCTION("""COMPUTED_VALUE"""),"2023 - 2024")</f>
        <v>2023 - 2024</v>
      </c>
      <c r="H441" s="13">
        <f>IFERROR(__xludf.DUMMYFUNCTION("""COMPUTED_VALUE"""),88.37)</f>
        <v>88.37</v>
      </c>
      <c r="I441" s="15">
        <f>IFERROR(__xludf.DUMMYFUNCTION("""COMPUTED_VALUE"""),11.629999999999995)</f>
        <v>11.63</v>
      </c>
    </row>
    <row r="442">
      <c r="A442" s="13" t="str">
        <f>IFERROR(__xludf.DUMMYFUNCTION("""COMPUTED_VALUE"""),"0880")</f>
        <v>0880</v>
      </c>
      <c r="B442" s="13" t="str">
        <f>IFERROR(__xludf.DUMMYFUNCTION("""COMPUTED_VALUE"""),"DENVER COUNTY 1")</f>
        <v>DENVER COUNTY 1</v>
      </c>
      <c r="C442" s="14" t="str">
        <f>IFERROR(__xludf.DUMMYFUNCTION("""COMPUTED_VALUE"""),"02175")</f>
        <v>02175</v>
      </c>
      <c r="D442" s="13" t="str">
        <f>IFERROR(__xludf.DUMMYFUNCTION("""COMPUTED_VALUE"""),"DSST: COLE HIGH SCHOOL")</f>
        <v>DSST: COLE HIGH SCHOOL</v>
      </c>
      <c r="E442" s="13" t="str">
        <f>IFERROR(__xludf.DUMMYFUNCTION("""COMPUTED_VALUE"""),"Group 12")</f>
        <v>Group 12</v>
      </c>
      <c r="F442" s="13" t="str">
        <f>IFERROR(__xludf.DUMMYFUNCTION("""COMPUTED_VALUE"""),"2024 - 2025")</f>
        <v>2024 - 2025</v>
      </c>
      <c r="G442" s="13" t="str">
        <f>IFERROR(__xludf.DUMMYFUNCTION("""COMPUTED_VALUE"""),"2023 - 2024")</f>
        <v>2023 - 2024</v>
      </c>
      <c r="H442" s="13">
        <f>IFERROR(__xludf.DUMMYFUNCTION("""COMPUTED_VALUE"""),88.37)</f>
        <v>88.37</v>
      </c>
      <c r="I442" s="15">
        <f>IFERROR(__xludf.DUMMYFUNCTION("""COMPUTED_VALUE"""),11.629999999999995)</f>
        <v>11.63</v>
      </c>
    </row>
    <row r="443">
      <c r="A443" s="13" t="str">
        <f>IFERROR(__xludf.DUMMYFUNCTION("""COMPUTED_VALUE"""),"0880")</f>
        <v>0880</v>
      </c>
      <c r="B443" s="13" t="str">
        <f>IFERROR(__xludf.DUMMYFUNCTION("""COMPUTED_VALUE"""),"DENVER COUNTY 1")</f>
        <v>DENVER COUNTY 1</v>
      </c>
      <c r="C443" s="14" t="str">
        <f>IFERROR(__xludf.DUMMYFUNCTION("""COMPUTED_VALUE"""),"06098")</f>
        <v>06098</v>
      </c>
      <c r="D443" s="13" t="str">
        <f>IFERROR(__xludf.DUMMYFUNCTION("""COMPUTED_VALUE"""),"MOREY MIDDLE SCHOOL")</f>
        <v>MOREY MIDDLE SCHOOL</v>
      </c>
      <c r="E443" s="13" t="str">
        <f>IFERROR(__xludf.DUMMYFUNCTION("""COMPUTED_VALUE"""),"Group 13")</f>
        <v>Group 13</v>
      </c>
      <c r="F443" s="13" t="str">
        <f>IFERROR(__xludf.DUMMYFUNCTION("""COMPUTED_VALUE"""),"2024 - 2025")</f>
        <v>2024 - 2025</v>
      </c>
      <c r="G443" s="13" t="str">
        <f>IFERROR(__xludf.DUMMYFUNCTION("""COMPUTED_VALUE"""),"2023 - 2024")</f>
        <v>2023 - 2024</v>
      </c>
      <c r="H443" s="13">
        <f>IFERROR(__xludf.DUMMYFUNCTION("""COMPUTED_VALUE"""),54.8)</f>
        <v>54.8</v>
      </c>
      <c r="I443" s="15">
        <f>IFERROR(__xludf.DUMMYFUNCTION("""COMPUTED_VALUE"""),45.2)</f>
        <v>45.2</v>
      </c>
    </row>
    <row r="444">
      <c r="A444" s="13" t="str">
        <f>IFERROR(__xludf.DUMMYFUNCTION("""COMPUTED_VALUE"""),"0880")</f>
        <v>0880</v>
      </c>
      <c r="B444" s="13" t="str">
        <f>IFERROR(__xludf.DUMMYFUNCTION("""COMPUTED_VALUE"""),"DENVER COUNTY 1")</f>
        <v>DENVER COUNTY 1</v>
      </c>
      <c r="C444" s="14" t="str">
        <f>IFERROR(__xludf.DUMMYFUNCTION("""COMPUTED_VALUE"""),"01529")</f>
        <v>01529</v>
      </c>
      <c r="D444" s="13" t="str">
        <f>IFERROR(__xludf.DUMMYFUNCTION("""COMPUTED_VALUE"""),"DSST Conservatory Green HS")</f>
        <v>DSST Conservatory Green HS</v>
      </c>
      <c r="E444" s="13" t="str">
        <f>IFERROR(__xludf.DUMMYFUNCTION("""COMPUTED_VALUE"""),"Group 13")</f>
        <v>Group 13</v>
      </c>
      <c r="F444" s="13" t="str">
        <f>IFERROR(__xludf.DUMMYFUNCTION("""COMPUTED_VALUE"""),"2024 - 2025")</f>
        <v>2024 - 2025</v>
      </c>
      <c r="G444" s="13" t="str">
        <f>IFERROR(__xludf.DUMMYFUNCTION("""COMPUTED_VALUE"""),"2023 - 2024")</f>
        <v>2023 - 2024</v>
      </c>
      <c r="H444" s="13">
        <f>IFERROR(__xludf.DUMMYFUNCTION("""COMPUTED_VALUE"""),54.8)</f>
        <v>54.8</v>
      </c>
      <c r="I444" s="15">
        <f>IFERROR(__xludf.DUMMYFUNCTION("""COMPUTED_VALUE"""),45.2)</f>
        <v>45.2</v>
      </c>
    </row>
    <row r="445">
      <c r="A445" s="13" t="str">
        <f>IFERROR(__xludf.DUMMYFUNCTION("""COMPUTED_VALUE"""),"0880")</f>
        <v>0880</v>
      </c>
      <c r="B445" s="13" t="str">
        <f>IFERROR(__xludf.DUMMYFUNCTION("""COMPUTED_VALUE"""),"DENVER COUNTY 1")</f>
        <v>DENVER COUNTY 1</v>
      </c>
      <c r="C445" s="14" t="str">
        <f>IFERROR(__xludf.DUMMYFUNCTION("""COMPUTED_VALUE"""),"02145")</f>
        <v>02145</v>
      </c>
      <c r="D445" s="13" t="str">
        <f>IFERROR(__xludf.DUMMYFUNCTION("""COMPUTED_VALUE"""),"DSST: GREEN VALLEY RANCH HIGH SCHOOL")</f>
        <v>DSST: GREEN VALLEY RANCH HIGH SCHOOL</v>
      </c>
      <c r="E445" s="13" t="str">
        <f>IFERROR(__xludf.DUMMYFUNCTION("""COMPUTED_VALUE"""),"Group 14")</f>
        <v>Group 14</v>
      </c>
      <c r="F445" s="13" t="str">
        <f>IFERROR(__xludf.DUMMYFUNCTION("""COMPUTED_VALUE"""),"2024 - 2025")</f>
        <v>2024 - 2025</v>
      </c>
      <c r="G445" s="13" t="str">
        <f>IFERROR(__xludf.DUMMYFUNCTION("""COMPUTED_VALUE"""),"2023 - 2024")</f>
        <v>2023 - 2024</v>
      </c>
      <c r="H445" s="13">
        <f>IFERROR(__xludf.DUMMYFUNCTION("""COMPUTED_VALUE"""),71.68)</f>
        <v>71.68</v>
      </c>
      <c r="I445" s="15">
        <f>IFERROR(__xludf.DUMMYFUNCTION("""COMPUTED_VALUE"""),28.319999999999993)</f>
        <v>28.32</v>
      </c>
    </row>
    <row r="446">
      <c r="A446" s="13" t="str">
        <f>IFERROR(__xludf.DUMMYFUNCTION("""COMPUTED_VALUE"""),"0880")</f>
        <v>0880</v>
      </c>
      <c r="B446" s="13" t="str">
        <f>IFERROR(__xludf.DUMMYFUNCTION("""COMPUTED_VALUE"""),"DENVER COUNTY 1")</f>
        <v>DENVER COUNTY 1</v>
      </c>
      <c r="C446" s="14" t="str">
        <f>IFERROR(__xludf.DUMMYFUNCTION("""COMPUTED_VALUE"""),"02185")</f>
        <v>02185</v>
      </c>
      <c r="D446" s="13" t="str">
        <f>IFERROR(__xludf.DUMMYFUNCTION("""COMPUTED_VALUE"""),"DSST: Montview HIGH SCHOOL")</f>
        <v>DSST: Montview HIGH SCHOOL</v>
      </c>
      <c r="E446" s="13" t="str">
        <f>IFERROR(__xludf.DUMMYFUNCTION("""COMPUTED_VALUE"""),"Group 15")</f>
        <v>Group 15</v>
      </c>
      <c r="F446" s="13" t="str">
        <f>IFERROR(__xludf.DUMMYFUNCTION("""COMPUTED_VALUE"""),"2024 - 2025")</f>
        <v>2024 - 2025</v>
      </c>
      <c r="G446" s="13" t="str">
        <f>IFERROR(__xludf.DUMMYFUNCTION("""COMPUTED_VALUE"""),"2023 - 2024")</f>
        <v>2023 - 2024</v>
      </c>
      <c r="H446" s="13">
        <f>IFERROR(__xludf.DUMMYFUNCTION("""COMPUTED_VALUE"""),82.0)</f>
        <v>82</v>
      </c>
      <c r="I446" s="15">
        <f>IFERROR(__xludf.DUMMYFUNCTION("""COMPUTED_VALUE"""),18.0)</f>
        <v>18</v>
      </c>
    </row>
    <row r="447">
      <c r="A447" s="13" t="str">
        <f>IFERROR(__xludf.DUMMYFUNCTION("""COMPUTED_VALUE"""),"0880")</f>
        <v>0880</v>
      </c>
      <c r="B447" s="13" t="str">
        <f>IFERROR(__xludf.DUMMYFUNCTION("""COMPUTED_VALUE"""),"DENVER COUNTY 1")</f>
        <v>DENVER COUNTY 1</v>
      </c>
      <c r="C447" s="14" t="str">
        <f>IFERROR(__xludf.DUMMYFUNCTION("""COMPUTED_VALUE"""),"01489")</f>
        <v>01489</v>
      </c>
      <c r="D447" s="13" t="str">
        <f>IFERROR(__xludf.DUMMYFUNCTION("""COMPUTED_VALUE"""),"Compassion Road Academy")</f>
        <v>Compassion Road Academy</v>
      </c>
      <c r="E447" s="13" t="str">
        <f>IFERROR(__xludf.DUMMYFUNCTION("""COMPUTED_VALUE"""),"Group 15")</f>
        <v>Group 15</v>
      </c>
      <c r="F447" s="13" t="str">
        <f>IFERROR(__xludf.DUMMYFUNCTION("""COMPUTED_VALUE"""),"2024 - 2025")</f>
        <v>2024 - 2025</v>
      </c>
      <c r="G447" s="13" t="str">
        <f>IFERROR(__xludf.DUMMYFUNCTION("""COMPUTED_VALUE"""),"2023 - 2024")</f>
        <v>2023 - 2024</v>
      </c>
      <c r="H447" s="13">
        <f>IFERROR(__xludf.DUMMYFUNCTION("""COMPUTED_VALUE"""),82.0)</f>
        <v>82</v>
      </c>
      <c r="I447" s="15">
        <f>IFERROR(__xludf.DUMMYFUNCTION("""COMPUTED_VALUE"""),18.0)</f>
        <v>18</v>
      </c>
    </row>
    <row r="448">
      <c r="A448" s="13" t="str">
        <f>IFERROR(__xludf.DUMMYFUNCTION("""COMPUTED_VALUE"""),"0880")</f>
        <v>0880</v>
      </c>
      <c r="B448" s="13" t="str">
        <f>IFERROR(__xludf.DUMMYFUNCTION("""COMPUTED_VALUE"""),"DENVER COUNTY 1")</f>
        <v>DENVER COUNTY 1</v>
      </c>
      <c r="C448" s="14" t="str">
        <f>IFERROR(__xludf.DUMMYFUNCTION("""COMPUTED_VALUE"""),"02174")</f>
        <v>02174</v>
      </c>
      <c r="D448" s="13" t="str">
        <f>IFERROR(__xludf.DUMMYFUNCTION("""COMPUTED_VALUE"""),"DENISON MONTESSORI SCHOOL")</f>
        <v>DENISON MONTESSORI SCHOOL</v>
      </c>
      <c r="E448" s="13" t="str">
        <f>IFERROR(__xludf.DUMMYFUNCTION("""COMPUTED_VALUE"""),"Group 16")</f>
        <v>Group 16</v>
      </c>
      <c r="F448" s="13" t="str">
        <f>IFERROR(__xludf.DUMMYFUNCTION("""COMPUTED_VALUE"""),"2024 - 2025")</f>
        <v>2024 - 2025</v>
      </c>
      <c r="G448" s="13" t="str">
        <f>IFERROR(__xludf.DUMMYFUNCTION("""COMPUTED_VALUE"""),"2023 - 2024")</f>
        <v>2023 - 2024</v>
      </c>
      <c r="H448" s="13">
        <f>IFERROR(__xludf.DUMMYFUNCTION("""COMPUTED_VALUE"""),73.1)</f>
        <v>73.1</v>
      </c>
      <c r="I448" s="15">
        <f>IFERROR(__xludf.DUMMYFUNCTION("""COMPUTED_VALUE"""),26.900000000000006)</f>
        <v>26.9</v>
      </c>
    </row>
    <row r="449">
      <c r="A449" s="13" t="str">
        <f>IFERROR(__xludf.DUMMYFUNCTION("""COMPUTED_VALUE"""),"0880")</f>
        <v>0880</v>
      </c>
      <c r="B449" s="13" t="str">
        <f>IFERROR(__xludf.DUMMYFUNCTION("""COMPUTED_VALUE"""),"DENVER COUNTY 1")</f>
        <v>DENVER COUNTY 1</v>
      </c>
      <c r="C449" s="14" t="str">
        <f>IFERROR(__xludf.DUMMYFUNCTION("""COMPUTED_VALUE"""),"04444")</f>
        <v>04444</v>
      </c>
      <c r="D449" s="13" t="str">
        <f>IFERROR(__xludf.DUMMYFUNCTION("""COMPUTED_VALUE"""),"JOHN F KENNEDY HIGH SCHOOL")</f>
        <v>JOHN F KENNEDY HIGH SCHOOL</v>
      </c>
      <c r="E449" s="13" t="str">
        <f>IFERROR(__xludf.DUMMYFUNCTION("""COMPUTED_VALUE"""),"Group 16")</f>
        <v>Group 16</v>
      </c>
      <c r="F449" s="13" t="str">
        <f>IFERROR(__xludf.DUMMYFUNCTION("""COMPUTED_VALUE"""),"2024 - 2025")</f>
        <v>2024 - 2025</v>
      </c>
      <c r="G449" s="13" t="str">
        <f>IFERROR(__xludf.DUMMYFUNCTION("""COMPUTED_VALUE"""),"2023 - 2024")</f>
        <v>2023 - 2024</v>
      </c>
      <c r="H449" s="13">
        <f>IFERROR(__xludf.DUMMYFUNCTION("""COMPUTED_VALUE"""),73.1)</f>
        <v>73.1</v>
      </c>
      <c r="I449" s="15">
        <f>IFERROR(__xludf.DUMMYFUNCTION("""COMPUTED_VALUE"""),26.900000000000006)</f>
        <v>26.9</v>
      </c>
    </row>
    <row r="450">
      <c r="A450" s="13" t="str">
        <f>IFERROR(__xludf.DUMMYFUNCTION("""COMPUTED_VALUE"""),"0880")</f>
        <v>0880</v>
      </c>
      <c r="B450" s="13" t="str">
        <f>IFERROR(__xludf.DUMMYFUNCTION("""COMPUTED_VALUE"""),"DENVER COUNTY 1")</f>
        <v>DENVER COUNTY 1</v>
      </c>
      <c r="C450" s="14" t="str">
        <f>IFERROR(__xludf.DUMMYFUNCTION("""COMPUTED_VALUE"""),"08138")</f>
        <v>08138</v>
      </c>
      <c r="D450" s="13" t="str">
        <f>IFERROR(__xludf.DUMMYFUNCTION("""COMPUTED_VALUE"""),"SOUTHMOOR ELEMENTARY SCHOOL")</f>
        <v>SOUTHMOOR ELEMENTARY SCHOOL</v>
      </c>
      <c r="E450" s="13" t="str">
        <f>IFERROR(__xludf.DUMMYFUNCTION("""COMPUTED_VALUE"""),"Group 16")</f>
        <v>Group 16</v>
      </c>
      <c r="F450" s="13" t="str">
        <f>IFERROR(__xludf.DUMMYFUNCTION("""COMPUTED_VALUE"""),"2024 - 2025")</f>
        <v>2024 - 2025</v>
      </c>
      <c r="G450" s="13" t="str">
        <f>IFERROR(__xludf.DUMMYFUNCTION("""COMPUTED_VALUE"""),"2023 - 2024")</f>
        <v>2023 - 2024</v>
      </c>
      <c r="H450" s="13">
        <f>IFERROR(__xludf.DUMMYFUNCTION("""COMPUTED_VALUE"""),73.1)</f>
        <v>73.1</v>
      </c>
      <c r="I450" s="15">
        <f>IFERROR(__xludf.DUMMYFUNCTION("""COMPUTED_VALUE"""),26.900000000000006)</f>
        <v>26.9</v>
      </c>
    </row>
    <row r="451">
      <c r="A451" s="13" t="str">
        <f>IFERROR(__xludf.DUMMYFUNCTION("""COMPUTED_VALUE"""),"0880")</f>
        <v>0880</v>
      </c>
      <c r="B451" s="13" t="str">
        <f>IFERROR(__xludf.DUMMYFUNCTION("""COMPUTED_VALUE"""),"DENVER COUNTY 1")</f>
        <v>DENVER COUNTY 1</v>
      </c>
      <c r="C451" s="14" t="str">
        <f>IFERROR(__xludf.DUMMYFUNCTION("""COMPUTED_VALUE"""),"03990")</f>
        <v>03990</v>
      </c>
      <c r="D451" s="13" t="str">
        <f>IFERROR(__xludf.DUMMYFUNCTION("""COMPUTED_VALUE"""),"HILL CAMPUS OF ARTS AND SCIENCES")</f>
        <v>HILL CAMPUS OF ARTS AND SCIENCES</v>
      </c>
      <c r="E451" s="13" t="str">
        <f>IFERROR(__xludf.DUMMYFUNCTION("""COMPUTED_VALUE"""),"Group 17")</f>
        <v>Group 17</v>
      </c>
      <c r="F451" s="13" t="str">
        <f>IFERROR(__xludf.DUMMYFUNCTION("""COMPUTED_VALUE"""),"2024 - 2025")</f>
        <v>2024 - 2025</v>
      </c>
      <c r="G451" s="13" t="str">
        <f>IFERROR(__xludf.DUMMYFUNCTION("""COMPUTED_VALUE"""),"2023 - 2024")</f>
        <v>2023 - 2024</v>
      </c>
      <c r="H451" s="13">
        <f>IFERROR(__xludf.DUMMYFUNCTION("""COMPUTED_VALUE"""),72.21)</f>
        <v>72.21</v>
      </c>
      <c r="I451" s="15">
        <f>IFERROR(__xludf.DUMMYFUNCTION("""COMPUTED_VALUE"""),27.790000000000006)</f>
        <v>27.79</v>
      </c>
    </row>
    <row r="452">
      <c r="A452" s="13" t="str">
        <f>IFERROR(__xludf.DUMMYFUNCTION("""COMPUTED_VALUE"""),"0880")</f>
        <v>0880</v>
      </c>
      <c r="B452" s="13" t="str">
        <f>IFERROR(__xludf.DUMMYFUNCTION("""COMPUTED_VALUE"""),"DENVER COUNTY 1")</f>
        <v>DENVER COUNTY 1</v>
      </c>
      <c r="C452" s="14" t="str">
        <f>IFERROR(__xludf.DUMMYFUNCTION("""COMPUTED_VALUE"""),"02025")</f>
        <v>02025</v>
      </c>
      <c r="D452" s="13" t="str">
        <f>IFERROR(__xludf.DUMMYFUNCTION("""COMPUTED_VALUE"""),"Robert F. Smith STEAM Academy")</f>
        <v>Robert F. Smith STEAM Academy</v>
      </c>
      <c r="E452" s="13" t="str">
        <f>IFERROR(__xludf.DUMMYFUNCTION("""COMPUTED_VALUE"""),"Group 17")</f>
        <v>Group 17</v>
      </c>
      <c r="F452" s="13" t="str">
        <f>IFERROR(__xludf.DUMMYFUNCTION("""COMPUTED_VALUE"""),"2024 - 2025")</f>
        <v>2024 - 2025</v>
      </c>
      <c r="G452" s="13" t="str">
        <f>IFERROR(__xludf.DUMMYFUNCTION("""COMPUTED_VALUE"""),"2023 - 2024")</f>
        <v>2023 - 2024</v>
      </c>
      <c r="H452" s="13">
        <f>IFERROR(__xludf.DUMMYFUNCTION("""COMPUTED_VALUE"""),72.21)</f>
        <v>72.21</v>
      </c>
      <c r="I452" s="15">
        <f>IFERROR(__xludf.DUMMYFUNCTION("""COMPUTED_VALUE"""),27.790000000000006)</f>
        <v>27.79</v>
      </c>
    </row>
    <row r="453">
      <c r="A453" s="13" t="str">
        <f>IFERROR(__xludf.DUMMYFUNCTION("""COMPUTED_VALUE"""),"0880")</f>
        <v>0880</v>
      </c>
      <c r="B453" s="13" t="str">
        <f>IFERROR(__xludf.DUMMYFUNCTION("""COMPUTED_VALUE"""),"DENVER COUNTY 1")</f>
        <v>DENVER COUNTY 1</v>
      </c>
      <c r="C453" s="14" t="str">
        <f>IFERROR(__xludf.DUMMYFUNCTION("""COMPUTED_VALUE"""),"03378")</f>
        <v>03378</v>
      </c>
      <c r="D453" s="13" t="str">
        <f>IFERROR(__xludf.DUMMYFUNCTION("""COMPUTED_VALUE"""),"GEORGE WASHINGTON HIGH SCHOOL")</f>
        <v>GEORGE WASHINGTON HIGH SCHOOL</v>
      </c>
      <c r="E453" s="13" t="str">
        <f>IFERROR(__xludf.DUMMYFUNCTION("""COMPUTED_VALUE"""),"Group 18")</f>
        <v>Group 18</v>
      </c>
      <c r="F453" s="13" t="str">
        <f>IFERROR(__xludf.DUMMYFUNCTION("""COMPUTED_VALUE"""),"2024 - 2025")</f>
        <v>2024 - 2025</v>
      </c>
      <c r="G453" s="13" t="str">
        <f>IFERROR(__xludf.DUMMYFUNCTION("""COMPUTED_VALUE"""),"2023 - 2024")</f>
        <v>2023 - 2024</v>
      </c>
      <c r="H453" s="13">
        <f>IFERROR(__xludf.DUMMYFUNCTION("""COMPUTED_VALUE"""),64.24)</f>
        <v>64.24</v>
      </c>
      <c r="I453" s="15">
        <f>IFERROR(__xludf.DUMMYFUNCTION("""COMPUTED_VALUE"""),35.760000000000005)</f>
        <v>35.76</v>
      </c>
    </row>
    <row r="454">
      <c r="A454" s="13" t="str">
        <f>IFERROR(__xludf.DUMMYFUNCTION("""COMPUTED_VALUE"""),"0880")</f>
        <v>0880</v>
      </c>
      <c r="B454" s="13" t="str">
        <f>IFERROR(__xludf.DUMMYFUNCTION("""COMPUTED_VALUE"""),"DENVER COUNTY 1")</f>
        <v>DENVER COUNTY 1</v>
      </c>
      <c r="C454" s="14" t="str">
        <f>IFERROR(__xludf.DUMMYFUNCTION("""COMPUTED_VALUE"""),"00010")</f>
        <v>00010</v>
      </c>
      <c r="D454" s="13" t="str">
        <f>IFERROR(__xludf.DUMMYFUNCTION("""COMPUTED_VALUE"""),"ABRAHAM LINCOLN HIGH SCHOOL")</f>
        <v>ABRAHAM LINCOLN HIGH SCHOOL</v>
      </c>
      <c r="E454" s="13" t="str">
        <f>IFERROR(__xludf.DUMMYFUNCTION("""COMPUTED_VALUE"""),"Group 19")</f>
        <v>Group 19</v>
      </c>
      <c r="F454" s="13" t="str">
        <f>IFERROR(__xludf.DUMMYFUNCTION("""COMPUTED_VALUE"""),"2024 - 2025")</f>
        <v>2024 - 2025</v>
      </c>
      <c r="G454" s="13" t="str">
        <f>IFERROR(__xludf.DUMMYFUNCTION("""COMPUTED_VALUE"""),"2023 - 2024")</f>
        <v>2023 - 2024</v>
      </c>
      <c r="H454" s="13">
        <f>IFERROR(__xludf.DUMMYFUNCTION("""COMPUTED_VALUE"""),83.49)</f>
        <v>83.49</v>
      </c>
      <c r="I454" s="15">
        <f>IFERROR(__xludf.DUMMYFUNCTION("""COMPUTED_VALUE"""),16.510000000000005)</f>
        <v>16.51</v>
      </c>
    </row>
    <row r="455">
      <c r="A455" s="13" t="str">
        <f>IFERROR(__xludf.DUMMYFUNCTION("""COMPUTED_VALUE"""),"0880")</f>
        <v>0880</v>
      </c>
      <c r="B455" s="13" t="str">
        <f>IFERROR(__xludf.DUMMYFUNCTION("""COMPUTED_VALUE"""),"DENVER COUNTY 1")</f>
        <v>DENVER COUNTY 1</v>
      </c>
      <c r="C455" s="14" t="str">
        <f>IFERROR(__xludf.DUMMYFUNCTION("""COMPUTED_VALUE"""),"02181")</f>
        <v>02181</v>
      </c>
      <c r="D455" s="13" t="str">
        <f>IFERROR(__xludf.DUMMYFUNCTION("""COMPUTED_VALUE"""),"DSST: Green Valley Ranch Middle School")</f>
        <v>DSST: Green Valley Ranch Middle School</v>
      </c>
      <c r="E455" s="13" t="str">
        <f>IFERROR(__xludf.DUMMYFUNCTION("""COMPUTED_VALUE"""),"Group 19")</f>
        <v>Group 19</v>
      </c>
      <c r="F455" s="13" t="str">
        <f>IFERROR(__xludf.DUMMYFUNCTION("""COMPUTED_VALUE"""),"2024 - 2025")</f>
        <v>2024 - 2025</v>
      </c>
      <c r="G455" s="13" t="str">
        <f>IFERROR(__xludf.DUMMYFUNCTION("""COMPUTED_VALUE"""),"2023 - 2024")</f>
        <v>2023 - 2024</v>
      </c>
      <c r="H455" s="13">
        <f>IFERROR(__xludf.DUMMYFUNCTION("""COMPUTED_VALUE"""),83.49)</f>
        <v>83.49</v>
      </c>
      <c r="I455" s="15">
        <f>IFERROR(__xludf.DUMMYFUNCTION("""COMPUTED_VALUE"""),16.510000000000005)</f>
        <v>16.51</v>
      </c>
    </row>
    <row r="456">
      <c r="A456" s="13" t="str">
        <f>IFERROR(__xludf.DUMMYFUNCTION("""COMPUTED_VALUE"""),"0880")</f>
        <v>0880</v>
      </c>
      <c r="B456" s="13" t="str">
        <f>IFERROR(__xludf.DUMMYFUNCTION("""COMPUTED_VALUE"""),"DENVER COUNTY 1")</f>
        <v>DENVER COUNTY 1</v>
      </c>
      <c r="C456" s="14" t="str">
        <f>IFERROR(__xludf.DUMMYFUNCTION("""COMPUTED_VALUE"""),"02213")</f>
        <v>02213</v>
      </c>
      <c r="D456" s="13" t="str">
        <f>IFERROR(__xludf.DUMMYFUNCTION("""COMPUTED_VALUE"""),"Montbello Middle School")</f>
        <v>Montbello Middle School</v>
      </c>
      <c r="E456" s="13" t="str">
        <f>IFERROR(__xludf.DUMMYFUNCTION("""COMPUTED_VALUE"""),"Group 19")</f>
        <v>Group 19</v>
      </c>
      <c r="F456" s="13" t="str">
        <f>IFERROR(__xludf.DUMMYFUNCTION("""COMPUTED_VALUE"""),"2024 - 2025")</f>
        <v>2024 - 2025</v>
      </c>
      <c r="G456" s="13" t="str">
        <f>IFERROR(__xludf.DUMMYFUNCTION("""COMPUTED_VALUE"""),"2023 - 2024")</f>
        <v>2023 - 2024</v>
      </c>
      <c r="H456" s="13">
        <f>IFERROR(__xludf.DUMMYFUNCTION("""COMPUTED_VALUE"""),83.49)</f>
        <v>83.49</v>
      </c>
      <c r="I456" s="15">
        <f>IFERROR(__xludf.DUMMYFUNCTION("""COMPUTED_VALUE"""),16.510000000000005)</f>
        <v>16.51</v>
      </c>
    </row>
    <row r="457">
      <c r="A457" s="13" t="str">
        <f>IFERROR(__xludf.DUMMYFUNCTION("""COMPUTED_VALUE"""),"0880")</f>
        <v>0880</v>
      </c>
      <c r="B457" s="13" t="str">
        <f>IFERROR(__xludf.DUMMYFUNCTION("""COMPUTED_VALUE"""),"DENVER COUNTY 1")</f>
        <v>DENVER COUNTY 1</v>
      </c>
      <c r="C457" s="14" t="str">
        <f>IFERROR(__xludf.DUMMYFUNCTION("""COMPUTED_VALUE"""),"01319")</f>
        <v>01319</v>
      </c>
      <c r="D457" s="13" t="str">
        <f>IFERROR(__xludf.DUMMYFUNCTION("""COMPUTED_VALUE"""),"CEC MIDDLE COLLEGE OF DENVER")</f>
        <v>CEC MIDDLE COLLEGE OF DENVER</v>
      </c>
      <c r="E457" s="13" t="str">
        <f>IFERROR(__xludf.DUMMYFUNCTION("""COMPUTED_VALUE"""),"Group 2")</f>
        <v>Group 2</v>
      </c>
      <c r="F457" s="13" t="str">
        <f>IFERROR(__xludf.DUMMYFUNCTION("""COMPUTED_VALUE"""),"2024 - 2025")</f>
        <v>2024 - 2025</v>
      </c>
      <c r="G457" s="13" t="str">
        <f>IFERROR(__xludf.DUMMYFUNCTION("""COMPUTED_VALUE"""),"2023 - 2024")</f>
        <v>2023 - 2024</v>
      </c>
      <c r="H457" s="13">
        <f>IFERROR(__xludf.DUMMYFUNCTION("""COMPUTED_VALUE"""),68.38)</f>
        <v>68.38</v>
      </c>
      <c r="I457" s="15">
        <f>IFERROR(__xludf.DUMMYFUNCTION("""COMPUTED_VALUE"""),31.620000000000005)</f>
        <v>31.62</v>
      </c>
    </row>
    <row r="458">
      <c r="A458" s="13" t="str">
        <f>IFERROR(__xludf.DUMMYFUNCTION("""COMPUTED_VALUE"""),"0880")</f>
        <v>0880</v>
      </c>
      <c r="B458" s="13" t="str">
        <f>IFERROR(__xludf.DUMMYFUNCTION("""COMPUTED_VALUE"""),"DENVER COUNTY 1")</f>
        <v>DENVER COUNTY 1</v>
      </c>
      <c r="C458" s="14" t="str">
        <f>IFERROR(__xludf.DUMMYFUNCTION("""COMPUTED_VALUE"""),"08970")</f>
        <v>08970</v>
      </c>
      <c r="D458" s="13" t="str">
        <f>IFERROR(__xludf.DUMMYFUNCTION("""COMPUTED_VALUE"""),"UNIVERSITY PARK ELEMENTARY SCHOOL")</f>
        <v>UNIVERSITY PARK ELEMENTARY SCHOOL</v>
      </c>
      <c r="E458" s="13" t="str">
        <f>IFERROR(__xludf.DUMMYFUNCTION("""COMPUTED_VALUE"""),"Group 2")</f>
        <v>Group 2</v>
      </c>
      <c r="F458" s="13" t="str">
        <f>IFERROR(__xludf.DUMMYFUNCTION("""COMPUTED_VALUE"""),"2024 - 2025")</f>
        <v>2024 - 2025</v>
      </c>
      <c r="G458" s="13" t="str">
        <f>IFERROR(__xludf.DUMMYFUNCTION("""COMPUTED_VALUE"""),"2023 - 2024")</f>
        <v>2023 - 2024</v>
      </c>
      <c r="H458" s="13">
        <f>IFERROR(__xludf.DUMMYFUNCTION("""COMPUTED_VALUE"""),68.38)</f>
        <v>68.38</v>
      </c>
      <c r="I458" s="15">
        <f>IFERROR(__xludf.DUMMYFUNCTION("""COMPUTED_VALUE"""),31.620000000000005)</f>
        <v>31.62</v>
      </c>
    </row>
    <row r="459">
      <c r="A459" s="13" t="str">
        <f>IFERROR(__xludf.DUMMYFUNCTION("""COMPUTED_VALUE"""),"0880")</f>
        <v>0880</v>
      </c>
      <c r="B459" s="13" t="str">
        <f>IFERROR(__xludf.DUMMYFUNCTION("""COMPUTED_VALUE"""),"DENVER COUNTY 1")</f>
        <v>DENVER COUNTY 1</v>
      </c>
      <c r="C459" s="14" t="str">
        <f>IFERROR(__xludf.DUMMYFUNCTION("""COMPUTED_VALUE"""),"04513")</f>
        <v>04513</v>
      </c>
      <c r="D459" s="13" t="str">
        <f>IFERROR(__xludf.DUMMYFUNCTION("""COMPUTED_VALUE"""),"Kepner Beacon Middle School")</f>
        <v>Kepner Beacon Middle School</v>
      </c>
      <c r="E459" s="13" t="str">
        <f>IFERROR(__xludf.DUMMYFUNCTION("""COMPUTED_VALUE"""),"Group 20")</f>
        <v>Group 20</v>
      </c>
      <c r="F459" s="13" t="str">
        <f>IFERROR(__xludf.DUMMYFUNCTION("""COMPUTED_VALUE"""),"2024 - 2025")</f>
        <v>2024 - 2025</v>
      </c>
      <c r="G459" s="13" t="str">
        <f>IFERROR(__xludf.DUMMYFUNCTION("""COMPUTED_VALUE"""),"2023 - 2024")</f>
        <v>2023 - 2024</v>
      </c>
      <c r="H459" s="13">
        <f>IFERROR(__xludf.DUMMYFUNCTION("""COMPUTED_VALUE"""),86.22)</f>
        <v>86.22</v>
      </c>
      <c r="I459" s="15">
        <f>IFERROR(__xludf.DUMMYFUNCTION("""COMPUTED_VALUE"""),13.780000000000001)</f>
        <v>13.78</v>
      </c>
    </row>
    <row r="460">
      <c r="A460" s="13" t="str">
        <f>IFERROR(__xludf.DUMMYFUNCTION("""COMPUTED_VALUE"""),"0880")</f>
        <v>0880</v>
      </c>
      <c r="B460" s="13" t="str">
        <f>IFERROR(__xludf.DUMMYFUNCTION("""COMPUTED_VALUE"""),"DENVER COUNTY 1")</f>
        <v>DENVER COUNTY 1</v>
      </c>
      <c r="C460" s="14" t="str">
        <f>IFERROR(__xludf.DUMMYFUNCTION("""COMPUTED_VALUE"""),"02125")</f>
        <v>02125</v>
      </c>
      <c r="D460" s="13" t="str">
        <f>IFERROR(__xludf.DUMMYFUNCTION("""COMPUTED_VALUE"""),"DENVER GREEN SCHOOL SOUTHEAST")</f>
        <v>DENVER GREEN SCHOOL SOUTHEAST</v>
      </c>
      <c r="E460" s="13" t="str">
        <f>IFERROR(__xludf.DUMMYFUNCTION("""COMPUTED_VALUE"""),"Group 21")</f>
        <v>Group 21</v>
      </c>
      <c r="F460" s="13" t="str">
        <f>IFERROR(__xludf.DUMMYFUNCTION("""COMPUTED_VALUE"""),"2024 - 2025")</f>
        <v>2024 - 2025</v>
      </c>
      <c r="G460" s="13" t="str">
        <f>IFERROR(__xludf.DUMMYFUNCTION("""COMPUTED_VALUE"""),"2023 - 2024")</f>
        <v>2023 - 2024</v>
      </c>
      <c r="H460" s="13">
        <f>IFERROR(__xludf.DUMMYFUNCTION("""COMPUTED_VALUE"""),77.41)</f>
        <v>77.41</v>
      </c>
      <c r="I460" s="15">
        <f>IFERROR(__xludf.DUMMYFUNCTION("""COMPUTED_VALUE"""),22.590000000000003)</f>
        <v>22.59</v>
      </c>
    </row>
    <row r="461">
      <c r="A461" s="13" t="str">
        <f>IFERROR(__xludf.DUMMYFUNCTION("""COMPUTED_VALUE"""),"0880")</f>
        <v>0880</v>
      </c>
      <c r="B461" s="13" t="str">
        <f>IFERROR(__xludf.DUMMYFUNCTION("""COMPUTED_VALUE"""),"DENVER COUNTY 1")</f>
        <v>DENVER COUNTY 1</v>
      </c>
      <c r="C461" s="14" t="str">
        <f>IFERROR(__xludf.DUMMYFUNCTION("""COMPUTED_VALUE"""),"00418")</f>
        <v>00418</v>
      </c>
      <c r="D461" s="13" t="str">
        <f>IFERROR(__xludf.DUMMYFUNCTION("""COMPUTED_VALUE"""),"ASHLEY ELEMENTARY SCHOOL")</f>
        <v>ASHLEY ELEMENTARY SCHOOL</v>
      </c>
      <c r="E461" s="13" t="str">
        <f>IFERROR(__xludf.DUMMYFUNCTION("""COMPUTED_VALUE"""),"Group 22")</f>
        <v>Group 22</v>
      </c>
      <c r="F461" s="13" t="str">
        <f>IFERROR(__xludf.DUMMYFUNCTION("""COMPUTED_VALUE"""),"2024 - 2025")</f>
        <v>2024 - 2025</v>
      </c>
      <c r="G461" s="13" t="str">
        <f>IFERROR(__xludf.DUMMYFUNCTION("""COMPUTED_VALUE"""),"2023 - 2024")</f>
        <v>2023 - 2024</v>
      </c>
      <c r="H461" s="13">
        <f>IFERROR(__xludf.DUMMYFUNCTION("""COMPUTED_VALUE"""),88.62)</f>
        <v>88.62</v>
      </c>
      <c r="I461" s="15">
        <f>IFERROR(__xludf.DUMMYFUNCTION("""COMPUTED_VALUE"""),11.379999999999995)</f>
        <v>11.38</v>
      </c>
    </row>
    <row r="462">
      <c r="A462" s="13" t="str">
        <f>IFERROR(__xludf.DUMMYFUNCTION("""COMPUTED_VALUE"""),"0880")</f>
        <v>0880</v>
      </c>
      <c r="B462" s="13" t="str">
        <f>IFERROR(__xludf.DUMMYFUNCTION("""COMPUTED_VALUE"""),"DENVER COUNTY 1")</f>
        <v>DENVER COUNTY 1</v>
      </c>
      <c r="C462" s="14" t="str">
        <f>IFERROR(__xludf.DUMMYFUNCTION("""COMPUTED_VALUE"""),"01528")</f>
        <v>01528</v>
      </c>
      <c r="D462" s="13" t="str">
        <f>IFERROR(__xludf.DUMMYFUNCTION("""COMPUTED_VALUE"""),"CHELTENHAM ELEMENTARY SCHOOL")</f>
        <v>CHELTENHAM ELEMENTARY SCHOOL</v>
      </c>
      <c r="E462" s="13" t="str">
        <f>IFERROR(__xludf.DUMMYFUNCTION("""COMPUTED_VALUE"""),"Group 23")</f>
        <v>Group 23</v>
      </c>
      <c r="F462" s="13" t="str">
        <f>IFERROR(__xludf.DUMMYFUNCTION("""COMPUTED_VALUE"""),"2024 - 2025")</f>
        <v>2024 - 2025</v>
      </c>
      <c r="G462" s="13" t="str">
        <f>IFERROR(__xludf.DUMMYFUNCTION("""COMPUTED_VALUE"""),"2023 - 2024")</f>
        <v>2023 - 2024</v>
      </c>
      <c r="H462" s="13">
        <f>IFERROR(__xludf.DUMMYFUNCTION("""COMPUTED_VALUE"""),99.23)</f>
        <v>99.23</v>
      </c>
      <c r="I462" s="15">
        <f>IFERROR(__xludf.DUMMYFUNCTION("""COMPUTED_VALUE"""),0.769999999999996)</f>
        <v>0.77</v>
      </c>
    </row>
    <row r="463">
      <c r="A463" s="13" t="str">
        <f>IFERROR(__xludf.DUMMYFUNCTION("""COMPUTED_VALUE"""),"0880")</f>
        <v>0880</v>
      </c>
      <c r="B463" s="13" t="str">
        <f>IFERROR(__xludf.DUMMYFUNCTION("""COMPUTED_VALUE"""),"DENVER COUNTY 1")</f>
        <v>DENVER COUNTY 1</v>
      </c>
      <c r="C463" s="14" t="str">
        <f>IFERROR(__xludf.DUMMYFUNCTION("""COMPUTED_VALUE"""),"01846")</f>
        <v>01846</v>
      </c>
      <c r="D463" s="13" t="str">
        <f>IFERROR(__xludf.DUMMYFUNCTION("""COMPUTED_VALUE"""),"COLUMBINE ELEMENTARY SCHOOL")</f>
        <v>COLUMBINE ELEMENTARY SCHOOL</v>
      </c>
      <c r="E463" s="13" t="str">
        <f>IFERROR(__xludf.DUMMYFUNCTION("""COMPUTED_VALUE"""),"Group 23")</f>
        <v>Group 23</v>
      </c>
      <c r="F463" s="13" t="str">
        <f>IFERROR(__xludf.DUMMYFUNCTION("""COMPUTED_VALUE"""),"2024 - 2025")</f>
        <v>2024 - 2025</v>
      </c>
      <c r="G463" s="13" t="str">
        <f>IFERROR(__xludf.DUMMYFUNCTION("""COMPUTED_VALUE"""),"2023 - 2024")</f>
        <v>2023 - 2024</v>
      </c>
      <c r="H463" s="13">
        <f>IFERROR(__xludf.DUMMYFUNCTION("""COMPUTED_VALUE"""),99.23)</f>
        <v>99.23</v>
      </c>
      <c r="I463" s="15">
        <f>IFERROR(__xludf.DUMMYFUNCTION("""COMPUTED_VALUE"""),0.769999999999996)</f>
        <v>0.77</v>
      </c>
    </row>
    <row r="464">
      <c r="A464" s="13" t="str">
        <f>IFERROR(__xludf.DUMMYFUNCTION("""COMPUTED_VALUE"""),"0880")</f>
        <v>0880</v>
      </c>
      <c r="B464" s="13" t="str">
        <f>IFERROR(__xludf.DUMMYFUNCTION("""COMPUTED_VALUE"""),"DENVER COUNTY 1")</f>
        <v>DENVER COUNTY 1</v>
      </c>
      <c r="C464" s="14" t="str">
        <f>IFERROR(__xludf.DUMMYFUNCTION("""COMPUTED_VALUE"""),"02223")</f>
        <v>02223</v>
      </c>
      <c r="D464" s="13" t="str">
        <f>IFERROR(__xludf.DUMMYFUNCTION("""COMPUTED_VALUE"""),"DSST: COLE MIDDLE SCHOOL")</f>
        <v>DSST: COLE MIDDLE SCHOOL</v>
      </c>
      <c r="E464" s="13" t="str">
        <f>IFERROR(__xludf.DUMMYFUNCTION("""COMPUTED_VALUE"""),"Group 23")</f>
        <v>Group 23</v>
      </c>
      <c r="F464" s="13" t="str">
        <f>IFERROR(__xludf.DUMMYFUNCTION("""COMPUTED_VALUE"""),"2024 - 2025")</f>
        <v>2024 - 2025</v>
      </c>
      <c r="G464" s="13" t="str">
        <f>IFERROR(__xludf.DUMMYFUNCTION("""COMPUTED_VALUE"""),"2023 - 2024")</f>
        <v>2023 - 2024</v>
      </c>
      <c r="H464" s="13">
        <f>IFERROR(__xludf.DUMMYFUNCTION("""COMPUTED_VALUE"""),99.23)</f>
        <v>99.23</v>
      </c>
      <c r="I464" s="15">
        <f>IFERROR(__xludf.DUMMYFUNCTION("""COMPUTED_VALUE"""),0.769999999999996)</f>
        <v>0.77</v>
      </c>
    </row>
    <row r="465">
      <c r="A465" s="13" t="str">
        <f>IFERROR(__xludf.DUMMYFUNCTION("""COMPUTED_VALUE"""),"0880")</f>
        <v>0880</v>
      </c>
      <c r="B465" s="13" t="str">
        <f>IFERROR(__xludf.DUMMYFUNCTION("""COMPUTED_VALUE"""),"DENVER COUNTY 1")</f>
        <v>DENVER COUNTY 1</v>
      </c>
      <c r="C465" s="14" t="str">
        <f>IFERROR(__xludf.DUMMYFUNCTION("""COMPUTED_VALUE"""),"03296")</f>
        <v>03296</v>
      </c>
      <c r="D465" s="13" t="str">
        <f>IFERROR(__xludf.DUMMYFUNCTION("""COMPUTED_VALUE"""),"GARDEN PLACE ELEMENTARY SCHOOL")</f>
        <v>GARDEN PLACE ELEMENTARY SCHOOL</v>
      </c>
      <c r="E465" s="13" t="str">
        <f>IFERROR(__xludf.DUMMYFUNCTION("""COMPUTED_VALUE"""),"Group 23")</f>
        <v>Group 23</v>
      </c>
      <c r="F465" s="13" t="str">
        <f>IFERROR(__xludf.DUMMYFUNCTION("""COMPUTED_VALUE"""),"2024 - 2025")</f>
        <v>2024 - 2025</v>
      </c>
      <c r="G465" s="13" t="str">
        <f>IFERROR(__xludf.DUMMYFUNCTION("""COMPUTED_VALUE"""),"2023 - 2024")</f>
        <v>2023 - 2024</v>
      </c>
      <c r="H465" s="13">
        <f>IFERROR(__xludf.DUMMYFUNCTION("""COMPUTED_VALUE"""),99.23)</f>
        <v>99.23</v>
      </c>
      <c r="I465" s="15">
        <f>IFERROR(__xludf.DUMMYFUNCTION("""COMPUTED_VALUE"""),0.769999999999996)</f>
        <v>0.77</v>
      </c>
    </row>
    <row r="466">
      <c r="A466" s="13" t="str">
        <f>IFERROR(__xludf.DUMMYFUNCTION("""COMPUTED_VALUE"""),"0880")</f>
        <v>0880</v>
      </c>
      <c r="B466" s="13" t="str">
        <f>IFERROR(__xludf.DUMMYFUNCTION("""COMPUTED_VALUE"""),"DENVER COUNTY 1")</f>
        <v>DENVER COUNTY 1</v>
      </c>
      <c r="C466" s="14" t="str">
        <f>IFERROR(__xludf.DUMMYFUNCTION("""COMPUTED_VALUE"""),"04795")</f>
        <v>04795</v>
      </c>
      <c r="D466" s="13" t="str">
        <f>IFERROR(__xludf.DUMMYFUNCTION("""COMPUTED_VALUE"""),"KUNSMILLER CREATIVE ARTS ACADEMY")</f>
        <v>KUNSMILLER CREATIVE ARTS ACADEMY</v>
      </c>
      <c r="E466" s="13" t="str">
        <f>IFERROR(__xludf.DUMMYFUNCTION("""COMPUTED_VALUE"""),"Group 23")</f>
        <v>Group 23</v>
      </c>
      <c r="F466" s="13" t="str">
        <f>IFERROR(__xludf.DUMMYFUNCTION("""COMPUTED_VALUE"""),"2024 - 2025")</f>
        <v>2024 - 2025</v>
      </c>
      <c r="G466" s="13" t="str">
        <f>IFERROR(__xludf.DUMMYFUNCTION("""COMPUTED_VALUE"""),"2023 - 2024")</f>
        <v>2023 - 2024</v>
      </c>
      <c r="H466" s="13">
        <f>IFERROR(__xludf.DUMMYFUNCTION("""COMPUTED_VALUE"""),99.23)</f>
        <v>99.23</v>
      </c>
      <c r="I466" s="15">
        <f>IFERROR(__xludf.DUMMYFUNCTION("""COMPUTED_VALUE"""),0.769999999999996)</f>
        <v>0.77</v>
      </c>
    </row>
    <row r="467">
      <c r="A467" s="13" t="str">
        <f>IFERROR(__xludf.DUMMYFUNCTION("""COMPUTED_VALUE"""),"0880")</f>
        <v>0880</v>
      </c>
      <c r="B467" s="13" t="str">
        <f>IFERROR(__xludf.DUMMYFUNCTION("""COMPUTED_VALUE"""),"DENVER COUNTY 1")</f>
        <v>DENVER COUNTY 1</v>
      </c>
      <c r="C467" s="14" t="str">
        <f>IFERROR(__xludf.DUMMYFUNCTION("""COMPUTED_VALUE"""),"05255")</f>
        <v>05255</v>
      </c>
      <c r="D467" s="13" t="str">
        <f>IFERROR(__xludf.DUMMYFUNCTION("""COMPUTED_VALUE"""),"LAKE INTERNATIONAL SCHOOL")</f>
        <v>LAKE INTERNATIONAL SCHOOL</v>
      </c>
      <c r="E467" s="13" t="str">
        <f>IFERROR(__xludf.DUMMYFUNCTION("""COMPUTED_VALUE"""),"Group 23")</f>
        <v>Group 23</v>
      </c>
      <c r="F467" s="13" t="str">
        <f>IFERROR(__xludf.DUMMYFUNCTION("""COMPUTED_VALUE"""),"2024 - 2025")</f>
        <v>2024 - 2025</v>
      </c>
      <c r="G467" s="13" t="str">
        <f>IFERROR(__xludf.DUMMYFUNCTION("""COMPUTED_VALUE"""),"2023 - 2024")</f>
        <v>2023 - 2024</v>
      </c>
      <c r="H467" s="13">
        <f>IFERROR(__xludf.DUMMYFUNCTION("""COMPUTED_VALUE"""),99.23)</f>
        <v>99.23</v>
      </c>
      <c r="I467" s="15">
        <f>IFERROR(__xludf.DUMMYFUNCTION("""COMPUTED_VALUE"""),0.769999999999996)</f>
        <v>0.77</v>
      </c>
    </row>
    <row r="468">
      <c r="A468" s="13" t="str">
        <f>IFERROR(__xludf.DUMMYFUNCTION("""COMPUTED_VALUE"""),"0880")</f>
        <v>0880</v>
      </c>
      <c r="B468" s="13" t="str">
        <f>IFERROR(__xludf.DUMMYFUNCTION("""COMPUTED_VALUE"""),"DENVER COUNTY 1")</f>
        <v>DENVER COUNTY 1</v>
      </c>
      <c r="C468" s="14" t="str">
        <f>IFERROR(__xludf.DUMMYFUNCTION("""COMPUTED_VALUE"""),"04732")</f>
        <v>04732</v>
      </c>
      <c r="D468" s="13" t="str">
        <f>IFERROR(__xludf.DUMMYFUNCTION("""COMPUTED_VALUE"""),"KIPP: SUNSHINE PEAK ACADEMY")</f>
        <v>KIPP: SUNSHINE PEAK ACADEMY</v>
      </c>
      <c r="E468" s="13" t="str">
        <f>IFERROR(__xludf.DUMMYFUNCTION("""COMPUTED_VALUE"""),"Group 23")</f>
        <v>Group 23</v>
      </c>
      <c r="F468" s="13" t="str">
        <f>IFERROR(__xludf.DUMMYFUNCTION("""COMPUTED_VALUE"""),"2024 - 2025")</f>
        <v>2024 - 2025</v>
      </c>
      <c r="G468" s="13" t="str">
        <f>IFERROR(__xludf.DUMMYFUNCTION("""COMPUTED_VALUE"""),"2023 - 2024")</f>
        <v>2023 - 2024</v>
      </c>
      <c r="H468" s="13">
        <f>IFERROR(__xludf.DUMMYFUNCTION("""COMPUTED_VALUE"""),99.23)</f>
        <v>99.23</v>
      </c>
      <c r="I468" s="15">
        <f>IFERROR(__xludf.DUMMYFUNCTION("""COMPUTED_VALUE"""),0.769999999999996)</f>
        <v>0.77</v>
      </c>
    </row>
    <row r="469">
      <c r="A469" s="13" t="str">
        <f>IFERROR(__xludf.DUMMYFUNCTION("""COMPUTED_VALUE"""),"0880")</f>
        <v>0880</v>
      </c>
      <c r="B469" s="13" t="str">
        <f>IFERROR(__xludf.DUMMYFUNCTION("""COMPUTED_VALUE"""),"DENVER COUNTY 1")</f>
        <v>DENVER COUNTY 1</v>
      </c>
      <c r="C469" s="14" t="str">
        <f>IFERROR(__xludf.DUMMYFUNCTION("""COMPUTED_VALUE"""),"00655")</f>
        <v>00655</v>
      </c>
      <c r="D469" s="13" t="str">
        <f>IFERROR(__xludf.DUMMYFUNCTION("""COMPUTED_VALUE"""),"High Point Academy")</f>
        <v>High Point Academy</v>
      </c>
      <c r="E469" s="13" t="str">
        <f>IFERROR(__xludf.DUMMYFUNCTION("""COMPUTED_VALUE"""),"Group 23")</f>
        <v>Group 23</v>
      </c>
      <c r="F469" s="13" t="str">
        <f>IFERROR(__xludf.DUMMYFUNCTION("""COMPUTED_VALUE"""),"2024 - 2025")</f>
        <v>2024 - 2025</v>
      </c>
      <c r="G469" s="13" t="str">
        <f>IFERROR(__xludf.DUMMYFUNCTION("""COMPUTED_VALUE"""),"2023 - 2024")</f>
        <v>2023 - 2024</v>
      </c>
      <c r="H469" s="13">
        <f>IFERROR(__xludf.DUMMYFUNCTION("""COMPUTED_VALUE"""),99.23)</f>
        <v>99.23</v>
      </c>
      <c r="I469" s="15">
        <f>IFERROR(__xludf.DUMMYFUNCTION("""COMPUTED_VALUE"""),0.769999999999996)</f>
        <v>0.77</v>
      </c>
    </row>
    <row r="470">
      <c r="A470" s="13" t="str">
        <f>IFERROR(__xludf.DUMMYFUNCTION("""COMPUTED_VALUE"""),"0880")</f>
        <v>0880</v>
      </c>
      <c r="B470" s="13" t="str">
        <f>IFERROR(__xludf.DUMMYFUNCTION("""COMPUTED_VALUE"""),"DENVER COUNTY 1")</f>
        <v>DENVER COUNTY 1</v>
      </c>
      <c r="C470" s="14" t="str">
        <f>IFERROR(__xludf.DUMMYFUNCTION("""COMPUTED_VALUE"""),"04730")</f>
        <v>04730</v>
      </c>
      <c r="D470" s="13" t="str">
        <f>IFERROR(__xludf.DUMMYFUNCTION("""COMPUTED_VALUE"""),"KIPP DENVER COLLEGIATE HIGH SCHOOL")</f>
        <v>KIPP DENVER COLLEGIATE HIGH SCHOOL</v>
      </c>
      <c r="E470" s="13" t="str">
        <f>IFERROR(__xludf.DUMMYFUNCTION("""COMPUTED_VALUE"""),"Group 24")</f>
        <v>Group 24</v>
      </c>
      <c r="F470" s="13" t="str">
        <f>IFERROR(__xludf.DUMMYFUNCTION("""COMPUTED_VALUE"""),"2024 - 2025")</f>
        <v>2024 - 2025</v>
      </c>
      <c r="G470" s="13" t="str">
        <f>IFERROR(__xludf.DUMMYFUNCTION("""COMPUTED_VALUE"""),"2023 - 2024")</f>
        <v>2023 - 2024</v>
      </c>
      <c r="H470" s="13">
        <f>IFERROR(__xludf.DUMMYFUNCTION("""COMPUTED_VALUE"""),65.3)</f>
        <v>65.3</v>
      </c>
      <c r="I470" s="15">
        <f>IFERROR(__xludf.DUMMYFUNCTION("""COMPUTED_VALUE"""),34.7)</f>
        <v>34.7</v>
      </c>
    </row>
    <row r="471">
      <c r="A471" s="13" t="str">
        <f>IFERROR(__xludf.DUMMYFUNCTION("""COMPUTED_VALUE"""),"0880")</f>
        <v>0880</v>
      </c>
      <c r="B471" s="13" t="str">
        <f>IFERROR(__xludf.DUMMYFUNCTION("""COMPUTED_VALUE"""),"DENVER COUNTY 1")</f>
        <v>DENVER COUNTY 1</v>
      </c>
      <c r="C471" s="14" t="str">
        <f>IFERROR(__xludf.DUMMYFUNCTION("""COMPUTED_VALUE"""),"07942")</f>
        <v>07942</v>
      </c>
      <c r="D471" s="13" t="str">
        <f>IFERROR(__xludf.DUMMYFUNCTION("""COMPUTED_VALUE"""),"SKINNER MIDDLE SCHOOL")</f>
        <v>SKINNER MIDDLE SCHOOL</v>
      </c>
      <c r="E471" s="13" t="str">
        <f>IFERROR(__xludf.DUMMYFUNCTION("""COMPUTED_VALUE"""),"Group 24")</f>
        <v>Group 24</v>
      </c>
      <c r="F471" s="13" t="str">
        <f>IFERROR(__xludf.DUMMYFUNCTION("""COMPUTED_VALUE"""),"2024 - 2025")</f>
        <v>2024 - 2025</v>
      </c>
      <c r="G471" s="13" t="str">
        <f>IFERROR(__xludf.DUMMYFUNCTION("""COMPUTED_VALUE"""),"2023 - 2024")</f>
        <v>2023 - 2024</v>
      </c>
      <c r="H471" s="13">
        <f>IFERROR(__xludf.DUMMYFUNCTION("""COMPUTED_VALUE"""),65.3)</f>
        <v>65.3</v>
      </c>
      <c r="I471" s="15">
        <f>IFERROR(__xludf.DUMMYFUNCTION("""COMPUTED_VALUE"""),34.7)</f>
        <v>34.7</v>
      </c>
    </row>
    <row r="472">
      <c r="A472" s="13" t="str">
        <f>IFERROR(__xludf.DUMMYFUNCTION("""COMPUTED_VALUE"""),"0880")</f>
        <v>0880</v>
      </c>
      <c r="B472" s="13" t="str">
        <f>IFERROR(__xludf.DUMMYFUNCTION("""COMPUTED_VALUE"""),"DENVER COUNTY 1")</f>
        <v>DENVER COUNTY 1</v>
      </c>
      <c r="C472" s="14" t="str">
        <f>IFERROR(__xludf.DUMMYFUNCTION("""COMPUTED_VALUE"""),"08149")</f>
        <v>08149</v>
      </c>
      <c r="D472" s="13" t="str">
        <f>IFERROR(__xludf.DUMMYFUNCTION("""COMPUTED_VALUE"""),"Stephen Knight Center for Early Education")</f>
        <v>Stephen Knight Center for Early Education</v>
      </c>
      <c r="E472" s="13" t="str">
        <f>IFERROR(__xludf.DUMMYFUNCTION("""COMPUTED_VALUE"""),"Group 24")</f>
        <v>Group 24</v>
      </c>
      <c r="F472" s="13" t="str">
        <f>IFERROR(__xludf.DUMMYFUNCTION("""COMPUTED_VALUE"""),"2024 - 2025")</f>
        <v>2024 - 2025</v>
      </c>
      <c r="G472" s="13" t="str">
        <f>IFERROR(__xludf.DUMMYFUNCTION("""COMPUTED_VALUE"""),"2023 - 2024")</f>
        <v>2023 - 2024</v>
      </c>
      <c r="H472" s="13">
        <f>IFERROR(__xludf.DUMMYFUNCTION("""COMPUTED_VALUE"""),65.3)</f>
        <v>65.3</v>
      </c>
      <c r="I472" s="15">
        <f>IFERROR(__xludf.DUMMYFUNCTION("""COMPUTED_VALUE"""),34.7)</f>
        <v>34.7</v>
      </c>
    </row>
    <row r="473">
      <c r="A473" s="13" t="str">
        <f>IFERROR(__xludf.DUMMYFUNCTION("""COMPUTED_VALUE"""),"0880")</f>
        <v>0880</v>
      </c>
      <c r="B473" s="13" t="str">
        <f>IFERROR(__xludf.DUMMYFUNCTION("""COMPUTED_VALUE"""),"DENVER COUNTY 1")</f>
        <v>DENVER COUNTY 1</v>
      </c>
      <c r="C473" s="14" t="str">
        <f>IFERROR(__xludf.DUMMYFUNCTION("""COMPUTED_VALUE"""),"02167")</f>
        <v>02167</v>
      </c>
      <c r="D473" s="13" t="str">
        <f>IFERROR(__xludf.DUMMYFUNCTION("""COMPUTED_VALUE"""),"Denver Public Montessori Junior/Senior High School")</f>
        <v>Denver Public Montessori Junior/Senior High School</v>
      </c>
      <c r="E473" s="13" t="str">
        <f>IFERROR(__xludf.DUMMYFUNCTION("""COMPUTED_VALUE"""),"Group 24")</f>
        <v>Group 24</v>
      </c>
      <c r="F473" s="13" t="str">
        <f>IFERROR(__xludf.DUMMYFUNCTION("""COMPUTED_VALUE"""),"2024 - 2025")</f>
        <v>2024 - 2025</v>
      </c>
      <c r="G473" s="13" t="str">
        <f>IFERROR(__xludf.DUMMYFUNCTION("""COMPUTED_VALUE"""),"2023 - 2024")</f>
        <v>2023 - 2024</v>
      </c>
      <c r="H473" s="13">
        <f>IFERROR(__xludf.DUMMYFUNCTION("""COMPUTED_VALUE"""),65.3)</f>
        <v>65.3</v>
      </c>
      <c r="I473" s="15">
        <f>IFERROR(__xludf.DUMMYFUNCTION("""COMPUTED_VALUE"""),34.7)</f>
        <v>34.7</v>
      </c>
    </row>
    <row r="474">
      <c r="A474" s="13" t="str">
        <f>IFERROR(__xludf.DUMMYFUNCTION("""COMPUTED_VALUE"""),"0880")</f>
        <v>0880</v>
      </c>
      <c r="B474" s="13" t="str">
        <f>IFERROR(__xludf.DUMMYFUNCTION("""COMPUTED_VALUE"""),"DENVER COUNTY 1")</f>
        <v>DENVER COUNTY 1</v>
      </c>
      <c r="C474" s="14" t="str">
        <f>IFERROR(__xludf.DUMMYFUNCTION("""COMPUTED_VALUE"""),"04213")</f>
        <v>04213</v>
      </c>
      <c r="D474" s="13" t="str">
        <f>IFERROR(__xludf.DUMMYFUNCTION("""COMPUTED_VALUE"""),"Isabella Bird Community School")</f>
        <v>Isabella Bird Community School</v>
      </c>
      <c r="E474" s="13" t="str">
        <f>IFERROR(__xludf.DUMMYFUNCTION("""COMPUTED_VALUE"""),"Group 24")</f>
        <v>Group 24</v>
      </c>
      <c r="F474" s="13" t="str">
        <f>IFERROR(__xludf.DUMMYFUNCTION("""COMPUTED_VALUE"""),"2024 - 2025")</f>
        <v>2024 - 2025</v>
      </c>
      <c r="G474" s="13" t="str">
        <f>IFERROR(__xludf.DUMMYFUNCTION("""COMPUTED_VALUE"""),"2023 - 2024")</f>
        <v>2023 - 2024</v>
      </c>
      <c r="H474" s="13">
        <f>IFERROR(__xludf.DUMMYFUNCTION("""COMPUTED_VALUE"""),65.3)</f>
        <v>65.3</v>
      </c>
      <c r="I474" s="15">
        <f>IFERROR(__xludf.DUMMYFUNCTION("""COMPUTED_VALUE"""),34.7)</f>
        <v>34.7</v>
      </c>
    </row>
    <row r="475">
      <c r="A475" s="13" t="str">
        <f>IFERROR(__xludf.DUMMYFUNCTION("""COMPUTED_VALUE"""),"0880")</f>
        <v>0880</v>
      </c>
      <c r="B475" s="13" t="str">
        <f>IFERROR(__xludf.DUMMYFUNCTION("""COMPUTED_VALUE"""),"DENVER COUNTY 1")</f>
        <v>DENVER COUNTY 1</v>
      </c>
      <c r="C475" s="14" t="str">
        <f>IFERROR(__xludf.DUMMYFUNCTION("""COMPUTED_VALUE"""),"05044")</f>
        <v>05044</v>
      </c>
      <c r="D475" s="13" t="str">
        <f>IFERROR(__xludf.DUMMYFUNCTION("""COMPUTED_VALUE"""),"LEGACY OPTIONS HIGH SCHOOL")</f>
        <v>LEGACY OPTIONS HIGH SCHOOL</v>
      </c>
      <c r="E475" s="13" t="str">
        <f>IFERROR(__xludf.DUMMYFUNCTION("""COMPUTED_VALUE"""),"Group 24")</f>
        <v>Group 24</v>
      </c>
      <c r="F475" s="13" t="str">
        <f>IFERROR(__xludf.DUMMYFUNCTION("""COMPUTED_VALUE"""),"2024 - 2025")</f>
        <v>2024 - 2025</v>
      </c>
      <c r="G475" s="13" t="str">
        <f>IFERROR(__xludf.DUMMYFUNCTION("""COMPUTED_VALUE"""),"2023 - 2024")</f>
        <v>2023 - 2024</v>
      </c>
      <c r="H475" s="13">
        <f>IFERROR(__xludf.DUMMYFUNCTION("""COMPUTED_VALUE"""),65.3)</f>
        <v>65.3</v>
      </c>
      <c r="I475" s="15">
        <f>IFERROR(__xludf.DUMMYFUNCTION("""COMPUTED_VALUE"""),34.7)</f>
        <v>34.7</v>
      </c>
    </row>
    <row r="476">
      <c r="A476" s="13" t="str">
        <f>IFERROR(__xludf.DUMMYFUNCTION("""COMPUTED_VALUE"""),"0880")</f>
        <v>0880</v>
      </c>
      <c r="B476" s="13" t="str">
        <f>IFERROR(__xludf.DUMMYFUNCTION("""COMPUTED_VALUE"""),"DENVER COUNTY 1")</f>
        <v>DENVER COUNTY 1</v>
      </c>
      <c r="C476" s="14" t="str">
        <f>IFERROR(__xludf.DUMMYFUNCTION("""COMPUTED_VALUE"""),"03987")</f>
        <v>03987</v>
      </c>
      <c r="D476" s="13" t="str">
        <f>IFERROR(__xludf.DUMMYFUNCTION("""COMPUTED_VALUE"""),"HIGHLINE ACADEMY CHARTER SCHOOL")</f>
        <v>HIGHLINE ACADEMY CHARTER SCHOOL</v>
      </c>
      <c r="E476" s="13" t="str">
        <f>IFERROR(__xludf.DUMMYFUNCTION("""COMPUTED_VALUE"""),"Group 25")</f>
        <v>Group 25</v>
      </c>
      <c r="F476" s="13" t="str">
        <f>IFERROR(__xludf.DUMMYFUNCTION("""COMPUTED_VALUE"""),"2024 - 2025")</f>
        <v>2024 - 2025</v>
      </c>
      <c r="G476" s="13" t="str">
        <f>IFERROR(__xludf.DUMMYFUNCTION("""COMPUTED_VALUE"""),"2023 - 2024")</f>
        <v>2023 - 2024</v>
      </c>
      <c r="H476" s="13">
        <f>IFERROR(__xludf.DUMMYFUNCTION("""COMPUTED_VALUE"""),84.62)</f>
        <v>84.62</v>
      </c>
      <c r="I476" s="15">
        <f>IFERROR(__xludf.DUMMYFUNCTION("""COMPUTED_VALUE"""),15.379999999999995)</f>
        <v>15.38</v>
      </c>
    </row>
    <row r="477">
      <c r="A477" s="13" t="str">
        <f>IFERROR(__xludf.DUMMYFUNCTION("""COMPUTED_VALUE"""),"0880")</f>
        <v>0880</v>
      </c>
      <c r="B477" s="13" t="str">
        <f>IFERROR(__xludf.DUMMYFUNCTION("""COMPUTED_VALUE"""),"DENVER COUNTY 1")</f>
        <v>DENVER COUNTY 1</v>
      </c>
      <c r="C477" s="14" t="str">
        <f>IFERROR(__xludf.DUMMYFUNCTION("""COMPUTED_VALUE"""),"08145")</f>
        <v>08145</v>
      </c>
      <c r="D477" s="13" t="str">
        <f>IFERROR(__xludf.DUMMYFUNCTION("""COMPUTED_VALUE"""),"SUMMIT ACADEMY")</f>
        <v>SUMMIT ACADEMY</v>
      </c>
      <c r="E477" s="13" t="str">
        <f>IFERROR(__xludf.DUMMYFUNCTION("""COMPUTED_VALUE"""),"Group 25")</f>
        <v>Group 25</v>
      </c>
      <c r="F477" s="13" t="str">
        <f>IFERROR(__xludf.DUMMYFUNCTION("""COMPUTED_VALUE"""),"2024 - 2025")</f>
        <v>2024 - 2025</v>
      </c>
      <c r="G477" s="13" t="str">
        <f>IFERROR(__xludf.DUMMYFUNCTION("""COMPUTED_VALUE"""),"2023 - 2024")</f>
        <v>2023 - 2024</v>
      </c>
      <c r="H477" s="13">
        <f>IFERROR(__xludf.DUMMYFUNCTION("""COMPUTED_VALUE"""),84.62)</f>
        <v>84.62</v>
      </c>
      <c r="I477" s="15">
        <f>IFERROR(__xludf.DUMMYFUNCTION("""COMPUTED_VALUE"""),15.379999999999995)</f>
        <v>15.38</v>
      </c>
    </row>
    <row r="478">
      <c r="A478" s="13" t="str">
        <f>IFERROR(__xludf.DUMMYFUNCTION("""COMPUTED_VALUE"""),"0880")</f>
        <v>0880</v>
      </c>
      <c r="B478" s="13" t="str">
        <f>IFERROR(__xludf.DUMMYFUNCTION("""COMPUTED_VALUE"""),"DENVER COUNTY 1")</f>
        <v>DENVER COUNTY 1</v>
      </c>
      <c r="C478" s="14" t="str">
        <f>IFERROR(__xludf.DUMMYFUNCTION("""COMPUTED_VALUE"""),"03540")</f>
        <v>03540</v>
      </c>
      <c r="D478" s="13" t="str">
        <f>IFERROR(__xludf.DUMMYFUNCTION("""COMPUTED_VALUE"""),"Girls Athletic Leadership School High School")</f>
        <v>Girls Athletic Leadership School High School</v>
      </c>
      <c r="E478" s="13" t="str">
        <f>IFERROR(__xludf.DUMMYFUNCTION("""COMPUTED_VALUE"""),"Group 25")</f>
        <v>Group 25</v>
      </c>
      <c r="F478" s="13" t="str">
        <f>IFERROR(__xludf.DUMMYFUNCTION("""COMPUTED_VALUE"""),"2024 - 2025")</f>
        <v>2024 - 2025</v>
      </c>
      <c r="G478" s="13" t="str">
        <f>IFERROR(__xludf.DUMMYFUNCTION("""COMPUTED_VALUE"""),"2023 - 2024")</f>
        <v>2023 - 2024</v>
      </c>
      <c r="H478" s="13">
        <f>IFERROR(__xludf.DUMMYFUNCTION("""COMPUTED_VALUE"""),84.62)</f>
        <v>84.62</v>
      </c>
      <c r="I478" s="15">
        <f>IFERROR(__xludf.DUMMYFUNCTION("""COMPUTED_VALUE"""),15.379999999999995)</f>
        <v>15.38</v>
      </c>
    </row>
    <row r="479">
      <c r="A479" s="13" t="str">
        <f>IFERROR(__xludf.DUMMYFUNCTION("""COMPUTED_VALUE"""),"0880")</f>
        <v>0880</v>
      </c>
      <c r="B479" s="13" t="str">
        <f>IFERROR(__xludf.DUMMYFUNCTION("""COMPUTED_VALUE"""),"DENVER COUNTY 1")</f>
        <v>DENVER COUNTY 1</v>
      </c>
      <c r="C479" s="14" t="str">
        <f>IFERROR(__xludf.DUMMYFUNCTION("""COMPUTED_VALUE"""),"02244")</f>
        <v>02244</v>
      </c>
      <c r="D479" s="13" t="str">
        <f>IFERROR(__xludf.DUMMYFUNCTION("""COMPUTED_VALUE"""),"DSST COLLEGE VIEW HIGH SCHOOL")</f>
        <v>DSST COLLEGE VIEW HIGH SCHOOL</v>
      </c>
      <c r="E479" s="13" t="str">
        <f>IFERROR(__xludf.DUMMYFUNCTION("""COMPUTED_VALUE"""),"Group 25")</f>
        <v>Group 25</v>
      </c>
      <c r="F479" s="13" t="str">
        <f>IFERROR(__xludf.DUMMYFUNCTION("""COMPUTED_VALUE"""),"2024 - 2025")</f>
        <v>2024 - 2025</v>
      </c>
      <c r="G479" s="13" t="str">
        <f>IFERROR(__xludf.DUMMYFUNCTION("""COMPUTED_VALUE"""),"2023 - 2024")</f>
        <v>2023 - 2024</v>
      </c>
      <c r="H479" s="13">
        <f>IFERROR(__xludf.DUMMYFUNCTION("""COMPUTED_VALUE"""),84.62)</f>
        <v>84.62</v>
      </c>
      <c r="I479" s="15">
        <f>IFERROR(__xludf.DUMMYFUNCTION("""COMPUTED_VALUE"""),15.379999999999995)</f>
        <v>15.38</v>
      </c>
    </row>
    <row r="480">
      <c r="A480" s="13" t="str">
        <f>IFERROR(__xludf.DUMMYFUNCTION("""COMPUTED_VALUE"""),"0880")</f>
        <v>0880</v>
      </c>
      <c r="B480" s="13" t="str">
        <f>IFERROR(__xludf.DUMMYFUNCTION("""COMPUTED_VALUE"""),"DENVER COUNTY 1")</f>
        <v>DENVER COUNTY 1</v>
      </c>
      <c r="C480" s="14" t="str">
        <f>IFERROR(__xludf.DUMMYFUNCTION("""COMPUTED_VALUE"""),"08888")</f>
        <v>08888</v>
      </c>
      <c r="D480" s="13" t="str">
        <f>IFERROR(__xludf.DUMMYFUNCTION("""COMPUTED_VALUE"""),"TRAYLOR ACADEMY")</f>
        <v>TRAYLOR ACADEMY</v>
      </c>
      <c r="E480" s="13" t="str">
        <f>IFERROR(__xludf.DUMMYFUNCTION("""COMPUTED_VALUE"""),"Group 26")</f>
        <v>Group 26</v>
      </c>
      <c r="F480" s="13" t="str">
        <f>IFERROR(__xludf.DUMMYFUNCTION("""COMPUTED_VALUE"""),"2024 - 2025")</f>
        <v>2024 - 2025</v>
      </c>
      <c r="G480" s="13" t="str">
        <f>IFERROR(__xludf.DUMMYFUNCTION("""COMPUTED_VALUE"""),"2023 - 2024")</f>
        <v>2023 - 2024</v>
      </c>
      <c r="H480" s="13">
        <f>IFERROR(__xludf.DUMMYFUNCTION("""COMPUTED_VALUE"""),91.65)</f>
        <v>91.65</v>
      </c>
      <c r="I480" s="15">
        <f>IFERROR(__xludf.DUMMYFUNCTION("""COMPUTED_VALUE"""),8.349999999999994)</f>
        <v>8.35</v>
      </c>
    </row>
    <row r="481">
      <c r="A481" s="13" t="str">
        <f>IFERROR(__xludf.DUMMYFUNCTION("""COMPUTED_VALUE"""),"0880")</f>
        <v>0880</v>
      </c>
      <c r="B481" s="13" t="str">
        <f>IFERROR(__xludf.DUMMYFUNCTION("""COMPUTED_VALUE"""),"DENVER COUNTY 1")</f>
        <v>DENVER COUNTY 1</v>
      </c>
      <c r="C481" s="14" t="str">
        <f>IFERROR(__xludf.DUMMYFUNCTION("""COMPUTED_VALUE"""),"03704")</f>
        <v>03704</v>
      </c>
      <c r="D481" s="13" t="str">
        <f>IFERROR(__xludf.DUMMYFUNCTION("""COMPUTED_VALUE"""),"GUST ELEMENTARY SCHOOL")</f>
        <v>GUST ELEMENTARY SCHOOL</v>
      </c>
      <c r="E481" s="13" t="str">
        <f>IFERROR(__xludf.DUMMYFUNCTION("""COMPUTED_VALUE"""),"Group 27")</f>
        <v>Group 27</v>
      </c>
      <c r="F481" s="13" t="str">
        <f>IFERROR(__xludf.DUMMYFUNCTION("""COMPUTED_VALUE"""),"2024 - 2025")</f>
        <v>2024 - 2025</v>
      </c>
      <c r="G481" s="13" t="str">
        <f>IFERROR(__xludf.DUMMYFUNCTION("""COMPUTED_VALUE"""),"2023 - 2024")</f>
        <v>2023 - 2024</v>
      </c>
      <c r="H481" s="13">
        <f>IFERROR(__xludf.DUMMYFUNCTION("""COMPUTED_VALUE"""),97.23)</f>
        <v>97.23</v>
      </c>
      <c r="I481" s="15">
        <f>IFERROR(__xludf.DUMMYFUNCTION("""COMPUTED_VALUE"""),2.769999999999996)</f>
        <v>2.77</v>
      </c>
    </row>
    <row r="482">
      <c r="A482" s="13" t="str">
        <f>IFERROR(__xludf.DUMMYFUNCTION("""COMPUTED_VALUE"""),"0880")</f>
        <v>0880</v>
      </c>
      <c r="B482" s="13" t="str">
        <f>IFERROR(__xludf.DUMMYFUNCTION("""COMPUTED_VALUE"""),"DENVER COUNTY 1")</f>
        <v>DENVER COUNTY 1</v>
      </c>
      <c r="C482" s="14" t="str">
        <f>IFERROR(__xludf.DUMMYFUNCTION("""COMPUTED_VALUE"""),"04381")</f>
        <v>04381</v>
      </c>
      <c r="D482" s="13" t="str">
        <f>IFERROR(__xludf.DUMMYFUNCTION("""COMPUTED_VALUE"""),"DSST: COLLEGE VIEW MIDDLE SCHOOL")</f>
        <v>DSST: COLLEGE VIEW MIDDLE SCHOOL</v>
      </c>
      <c r="E482" s="13" t="str">
        <f>IFERROR(__xludf.DUMMYFUNCTION("""COMPUTED_VALUE"""),"Group 27")</f>
        <v>Group 27</v>
      </c>
      <c r="F482" s="13" t="str">
        <f>IFERROR(__xludf.DUMMYFUNCTION("""COMPUTED_VALUE"""),"2024 - 2025")</f>
        <v>2024 - 2025</v>
      </c>
      <c r="G482" s="13" t="str">
        <f>IFERROR(__xludf.DUMMYFUNCTION("""COMPUTED_VALUE"""),"2023 - 2024")</f>
        <v>2023 - 2024</v>
      </c>
      <c r="H482" s="13">
        <f>IFERROR(__xludf.DUMMYFUNCTION("""COMPUTED_VALUE"""),97.23)</f>
        <v>97.23</v>
      </c>
      <c r="I482" s="15">
        <f>IFERROR(__xludf.DUMMYFUNCTION("""COMPUTED_VALUE"""),2.769999999999996)</f>
        <v>2.77</v>
      </c>
    </row>
    <row r="483">
      <c r="A483" s="13" t="str">
        <f>IFERROR(__xludf.DUMMYFUNCTION("""COMPUTED_VALUE"""),"0880")</f>
        <v>0880</v>
      </c>
      <c r="B483" s="13" t="str">
        <f>IFERROR(__xludf.DUMMYFUNCTION("""COMPUTED_VALUE"""),"DENVER COUNTY 1")</f>
        <v>DENVER COUNTY 1</v>
      </c>
      <c r="C483" s="14" t="str">
        <f>IFERROR(__xludf.DUMMYFUNCTION("""COMPUTED_VALUE"""),"00220")</f>
        <v>00220</v>
      </c>
      <c r="D483" s="13" t="str">
        <f>IFERROR(__xludf.DUMMYFUNCTION("""COMPUTED_VALUE"""),"John H. Amesse Elementary")</f>
        <v>John H. Amesse Elementary</v>
      </c>
      <c r="E483" s="13" t="str">
        <f>IFERROR(__xludf.DUMMYFUNCTION("""COMPUTED_VALUE"""),"Group 28")</f>
        <v>Group 28</v>
      </c>
      <c r="F483" s="13" t="str">
        <f>IFERROR(__xludf.DUMMYFUNCTION("""COMPUTED_VALUE"""),"2024 - 2025")</f>
        <v>2024 - 2025</v>
      </c>
      <c r="G483" s="13" t="str">
        <f>IFERROR(__xludf.DUMMYFUNCTION("""COMPUTED_VALUE"""),"2023 - 2024")</f>
        <v>2023 - 2024</v>
      </c>
      <c r="H483" s="13">
        <f>IFERROR(__xludf.DUMMYFUNCTION("""COMPUTED_VALUE"""),100.0)</f>
        <v>100</v>
      </c>
      <c r="I483" s="15">
        <f>IFERROR(__xludf.DUMMYFUNCTION("""COMPUTED_VALUE"""),0.0)</f>
        <v>0</v>
      </c>
    </row>
    <row r="484">
      <c r="A484" s="13" t="str">
        <f>IFERROR(__xludf.DUMMYFUNCTION("""COMPUTED_VALUE"""),"0880")</f>
        <v>0880</v>
      </c>
      <c r="B484" s="13" t="str">
        <f>IFERROR(__xludf.DUMMYFUNCTION("""COMPUTED_VALUE"""),"DENVER COUNTY 1")</f>
        <v>DENVER COUNTY 1</v>
      </c>
      <c r="C484" s="14" t="str">
        <f>IFERROR(__xludf.DUMMYFUNCTION("""COMPUTED_VALUE"""),"00520")</f>
        <v>00520</v>
      </c>
      <c r="D484" s="13" t="str">
        <f>IFERROR(__xludf.DUMMYFUNCTION("""COMPUTED_VALUE"""),"BARNUM ELEMENTARY SCHOOL")</f>
        <v>BARNUM ELEMENTARY SCHOOL</v>
      </c>
      <c r="E484" s="13" t="str">
        <f>IFERROR(__xludf.DUMMYFUNCTION("""COMPUTED_VALUE"""),"Group 28")</f>
        <v>Group 28</v>
      </c>
      <c r="F484" s="13" t="str">
        <f>IFERROR(__xludf.DUMMYFUNCTION("""COMPUTED_VALUE"""),"2024 - 2025")</f>
        <v>2024 - 2025</v>
      </c>
      <c r="G484" s="13" t="str">
        <f>IFERROR(__xludf.DUMMYFUNCTION("""COMPUTED_VALUE"""),"2023 - 2024")</f>
        <v>2023 - 2024</v>
      </c>
      <c r="H484" s="13">
        <f>IFERROR(__xludf.DUMMYFUNCTION("""COMPUTED_VALUE"""),100.0)</f>
        <v>100</v>
      </c>
      <c r="I484" s="15">
        <f>IFERROR(__xludf.DUMMYFUNCTION("""COMPUTED_VALUE"""),0.0)</f>
        <v>0</v>
      </c>
    </row>
    <row r="485">
      <c r="A485" s="13" t="str">
        <f>IFERROR(__xludf.DUMMYFUNCTION("""COMPUTED_VALUE"""),"0880")</f>
        <v>0880</v>
      </c>
      <c r="B485" s="13" t="str">
        <f>IFERROR(__xludf.DUMMYFUNCTION("""COMPUTED_VALUE"""),"DENVER COUNTY 1")</f>
        <v>DENVER COUNTY 1</v>
      </c>
      <c r="C485" s="14" t="str">
        <f>IFERROR(__xludf.DUMMYFUNCTION("""COMPUTED_VALUE"""),"00650")</f>
        <v>00650</v>
      </c>
      <c r="D485" s="13" t="str">
        <f>IFERROR(__xludf.DUMMYFUNCTION("""COMPUTED_VALUE"""),"BEACH COURT ELEMENTARY SCHOOL")</f>
        <v>BEACH COURT ELEMENTARY SCHOOL</v>
      </c>
      <c r="E485" s="13" t="str">
        <f>IFERROR(__xludf.DUMMYFUNCTION("""COMPUTED_VALUE"""),"Group 28")</f>
        <v>Group 28</v>
      </c>
      <c r="F485" s="13" t="str">
        <f>IFERROR(__xludf.DUMMYFUNCTION("""COMPUTED_VALUE"""),"2024 - 2025")</f>
        <v>2024 - 2025</v>
      </c>
      <c r="G485" s="13" t="str">
        <f>IFERROR(__xludf.DUMMYFUNCTION("""COMPUTED_VALUE"""),"2023 - 2024")</f>
        <v>2023 - 2024</v>
      </c>
      <c r="H485" s="13">
        <f>IFERROR(__xludf.DUMMYFUNCTION("""COMPUTED_VALUE"""),100.0)</f>
        <v>100</v>
      </c>
      <c r="I485" s="15">
        <f>IFERROR(__xludf.DUMMYFUNCTION("""COMPUTED_VALUE"""),0.0)</f>
        <v>0</v>
      </c>
    </row>
    <row r="486">
      <c r="A486" s="13" t="str">
        <f>IFERROR(__xludf.DUMMYFUNCTION("""COMPUTED_VALUE"""),"0880")</f>
        <v>0880</v>
      </c>
      <c r="B486" s="13" t="str">
        <f>IFERROR(__xludf.DUMMYFUNCTION("""COMPUTED_VALUE"""),"DENVER COUNTY 1")</f>
        <v>DENVER COUNTY 1</v>
      </c>
      <c r="C486" s="14" t="str">
        <f>IFERROR(__xludf.DUMMYFUNCTION("""COMPUTED_VALUE"""),"01785")</f>
        <v>01785</v>
      </c>
      <c r="D486" s="13" t="str">
        <f>IFERROR(__xludf.DUMMYFUNCTION("""COMPUTED_VALUE"""),"COLE ARTS AND SCIENCE ACADEMY")</f>
        <v>COLE ARTS AND SCIENCE ACADEMY</v>
      </c>
      <c r="E486" s="13" t="str">
        <f>IFERROR(__xludf.DUMMYFUNCTION("""COMPUTED_VALUE"""),"Group 28")</f>
        <v>Group 28</v>
      </c>
      <c r="F486" s="13" t="str">
        <f>IFERROR(__xludf.DUMMYFUNCTION("""COMPUTED_VALUE"""),"2024 - 2025")</f>
        <v>2024 - 2025</v>
      </c>
      <c r="G486" s="13" t="str">
        <f>IFERROR(__xludf.DUMMYFUNCTION("""COMPUTED_VALUE"""),"2023 - 2024")</f>
        <v>2023 - 2024</v>
      </c>
      <c r="H486" s="13">
        <f>IFERROR(__xludf.DUMMYFUNCTION("""COMPUTED_VALUE"""),100.0)</f>
        <v>100</v>
      </c>
      <c r="I486" s="15">
        <f>IFERROR(__xludf.DUMMYFUNCTION("""COMPUTED_VALUE"""),0.0)</f>
        <v>0</v>
      </c>
    </row>
    <row r="487">
      <c r="A487" s="13" t="str">
        <f>IFERROR(__xludf.DUMMYFUNCTION("""COMPUTED_VALUE"""),"0880")</f>
        <v>0880</v>
      </c>
      <c r="B487" s="13" t="str">
        <f>IFERROR(__xludf.DUMMYFUNCTION("""COMPUTED_VALUE"""),"DENVER COUNTY 1")</f>
        <v>DENVER COUNTY 1</v>
      </c>
      <c r="C487" s="14" t="str">
        <f>IFERROR(__xludf.DUMMYFUNCTION("""COMPUTED_VALUE"""),"01788")</f>
        <v>01788</v>
      </c>
      <c r="D487" s="13" t="str">
        <f>IFERROR(__xludf.DUMMYFUNCTION("""COMPUTED_VALUE"""),"COLLEGE VIEW ELEMENTARY SCHOOL")</f>
        <v>COLLEGE VIEW ELEMENTARY SCHOOL</v>
      </c>
      <c r="E487" s="13" t="str">
        <f>IFERROR(__xludf.DUMMYFUNCTION("""COMPUTED_VALUE"""),"Group 28")</f>
        <v>Group 28</v>
      </c>
      <c r="F487" s="13" t="str">
        <f>IFERROR(__xludf.DUMMYFUNCTION("""COMPUTED_VALUE"""),"2024 - 2025")</f>
        <v>2024 - 2025</v>
      </c>
      <c r="G487" s="13" t="str">
        <f>IFERROR(__xludf.DUMMYFUNCTION("""COMPUTED_VALUE"""),"2023 - 2024")</f>
        <v>2023 - 2024</v>
      </c>
      <c r="H487" s="13">
        <f>IFERROR(__xludf.DUMMYFUNCTION("""COMPUTED_VALUE"""),100.0)</f>
        <v>100</v>
      </c>
      <c r="I487" s="15">
        <f>IFERROR(__xludf.DUMMYFUNCTION("""COMPUTED_VALUE"""),0.0)</f>
        <v>0</v>
      </c>
    </row>
    <row r="488">
      <c r="A488" s="13" t="str">
        <f>IFERROR(__xludf.DUMMYFUNCTION("""COMPUTED_VALUE"""),"0880")</f>
        <v>0880</v>
      </c>
      <c r="B488" s="13" t="str">
        <f>IFERROR(__xludf.DUMMYFUNCTION("""COMPUTED_VALUE"""),"DENVER COUNTY 1")</f>
        <v>DENVER COUNTY 1</v>
      </c>
      <c r="C488" s="14" t="str">
        <f>IFERROR(__xludf.DUMMYFUNCTION("""COMPUTED_VALUE"""),"01816")</f>
        <v>01816</v>
      </c>
      <c r="D488" s="13" t="str">
        <f>IFERROR(__xludf.DUMMYFUNCTION("""COMPUTED_VALUE"""),"COLUMBIAN ELEMENTARY SCHOOL")</f>
        <v>COLUMBIAN ELEMENTARY SCHOOL</v>
      </c>
      <c r="E488" s="13" t="str">
        <f>IFERROR(__xludf.DUMMYFUNCTION("""COMPUTED_VALUE"""),"Group 28")</f>
        <v>Group 28</v>
      </c>
      <c r="F488" s="13" t="str">
        <f>IFERROR(__xludf.DUMMYFUNCTION("""COMPUTED_VALUE"""),"2024 - 2025")</f>
        <v>2024 - 2025</v>
      </c>
      <c r="G488" s="13" t="str">
        <f>IFERROR(__xludf.DUMMYFUNCTION("""COMPUTED_VALUE"""),"2023 - 2024")</f>
        <v>2023 - 2024</v>
      </c>
      <c r="H488" s="13">
        <f>IFERROR(__xludf.DUMMYFUNCTION("""COMPUTED_VALUE"""),100.0)</f>
        <v>100</v>
      </c>
      <c r="I488" s="15">
        <f>IFERROR(__xludf.DUMMYFUNCTION("""COMPUTED_VALUE"""),0.0)</f>
        <v>0</v>
      </c>
    </row>
    <row r="489">
      <c r="A489" s="13" t="str">
        <f>IFERROR(__xludf.DUMMYFUNCTION("""COMPUTED_VALUE"""),"0880")</f>
        <v>0880</v>
      </c>
      <c r="B489" s="13" t="str">
        <f>IFERROR(__xludf.DUMMYFUNCTION("""COMPUTED_VALUE"""),"DENVER COUNTY 1")</f>
        <v>DENVER COUNTY 1</v>
      </c>
      <c r="C489" s="14" t="str">
        <f>IFERROR(__xludf.DUMMYFUNCTION("""COMPUTED_VALUE"""),"01928")</f>
        <v>01928</v>
      </c>
      <c r="D489" s="13" t="str">
        <f>IFERROR(__xludf.DUMMYFUNCTION("""COMPUTED_VALUE"""),"COWELL ELEMENTARY SCHOOL")</f>
        <v>COWELL ELEMENTARY SCHOOL</v>
      </c>
      <c r="E489" s="13" t="str">
        <f>IFERROR(__xludf.DUMMYFUNCTION("""COMPUTED_VALUE"""),"Group 28")</f>
        <v>Group 28</v>
      </c>
      <c r="F489" s="13" t="str">
        <f>IFERROR(__xludf.DUMMYFUNCTION("""COMPUTED_VALUE"""),"2024 - 2025")</f>
        <v>2024 - 2025</v>
      </c>
      <c r="G489" s="13" t="str">
        <f>IFERROR(__xludf.DUMMYFUNCTION("""COMPUTED_VALUE"""),"2023 - 2024")</f>
        <v>2023 - 2024</v>
      </c>
      <c r="H489" s="13">
        <f>IFERROR(__xludf.DUMMYFUNCTION("""COMPUTED_VALUE"""),100.0)</f>
        <v>100</v>
      </c>
      <c r="I489" s="15">
        <f>IFERROR(__xludf.DUMMYFUNCTION("""COMPUTED_VALUE"""),0.0)</f>
        <v>0</v>
      </c>
    </row>
    <row r="490">
      <c r="A490" s="13" t="str">
        <f>IFERROR(__xludf.DUMMYFUNCTION("""COMPUTED_VALUE"""),"0880")</f>
        <v>0880</v>
      </c>
      <c r="B490" s="13" t="str">
        <f>IFERROR(__xludf.DUMMYFUNCTION("""COMPUTED_VALUE"""),"DENVER COUNTY 1")</f>
        <v>DENVER COUNTY 1</v>
      </c>
      <c r="C490" s="14" t="str">
        <f>IFERROR(__xludf.DUMMYFUNCTION("""COMPUTED_VALUE"""),"02188")</f>
        <v>02188</v>
      </c>
      <c r="D490" s="13" t="str">
        <f>IFERROR(__xludf.DUMMYFUNCTION("""COMPUTED_VALUE"""),"Denver Center for 21st Century Learning At Wyman")</f>
        <v>Denver Center for 21st Century Learning At Wyman</v>
      </c>
      <c r="E490" s="13" t="str">
        <f>IFERROR(__xludf.DUMMYFUNCTION("""COMPUTED_VALUE"""),"Group 28")</f>
        <v>Group 28</v>
      </c>
      <c r="F490" s="13" t="str">
        <f>IFERROR(__xludf.DUMMYFUNCTION("""COMPUTED_VALUE"""),"2024 - 2025")</f>
        <v>2024 - 2025</v>
      </c>
      <c r="G490" s="13" t="str">
        <f>IFERROR(__xludf.DUMMYFUNCTION("""COMPUTED_VALUE"""),"2023 - 2024")</f>
        <v>2023 - 2024</v>
      </c>
      <c r="H490" s="13">
        <f>IFERROR(__xludf.DUMMYFUNCTION("""COMPUTED_VALUE"""),100.0)</f>
        <v>100</v>
      </c>
      <c r="I490" s="15">
        <f>IFERROR(__xludf.DUMMYFUNCTION("""COMPUTED_VALUE"""),0.0)</f>
        <v>0</v>
      </c>
    </row>
    <row r="491">
      <c r="A491" s="13" t="str">
        <f>IFERROR(__xludf.DUMMYFUNCTION("""COMPUTED_VALUE"""),"0880")</f>
        <v>0880</v>
      </c>
      <c r="B491" s="13" t="str">
        <f>IFERROR(__xludf.DUMMYFUNCTION("""COMPUTED_VALUE"""),"DENVER COUNTY 1")</f>
        <v>DENVER COUNTY 1</v>
      </c>
      <c r="C491" s="14" t="str">
        <f>IFERROR(__xludf.DUMMYFUNCTION("""COMPUTED_VALUE"""),"02258")</f>
        <v>02258</v>
      </c>
      <c r="D491" s="13" t="str">
        <f>IFERROR(__xludf.DUMMYFUNCTION("""COMPUTED_VALUE"""),"DOULL ELEMENTARY SCHOOL")</f>
        <v>DOULL ELEMENTARY SCHOOL</v>
      </c>
      <c r="E491" s="13" t="str">
        <f>IFERROR(__xludf.DUMMYFUNCTION("""COMPUTED_VALUE"""),"Group 28")</f>
        <v>Group 28</v>
      </c>
      <c r="F491" s="13" t="str">
        <f>IFERROR(__xludf.DUMMYFUNCTION("""COMPUTED_VALUE"""),"2024 - 2025")</f>
        <v>2024 - 2025</v>
      </c>
      <c r="G491" s="13" t="str">
        <f>IFERROR(__xludf.DUMMYFUNCTION("""COMPUTED_VALUE"""),"2023 - 2024")</f>
        <v>2023 - 2024</v>
      </c>
      <c r="H491" s="13">
        <f>IFERROR(__xludf.DUMMYFUNCTION("""COMPUTED_VALUE"""),100.0)</f>
        <v>100</v>
      </c>
      <c r="I491" s="15">
        <f>IFERROR(__xludf.DUMMYFUNCTION("""COMPUTED_VALUE"""),0.0)</f>
        <v>0</v>
      </c>
    </row>
    <row r="492">
      <c r="A492" s="13" t="str">
        <f>IFERROR(__xludf.DUMMYFUNCTION("""COMPUTED_VALUE"""),"0880")</f>
        <v>0880</v>
      </c>
      <c r="B492" s="13" t="str">
        <f>IFERROR(__xludf.DUMMYFUNCTION("""COMPUTED_VALUE"""),"DENVER COUNTY 1")</f>
        <v>DENVER COUNTY 1</v>
      </c>
      <c r="C492" s="14" t="str">
        <f>IFERROR(__xludf.DUMMYFUNCTION("""COMPUTED_VALUE"""),"02349")</f>
        <v>02349</v>
      </c>
      <c r="D492" s="13" t="str">
        <f>IFERROR(__xludf.DUMMYFUNCTION("""COMPUTED_VALUE"""),"Escalante-Biggs Academy")</f>
        <v>Escalante-Biggs Academy</v>
      </c>
      <c r="E492" s="13" t="str">
        <f>IFERROR(__xludf.DUMMYFUNCTION("""COMPUTED_VALUE"""),"Group 28")</f>
        <v>Group 28</v>
      </c>
      <c r="F492" s="13" t="str">
        <f>IFERROR(__xludf.DUMMYFUNCTION("""COMPUTED_VALUE"""),"2024 - 2025")</f>
        <v>2024 - 2025</v>
      </c>
      <c r="G492" s="13" t="str">
        <f>IFERROR(__xludf.DUMMYFUNCTION("""COMPUTED_VALUE"""),"2023 - 2024")</f>
        <v>2023 - 2024</v>
      </c>
      <c r="H492" s="13">
        <f>IFERROR(__xludf.DUMMYFUNCTION("""COMPUTED_VALUE"""),100.0)</f>
        <v>100</v>
      </c>
      <c r="I492" s="15">
        <f>IFERROR(__xludf.DUMMYFUNCTION("""COMPUTED_VALUE"""),0.0)</f>
        <v>0</v>
      </c>
    </row>
    <row r="493">
      <c r="A493" s="13" t="str">
        <f>IFERROR(__xludf.DUMMYFUNCTION("""COMPUTED_VALUE"""),"0880")</f>
        <v>0880</v>
      </c>
      <c r="B493" s="13" t="str">
        <f>IFERROR(__xludf.DUMMYFUNCTION("""COMPUTED_VALUE"""),"DENVER COUNTY 1")</f>
        <v>DENVER COUNTY 1</v>
      </c>
      <c r="C493" s="14" t="str">
        <f>IFERROR(__xludf.DUMMYFUNCTION("""COMPUTED_VALUE"""),"02364")</f>
        <v>02364</v>
      </c>
      <c r="D493" s="13" t="str">
        <f>IFERROR(__xludf.DUMMYFUNCTION("""COMPUTED_VALUE"""),"EAGLETON ELEMENTARY SCHOOL")</f>
        <v>EAGLETON ELEMENTARY SCHOOL</v>
      </c>
      <c r="E493" s="13" t="str">
        <f>IFERROR(__xludf.DUMMYFUNCTION("""COMPUTED_VALUE"""),"Group 28")</f>
        <v>Group 28</v>
      </c>
      <c r="F493" s="13" t="str">
        <f>IFERROR(__xludf.DUMMYFUNCTION("""COMPUTED_VALUE"""),"2024 - 2025")</f>
        <v>2024 - 2025</v>
      </c>
      <c r="G493" s="13" t="str">
        <f>IFERROR(__xludf.DUMMYFUNCTION("""COMPUTED_VALUE"""),"2023 - 2024")</f>
        <v>2023 - 2024</v>
      </c>
      <c r="H493" s="13">
        <f>IFERROR(__xludf.DUMMYFUNCTION("""COMPUTED_VALUE"""),100.0)</f>
        <v>100</v>
      </c>
      <c r="I493" s="15">
        <f>IFERROR(__xludf.DUMMYFUNCTION("""COMPUTED_VALUE"""),0.0)</f>
        <v>0</v>
      </c>
    </row>
    <row r="494">
      <c r="A494" s="13" t="str">
        <f>IFERROR(__xludf.DUMMYFUNCTION("""COMPUTED_VALUE"""),"0880")</f>
        <v>0880</v>
      </c>
      <c r="B494" s="13" t="str">
        <f>IFERROR(__xludf.DUMMYFUNCTION("""COMPUTED_VALUE"""),"DENVER COUNTY 1")</f>
        <v>DENVER COUNTY 1</v>
      </c>
      <c r="C494" s="14" t="str">
        <f>IFERROR(__xludf.DUMMYFUNCTION("""COMPUTED_VALUE"""),"02757")</f>
        <v>02757</v>
      </c>
      <c r="D494" s="13" t="str">
        <f>IFERROR(__xludf.DUMMYFUNCTION("""COMPUTED_VALUE"""),"NORTHEAST EARLY COLLEGE")</f>
        <v>NORTHEAST EARLY COLLEGE</v>
      </c>
      <c r="E494" s="13" t="str">
        <f>IFERROR(__xludf.DUMMYFUNCTION("""COMPUTED_VALUE"""),"Group 28")</f>
        <v>Group 28</v>
      </c>
      <c r="F494" s="13" t="str">
        <f>IFERROR(__xludf.DUMMYFUNCTION("""COMPUTED_VALUE"""),"2024 - 2025")</f>
        <v>2024 - 2025</v>
      </c>
      <c r="G494" s="13" t="str">
        <f>IFERROR(__xludf.DUMMYFUNCTION("""COMPUTED_VALUE"""),"2023 - 2024")</f>
        <v>2023 - 2024</v>
      </c>
      <c r="H494" s="13">
        <f>IFERROR(__xludf.DUMMYFUNCTION("""COMPUTED_VALUE"""),100.0)</f>
        <v>100</v>
      </c>
      <c r="I494" s="15">
        <f>IFERROR(__xludf.DUMMYFUNCTION("""COMPUTED_VALUE"""),0.0)</f>
        <v>0</v>
      </c>
    </row>
    <row r="495">
      <c r="A495" s="13" t="str">
        <f>IFERROR(__xludf.DUMMYFUNCTION("""COMPUTED_VALUE"""),"0880")</f>
        <v>0880</v>
      </c>
      <c r="B495" s="13" t="str">
        <f>IFERROR(__xludf.DUMMYFUNCTION("""COMPUTED_VALUE"""),"DENVER COUNTY 1")</f>
        <v>DENVER COUNTY 1</v>
      </c>
      <c r="C495" s="14" t="str">
        <f>IFERROR(__xludf.DUMMYFUNCTION("""COMPUTED_VALUE"""),"03000")</f>
        <v>03000</v>
      </c>
      <c r="D495" s="13" t="str">
        <f>IFERROR(__xludf.DUMMYFUNCTION("""COMPUTED_VALUE"""),"FLORENCE CRITTENTON HIGH SCHOOL")</f>
        <v>FLORENCE CRITTENTON HIGH SCHOOL</v>
      </c>
      <c r="E495" s="13" t="str">
        <f>IFERROR(__xludf.DUMMYFUNCTION("""COMPUTED_VALUE"""),"Group 28")</f>
        <v>Group 28</v>
      </c>
      <c r="F495" s="13" t="str">
        <f>IFERROR(__xludf.DUMMYFUNCTION("""COMPUTED_VALUE"""),"2024 - 2025")</f>
        <v>2024 - 2025</v>
      </c>
      <c r="G495" s="13" t="str">
        <f>IFERROR(__xludf.DUMMYFUNCTION("""COMPUTED_VALUE"""),"2023 - 2024")</f>
        <v>2023 - 2024</v>
      </c>
      <c r="H495" s="13">
        <f>IFERROR(__xludf.DUMMYFUNCTION("""COMPUTED_VALUE"""),100.0)</f>
        <v>100</v>
      </c>
      <c r="I495" s="15">
        <f>IFERROR(__xludf.DUMMYFUNCTION("""COMPUTED_VALUE"""),0.0)</f>
        <v>0</v>
      </c>
    </row>
    <row r="496">
      <c r="A496" s="13" t="str">
        <f>IFERROR(__xludf.DUMMYFUNCTION("""COMPUTED_VALUE"""),"0880")</f>
        <v>0880</v>
      </c>
      <c r="B496" s="13" t="str">
        <f>IFERROR(__xludf.DUMMYFUNCTION("""COMPUTED_VALUE"""),"DENVER COUNTY 1")</f>
        <v>DENVER COUNTY 1</v>
      </c>
      <c r="C496" s="14" t="str">
        <f>IFERROR(__xludf.DUMMYFUNCTION("""COMPUTED_VALUE"""),"03478")</f>
        <v>03478</v>
      </c>
      <c r="D496" s="13" t="str">
        <f>IFERROR(__xludf.DUMMYFUNCTION("""COMPUTED_VALUE"""),"GODSMAN ELEMENTARY SCHOOL")</f>
        <v>GODSMAN ELEMENTARY SCHOOL</v>
      </c>
      <c r="E496" s="13" t="str">
        <f>IFERROR(__xludf.DUMMYFUNCTION("""COMPUTED_VALUE"""),"Group 28")</f>
        <v>Group 28</v>
      </c>
      <c r="F496" s="13" t="str">
        <f>IFERROR(__xludf.DUMMYFUNCTION("""COMPUTED_VALUE"""),"2024 - 2025")</f>
        <v>2024 - 2025</v>
      </c>
      <c r="G496" s="13" t="str">
        <f>IFERROR(__xludf.DUMMYFUNCTION("""COMPUTED_VALUE"""),"2023 - 2024")</f>
        <v>2023 - 2024</v>
      </c>
      <c r="H496" s="13">
        <f>IFERROR(__xludf.DUMMYFUNCTION("""COMPUTED_VALUE"""),100.0)</f>
        <v>100</v>
      </c>
      <c r="I496" s="15">
        <f>IFERROR(__xludf.DUMMYFUNCTION("""COMPUTED_VALUE"""),0.0)</f>
        <v>0</v>
      </c>
    </row>
    <row r="497">
      <c r="A497" s="13" t="str">
        <f>IFERROR(__xludf.DUMMYFUNCTION("""COMPUTED_VALUE"""),"0880")</f>
        <v>0880</v>
      </c>
      <c r="B497" s="13" t="str">
        <f>IFERROR(__xludf.DUMMYFUNCTION("""COMPUTED_VALUE"""),"DENVER COUNTY 1")</f>
        <v>DENVER COUNTY 1</v>
      </c>
      <c r="C497" s="14" t="str">
        <f>IFERROR(__xludf.DUMMYFUNCTION("""COMPUTED_VALUE"""),"03512")</f>
        <v>03512</v>
      </c>
      <c r="D497" s="13" t="str">
        <f>IFERROR(__xludf.DUMMYFUNCTION("""COMPUTED_VALUE"""),"GOLDRICK ELEMENTARY SCHOOL")</f>
        <v>GOLDRICK ELEMENTARY SCHOOL</v>
      </c>
      <c r="E497" s="13" t="str">
        <f>IFERROR(__xludf.DUMMYFUNCTION("""COMPUTED_VALUE"""),"Group 28")</f>
        <v>Group 28</v>
      </c>
      <c r="F497" s="13" t="str">
        <f>IFERROR(__xludf.DUMMYFUNCTION("""COMPUTED_VALUE"""),"2024 - 2025")</f>
        <v>2024 - 2025</v>
      </c>
      <c r="G497" s="13" t="str">
        <f>IFERROR(__xludf.DUMMYFUNCTION("""COMPUTED_VALUE"""),"2023 - 2024")</f>
        <v>2023 - 2024</v>
      </c>
      <c r="H497" s="13">
        <f>IFERROR(__xludf.DUMMYFUNCTION("""COMPUTED_VALUE"""),100.0)</f>
        <v>100</v>
      </c>
      <c r="I497" s="15">
        <f>IFERROR(__xludf.DUMMYFUNCTION("""COMPUTED_VALUE"""),0.0)</f>
        <v>0</v>
      </c>
    </row>
    <row r="498">
      <c r="A498" s="13" t="str">
        <f>IFERROR(__xludf.DUMMYFUNCTION("""COMPUTED_VALUE"""),"0880")</f>
        <v>0880</v>
      </c>
      <c r="B498" s="13" t="str">
        <f>IFERROR(__xludf.DUMMYFUNCTION("""COMPUTED_VALUE"""),"DENVER COUNTY 1")</f>
        <v>DENVER COUNTY 1</v>
      </c>
      <c r="C498" s="14" t="str">
        <f>IFERROR(__xludf.DUMMYFUNCTION("""COMPUTED_VALUE"""),"03600")</f>
        <v>03600</v>
      </c>
      <c r="D498" s="13" t="str">
        <f>IFERROR(__xludf.DUMMYFUNCTION("""COMPUTED_VALUE"""),"GRANT BEACON MIDDLE SCHOOL")</f>
        <v>GRANT BEACON MIDDLE SCHOOL</v>
      </c>
      <c r="E498" s="13" t="str">
        <f>IFERROR(__xludf.DUMMYFUNCTION("""COMPUTED_VALUE"""),"Group 28")</f>
        <v>Group 28</v>
      </c>
      <c r="F498" s="13" t="str">
        <f>IFERROR(__xludf.DUMMYFUNCTION("""COMPUTED_VALUE"""),"2024 - 2025")</f>
        <v>2024 - 2025</v>
      </c>
      <c r="G498" s="13" t="str">
        <f>IFERROR(__xludf.DUMMYFUNCTION("""COMPUTED_VALUE"""),"2023 - 2024")</f>
        <v>2023 - 2024</v>
      </c>
      <c r="H498" s="13">
        <f>IFERROR(__xludf.DUMMYFUNCTION("""COMPUTED_VALUE"""),100.0)</f>
        <v>100</v>
      </c>
      <c r="I498" s="15">
        <f>IFERROR(__xludf.DUMMYFUNCTION("""COMPUTED_VALUE"""),0.0)</f>
        <v>0</v>
      </c>
    </row>
    <row r="499">
      <c r="A499" s="13" t="str">
        <f>IFERROR(__xludf.DUMMYFUNCTION("""COMPUTED_VALUE"""),"0880")</f>
        <v>0880</v>
      </c>
      <c r="B499" s="13" t="str">
        <f>IFERROR(__xludf.DUMMYFUNCTION("""COMPUTED_VALUE"""),"DENVER COUNTY 1")</f>
        <v>DENVER COUNTY 1</v>
      </c>
      <c r="C499" s="14" t="str">
        <f>IFERROR(__xludf.DUMMYFUNCTION("""COMPUTED_VALUE"""),"03605")</f>
        <v>03605</v>
      </c>
      <c r="D499" s="13" t="str">
        <f>IFERROR(__xludf.DUMMYFUNCTION("""COMPUTED_VALUE"""),"GRANT RANCH ECE-8 SCHOOL")</f>
        <v>GRANT RANCH ECE-8 SCHOOL</v>
      </c>
      <c r="E499" s="13" t="str">
        <f>IFERROR(__xludf.DUMMYFUNCTION("""COMPUTED_VALUE"""),"Group 28")</f>
        <v>Group 28</v>
      </c>
      <c r="F499" s="13" t="str">
        <f>IFERROR(__xludf.DUMMYFUNCTION("""COMPUTED_VALUE"""),"2024 - 2025")</f>
        <v>2024 - 2025</v>
      </c>
      <c r="G499" s="13" t="str">
        <f>IFERROR(__xludf.DUMMYFUNCTION("""COMPUTED_VALUE"""),"2023 - 2024")</f>
        <v>2023 - 2024</v>
      </c>
      <c r="H499" s="13">
        <f>IFERROR(__xludf.DUMMYFUNCTION("""COMPUTED_VALUE"""),100.0)</f>
        <v>100</v>
      </c>
      <c r="I499" s="15">
        <f>IFERROR(__xludf.DUMMYFUNCTION("""COMPUTED_VALUE"""),0.0)</f>
        <v>0</v>
      </c>
    </row>
    <row r="500">
      <c r="A500" s="13" t="str">
        <f>IFERROR(__xludf.DUMMYFUNCTION("""COMPUTED_VALUE"""),"0880")</f>
        <v>0880</v>
      </c>
      <c r="B500" s="13" t="str">
        <f>IFERROR(__xludf.DUMMYFUNCTION("""COMPUTED_VALUE"""),"DENVER COUNTY 1")</f>
        <v>DENVER COUNTY 1</v>
      </c>
      <c r="C500" s="14" t="str">
        <f>IFERROR(__xludf.DUMMYFUNCTION("""COMPUTED_VALUE"""),"03641")</f>
        <v>03641</v>
      </c>
      <c r="D500" s="13" t="str">
        <f>IFERROR(__xludf.DUMMYFUNCTION("""COMPUTED_VALUE"""),"GREEN VALLEY ELEMENTARY SCHOOL")</f>
        <v>GREEN VALLEY ELEMENTARY SCHOOL</v>
      </c>
      <c r="E500" s="13" t="str">
        <f>IFERROR(__xludf.DUMMYFUNCTION("""COMPUTED_VALUE"""),"Group 28")</f>
        <v>Group 28</v>
      </c>
      <c r="F500" s="13" t="str">
        <f>IFERROR(__xludf.DUMMYFUNCTION("""COMPUTED_VALUE"""),"2024 - 2025")</f>
        <v>2024 - 2025</v>
      </c>
      <c r="G500" s="13" t="str">
        <f>IFERROR(__xludf.DUMMYFUNCTION("""COMPUTED_VALUE"""),"2023 - 2024")</f>
        <v>2023 - 2024</v>
      </c>
      <c r="H500" s="13">
        <f>IFERROR(__xludf.DUMMYFUNCTION("""COMPUTED_VALUE"""),100.0)</f>
        <v>100</v>
      </c>
      <c r="I500" s="15">
        <f>IFERROR(__xludf.DUMMYFUNCTION("""COMPUTED_VALUE"""),0.0)</f>
        <v>0</v>
      </c>
    </row>
    <row r="501">
      <c r="A501" s="13" t="str">
        <f>IFERROR(__xludf.DUMMYFUNCTION("""COMPUTED_VALUE"""),"0880")</f>
        <v>0880</v>
      </c>
      <c r="B501" s="13" t="str">
        <f>IFERROR(__xludf.DUMMYFUNCTION("""COMPUTED_VALUE"""),"DENVER COUNTY 1")</f>
        <v>DENVER COUNTY 1</v>
      </c>
      <c r="C501" s="14" t="str">
        <f>IFERROR(__xludf.DUMMYFUNCTION("""COMPUTED_VALUE"""),"03647")</f>
        <v>03647</v>
      </c>
      <c r="D501" s="13" t="str">
        <f>IFERROR(__xludf.DUMMYFUNCTION("""COMPUTED_VALUE"""),"MARIE L. GREENWOOD ACADEMY")</f>
        <v>MARIE L. GREENWOOD ACADEMY</v>
      </c>
      <c r="E501" s="13" t="str">
        <f>IFERROR(__xludf.DUMMYFUNCTION("""COMPUTED_VALUE"""),"Group 28")</f>
        <v>Group 28</v>
      </c>
      <c r="F501" s="13" t="str">
        <f>IFERROR(__xludf.DUMMYFUNCTION("""COMPUTED_VALUE"""),"2024 - 2025")</f>
        <v>2024 - 2025</v>
      </c>
      <c r="G501" s="13" t="str">
        <f>IFERROR(__xludf.DUMMYFUNCTION("""COMPUTED_VALUE"""),"2023 - 2024")</f>
        <v>2023 - 2024</v>
      </c>
      <c r="H501" s="13">
        <f>IFERROR(__xludf.DUMMYFUNCTION("""COMPUTED_VALUE"""),100.0)</f>
        <v>100</v>
      </c>
      <c r="I501" s="15">
        <f>IFERROR(__xludf.DUMMYFUNCTION("""COMPUTED_VALUE"""),0.0)</f>
        <v>0</v>
      </c>
    </row>
    <row r="502">
      <c r="A502" s="13" t="str">
        <f>IFERROR(__xludf.DUMMYFUNCTION("""COMPUTED_VALUE"""),"0880")</f>
        <v>0880</v>
      </c>
      <c r="B502" s="13" t="str">
        <f>IFERROR(__xludf.DUMMYFUNCTION("""COMPUTED_VALUE"""),"DENVER COUNTY 1")</f>
        <v>DENVER COUNTY 1</v>
      </c>
      <c r="C502" s="14" t="str">
        <f>IFERROR(__xludf.DUMMYFUNCTION("""COMPUTED_VALUE"""),"03778")</f>
        <v>03778</v>
      </c>
      <c r="D502" s="13" t="str">
        <f>IFERROR(__xludf.DUMMYFUNCTION("""COMPUTED_VALUE"""),"HARRINGTON ELEMENTARY SCHOOL")</f>
        <v>HARRINGTON ELEMENTARY SCHOOL</v>
      </c>
      <c r="E502" s="13" t="str">
        <f>IFERROR(__xludf.DUMMYFUNCTION("""COMPUTED_VALUE"""),"Group 28")</f>
        <v>Group 28</v>
      </c>
      <c r="F502" s="13" t="str">
        <f>IFERROR(__xludf.DUMMYFUNCTION("""COMPUTED_VALUE"""),"2024 - 2025")</f>
        <v>2024 - 2025</v>
      </c>
      <c r="G502" s="13" t="str">
        <f>IFERROR(__xludf.DUMMYFUNCTION("""COMPUTED_VALUE"""),"2023 - 2024")</f>
        <v>2023 - 2024</v>
      </c>
      <c r="H502" s="13">
        <f>IFERROR(__xludf.DUMMYFUNCTION("""COMPUTED_VALUE"""),100.0)</f>
        <v>100</v>
      </c>
      <c r="I502" s="15">
        <f>IFERROR(__xludf.DUMMYFUNCTION("""COMPUTED_VALUE"""),0.0)</f>
        <v>0</v>
      </c>
    </row>
    <row r="503">
      <c r="A503" s="13" t="str">
        <f>IFERROR(__xludf.DUMMYFUNCTION("""COMPUTED_VALUE"""),"0880")</f>
        <v>0880</v>
      </c>
      <c r="B503" s="13" t="str">
        <f>IFERROR(__xludf.DUMMYFUNCTION("""COMPUTED_VALUE"""),"DENVER COUNTY 1")</f>
        <v>DENVER COUNTY 1</v>
      </c>
      <c r="C503" s="14" t="str">
        <f>IFERROR(__xludf.DUMMYFUNCTION("""COMPUTED_VALUE"""),"04140")</f>
        <v>04140</v>
      </c>
      <c r="D503" s="13" t="str">
        <f>IFERROR(__xludf.DUMMYFUNCTION("""COMPUTED_VALUE"""),"FARRELL B. HOWELL ECE-8 SCHOOL")</f>
        <v>FARRELL B. HOWELL ECE-8 SCHOOL</v>
      </c>
      <c r="E503" s="13" t="str">
        <f>IFERROR(__xludf.DUMMYFUNCTION("""COMPUTED_VALUE"""),"Group 28")</f>
        <v>Group 28</v>
      </c>
      <c r="F503" s="13" t="str">
        <f>IFERROR(__xludf.DUMMYFUNCTION("""COMPUTED_VALUE"""),"2024 - 2025")</f>
        <v>2024 - 2025</v>
      </c>
      <c r="G503" s="13" t="str">
        <f>IFERROR(__xludf.DUMMYFUNCTION("""COMPUTED_VALUE"""),"2023 - 2024")</f>
        <v>2023 - 2024</v>
      </c>
      <c r="H503" s="13">
        <f>IFERROR(__xludf.DUMMYFUNCTION("""COMPUTED_VALUE"""),100.0)</f>
        <v>100</v>
      </c>
      <c r="I503" s="15">
        <f>IFERROR(__xludf.DUMMYFUNCTION("""COMPUTED_VALUE"""),0.0)</f>
        <v>0</v>
      </c>
    </row>
    <row r="504">
      <c r="A504" s="13" t="str">
        <f>IFERROR(__xludf.DUMMYFUNCTION("""COMPUTED_VALUE"""),"0880")</f>
        <v>0880</v>
      </c>
      <c r="B504" s="13" t="str">
        <f>IFERROR(__xludf.DUMMYFUNCTION("""COMPUTED_VALUE"""),"DENVER COUNTY 1")</f>
        <v>DENVER COUNTY 1</v>
      </c>
      <c r="C504" s="14" t="str">
        <f>IFERROR(__xludf.DUMMYFUNCTION("""COMPUTED_VALUE"""),"04450")</f>
        <v>04450</v>
      </c>
      <c r="D504" s="13" t="str">
        <f>IFERROR(__xludf.DUMMYFUNCTION("""COMPUTED_VALUE"""),"JOHNSON ELEMENTARY SCHOOL")</f>
        <v>JOHNSON ELEMENTARY SCHOOL</v>
      </c>
      <c r="E504" s="13" t="str">
        <f>IFERROR(__xludf.DUMMYFUNCTION("""COMPUTED_VALUE"""),"Group 28")</f>
        <v>Group 28</v>
      </c>
      <c r="F504" s="13" t="str">
        <f>IFERROR(__xludf.DUMMYFUNCTION("""COMPUTED_VALUE"""),"2024 - 2025")</f>
        <v>2024 - 2025</v>
      </c>
      <c r="G504" s="13" t="str">
        <f>IFERROR(__xludf.DUMMYFUNCTION("""COMPUTED_VALUE"""),"2023 - 2024")</f>
        <v>2023 - 2024</v>
      </c>
      <c r="H504" s="13">
        <f>IFERROR(__xludf.DUMMYFUNCTION("""COMPUTED_VALUE"""),100.0)</f>
        <v>100</v>
      </c>
      <c r="I504" s="15">
        <f>IFERROR(__xludf.DUMMYFUNCTION("""COMPUTED_VALUE"""),0.0)</f>
        <v>0</v>
      </c>
    </row>
    <row r="505">
      <c r="A505" s="13" t="str">
        <f>IFERROR(__xludf.DUMMYFUNCTION("""COMPUTED_VALUE"""),"0880")</f>
        <v>0880</v>
      </c>
      <c r="B505" s="13" t="str">
        <f>IFERROR(__xludf.DUMMYFUNCTION("""COMPUTED_VALUE"""),"DENVER COUNTY 1")</f>
        <v>DENVER COUNTY 1</v>
      </c>
      <c r="C505" s="14" t="str">
        <f>IFERROR(__xludf.DUMMYFUNCTION("""COMPUTED_VALUE"""),"04507")</f>
        <v>04507</v>
      </c>
      <c r="D505" s="13" t="str">
        <f>IFERROR(__xludf.DUMMYFUNCTION("""COMPUTED_VALUE"""),"KIPP NORTHEAST DENVER MIDDLE SCHOOL")</f>
        <v>KIPP NORTHEAST DENVER MIDDLE SCHOOL</v>
      </c>
      <c r="E505" s="13" t="str">
        <f>IFERROR(__xludf.DUMMYFUNCTION("""COMPUTED_VALUE"""),"Group 28")</f>
        <v>Group 28</v>
      </c>
      <c r="F505" s="13" t="str">
        <f>IFERROR(__xludf.DUMMYFUNCTION("""COMPUTED_VALUE"""),"2024 - 2025")</f>
        <v>2024 - 2025</v>
      </c>
      <c r="G505" s="13" t="str">
        <f>IFERROR(__xludf.DUMMYFUNCTION("""COMPUTED_VALUE"""),"2023 - 2024")</f>
        <v>2023 - 2024</v>
      </c>
      <c r="H505" s="13">
        <f>IFERROR(__xludf.DUMMYFUNCTION("""COMPUTED_VALUE"""),100.0)</f>
        <v>100</v>
      </c>
      <c r="I505" s="15">
        <f>IFERROR(__xludf.DUMMYFUNCTION("""COMPUTED_VALUE"""),0.0)</f>
        <v>0</v>
      </c>
    </row>
    <row r="506">
      <c r="A506" s="13" t="str">
        <f>IFERROR(__xludf.DUMMYFUNCTION("""COMPUTED_VALUE"""),"0880")</f>
        <v>0880</v>
      </c>
      <c r="B506" s="13" t="str">
        <f>IFERROR(__xludf.DUMMYFUNCTION("""COMPUTED_VALUE"""),"DENVER COUNTY 1")</f>
        <v>DENVER COUNTY 1</v>
      </c>
      <c r="C506" s="14" t="str">
        <f>IFERROR(__xludf.DUMMYFUNCTION("""COMPUTED_VALUE"""),"04762")</f>
        <v>04762</v>
      </c>
      <c r="D506" s="13" t="str">
        <f>IFERROR(__xludf.DUMMYFUNCTION("""COMPUTED_VALUE"""),"KNAPP ELEMENTARY SCHOOL")</f>
        <v>KNAPP ELEMENTARY SCHOOL</v>
      </c>
      <c r="E506" s="13" t="str">
        <f>IFERROR(__xludf.DUMMYFUNCTION("""COMPUTED_VALUE"""),"Group 28")</f>
        <v>Group 28</v>
      </c>
      <c r="F506" s="13" t="str">
        <f>IFERROR(__xludf.DUMMYFUNCTION("""COMPUTED_VALUE"""),"2024 - 2025")</f>
        <v>2024 - 2025</v>
      </c>
      <c r="G506" s="13" t="str">
        <f>IFERROR(__xludf.DUMMYFUNCTION("""COMPUTED_VALUE"""),"2023 - 2024")</f>
        <v>2023 - 2024</v>
      </c>
      <c r="H506" s="13">
        <f>IFERROR(__xludf.DUMMYFUNCTION("""COMPUTED_VALUE"""),100.0)</f>
        <v>100</v>
      </c>
      <c r="I506" s="15">
        <f>IFERROR(__xludf.DUMMYFUNCTION("""COMPUTED_VALUE"""),0.0)</f>
        <v>0</v>
      </c>
    </row>
    <row r="507">
      <c r="A507" s="13" t="str">
        <f>IFERROR(__xludf.DUMMYFUNCTION("""COMPUTED_VALUE"""),"0880")</f>
        <v>0880</v>
      </c>
      <c r="B507" s="13" t="str">
        <f>IFERROR(__xludf.DUMMYFUNCTION("""COMPUTED_VALUE"""),"DENVER COUNTY 1")</f>
        <v>DENVER COUNTY 1</v>
      </c>
      <c r="C507" s="14" t="str">
        <f>IFERROR(__xludf.DUMMYFUNCTION("""COMPUTED_VALUE"""),"05342")</f>
        <v>05342</v>
      </c>
      <c r="D507" s="13" t="str">
        <f>IFERROR(__xludf.DUMMYFUNCTION("""COMPUTED_VALUE"""),"LOWRY ELEMENTARY SCHOOL")</f>
        <v>LOWRY ELEMENTARY SCHOOL</v>
      </c>
      <c r="E507" s="13" t="str">
        <f>IFERROR(__xludf.DUMMYFUNCTION("""COMPUTED_VALUE"""),"Group 28")</f>
        <v>Group 28</v>
      </c>
      <c r="F507" s="13" t="str">
        <f>IFERROR(__xludf.DUMMYFUNCTION("""COMPUTED_VALUE"""),"2024 - 2025")</f>
        <v>2024 - 2025</v>
      </c>
      <c r="G507" s="13" t="str">
        <f>IFERROR(__xludf.DUMMYFUNCTION("""COMPUTED_VALUE"""),"2023 - 2024")</f>
        <v>2023 - 2024</v>
      </c>
      <c r="H507" s="13">
        <f>IFERROR(__xludf.DUMMYFUNCTION("""COMPUTED_VALUE"""),100.0)</f>
        <v>100</v>
      </c>
      <c r="I507" s="15">
        <f>IFERROR(__xludf.DUMMYFUNCTION("""COMPUTED_VALUE"""),0.0)</f>
        <v>0</v>
      </c>
    </row>
    <row r="508">
      <c r="A508" s="13" t="str">
        <f>IFERROR(__xludf.DUMMYFUNCTION("""COMPUTED_VALUE"""),"0880")</f>
        <v>0880</v>
      </c>
      <c r="B508" s="13" t="str">
        <f>IFERROR(__xludf.DUMMYFUNCTION("""COMPUTED_VALUE"""),"DENVER COUNTY 1")</f>
        <v>DENVER COUNTY 1</v>
      </c>
      <c r="C508" s="14" t="str">
        <f>IFERROR(__xludf.DUMMYFUNCTION("""COMPUTED_VALUE"""),"05578")</f>
        <v>05578</v>
      </c>
      <c r="D508" s="13" t="str">
        <f>IFERROR(__xludf.DUMMYFUNCTION("""COMPUTED_VALUE"""),"MARRAMA ELEMENTARY SCHOOL")</f>
        <v>MARRAMA ELEMENTARY SCHOOL</v>
      </c>
      <c r="E508" s="13" t="str">
        <f>IFERROR(__xludf.DUMMYFUNCTION("""COMPUTED_VALUE"""),"Group 28")</f>
        <v>Group 28</v>
      </c>
      <c r="F508" s="13" t="str">
        <f>IFERROR(__xludf.DUMMYFUNCTION("""COMPUTED_VALUE"""),"2024 - 2025")</f>
        <v>2024 - 2025</v>
      </c>
      <c r="G508" s="13" t="str">
        <f>IFERROR(__xludf.DUMMYFUNCTION("""COMPUTED_VALUE"""),"2023 - 2024")</f>
        <v>2023 - 2024</v>
      </c>
      <c r="H508" s="13">
        <f>IFERROR(__xludf.DUMMYFUNCTION("""COMPUTED_VALUE"""),100.0)</f>
        <v>100</v>
      </c>
      <c r="I508" s="15">
        <f>IFERROR(__xludf.DUMMYFUNCTION("""COMPUTED_VALUE"""),0.0)</f>
        <v>0</v>
      </c>
    </row>
    <row r="509">
      <c r="A509" s="13" t="str">
        <f>IFERROR(__xludf.DUMMYFUNCTION("""COMPUTED_VALUE"""),"0880")</f>
        <v>0880</v>
      </c>
      <c r="B509" s="13" t="str">
        <f>IFERROR(__xludf.DUMMYFUNCTION("""COMPUTED_VALUE"""),"DENVER COUNTY 1")</f>
        <v>DENVER COUNTY 1</v>
      </c>
      <c r="C509" s="14" t="str">
        <f>IFERROR(__xludf.DUMMYFUNCTION("""COMPUTED_VALUE"""),"05644")</f>
        <v>05644</v>
      </c>
      <c r="D509" s="13" t="str">
        <f>IFERROR(__xludf.DUMMYFUNCTION("""COMPUTED_VALUE"""),"MAXWELL ELEMENTARY SCHOOL")</f>
        <v>MAXWELL ELEMENTARY SCHOOL</v>
      </c>
      <c r="E509" s="13" t="str">
        <f>IFERROR(__xludf.DUMMYFUNCTION("""COMPUTED_VALUE"""),"Group 28")</f>
        <v>Group 28</v>
      </c>
      <c r="F509" s="13" t="str">
        <f>IFERROR(__xludf.DUMMYFUNCTION("""COMPUTED_VALUE"""),"2024 - 2025")</f>
        <v>2024 - 2025</v>
      </c>
      <c r="G509" s="13" t="str">
        <f>IFERROR(__xludf.DUMMYFUNCTION("""COMPUTED_VALUE"""),"2023 - 2024")</f>
        <v>2023 - 2024</v>
      </c>
      <c r="H509" s="13">
        <f>IFERROR(__xludf.DUMMYFUNCTION("""COMPUTED_VALUE"""),100.0)</f>
        <v>100</v>
      </c>
      <c r="I509" s="15">
        <f>IFERROR(__xludf.DUMMYFUNCTION("""COMPUTED_VALUE"""),0.0)</f>
        <v>0</v>
      </c>
    </row>
    <row r="510">
      <c r="A510" s="13" t="str">
        <f>IFERROR(__xludf.DUMMYFUNCTION("""COMPUTED_VALUE"""),"0880")</f>
        <v>0880</v>
      </c>
      <c r="B510" s="13" t="str">
        <f>IFERROR(__xludf.DUMMYFUNCTION("""COMPUTED_VALUE"""),"DENVER COUNTY 1")</f>
        <v>DENVER COUNTY 1</v>
      </c>
      <c r="C510" s="14" t="str">
        <f>IFERROR(__xludf.DUMMYFUNCTION("""COMPUTED_VALUE"""),"05844")</f>
        <v>05844</v>
      </c>
      <c r="D510" s="13" t="str">
        <f>IFERROR(__xludf.DUMMYFUNCTION("""COMPUTED_VALUE"""),"CONTEMPORARY LEARNING ACADEMY")</f>
        <v>CONTEMPORARY LEARNING ACADEMY</v>
      </c>
      <c r="E510" s="13" t="str">
        <f>IFERROR(__xludf.DUMMYFUNCTION("""COMPUTED_VALUE"""),"Group 28")</f>
        <v>Group 28</v>
      </c>
      <c r="F510" s="13" t="str">
        <f>IFERROR(__xludf.DUMMYFUNCTION("""COMPUTED_VALUE"""),"2024 - 2025")</f>
        <v>2024 - 2025</v>
      </c>
      <c r="G510" s="13" t="str">
        <f>IFERROR(__xludf.DUMMYFUNCTION("""COMPUTED_VALUE"""),"2023 - 2024")</f>
        <v>2023 - 2024</v>
      </c>
      <c r="H510" s="13">
        <f>IFERROR(__xludf.DUMMYFUNCTION("""COMPUTED_VALUE"""),100.0)</f>
        <v>100</v>
      </c>
      <c r="I510" s="15">
        <f>IFERROR(__xludf.DUMMYFUNCTION("""COMPUTED_VALUE"""),0.0)</f>
        <v>0</v>
      </c>
    </row>
    <row r="511">
      <c r="A511" s="13" t="str">
        <f>IFERROR(__xludf.DUMMYFUNCTION("""COMPUTED_VALUE"""),"0880")</f>
        <v>0880</v>
      </c>
      <c r="B511" s="13" t="str">
        <f>IFERROR(__xludf.DUMMYFUNCTION("""COMPUTED_VALUE"""),"DENVER COUNTY 1")</f>
        <v>DENVER COUNTY 1</v>
      </c>
      <c r="C511" s="14" t="str">
        <f>IFERROR(__xludf.DUMMYFUNCTION("""COMPUTED_VALUE"""),"06002")</f>
        <v>06002</v>
      </c>
      <c r="D511" s="13" t="str">
        <f>IFERROR(__xludf.DUMMYFUNCTION("""COMPUTED_VALUE"""),"MONTCLAIR ELEMENTARY SCHOOL")</f>
        <v>MONTCLAIR ELEMENTARY SCHOOL</v>
      </c>
      <c r="E511" s="13" t="str">
        <f>IFERROR(__xludf.DUMMYFUNCTION("""COMPUTED_VALUE"""),"Group 28")</f>
        <v>Group 28</v>
      </c>
      <c r="F511" s="13" t="str">
        <f>IFERROR(__xludf.DUMMYFUNCTION("""COMPUTED_VALUE"""),"2024 - 2025")</f>
        <v>2024 - 2025</v>
      </c>
      <c r="G511" s="13" t="str">
        <f>IFERROR(__xludf.DUMMYFUNCTION("""COMPUTED_VALUE"""),"2023 - 2024")</f>
        <v>2023 - 2024</v>
      </c>
      <c r="H511" s="13">
        <f>IFERROR(__xludf.DUMMYFUNCTION("""COMPUTED_VALUE"""),100.0)</f>
        <v>100</v>
      </c>
      <c r="I511" s="15">
        <f>IFERROR(__xludf.DUMMYFUNCTION("""COMPUTED_VALUE"""),0.0)</f>
        <v>0</v>
      </c>
    </row>
    <row r="512">
      <c r="A512" s="13" t="str">
        <f>IFERROR(__xludf.DUMMYFUNCTION("""COMPUTED_VALUE"""),"0880")</f>
        <v>0880</v>
      </c>
      <c r="B512" s="13" t="str">
        <f>IFERROR(__xludf.DUMMYFUNCTION("""COMPUTED_VALUE"""),"DENVER COUNTY 1")</f>
        <v>DENVER COUNTY 1</v>
      </c>
      <c r="C512" s="14" t="str">
        <f>IFERROR(__xludf.DUMMYFUNCTION("""COMPUTED_VALUE"""),"06088")</f>
        <v>06088</v>
      </c>
      <c r="D512" s="13" t="str">
        <f>IFERROR(__xludf.DUMMYFUNCTION("""COMPUTED_VALUE"""),"DORA MOORE ECE-8 SCHOOL")</f>
        <v>DORA MOORE ECE-8 SCHOOL</v>
      </c>
      <c r="E512" s="13" t="str">
        <f>IFERROR(__xludf.DUMMYFUNCTION("""COMPUTED_VALUE"""),"Group 28")</f>
        <v>Group 28</v>
      </c>
      <c r="F512" s="13" t="str">
        <f>IFERROR(__xludf.DUMMYFUNCTION("""COMPUTED_VALUE"""),"2024 - 2025")</f>
        <v>2024 - 2025</v>
      </c>
      <c r="G512" s="13" t="str">
        <f>IFERROR(__xludf.DUMMYFUNCTION("""COMPUTED_VALUE"""),"2023 - 2024")</f>
        <v>2023 - 2024</v>
      </c>
      <c r="H512" s="13">
        <f>IFERROR(__xludf.DUMMYFUNCTION("""COMPUTED_VALUE"""),100.0)</f>
        <v>100</v>
      </c>
      <c r="I512" s="15">
        <f>IFERROR(__xludf.DUMMYFUNCTION("""COMPUTED_VALUE"""),0.0)</f>
        <v>0</v>
      </c>
    </row>
    <row r="513">
      <c r="A513" s="13" t="str">
        <f>IFERROR(__xludf.DUMMYFUNCTION("""COMPUTED_VALUE"""),"0880")</f>
        <v>0880</v>
      </c>
      <c r="B513" s="13" t="str">
        <f>IFERROR(__xludf.DUMMYFUNCTION("""COMPUTED_VALUE"""),"DENVER COUNTY 1")</f>
        <v>DENVER COUNTY 1</v>
      </c>
      <c r="C513" s="14" t="str">
        <f>IFERROR(__xludf.DUMMYFUNCTION("""COMPUTED_VALUE"""),"06188")</f>
        <v>06188</v>
      </c>
      <c r="D513" s="13" t="str">
        <f>IFERROR(__xludf.DUMMYFUNCTION("""COMPUTED_VALUE"""),"MUNROE ELEMENTARY SCHOOL")</f>
        <v>MUNROE ELEMENTARY SCHOOL</v>
      </c>
      <c r="E513" s="13" t="str">
        <f>IFERROR(__xludf.DUMMYFUNCTION("""COMPUTED_VALUE"""),"Group 28")</f>
        <v>Group 28</v>
      </c>
      <c r="F513" s="13" t="str">
        <f>IFERROR(__xludf.DUMMYFUNCTION("""COMPUTED_VALUE"""),"2024 - 2025")</f>
        <v>2024 - 2025</v>
      </c>
      <c r="G513" s="13" t="str">
        <f>IFERROR(__xludf.DUMMYFUNCTION("""COMPUTED_VALUE"""),"2023 - 2024")</f>
        <v>2023 - 2024</v>
      </c>
      <c r="H513" s="13">
        <f>IFERROR(__xludf.DUMMYFUNCTION("""COMPUTED_VALUE"""),100.0)</f>
        <v>100</v>
      </c>
      <c r="I513" s="15">
        <f>IFERROR(__xludf.DUMMYFUNCTION("""COMPUTED_VALUE"""),0.0)</f>
        <v>0</v>
      </c>
    </row>
    <row r="514">
      <c r="A514" s="13" t="str">
        <f>IFERROR(__xludf.DUMMYFUNCTION("""COMPUTED_VALUE"""),"0880")</f>
        <v>0880</v>
      </c>
      <c r="B514" s="13" t="str">
        <f>IFERROR(__xludf.DUMMYFUNCTION("""COMPUTED_VALUE"""),"DENVER COUNTY 1")</f>
        <v>DENVER COUNTY 1</v>
      </c>
      <c r="C514" s="14" t="str">
        <f>IFERROR(__xludf.DUMMYFUNCTION("""COMPUTED_VALUE"""),"06254")</f>
        <v>06254</v>
      </c>
      <c r="D514" s="13" t="str">
        <f>IFERROR(__xludf.DUMMYFUNCTION("""COMPUTED_VALUE"""),"NEWLON ELEMENTARY SCHOOL")</f>
        <v>NEWLON ELEMENTARY SCHOOL</v>
      </c>
      <c r="E514" s="13" t="str">
        <f>IFERROR(__xludf.DUMMYFUNCTION("""COMPUTED_VALUE"""),"Group 28")</f>
        <v>Group 28</v>
      </c>
      <c r="F514" s="13" t="str">
        <f>IFERROR(__xludf.DUMMYFUNCTION("""COMPUTED_VALUE"""),"2024 - 2025")</f>
        <v>2024 - 2025</v>
      </c>
      <c r="G514" s="13" t="str">
        <f>IFERROR(__xludf.DUMMYFUNCTION("""COMPUTED_VALUE"""),"2023 - 2024")</f>
        <v>2023 - 2024</v>
      </c>
      <c r="H514" s="13">
        <f>IFERROR(__xludf.DUMMYFUNCTION("""COMPUTED_VALUE"""),100.0)</f>
        <v>100</v>
      </c>
      <c r="I514" s="15">
        <f>IFERROR(__xludf.DUMMYFUNCTION("""COMPUTED_VALUE"""),0.0)</f>
        <v>0</v>
      </c>
    </row>
    <row r="515">
      <c r="A515" s="13" t="str">
        <f>IFERROR(__xludf.DUMMYFUNCTION("""COMPUTED_VALUE"""),"0880")</f>
        <v>0880</v>
      </c>
      <c r="B515" s="13" t="str">
        <f>IFERROR(__xludf.DUMMYFUNCTION("""COMPUTED_VALUE"""),"DENVER COUNTY 1")</f>
        <v>DENVER COUNTY 1</v>
      </c>
      <c r="C515" s="14" t="str">
        <f>IFERROR(__xludf.DUMMYFUNCTION("""COMPUTED_VALUE"""),"06957")</f>
        <v>06957</v>
      </c>
      <c r="D515" s="13" t="str">
        <f>IFERROR(__xludf.DUMMYFUNCTION("""COMPUTED_VALUE"""),"University Prep Steel Street")</f>
        <v>University Prep Steel Street</v>
      </c>
      <c r="E515" s="13" t="str">
        <f>IFERROR(__xludf.DUMMYFUNCTION("""COMPUTED_VALUE"""),"Group 28")</f>
        <v>Group 28</v>
      </c>
      <c r="F515" s="13" t="str">
        <f>IFERROR(__xludf.DUMMYFUNCTION("""COMPUTED_VALUE"""),"2024 - 2025")</f>
        <v>2024 - 2025</v>
      </c>
      <c r="G515" s="13" t="str">
        <f>IFERROR(__xludf.DUMMYFUNCTION("""COMPUTED_VALUE"""),"2023 - 2024")</f>
        <v>2023 - 2024</v>
      </c>
      <c r="H515" s="13">
        <f>IFERROR(__xludf.DUMMYFUNCTION("""COMPUTED_VALUE"""),100.0)</f>
        <v>100</v>
      </c>
      <c r="I515" s="15">
        <f>IFERROR(__xludf.DUMMYFUNCTION("""COMPUTED_VALUE"""),0.0)</f>
        <v>0</v>
      </c>
    </row>
    <row r="516">
      <c r="A516" s="13" t="str">
        <f>IFERROR(__xludf.DUMMYFUNCTION("""COMPUTED_VALUE"""),"0880")</f>
        <v>0880</v>
      </c>
      <c r="B516" s="13" t="str">
        <f>IFERROR(__xludf.DUMMYFUNCTION("""COMPUTED_VALUE"""),"DENVER COUNTY 1")</f>
        <v>DENVER COUNTY 1</v>
      </c>
      <c r="C516" s="14" t="str">
        <f>IFERROR(__xludf.DUMMYFUNCTION("""COMPUTED_VALUE"""),"06970")</f>
        <v>06970</v>
      </c>
      <c r="D516" s="13" t="str">
        <f>IFERROR(__xludf.DUMMYFUNCTION("""COMPUTED_VALUE"""),"FLORIDA PITT-WALLER ECE-8 SCHOOL")</f>
        <v>FLORIDA PITT-WALLER ECE-8 SCHOOL</v>
      </c>
      <c r="E516" s="13" t="str">
        <f>IFERROR(__xludf.DUMMYFUNCTION("""COMPUTED_VALUE"""),"Group 28")</f>
        <v>Group 28</v>
      </c>
      <c r="F516" s="13" t="str">
        <f>IFERROR(__xludf.DUMMYFUNCTION("""COMPUTED_VALUE"""),"2024 - 2025")</f>
        <v>2024 - 2025</v>
      </c>
      <c r="G516" s="13" t="str">
        <f>IFERROR(__xludf.DUMMYFUNCTION("""COMPUTED_VALUE"""),"2023 - 2024")</f>
        <v>2023 - 2024</v>
      </c>
      <c r="H516" s="13">
        <f>IFERROR(__xludf.DUMMYFUNCTION("""COMPUTED_VALUE"""),100.0)</f>
        <v>100</v>
      </c>
      <c r="I516" s="15">
        <f>IFERROR(__xludf.DUMMYFUNCTION("""COMPUTED_VALUE"""),0.0)</f>
        <v>0</v>
      </c>
    </row>
    <row r="517">
      <c r="A517" s="13" t="str">
        <f>IFERROR(__xludf.DUMMYFUNCTION("""COMPUTED_VALUE"""),"0880")</f>
        <v>0880</v>
      </c>
      <c r="B517" s="13" t="str">
        <f>IFERROR(__xludf.DUMMYFUNCTION("""COMPUTED_VALUE"""),"DENVER COUNTY 1")</f>
        <v>DENVER COUNTY 1</v>
      </c>
      <c r="C517" s="14" t="str">
        <f>IFERROR(__xludf.DUMMYFUNCTION("""COMPUTED_VALUE"""),"07045")</f>
        <v>07045</v>
      </c>
      <c r="D517" s="13" t="str">
        <f>IFERROR(__xludf.DUMMYFUNCTION("""COMPUTED_VALUE"""),"PLACE BRIDGE ACADEMY")</f>
        <v>PLACE BRIDGE ACADEMY</v>
      </c>
      <c r="E517" s="13" t="str">
        <f>IFERROR(__xludf.DUMMYFUNCTION("""COMPUTED_VALUE"""),"Group 28")</f>
        <v>Group 28</v>
      </c>
      <c r="F517" s="13" t="str">
        <f>IFERROR(__xludf.DUMMYFUNCTION("""COMPUTED_VALUE"""),"2024 - 2025")</f>
        <v>2024 - 2025</v>
      </c>
      <c r="G517" s="13" t="str">
        <f>IFERROR(__xludf.DUMMYFUNCTION("""COMPUTED_VALUE"""),"2023 - 2024")</f>
        <v>2023 - 2024</v>
      </c>
      <c r="H517" s="13">
        <f>IFERROR(__xludf.DUMMYFUNCTION("""COMPUTED_VALUE"""),100.0)</f>
        <v>100</v>
      </c>
      <c r="I517" s="15">
        <f>IFERROR(__xludf.DUMMYFUNCTION("""COMPUTED_VALUE"""),0.0)</f>
        <v>0</v>
      </c>
    </row>
    <row r="518">
      <c r="A518" s="13" t="str">
        <f>IFERROR(__xludf.DUMMYFUNCTION("""COMPUTED_VALUE"""),"0880")</f>
        <v>0880</v>
      </c>
      <c r="B518" s="13" t="str">
        <f>IFERROR(__xludf.DUMMYFUNCTION("""COMPUTED_VALUE"""),"DENVER COUNTY 1")</f>
        <v>DENVER COUNTY 1</v>
      </c>
      <c r="C518" s="14" t="str">
        <f>IFERROR(__xludf.DUMMYFUNCTION("""COMPUTED_VALUE"""),"07163")</f>
        <v>07163</v>
      </c>
      <c r="D518" s="13" t="str">
        <f>IFERROR(__xludf.DUMMYFUNCTION("""COMPUTED_VALUE"""),"P.R.E.P. (POSITIVE REFOCUS EDUCATION PROGRAM)")</f>
        <v>P.R.E.P. (POSITIVE REFOCUS EDUCATION PROGRAM)</v>
      </c>
      <c r="E518" s="13" t="str">
        <f>IFERROR(__xludf.DUMMYFUNCTION("""COMPUTED_VALUE"""),"Group 28")</f>
        <v>Group 28</v>
      </c>
      <c r="F518" s="13" t="str">
        <f>IFERROR(__xludf.DUMMYFUNCTION("""COMPUTED_VALUE"""),"2024 - 2025")</f>
        <v>2024 - 2025</v>
      </c>
      <c r="G518" s="13" t="str">
        <f>IFERROR(__xludf.DUMMYFUNCTION("""COMPUTED_VALUE"""),"2023 - 2024")</f>
        <v>2023 - 2024</v>
      </c>
      <c r="H518" s="13">
        <f>IFERROR(__xludf.DUMMYFUNCTION("""COMPUTED_VALUE"""),100.0)</f>
        <v>100</v>
      </c>
      <c r="I518" s="15">
        <f>IFERROR(__xludf.DUMMYFUNCTION("""COMPUTED_VALUE"""),0.0)</f>
        <v>0</v>
      </c>
    </row>
    <row r="519">
      <c r="A519" s="13" t="str">
        <f>IFERROR(__xludf.DUMMYFUNCTION("""COMPUTED_VALUE"""),"0880")</f>
        <v>0880</v>
      </c>
      <c r="B519" s="13" t="str">
        <f>IFERROR(__xludf.DUMMYFUNCTION("""COMPUTED_VALUE"""),"DENVER COUNTY 1")</f>
        <v>DENVER COUNTY 1</v>
      </c>
      <c r="C519" s="14" t="str">
        <f>IFERROR(__xludf.DUMMYFUNCTION("""COMPUTED_VALUE"""),"07554")</f>
        <v>07554</v>
      </c>
      <c r="D519" s="13" t="str">
        <f>IFERROR(__xludf.DUMMYFUNCTION("""COMPUTED_VALUE"""),"SABIN WORLD SCHOOL")</f>
        <v>SABIN WORLD SCHOOL</v>
      </c>
      <c r="E519" s="13" t="str">
        <f>IFERROR(__xludf.DUMMYFUNCTION("""COMPUTED_VALUE"""),"Group 28")</f>
        <v>Group 28</v>
      </c>
      <c r="F519" s="13" t="str">
        <f>IFERROR(__xludf.DUMMYFUNCTION("""COMPUTED_VALUE"""),"2024 - 2025")</f>
        <v>2024 - 2025</v>
      </c>
      <c r="G519" s="13" t="str">
        <f>IFERROR(__xludf.DUMMYFUNCTION("""COMPUTED_VALUE"""),"2023 - 2024")</f>
        <v>2023 - 2024</v>
      </c>
      <c r="H519" s="13">
        <f>IFERROR(__xludf.DUMMYFUNCTION("""COMPUTED_VALUE"""),100.0)</f>
        <v>100</v>
      </c>
      <c r="I519" s="15">
        <f>IFERROR(__xludf.DUMMYFUNCTION("""COMPUTED_VALUE"""),0.0)</f>
        <v>0</v>
      </c>
    </row>
    <row r="520">
      <c r="A520" s="13" t="str">
        <f>IFERROR(__xludf.DUMMYFUNCTION("""COMPUTED_VALUE"""),"0880")</f>
        <v>0880</v>
      </c>
      <c r="B520" s="13" t="str">
        <f>IFERROR(__xludf.DUMMYFUNCTION("""COMPUTED_VALUE"""),"DENVER COUNTY 1")</f>
        <v>DENVER COUNTY 1</v>
      </c>
      <c r="C520" s="14" t="str">
        <f>IFERROR(__xludf.DUMMYFUNCTION("""COMPUTED_VALUE"""),"07578")</f>
        <v>07578</v>
      </c>
      <c r="D520" s="13" t="str">
        <f>IFERROR(__xludf.DUMMYFUNCTION("""COMPUTED_VALUE"""),"SAMUELS ELEMENTARY SCHOOL")</f>
        <v>SAMUELS ELEMENTARY SCHOOL</v>
      </c>
      <c r="E520" s="13" t="str">
        <f>IFERROR(__xludf.DUMMYFUNCTION("""COMPUTED_VALUE"""),"Group 28")</f>
        <v>Group 28</v>
      </c>
      <c r="F520" s="13" t="str">
        <f>IFERROR(__xludf.DUMMYFUNCTION("""COMPUTED_VALUE"""),"2024 - 2025")</f>
        <v>2024 - 2025</v>
      </c>
      <c r="G520" s="13" t="str">
        <f>IFERROR(__xludf.DUMMYFUNCTION("""COMPUTED_VALUE"""),"2023 - 2024")</f>
        <v>2023 - 2024</v>
      </c>
      <c r="H520" s="13">
        <f>IFERROR(__xludf.DUMMYFUNCTION("""COMPUTED_VALUE"""),100.0)</f>
        <v>100</v>
      </c>
      <c r="I520" s="15">
        <f>IFERROR(__xludf.DUMMYFUNCTION("""COMPUTED_VALUE"""),0.0)</f>
        <v>0</v>
      </c>
    </row>
    <row r="521">
      <c r="A521" s="13" t="str">
        <f>IFERROR(__xludf.DUMMYFUNCTION("""COMPUTED_VALUE"""),"0880")</f>
        <v>0880</v>
      </c>
      <c r="B521" s="13" t="str">
        <f>IFERROR(__xludf.DUMMYFUNCTION("""COMPUTED_VALUE"""),"DENVER COUNTY 1")</f>
        <v>DENVER COUNTY 1</v>
      </c>
      <c r="C521" s="14" t="str">
        <f>IFERROR(__xludf.DUMMYFUNCTION("""COMPUTED_VALUE"""),"07694")</f>
        <v>07694</v>
      </c>
      <c r="D521" s="13" t="str">
        <f>IFERROR(__xludf.DUMMYFUNCTION("""COMPUTED_VALUE"""),"CHARLES M. SCHENCK (CMS) COMMUNITY SCHOOL")</f>
        <v>CHARLES M. SCHENCK (CMS) COMMUNITY SCHOOL</v>
      </c>
      <c r="E521" s="13" t="str">
        <f>IFERROR(__xludf.DUMMYFUNCTION("""COMPUTED_VALUE"""),"Group 28")</f>
        <v>Group 28</v>
      </c>
      <c r="F521" s="13" t="str">
        <f>IFERROR(__xludf.DUMMYFUNCTION("""COMPUTED_VALUE"""),"2024 - 2025")</f>
        <v>2024 - 2025</v>
      </c>
      <c r="G521" s="13" t="str">
        <f>IFERROR(__xludf.DUMMYFUNCTION("""COMPUTED_VALUE"""),"2023 - 2024")</f>
        <v>2023 - 2024</v>
      </c>
      <c r="H521" s="13">
        <f>IFERROR(__xludf.DUMMYFUNCTION("""COMPUTED_VALUE"""),100.0)</f>
        <v>100</v>
      </c>
      <c r="I521" s="15">
        <f>IFERROR(__xludf.DUMMYFUNCTION("""COMPUTED_VALUE"""),0.0)</f>
        <v>0</v>
      </c>
    </row>
    <row r="522">
      <c r="A522" s="13" t="str">
        <f>IFERROR(__xludf.DUMMYFUNCTION("""COMPUTED_VALUE"""),"0880")</f>
        <v>0880</v>
      </c>
      <c r="B522" s="13" t="str">
        <f>IFERROR(__xludf.DUMMYFUNCTION("""COMPUTED_VALUE"""),"DENVER COUNTY 1")</f>
        <v>DENVER COUNTY 1</v>
      </c>
      <c r="C522" s="14" t="str">
        <f>IFERROR(__xludf.DUMMYFUNCTION("""COMPUTED_VALUE"""),"07698")</f>
        <v>07698</v>
      </c>
      <c r="D522" s="13" t="str">
        <f>IFERROR(__xludf.DUMMYFUNCTION("""COMPUTED_VALUE"""),"SCHMITT ELEMENTARY SCHOOL")</f>
        <v>SCHMITT ELEMENTARY SCHOOL</v>
      </c>
      <c r="E522" s="13" t="str">
        <f>IFERROR(__xludf.DUMMYFUNCTION("""COMPUTED_VALUE"""),"Group 28")</f>
        <v>Group 28</v>
      </c>
      <c r="F522" s="13" t="str">
        <f>IFERROR(__xludf.DUMMYFUNCTION("""COMPUTED_VALUE"""),"2024 - 2025")</f>
        <v>2024 - 2025</v>
      </c>
      <c r="G522" s="13" t="str">
        <f>IFERROR(__xludf.DUMMYFUNCTION("""COMPUTED_VALUE"""),"2023 - 2024")</f>
        <v>2023 - 2024</v>
      </c>
      <c r="H522" s="13">
        <f>IFERROR(__xludf.DUMMYFUNCTION("""COMPUTED_VALUE"""),100.0)</f>
        <v>100</v>
      </c>
      <c r="I522" s="15">
        <f>IFERROR(__xludf.DUMMYFUNCTION("""COMPUTED_VALUE"""),0.0)</f>
        <v>0</v>
      </c>
    </row>
    <row r="523">
      <c r="A523" s="13" t="str">
        <f>IFERROR(__xludf.DUMMYFUNCTION("""COMPUTED_VALUE"""),"0880")</f>
        <v>0880</v>
      </c>
      <c r="B523" s="13" t="str">
        <f>IFERROR(__xludf.DUMMYFUNCTION("""COMPUTED_VALUE"""),"DENVER COUNTY 1")</f>
        <v>DENVER COUNTY 1</v>
      </c>
      <c r="C523" s="14" t="str">
        <f>IFERROR(__xludf.DUMMYFUNCTION("""COMPUTED_VALUE"""),"08006")</f>
        <v>08006</v>
      </c>
      <c r="D523" s="13" t="str">
        <f>IFERROR(__xludf.DUMMYFUNCTION("""COMPUTED_VALUE"""),"SMITH RENAISSANCE SCHOOL")</f>
        <v>SMITH RENAISSANCE SCHOOL</v>
      </c>
      <c r="E523" s="13" t="str">
        <f>IFERROR(__xludf.DUMMYFUNCTION("""COMPUTED_VALUE"""),"Group 28")</f>
        <v>Group 28</v>
      </c>
      <c r="F523" s="13" t="str">
        <f>IFERROR(__xludf.DUMMYFUNCTION("""COMPUTED_VALUE"""),"2024 - 2025")</f>
        <v>2024 - 2025</v>
      </c>
      <c r="G523" s="13" t="str">
        <f>IFERROR(__xludf.DUMMYFUNCTION("""COMPUTED_VALUE"""),"2023 - 2024")</f>
        <v>2023 - 2024</v>
      </c>
      <c r="H523" s="13">
        <f>IFERROR(__xludf.DUMMYFUNCTION("""COMPUTED_VALUE"""),100.0)</f>
        <v>100</v>
      </c>
      <c r="I523" s="15">
        <f>IFERROR(__xludf.DUMMYFUNCTION("""COMPUTED_VALUE"""),0.0)</f>
        <v>0</v>
      </c>
    </row>
    <row r="524">
      <c r="A524" s="13" t="str">
        <f>IFERROR(__xludf.DUMMYFUNCTION("""COMPUTED_VALUE"""),"0880")</f>
        <v>0880</v>
      </c>
      <c r="B524" s="13" t="str">
        <f>IFERROR(__xludf.DUMMYFUNCTION("""COMPUTED_VALUE"""),"DENVER COUNTY 1")</f>
        <v>DENVER COUNTY 1</v>
      </c>
      <c r="C524" s="14" t="str">
        <f>IFERROR(__xludf.DUMMYFUNCTION("""COMPUTED_VALUE"""),"08131")</f>
        <v>08131</v>
      </c>
      <c r="D524" s="13" t="str">
        <f>IFERROR(__xludf.DUMMYFUNCTION("""COMPUTED_VALUE"""),"OAKLAND ELEMENTARY")</f>
        <v>OAKLAND ELEMENTARY</v>
      </c>
      <c r="E524" s="13" t="str">
        <f>IFERROR(__xludf.DUMMYFUNCTION("""COMPUTED_VALUE"""),"Group 28")</f>
        <v>Group 28</v>
      </c>
      <c r="F524" s="13" t="str">
        <f>IFERROR(__xludf.DUMMYFUNCTION("""COMPUTED_VALUE"""),"2024 - 2025")</f>
        <v>2024 - 2025</v>
      </c>
      <c r="G524" s="13" t="str">
        <f>IFERROR(__xludf.DUMMYFUNCTION("""COMPUTED_VALUE"""),"2023 - 2024")</f>
        <v>2023 - 2024</v>
      </c>
      <c r="H524" s="13">
        <f>IFERROR(__xludf.DUMMYFUNCTION("""COMPUTED_VALUE"""),100.0)</f>
        <v>100</v>
      </c>
      <c r="I524" s="15">
        <f>IFERROR(__xludf.DUMMYFUNCTION("""COMPUTED_VALUE"""),0.0)</f>
        <v>0</v>
      </c>
    </row>
    <row r="525">
      <c r="A525" s="13" t="str">
        <f>IFERROR(__xludf.DUMMYFUNCTION("""COMPUTED_VALUE"""),"0880")</f>
        <v>0880</v>
      </c>
      <c r="B525" s="13" t="str">
        <f>IFERROR(__xludf.DUMMYFUNCTION("""COMPUTED_VALUE"""),"DENVER COUNTY 1")</f>
        <v>DENVER COUNTY 1</v>
      </c>
      <c r="C525" s="14" t="str">
        <f>IFERROR(__xludf.DUMMYFUNCTION("""COMPUTED_VALUE"""),"08422")</f>
        <v>08422</v>
      </c>
      <c r="D525" s="13" t="str">
        <f>IFERROR(__xludf.DUMMYFUNCTION("""COMPUTED_VALUE"""),"SWANSEA ELEMENTARY SCHOOL")</f>
        <v>SWANSEA ELEMENTARY SCHOOL</v>
      </c>
      <c r="E525" s="13" t="str">
        <f>IFERROR(__xludf.DUMMYFUNCTION("""COMPUTED_VALUE"""),"Group 28")</f>
        <v>Group 28</v>
      </c>
      <c r="F525" s="13" t="str">
        <f>IFERROR(__xludf.DUMMYFUNCTION("""COMPUTED_VALUE"""),"2024 - 2025")</f>
        <v>2024 - 2025</v>
      </c>
      <c r="G525" s="13" t="str">
        <f>IFERROR(__xludf.DUMMYFUNCTION("""COMPUTED_VALUE"""),"2023 - 2024")</f>
        <v>2023 - 2024</v>
      </c>
      <c r="H525" s="13">
        <f>IFERROR(__xludf.DUMMYFUNCTION("""COMPUTED_VALUE"""),100.0)</f>
        <v>100</v>
      </c>
      <c r="I525" s="15">
        <f>IFERROR(__xludf.DUMMYFUNCTION("""COMPUTED_VALUE"""),0.0)</f>
        <v>0</v>
      </c>
    </row>
    <row r="526">
      <c r="A526" s="13" t="str">
        <f>IFERROR(__xludf.DUMMYFUNCTION("""COMPUTED_VALUE"""),"0880")</f>
        <v>0880</v>
      </c>
      <c r="B526" s="13" t="str">
        <f>IFERROR(__xludf.DUMMYFUNCTION("""COMPUTED_VALUE"""),"DENVER COUNTY 1")</f>
        <v>DENVER COUNTY 1</v>
      </c>
      <c r="C526" s="14" t="str">
        <f>IFERROR(__xludf.DUMMYFUNCTION("""COMPUTED_VALUE"""),"09496")</f>
        <v>09496</v>
      </c>
      <c r="D526" s="13" t="str">
        <f>IFERROR(__xludf.DUMMYFUNCTION("""COMPUTED_VALUE"""),"CASTRO ELEMENTARY SCHOOL")</f>
        <v>CASTRO ELEMENTARY SCHOOL</v>
      </c>
      <c r="E526" s="13" t="str">
        <f>IFERROR(__xludf.DUMMYFUNCTION("""COMPUTED_VALUE"""),"Group 28")</f>
        <v>Group 28</v>
      </c>
      <c r="F526" s="13" t="str">
        <f>IFERROR(__xludf.DUMMYFUNCTION("""COMPUTED_VALUE"""),"2024 - 2025")</f>
        <v>2024 - 2025</v>
      </c>
      <c r="G526" s="13" t="str">
        <f>IFERROR(__xludf.DUMMYFUNCTION("""COMPUTED_VALUE"""),"2023 - 2024")</f>
        <v>2023 - 2024</v>
      </c>
      <c r="H526" s="13">
        <f>IFERROR(__xludf.DUMMYFUNCTION("""COMPUTED_VALUE"""),100.0)</f>
        <v>100</v>
      </c>
      <c r="I526" s="15">
        <f>IFERROR(__xludf.DUMMYFUNCTION("""COMPUTED_VALUE"""),0.0)</f>
        <v>0</v>
      </c>
    </row>
    <row r="527">
      <c r="A527" s="13" t="str">
        <f>IFERROR(__xludf.DUMMYFUNCTION("""COMPUTED_VALUE"""),"0880")</f>
        <v>0880</v>
      </c>
      <c r="B527" s="13" t="str">
        <f>IFERROR(__xludf.DUMMYFUNCTION("""COMPUTED_VALUE"""),"DENVER COUNTY 1")</f>
        <v>DENVER COUNTY 1</v>
      </c>
      <c r="C527" s="14" t="str">
        <f>IFERROR(__xludf.DUMMYFUNCTION("""COMPUTED_VALUE"""),"00067")</f>
        <v>00067</v>
      </c>
      <c r="D527" s="13" t="str">
        <f>IFERROR(__xludf.DUMMYFUNCTION("""COMPUTED_VALUE"""),"AUL Denver")</f>
        <v>AUL Denver</v>
      </c>
      <c r="E527" s="13" t="str">
        <f>IFERROR(__xludf.DUMMYFUNCTION("""COMPUTED_VALUE"""),"Group 28")</f>
        <v>Group 28</v>
      </c>
      <c r="F527" s="13" t="str">
        <f>IFERROR(__xludf.DUMMYFUNCTION("""COMPUTED_VALUE"""),"2024 - 2025")</f>
        <v>2024 - 2025</v>
      </c>
      <c r="G527" s="13" t="str">
        <f>IFERROR(__xludf.DUMMYFUNCTION("""COMPUTED_VALUE"""),"2023 - 2024")</f>
        <v>2023 - 2024</v>
      </c>
      <c r="H527" s="13">
        <f>IFERROR(__xludf.DUMMYFUNCTION("""COMPUTED_VALUE"""),100.0)</f>
        <v>100</v>
      </c>
      <c r="I527" s="15">
        <f>IFERROR(__xludf.DUMMYFUNCTION("""COMPUTED_VALUE"""),0.0)</f>
        <v>0</v>
      </c>
    </row>
    <row r="528">
      <c r="A528" s="13" t="str">
        <f>IFERROR(__xludf.DUMMYFUNCTION("""COMPUTED_VALUE"""),"0880")</f>
        <v>0880</v>
      </c>
      <c r="B528" s="13" t="str">
        <f>IFERROR(__xludf.DUMMYFUNCTION("""COMPUTED_VALUE"""),"DENVER COUNTY 1")</f>
        <v>DENVER COUNTY 1</v>
      </c>
      <c r="C528" s="14" t="str">
        <f>IFERROR(__xludf.DUMMYFUNCTION("""COMPUTED_VALUE"""),"09702")</f>
        <v>09702</v>
      </c>
      <c r="D528" s="13" t="str">
        <f>IFERROR(__xludf.DUMMYFUNCTION("""COMPUTED_VALUE"""),"West Middle School")</f>
        <v>West Middle School</v>
      </c>
      <c r="E528" s="13" t="str">
        <f>IFERROR(__xludf.DUMMYFUNCTION("""COMPUTED_VALUE"""),"Group 28")</f>
        <v>Group 28</v>
      </c>
      <c r="F528" s="13" t="str">
        <f>IFERROR(__xludf.DUMMYFUNCTION("""COMPUTED_VALUE"""),"2024 - 2025")</f>
        <v>2024 - 2025</v>
      </c>
      <c r="G528" s="13" t="str">
        <f>IFERROR(__xludf.DUMMYFUNCTION("""COMPUTED_VALUE"""),"2023 - 2024")</f>
        <v>2023 - 2024</v>
      </c>
      <c r="H528" s="13">
        <f>IFERROR(__xludf.DUMMYFUNCTION("""COMPUTED_VALUE"""),100.0)</f>
        <v>100</v>
      </c>
      <c r="I528" s="15">
        <f>IFERROR(__xludf.DUMMYFUNCTION("""COMPUTED_VALUE"""),0.0)</f>
        <v>0</v>
      </c>
    </row>
    <row r="529">
      <c r="A529" s="13" t="str">
        <f>IFERROR(__xludf.DUMMYFUNCTION("""COMPUTED_VALUE"""),"0880")</f>
        <v>0880</v>
      </c>
      <c r="B529" s="13" t="str">
        <f>IFERROR(__xludf.DUMMYFUNCTION("""COMPUTED_VALUE"""),"DENVER COUNTY 1")</f>
        <v>DENVER COUNTY 1</v>
      </c>
      <c r="C529" s="14" t="str">
        <f>IFERROR(__xludf.DUMMYFUNCTION("""COMPUTED_VALUE"""),"05621")</f>
        <v>05621</v>
      </c>
      <c r="D529" s="13" t="str">
        <f>IFERROR(__xludf.DUMMYFUNCTION("""COMPUTED_VALUE"""),"Monarch Montessori")</f>
        <v>Monarch Montessori</v>
      </c>
      <c r="E529" s="13" t="str">
        <f>IFERROR(__xludf.DUMMYFUNCTION("""COMPUTED_VALUE"""),"Group 28")</f>
        <v>Group 28</v>
      </c>
      <c r="F529" s="13" t="str">
        <f>IFERROR(__xludf.DUMMYFUNCTION("""COMPUTED_VALUE"""),"2024 - 2025")</f>
        <v>2024 - 2025</v>
      </c>
      <c r="G529" s="13" t="str">
        <f>IFERROR(__xludf.DUMMYFUNCTION("""COMPUTED_VALUE"""),"2023 - 2024")</f>
        <v>2023 - 2024</v>
      </c>
      <c r="H529" s="13">
        <f>IFERROR(__xludf.DUMMYFUNCTION("""COMPUTED_VALUE"""),100.0)</f>
        <v>100</v>
      </c>
      <c r="I529" s="15">
        <f>IFERROR(__xludf.DUMMYFUNCTION("""COMPUTED_VALUE"""),0.0)</f>
        <v>0</v>
      </c>
    </row>
    <row r="530">
      <c r="A530" s="13" t="str">
        <f>IFERROR(__xludf.DUMMYFUNCTION("""COMPUTED_VALUE"""),"0880")</f>
        <v>0880</v>
      </c>
      <c r="B530" s="13" t="str">
        <f>IFERROR(__xludf.DUMMYFUNCTION("""COMPUTED_VALUE"""),"DENVER COUNTY 1")</f>
        <v>DENVER COUNTY 1</v>
      </c>
      <c r="C530" s="14" t="str">
        <f>IFERROR(__xludf.DUMMYFUNCTION("""COMPUTED_VALUE"""),"09735")</f>
        <v>09735</v>
      </c>
      <c r="D530" s="13" t="str">
        <f>IFERROR(__xludf.DUMMYFUNCTION("""COMPUTED_VALUE"""),"Rocky Mountain Prep Noel")</f>
        <v>Rocky Mountain Prep Noel</v>
      </c>
      <c r="E530" s="13" t="str">
        <f>IFERROR(__xludf.DUMMYFUNCTION("""COMPUTED_VALUE"""),"Group 28")</f>
        <v>Group 28</v>
      </c>
      <c r="F530" s="13" t="str">
        <f>IFERROR(__xludf.DUMMYFUNCTION("""COMPUTED_VALUE"""),"2024 - 2025")</f>
        <v>2024 - 2025</v>
      </c>
      <c r="G530" s="13" t="str">
        <f>IFERROR(__xludf.DUMMYFUNCTION("""COMPUTED_VALUE"""),"2023 - 2024")</f>
        <v>2023 - 2024</v>
      </c>
      <c r="H530" s="13">
        <f>IFERROR(__xludf.DUMMYFUNCTION("""COMPUTED_VALUE"""),100.0)</f>
        <v>100</v>
      </c>
      <c r="I530" s="15">
        <f>IFERROR(__xludf.DUMMYFUNCTION("""COMPUTED_VALUE"""),0.0)</f>
        <v>0</v>
      </c>
    </row>
    <row r="531">
      <c r="A531" s="13" t="str">
        <f>IFERROR(__xludf.DUMMYFUNCTION("""COMPUTED_VALUE"""),"0880")</f>
        <v>0880</v>
      </c>
      <c r="B531" s="13" t="str">
        <f>IFERROR(__xludf.DUMMYFUNCTION("""COMPUTED_VALUE"""),"DENVER COUNTY 1")</f>
        <v>DENVER COUNTY 1</v>
      </c>
      <c r="C531" s="14" t="str">
        <f>IFERROR(__xludf.DUMMYFUNCTION("""COMPUTED_VALUE"""),"08053")</f>
        <v>08053</v>
      </c>
      <c r="D531" s="13" t="str">
        <f>IFERROR(__xludf.DUMMYFUNCTION("""COMPUTED_VALUE"""),"SOAR AT GREEN VALLEY RANCH")</f>
        <v>SOAR AT GREEN VALLEY RANCH</v>
      </c>
      <c r="E531" s="13" t="str">
        <f>IFERROR(__xludf.DUMMYFUNCTION("""COMPUTED_VALUE"""),"Group 28")</f>
        <v>Group 28</v>
      </c>
      <c r="F531" s="13" t="str">
        <f>IFERROR(__xludf.DUMMYFUNCTION("""COMPUTED_VALUE"""),"2024 - 2025")</f>
        <v>2024 - 2025</v>
      </c>
      <c r="G531" s="13" t="str">
        <f>IFERROR(__xludf.DUMMYFUNCTION("""COMPUTED_VALUE"""),"2023 - 2024")</f>
        <v>2023 - 2024</v>
      </c>
      <c r="H531" s="13">
        <f>IFERROR(__xludf.DUMMYFUNCTION("""COMPUTED_VALUE"""),100.0)</f>
        <v>100</v>
      </c>
      <c r="I531" s="15">
        <f>IFERROR(__xludf.DUMMYFUNCTION("""COMPUTED_VALUE"""),0.0)</f>
        <v>0</v>
      </c>
    </row>
    <row r="532">
      <c r="A532" s="13" t="str">
        <f>IFERROR(__xludf.DUMMYFUNCTION("""COMPUTED_VALUE"""),"0880")</f>
        <v>0880</v>
      </c>
      <c r="B532" s="13" t="str">
        <f>IFERROR(__xludf.DUMMYFUNCTION("""COMPUTED_VALUE"""),"DENVER COUNTY 1")</f>
        <v>DENVER COUNTY 1</v>
      </c>
      <c r="C532" s="14" t="str">
        <f>IFERROR(__xludf.DUMMYFUNCTION("""COMPUTED_VALUE"""),"02186")</f>
        <v>02186</v>
      </c>
      <c r="D532" s="13" t="str">
        <f>IFERROR(__xludf.DUMMYFUNCTION("""COMPUTED_VALUE"""),"DSST: Cedar Middle School")</f>
        <v>DSST: Cedar Middle School</v>
      </c>
      <c r="E532" s="13" t="str">
        <f>IFERROR(__xludf.DUMMYFUNCTION("""COMPUTED_VALUE"""),"Group 28")</f>
        <v>Group 28</v>
      </c>
      <c r="F532" s="13" t="str">
        <f>IFERROR(__xludf.DUMMYFUNCTION("""COMPUTED_VALUE"""),"2024 - 2025")</f>
        <v>2024 - 2025</v>
      </c>
      <c r="G532" s="13" t="str">
        <f>IFERROR(__xludf.DUMMYFUNCTION("""COMPUTED_VALUE"""),"2023 - 2024")</f>
        <v>2023 - 2024</v>
      </c>
      <c r="H532" s="13">
        <f>IFERROR(__xludf.DUMMYFUNCTION("""COMPUTED_VALUE"""),100.0)</f>
        <v>100</v>
      </c>
      <c r="I532" s="15">
        <f>IFERROR(__xludf.DUMMYFUNCTION("""COMPUTED_VALUE"""),0.0)</f>
        <v>0</v>
      </c>
    </row>
    <row r="533">
      <c r="A533" s="13" t="str">
        <f>IFERROR(__xludf.DUMMYFUNCTION("""COMPUTED_VALUE"""),"0880")</f>
        <v>0880</v>
      </c>
      <c r="B533" s="13" t="str">
        <f>IFERROR(__xludf.DUMMYFUNCTION("""COMPUTED_VALUE"""),"DENVER COUNTY 1")</f>
        <v>DENVER COUNTY 1</v>
      </c>
      <c r="C533" s="14" t="str">
        <f>IFERROR(__xludf.DUMMYFUNCTION("""COMPUTED_VALUE"""),"02641")</f>
        <v>02641</v>
      </c>
      <c r="D533" s="13" t="str">
        <f>IFERROR(__xludf.DUMMYFUNCTION("""COMPUTED_VALUE"""),"Excel Academy")</f>
        <v>Excel Academy</v>
      </c>
      <c r="E533" s="13" t="str">
        <f>IFERROR(__xludf.DUMMYFUNCTION("""COMPUTED_VALUE"""),"Group 28")</f>
        <v>Group 28</v>
      </c>
      <c r="F533" s="13" t="str">
        <f>IFERROR(__xludf.DUMMYFUNCTION("""COMPUTED_VALUE"""),"2024 - 2025")</f>
        <v>2024 - 2025</v>
      </c>
      <c r="G533" s="13" t="str">
        <f>IFERROR(__xludf.DUMMYFUNCTION("""COMPUTED_VALUE"""),"2023 - 2024")</f>
        <v>2023 - 2024</v>
      </c>
      <c r="H533" s="13">
        <f>IFERROR(__xludf.DUMMYFUNCTION("""COMPUTED_VALUE"""),100.0)</f>
        <v>100</v>
      </c>
      <c r="I533" s="15">
        <f>IFERROR(__xludf.DUMMYFUNCTION("""COMPUTED_VALUE"""),0.0)</f>
        <v>0</v>
      </c>
    </row>
    <row r="534">
      <c r="A534" s="13" t="str">
        <f>IFERROR(__xludf.DUMMYFUNCTION("""COMPUTED_VALUE"""),"0880")</f>
        <v>0880</v>
      </c>
      <c r="B534" s="13" t="str">
        <f>IFERROR(__xludf.DUMMYFUNCTION("""COMPUTED_VALUE"""),"DENVER COUNTY 1")</f>
        <v>DENVER COUNTY 1</v>
      </c>
      <c r="C534" s="14" t="str">
        <f>IFERROR(__xludf.DUMMYFUNCTION("""COMPUTED_VALUE"""),"07192")</f>
        <v>07192</v>
      </c>
      <c r="D534" s="13" t="str">
        <f>IFERROR(__xludf.DUMMYFUNCTION("""COMPUTED_VALUE"""),"Pascual LeDoux Academy")</f>
        <v>Pascual LeDoux Academy</v>
      </c>
      <c r="E534" s="13" t="str">
        <f>IFERROR(__xludf.DUMMYFUNCTION("""COMPUTED_VALUE"""),"Group 28")</f>
        <v>Group 28</v>
      </c>
      <c r="F534" s="13" t="str">
        <f>IFERROR(__xludf.DUMMYFUNCTION("""COMPUTED_VALUE"""),"2024 - 2025")</f>
        <v>2024 - 2025</v>
      </c>
      <c r="G534" s="13" t="str">
        <f>IFERROR(__xludf.DUMMYFUNCTION("""COMPUTED_VALUE"""),"2023 - 2024")</f>
        <v>2023 - 2024</v>
      </c>
      <c r="H534" s="13">
        <f>IFERROR(__xludf.DUMMYFUNCTION("""COMPUTED_VALUE"""),100.0)</f>
        <v>100</v>
      </c>
      <c r="I534" s="15">
        <f>IFERROR(__xludf.DUMMYFUNCTION("""COMPUTED_VALUE"""),0.0)</f>
        <v>0</v>
      </c>
    </row>
    <row r="535">
      <c r="A535" s="13" t="str">
        <f>IFERROR(__xludf.DUMMYFUNCTION("""COMPUTED_VALUE"""),"0880")</f>
        <v>0880</v>
      </c>
      <c r="B535" s="13" t="str">
        <f>IFERROR(__xludf.DUMMYFUNCTION("""COMPUTED_VALUE"""),"DENVER COUNTY 1")</f>
        <v>DENVER COUNTY 1</v>
      </c>
      <c r="C535" s="14" t="str">
        <f>IFERROR(__xludf.DUMMYFUNCTION("""COMPUTED_VALUE"""),"06308")</f>
        <v>06308</v>
      </c>
      <c r="D535" s="13" t="str">
        <f>IFERROR(__xludf.DUMMYFUNCTION("""COMPUTED_VALUE"""),"NORTH HIGH SCHOOL ENGAGEMENT CENTER")</f>
        <v>NORTH HIGH SCHOOL ENGAGEMENT CENTER</v>
      </c>
      <c r="E535" s="13" t="str">
        <f>IFERROR(__xludf.DUMMYFUNCTION("""COMPUTED_VALUE"""),"Group 28")</f>
        <v>Group 28</v>
      </c>
      <c r="F535" s="13" t="str">
        <f>IFERROR(__xludf.DUMMYFUNCTION("""COMPUTED_VALUE"""),"2024 - 2025")</f>
        <v>2024 - 2025</v>
      </c>
      <c r="G535" s="13" t="str">
        <f>IFERROR(__xludf.DUMMYFUNCTION("""COMPUTED_VALUE"""),"2023 - 2024")</f>
        <v>2023 - 2024</v>
      </c>
      <c r="H535" s="13">
        <f>IFERROR(__xludf.DUMMYFUNCTION("""COMPUTED_VALUE"""),100.0)</f>
        <v>100</v>
      </c>
      <c r="I535" s="15">
        <f>IFERROR(__xludf.DUMMYFUNCTION("""COMPUTED_VALUE"""),0.0)</f>
        <v>0</v>
      </c>
    </row>
    <row r="536">
      <c r="A536" s="13" t="str">
        <f>IFERROR(__xludf.DUMMYFUNCTION("""COMPUTED_VALUE"""),"0880")</f>
        <v>0880</v>
      </c>
      <c r="B536" s="13" t="str">
        <f>IFERROR(__xludf.DUMMYFUNCTION("""COMPUTED_VALUE"""),"DENVER COUNTY 1")</f>
        <v>DENVER COUNTY 1</v>
      </c>
      <c r="C536" s="14" t="str">
        <f>IFERROR(__xludf.DUMMYFUNCTION("""COMPUTED_VALUE"""),"04383")</f>
        <v>04383</v>
      </c>
      <c r="D536" s="13" t="str">
        <f>IFERROR(__xludf.DUMMYFUNCTION("""COMPUTED_VALUE"""),"JOE SHOEMAKER SCHOOL")</f>
        <v>JOE SHOEMAKER SCHOOL</v>
      </c>
      <c r="E536" s="13" t="str">
        <f>IFERROR(__xludf.DUMMYFUNCTION("""COMPUTED_VALUE"""),"Group 28")</f>
        <v>Group 28</v>
      </c>
      <c r="F536" s="13" t="str">
        <f>IFERROR(__xludf.DUMMYFUNCTION("""COMPUTED_VALUE"""),"2024 - 2025")</f>
        <v>2024 - 2025</v>
      </c>
      <c r="G536" s="13" t="str">
        <f>IFERROR(__xludf.DUMMYFUNCTION("""COMPUTED_VALUE"""),"2023 - 2024")</f>
        <v>2023 - 2024</v>
      </c>
      <c r="H536" s="13">
        <f>IFERROR(__xludf.DUMMYFUNCTION("""COMPUTED_VALUE"""),100.0)</f>
        <v>100</v>
      </c>
      <c r="I536" s="15">
        <f>IFERROR(__xludf.DUMMYFUNCTION("""COMPUTED_VALUE"""),0.0)</f>
        <v>0</v>
      </c>
    </row>
    <row r="537">
      <c r="A537" s="13" t="str">
        <f>IFERROR(__xludf.DUMMYFUNCTION("""COMPUTED_VALUE"""),"0880")</f>
        <v>0880</v>
      </c>
      <c r="B537" s="13" t="str">
        <f>IFERROR(__xludf.DUMMYFUNCTION("""COMPUTED_VALUE"""),"DENVER COUNTY 1")</f>
        <v>DENVER COUNTY 1</v>
      </c>
      <c r="C537" s="14" t="str">
        <f>IFERROR(__xludf.DUMMYFUNCTION("""COMPUTED_VALUE"""),"02919")</f>
        <v>02919</v>
      </c>
      <c r="D537" s="13" t="str">
        <f>IFERROR(__xludf.DUMMYFUNCTION("""COMPUTED_VALUE"""),"Sandra Todd-Williams Academy")</f>
        <v>Sandra Todd-Williams Academy</v>
      </c>
      <c r="E537" s="13" t="str">
        <f>IFERROR(__xludf.DUMMYFUNCTION("""COMPUTED_VALUE"""),"Group 28")</f>
        <v>Group 28</v>
      </c>
      <c r="F537" s="13" t="str">
        <f>IFERROR(__xludf.DUMMYFUNCTION("""COMPUTED_VALUE"""),"2024 - 2025")</f>
        <v>2024 - 2025</v>
      </c>
      <c r="G537" s="13" t="str">
        <f>IFERROR(__xludf.DUMMYFUNCTION("""COMPUTED_VALUE"""),"2023 - 2024")</f>
        <v>2023 - 2024</v>
      </c>
      <c r="H537" s="13">
        <f>IFERROR(__xludf.DUMMYFUNCTION("""COMPUTED_VALUE"""),100.0)</f>
        <v>100</v>
      </c>
      <c r="I537" s="15">
        <f>IFERROR(__xludf.DUMMYFUNCTION("""COMPUTED_VALUE"""),0.0)</f>
        <v>0</v>
      </c>
    </row>
    <row r="538">
      <c r="A538" s="13" t="str">
        <f>IFERROR(__xludf.DUMMYFUNCTION("""COMPUTED_VALUE"""),"0880")</f>
        <v>0880</v>
      </c>
      <c r="B538" s="13" t="str">
        <f>IFERROR(__xludf.DUMMYFUNCTION("""COMPUTED_VALUE"""),"DENVER COUNTY 1")</f>
        <v>DENVER COUNTY 1</v>
      </c>
      <c r="C538" s="14" t="str">
        <f>IFERROR(__xludf.DUMMYFUNCTION("""COMPUTED_VALUE"""),"03699")</f>
        <v>03699</v>
      </c>
      <c r="D538" s="13" t="str">
        <f>IFERROR(__xludf.DUMMYFUNCTION("""COMPUTED_VALUE"""),"Delta High School")</f>
        <v>Delta High School</v>
      </c>
      <c r="E538" s="13" t="str">
        <f>IFERROR(__xludf.DUMMYFUNCTION("""COMPUTED_VALUE"""),"Group 28")</f>
        <v>Group 28</v>
      </c>
      <c r="F538" s="13" t="str">
        <f>IFERROR(__xludf.DUMMYFUNCTION("""COMPUTED_VALUE"""),"2024 - 2025")</f>
        <v>2024 - 2025</v>
      </c>
      <c r="G538" s="13" t="str">
        <f>IFERROR(__xludf.DUMMYFUNCTION("""COMPUTED_VALUE"""),"2023 - 2024")</f>
        <v>2023 - 2024</v>
      </c>
      <c r="H538" s="13">
        <f>IFERROR(__xludf.DUMMYFUNCTION("""COMPUTED_VALUE"""),100.0)</f>
        <v>100</v>
      </c>
      <c r="I538" s="15">
        <f>IFERROR(__xludf.DUMMYFUNCTION("""COMPUTED_VALUE"""),0.0)</f>
        <v>0</v>
      </c>
    </row>
    <row r="539">
      <c r="A539" s="13" t="str">
        <f>IFERROR(__xludf.DUMMYFUNCTION("""COMPUTED_VALUE"""),"0880")</f>
        <v>0880</v>
      </c>
      <c r="B539" s="13" t="str">
        <f>IFERROR(__xludf.DUMMYFUNCTION("""COMPUTED_VALUE"""),"DENVER COUNTY 1")</f>
        <v>DENVER COUNTY 1</v>
      </c>
      <c r="C539" s="14" t="str">
        <f>IFERROR(__xludf.DUMMYFUNCTION("""COMPUTED_VALUE"""),"07361")</f>
        <v>07361</v>
      </c>
      <c r="D539" s="13" t="str">
        <f>IFERROR(__xludf.DUMMYFUNCTION("""COMPUTED_VALUE"""),"RISEUP COMMUNITY SCHOOL")</f>
        <v>RISEUP COMMUNITY SCHOOL</v>
      </c>
      <c r="E539" s="13" t="str">
        <f>IFERROR(__xludf.DUMMYFUNCTION("""COMPUTED_VALUE"""),"Group 28")</f>
        <v>Group 28</v>
      </c>
      <c r="F539" s="13" t="str">
        <f>IFERROR(__xludf.DUMMYFUNCTION("""COMPUTED_VALUE"""),"2024 - 2025")</f>
        <v>2024 - 2025</v>
      </c>
      <c r="G539" s="13" t="str">
        <f>IFERROR(__xludf.DUMMYFUNCTION("""COMPUTED_VALUE"""),"2023 - 2024")</f>
        <v>2023 - 2024</v>
      </c>
      <c r="H539" s="13">
        <f>IFERROR(__xludf.DUMMYFUNCTION("""COMPUTED_VALUE"""),100.0)</f>
        <v>100</v>
      </c>
      <c r="I539" s="15">
        <f>IFERROR(__xludf.DUMMYFUNCTION("""COMPUTED_VALUE"""),0.0)</f>
        <v>0</v>
      </c>
    </row>
    <row r="540">
      <c r="A540" s="13" t="str">
        <f>IFERROR(__xludf.DUMMYFUNCTION("""COMPUTED_VALUE"""),"0880")</f>
        <v>0880</v>
      </c>
      <c r="B540" s="13" t="str">
        <f>IFERROR(__xludf.DUMMYFUNCTION("""COMPUTED_VALUE"""),"DENVER COUNTY 1")</f>
        <v>DENVER COUNTY 1</v>
      </c>
      <c r="C540" s="14" t="str">
        <f>IFERROR(__xludf.DUMMYFUNCTION("""COMPUTED_VALUE"""),"02115")</f>
        <v>02115</v>
      </c>
      <c r="D540" s="13" t="str">
        <f>IFERROR(__xludf.DUMMYFUNCTION("""COMPUTED_VALUE"""),"DSST: MONTVIEW MIDDLE SCHOOL")</f>
        <v>DSST: MONTVIEW MIDDLE SCHOOL</v>
      </c>
      <c r="E540" s="13" t="str">
        <f>IFERROR(__xludf.DUMMYFUNCTION("""COMPUTED_VALUE"""),"Group 3")</f>
        <v>Group 3</v>
      </c>
      <c r="F540" s="13" t="str">
        <f>IFERROR(__xludf.DUMMYFUNCTION("""COMPUTED_VALUE"""),"2024 - 2025")</f>
        <v>2024 - 2025</v>
      </c>
      <c r="G540" s="13" t="str">
        <f>IFERROR(__xludf.DUMMYFUNCTION("""COMPUTED_VALUE"""),"2023 - 2024")</f>
        <v>2023 - 2024</v>
      </c>
      <c r="H540" s="13">
        <f>IFERROR(__xludf.DUMMYFUNCTION("""COMPUTED_VALUE"""),96.0)</f>
        <v>96</v>
      </c>
      <c r="I540" s="15">
        <f>IFERROR(__xludf.DUMMYFUNCTION("""COMPUTED_VALUE"""),4.0)</f>
        <v>4</v>
      </c>
    </row>
    <row r="541">
      <c r="A541" s="13" t="str">
        <f>IFERROR(__xludf.DUMMYFUNCTION("""COMPUTED_VALUE"""),"0880")</f>
        <v>0880</v>
      </c>
      <c r="B541" s="13" t="str">
        <f>IFERROR(__xludf.DUMMYFUNCTION("""COMPUTED_VALUE"""),"DENVER COUNTY 1")</f>
        <v>DENVER COUNTY 1</v>
      </c>
      <c r="C541" s="14" t="str">
        <f>IFERROR(__xludf.DUMMYFUNCTION("""COMPUTED_VALUE"""),"06350")</f>
        <v>06350</v>
      </c>
      <c r="D541" s="13" t="str">
        <f>IFERROR(__xludf.DUMMYFUNCTION("""COMPUTED_VALUE"""),"BRUCE RANDOLPH SCHOOL")</f>
        <v>BRUCE RANDOLPH SCHOOL</v>
      </c>
      <c r="E541" s="13" t="str">
        <f>IFERROR(__xludf.DUMMYFUNCTION("""COMPUTED_VALUE"""),"Group 4")</f>
        <v>Group 4</v>
      </c>
      <c r="F541" s="13" t="str">
        <f>IFERROR(__xludf.DUMMYFUNCTION("""COMPUTED_VALUE"""),"2024 - 2025")</f>
        <v>2024 - 2025</v>
      </c>
      <c r="G541" s="13" t="str">
        <f>IFERROR(__xludf.DUMMYFUNCTION("""COMPUTED_VALUE"""),"2023 - 2024")</f>
        <v>2023 - 2024</v>
      </c>
      <c r="H541" s="13">
        <f>IFERROR(__xludf.DUMMYFUNCTION("""COMPUTED_VALUE"""),93.98)</f>
        <v>93.98</v>
      </c>
      <c r="I541" s="15">
        <f>IFERROR(__xludf.DUMMYFUNCTION("""COMPUTED_VALUE"""),6.019999999999996)</f>
        <v>6.02</v>
      </c>
    </row>
    <row r="542">
      <c r="A542" s="13" t="str">
        <f>IFERROR(__xludf.DUMMYFUNCTION("""COMPUTED_VALUE"""),"0880")</f>
        <v>0880</v>
      </c>
      <c r="B542" s="13" t="str">
        <f>IFERROR(__xludf.DUMMYFUNCTION("""COMPUTED_VALUE"""),"DENVER COUNTY 1")</f>
        <v>DENVER COUNTY 1</v>
      </c>
      <c r="C542" s="14" t="str">
        <f>IFERROR(__xludf.DUMMYFUNCTION("""COMPUTED_VALUE"""),"08909")</f>
        <v>08909</v>
      </c>
      <c r="D542" s="13" t="str">
        <f>IFERROR(__xludf.DUMMYFUNCTION("""COMPUTED_VALUE"""),"TREVISTA ECE-8 AT HORACE MANN")</f>
        <v>TREVISTA ECE-8 AT HORACE MANN</v>
      </c>
      <c r="E542" s="13" t="str">
        <f>IFERROR(__xludf.DUMMYFUNCTION("""COMPUTED_VALUE"""),"Group 4")</f>
        <v>Group 4</v>
      </c>
      <c r="F542" s="13" t="str">
        <f>IFERROR(__xludf.DUMMYFUNCTION("""COMPUTED_VALUE"""),"2024 - 2025")</f>
        <v>2024 - 2025</v>
      </c>
      <c r="G542" s="13" t="str">
        <f>IFERROR(__xludf.DUMMYFUNCTION("""COMPUTED_VALUE"""),"2023 - 2024")</f>
        <v>2023 - 2024</v>
      </c>
      <c r="H542" s="13">
        <f>IFERROR(__xludf.DUMMYFUNCTION("""COMPUTED_VALUE"""),93.98)</f>
        <v>93.98</v>
      </c>
      <c r="I542" s="15">
        <f>IFERROR(__xludf.DUMMYFUNCTION("""COMPUTED_VALUE"""),6.019999999999996)</f>
        <v>6.02</v>
      </c>
    </row>
    <row r="543">
      <c r="A543" s="13" t="str">
        <f>IFERROR(__xludf.DUMMYFUNCTION("""COMPUTED_VALUE"""),"0880")</f>
        <v>0880</v>
      </c>
      <c r="B543" s="13" t="str">
        <f>IFERROR(__xludf.DUMMYFUNCTION("""COMPUTED_VALUE"""),"DENVER COUNTY 1")</f>
        <v>DENVER COUNTY 1</v>
      </c>
      <c r="C543" s="14" t="str">
        <f>IFERROR(__xludf.DUMMYFUNCTION("""COMPUTED_VALUE"""),"01939")</f>
        <v>01939</v>
      </c>
      <c r="D543" s="13" t="str">
        <f>IFERROR(__xludf.DUMMYFUNCTION("""COMPUTED_VALUE"""),"COMPASS ACADEMY")</f>
        <v>COMPASS ACADEMY</v>
      </c>
      <c r="E543" s="13" t="str">
        <f>IFERROR(__xludf.DUMMYFUNCTION("""COMPUTED_VALUE"""),"Group 4")</f>
        <v>Group 4</v>
      </c>
      <c r="F543" s="13" t="str">
        <f>IFERROR(__xludf.DUMMYFUNCTION("""COMPUTED_VALUE"""),"2024 - 2025")</f>
        <v>2024 - 2025</v>
      </c>
      <c r="G543" s="13" t="str">
        <f>IFERROR(__xludf.DUMMYFUNCTION("""COMPUTED_VALUE"""),"2023 - 2024")</f>
        <v>2023 - 2024</v>
      </c>
      <c r="H543" s="13">
        <f>IFERROR(__xludf.DUMMYFUNCTION("""COMPUTED_VALUE"""),93.98)</f>
        <v>93.98</v>
      </c>
      <c r="I543" s="15">
        <f>IFERROR(__xludf.DUMMYFUNCTION("""COMPUTED_VALUE"""),6.019999999999996)</f>
        <v>6.02</v>
      </c>
    </row>
    <row r="544">
      <c r="A544" s="13" t="str">
        <f>IFERROR(__xludf.DUMMYFUNCTION("""COMPUTED_VALUE"""),"0880")</f>
        <v>0880</v>
      </c>
      <c r="B544" s="13" t="str">
        <f>IFERROR(__xludf.DUMMYFUNCTION("""COMPUTED_VALUE"""),"DENVER COUNTY 1")</f>
        <v>DENVER COUNTY 1</v>
      </c>
      <c r="C544" s="14" t="str">
        <f>IFERROR(__xludf.DUMMYFUNCTION("""COMPUTED_VALUE"""),"00408")</f>
        <v>00408</v>
      </c>
      <c r="D544" s="13" t="str">
        <f>IFERROR(__xludf.DUMMYFUNCTION("""COMPUTED_VALUE"""),"VALDEZ ELEMENTARY SCHOOL")</f>
        <v>VALDEZ ELEMENTARY SCHOOL</v>
      </c>
      <c r="E544" s="13" t="str">
        <f>IFERROR(__xludf.DUMMYFUNCTION("""COMPUTED_VALUE"""),"Group 5")</f>
        <v>Group 5</v>
      </c>
      <c r="F544" s="13" t="str">
        <f>IFERROR(__xludf.DUMMYFUNCTION("""COMPUTED_VALUE"""),"2024 - 2025")</f>
        <v>2024 - 2025</v>
      </c>
      <c r="G544" s="13" t="str">
        <f>IFERROR(__xludf.DUMMYFUNCTION("""COMPUTED_VALUE"""),"2023 - 2024")</f>
        <v>2023 - 2024</v>
      </c>
      <c r="H544" s="13">
        <f>IFERROR(__xludf.DUMMYFUNCTION("""COMPUTED_VALUE"""),72.99)</f>
        <v>72.99</v>
      </c>
      <c r="I544" s="15">
        <f>IFERROR(__xludf.DUMMYFUNCTION("""COMPUTED_VALUE"""),27.010000000000005)</f>
        <v>27.01</v>
      </c>
    </row>
    <row r="545">
      <c r="A545" s="13" t="str">
        <f>IFERROR(__xludf.DUMMYFUNCTION("""COMPUTED_VALUE"""),"0880")</f>
        <v>0880</v>
      </c>
      <c r="B545" s="13" t="str">
        <f>IFERROR(__xludf.DUMMYFUNCTION("""COMPUTED_VALUE"""),"DENVER COUNTY 1")</f>
        <v>DENVER COUNTY 1</v>
      </c>
      <c r="C545" s="14" t="str">
        <f>IFERROR(__xludf.DUMMYFUNCTION("""COMPUTED_VALUE"""),"05605")</f>
        <v>05605</v>
      </c>
      <c r="D545" s="13" t="str">
        <f>IFERROR(__xludf.DUMMYFUNCTION("""COMPUTED_VALUE"""),"MARTIN LUTHER KING JR. EARLY COLLEGE")</f>
        <v>MARTIN LUTHER KING JR. EARLY COLLEGE</v>
      </c>
      <c r="E545" s="13" t="str">
        <f>IFERROR(__xludf.DUMMYFUNCTION("""COMPUTED_VALUE"""),"Group 5")</f>
        <v>Group 5</v>
      </c>
      <c r="F545" s="13" t="str">
        <f>IFERROR(__xludf.DUMMYFUNCTION("""COMPUTED_VALUE"""),"2024 - 2025")</f>
        <v>2024 - 2025</v>
      </c>
      <c r="G545" s="13" t="str">
        <f>IFERROR(__xludf.DUMMYFUNCTION("""COMPUTED_VALUE"""),"2023 - 2024")</f>
        <v>2023 - 2024</v>
      </c>
      <c r="H545" s="13">
        <f>IFERROR(__xludf.DUMMYFUNCTION("""COMPUTED_VALUE"""),72.99)</f>
        <v>72.99</v>
      </c>
      <c r="I545" s="15">
        <f>IFERROR(__xludf.DUMMYFUNCTION("""COMPUTED_VALUE"""),27.010000000000005)</f>
        <v>27.01</v>
      </c>
    </row>
    <row r="546">
      <c r="A546" s="13" t="str">
        <f>IFERROR(__xludf.DUMMYFUNCTION("""COMPUTED_VALUE"""),"0880")</f>
        <v>0880</v>
      </c>
      <c r="B546" s="13" t="str">
        <f>IFERROR(__xludf.DUMMYFUNCTION("""COMPUTED_VALUE"""),"DENVER COUNTY 1")</f>
        <v>DENVER COUNTY 1</v>
      </c>
      <c r="C546" s="14" t="str">
        <f>IFERROR(__xludf.DUMMYFUNCTION("""COMPUTED_VALUE"""),"02218")</f>
        <v>02218</v>
      </c>
      <c r="D546" s="13" t="str">
        <f>IFERROR(__xludf.DUMMYFUNCTION("""COMPUTED_VALUE"""),"DSST: CONSERVATORY GREEN MIDDLE SCHOOL")</f>
        <v>DSST: CONSERVATORY GREEN MIDDLE SCHOOL</v>
      </c>
      <c r="E546" s="13" t="str">
        <f>IFERROR(__xludf.DUMMYFUNCTION("""COMPUTED_VALUE"""),"Group 5")</f>
        <v>Group 5</v>
      </c>
      <c r="F546" s="13" t="str">
        <f>IFERROR(__xludf.DUMMYFUNCTION("""COMPUTED_VALUE"""),"2024 - 2025")</f>
        <v>2024 - 2025</v>
      </c>
      <c r="G546" s="13" t="str">
        <f>IFERROR(__xludf.DUMMYFUNCTION("""COMPUTED_VALUE"""),"2023 - 2024")</f>
        <v>2023 - 2024</v>
      </c>
      <c r="H546" s="13">
        <f>IFERROR(__xludf.DUMMYFUNCTION("""COMPUTED_VALUE"""),72.99)</f>
        <v>72.99</v>
      </c>
      <c r="I546" s="15">
        <f>IFERROR(__xludf.DUMMYFUNCTION("""COMPUTED_VALUE"""),27.010000000000005)</f>
        <v>27.01</v>
      </c>
    </row>
    <row r="547">
      <c r="A547" s="13" t="str">
        <f>IFERROR(__xludf.DUMMYFUNCTION("""COMPUTED_VALUE"""),"0880")</f>
        <v>0880</v>
      </c>
      <c r="B547" s="13" t="str">
        <f>IFERROR(__xludf.DUMMYFUNCTION("""COMPUTED_VALUE"""),"DENVER COUNTY 1")</f>
        <v>DENVER COUNTY 1</v>
      </c>
      <c r="C547" s="14" t="str">
        <f>IFERROR(__xludf.DUMMYFUNCTION("""COMPUTED_VALUE"""),"05685")</f>
        <v>05685</v>
      </c>
      <c r="D547" s="13" t="str">
        <f>IFERROR(__xludf.DUMMYFUNCTION("""COMPUTED_VALUE"""),"MCGLONE ELEMENTARY SCHOOL")</f>
        <v>MCGLONE ELEMENTARY SCHOOL</v>
      </c>
      <c r="E547" s="13" t="str">
        <f>IFERROR(__xludf.DUMMYFUNCTION("""COMPUTED_VALUE"""),"Group 6")</f>
        <v>Group 6</v>
      </c>
      <c r="F547" s="13" t="str">
        <f>IFERROR(__xludf.DUMMYFUNCTION("""COMPUTED_VALUE"""),"2024 - 2025")</f>
        <v>2024 - 2025</v>
      </c>
      <c r="G547" s="13" t="str">
        <f>IFERROR(__xludf.DUMMYFUNCTION("""COMPUTED_VALUE"""),"2023 - 2024")</f>
        <v>2023 - 2024</v>
      </c>
      <c r="H547" s="13">
        <f>IFERROR(__xludf.DUMMYFUNCTION("""COMPUTED_VALUE"""),98.62)</f>
        <v>98.62</v>
      </c>
      <c r="I547" s="15">
        <f>IFERROR(__xludf.DUMMYFUNCTION("""COMPUTED_VALUE"""),1.3799999999999955)</f>
        <v>1.38</v>
      </c>
    </row>
    <row r="548">
      <c r="A548" s="13" t="str">
        <f>IFERROR(__xludf.DUMMYFUNCTION("""COMPUTED_VALUE"""),"0880")</f>
        <v>0880</v>
      </c>
      <c r="B548" s="13" t="str">
        <f>IFERROR(__xludf.DUMMYFUNCTION("""COMPUTED_VALUE"""),"DENVER COUNTY 1")</f>
        <v>DENVER COUNTY 1</v>
      </c>
      <c r="C548" s="14" t="str">
        <f>IFERROR(__xludf.DUMMYFUNCTION("""COMPUTED_VALUE"""),"09739")</f>
        <v>09739</v>
      </c>
      <c r="D548" s="13" t="str">
        <f>IFERROR(__xludf.DUMMYFUNCTION("""COMPUTED_VALUE"""),"WYATT ACADEMY")</f>
        <v>WYATT ACADEMY</v>
      </c>
      <c r="E548" s="13" t="str">
        <f>IFERROR(__xludf.DUMMYFUNCTION("""COMPUTED_VALUE"""),"Group 6")</f>
        <v>Group 6</v>
      </c>
      <c r="F548" s="13" t="str">
        <f>IFERROR(__xludf.DUMMYFUNCTION("""COMPUTED_VALUE"""),"2024 - 2025")</f>
        <v>2024 - 2025</v>
      </c>
      <c r="G548" s="13" t="str">
        <f>IFERROR(__xludf.DUMMYFUNCTION("""COMPUTED_VALUE"""),"2023 - 2024")</f>
        <v>2023 - 2024</v>
      </c>
      <c r="H548" s="13">
        <f>IFERROR(__xludf.DUMMYFUNCTION("""COMPUTED_VALUE"""),98.62)</f>
        <v>98.62</v>
      </c>
      <c r="I548" s="15">
        <f>IFERROR(__xludf.DUMMYFUNCTION("""COMPUTED_VALUE"""),1.3799999999999955)</f>
        <v>1.38</v>
      </c>
    </row>
    <row r="549">
      <c r="A549" s="13" t="str">
        <f>IFERROR(__xludf.DUMMYFUNCTION("""COMPUTED_VALUE"""),"0880")</f>
        <v>0880</v>
      </c>
      <c r="B549" s="13" t="str">
        <f>IFERROR(__xludf.DUMMYFUNCTION("""COMPUTED_VALUE"""),"DENVER COUNTY 1")</f>
        <v>DENVER COUNTY 1</v>
      </c>
      <c r="C549" s="14" t="str">
        <f>IFERROR(__xludf.DUMMYFUNCTION("""COMPUTED_VALUE"""),"00388")</f>
        <v>00388</v>
      </c>
      <c r="D549" s="13" t="str">
        <f>IFERROR(__xludf.DUMMYFUNCTION("""COMPUTED_VALUE"""),"ASBURY ELEMENTARY SCHOOL")</f>
        <v>ASBURY ELEMENTARY SCHOOL</v>
      </c>
      <c r="E549" s="13" t="str">
        <f>IFERROR(__xludf.DUMMYFUNCTION("""COMPUTED_VALUE"""),"Group 7")</f>
        <v>Group 7</v>
      </c>
      <c r="F549" s="13" t="str">
        <f>IFERROR(__xludf.DUMMYFUNCTION("""COMPUTED_VALUE"""),"2024 - 2025")</f>
        <v>2024 - 2025</v>
      </c>
      <c r="G549" s="13" t="str">
        <f>IFERROR(__xludf.DUMMYFUNCTION("""COMPUTED_VALUE"""),"2023 - 2024")</f>
        <v>2023 - 2024</v>
      </c>
      <c r="H549" s="13">
        <f>IFERROR(__xludf.DUMMYFUNCTION("""COMPUTED_VALUE"""),50.42)</f>
        <v>50.42</v>
      </c>
      <c r="I549" s="15">
        <f>IFERROR(__xludf.DUMMYFUNCTION("""COMPUTED_VALUE"""),49.58)</f>
        <v>49.58</v>
      </c>
    </row>
    <row r="550">
      <c r="A550" s="13" t="str">
        <f>IFERROR(__xludf.DUMMYFUNCTION("""COMPUTED_VALUE"""),"0880")</f>
        <v>0880</v>
      </c>
      <c r="B550" s="13" t="str">
        <f>IFERROR(__xludf.DUMMYFUNCTION("""COMPUTED_VALUE"""),"DENVER COUNTY 1")</f>
        <v>DENVER COUNTY 1</v>
      </c>
      <c r="C550" s="14" t="str">
        <f>IFERROR(__xludf.DUMMYFUNCTION("""COMPUTED_VALUE"""),"06314")</f>
        <v>06314</v>
      </c>
      <c r="D550" s="13" t="str">
        <f>IFERROR(__xludf.DUMMYFUNCTION("""COMPUTED_VALUE"""),"NORTH HIGH SCHOOL")</f>
        <v>NORTH HIGH SCHOOL</v>
      </c>
      <c r="E550" s="13" t="str">
        <f>IFERROR(__xludf.DUMMYFUNCTION("""COMPUTED_VALUE"""),"Group 7")</f>
        <v>Group 7</v>
      </c>
      <c r="F550" s="13" t="str">
        <f>IFERROR(__xludf.DUMMYFUNCTION("""COMPUTED_VALUE"""),"2024 - 2025")</f>
        <v>2024 - 2025</v>
      </c>
      <c r="G550" s="13" t="str">
        <f>IFERROR(__xludf.DUMMYFUNCTION("""COMPUTED_VALUE"""),"2023 - 2024")</f>
        <v>2023 - 2024</v>
      </c>
      <c r="H550" s="13">
        <f>IFERROR(__xludf.DUMMYFUNCTION("""COMPUTED_VALUE"""),50.42)</f>
        <v>50.42</v>
      </c>
      <c r="I550" s="15">
        <f>IFERROR(__xludf.DUMMYFUNCTION("""COMPUTED_VALUE"""),49.58)</f>
        <v>49.58</v>
      </c>
    </row>
    <row r="551">
      <c r="A551" s="13" t="str">
        <f>IFERROR(__xludf.DUMMYFUNCTION("""COMPUTED_VALUE"""),"0880")</f>
        <v>0880</v>
      </c>
      <c r="B551" s="13" t="str">
        <f>IFERROR(__xludf.DUMMYFUNCTION("""COMPUTED_VALUE"""),"DENVER COUNTY 1")</f>
        <v>DENVER COUNTY 1</v>
      </c>
      <c r="C551" s="14" t="str">
        <f>IFERROR(__xludf.DUMMYFUNCTION("""COMPUTED_VALUE"""),"06397")</f>
        <v>06397</v>
      </c>
      <c r="D551" s="13" t="str">
        <f>IFERROR(__xludf.DUMMYFUNCTION("""COMPUTED_VALUE"""),"ACADEMIA ANA MARIE SANDOVAL")</f>
        <v>ACADEMIA ANA MARIE SANDOVAL</v>
      </c>
      <c r="E551" s="13" t="str">
        <f>IFERROR(__xludf.DUMMYFUNCTION("""COMPUTED_VALUE"""),"Group 7")</f>
        <v>Group 7</v>
      </c>
      <c r="F551" s="13" t="str">
        <f>IFERROR(__xludf.DUMMYFUNCTION("""COMPUTED_VALUE"""),"2024 - 2025")</f>
        <v>2024 - 2025</v>
      </c>
      <c r="G551" s="13" t="str">
        <f>IFERROR(__xludf.DUMMYFUNCTION("""COMPUTED_VALUE"""),"2023 - 2024")</f>
        <v>2023 - 2024</v>
      </c>
      <c r="H551" s="13">
        <f>IFERROR(__xludf.DUMMYFUNCTION("""COMPUTED_VALUE"""),50.42)</f>
        <v>50.42</v>
      </c>
      <c r="I551" s="15">
        <f>IFERROR(__xludf.DUMMYFUNCTION("""COMPUTED_VALUE"""),49.58)</f>
        <v>49.58</v>
      </c>
    </row>
    <row r="552">
      <c r="A552" s="13" t="str">
        <f>IFERROR(__xludf.DUMMYFUNCTION("""COMPUTED_VALUE"""),"0880")</f>
        <v>0880</v>
      </c>
      <c r="B552" s="13" t="str">
        <f>IFERROR(__xludf.DUMMYFUNCTION("""COMPUTED_VALUE"""),"DENVER COUNTY 1")</f>
        <v>DENVER COUNTY 1</v>
      </c>
      <c r="C552" s="14" t="str">
        <f>IFERROR(__xludf.DUMMYFUNCTION("""COMPUTED_VALUE"""),"06509")</f>
        <v>06509</v>
      </c>
      <c r="D552" s="13" t="str">
        <f>IFERROR(__xludf.DUMMYFUNCTION("""COMPUTED_VALUE"""),"DENVER ONLINE HIGH SCHOOL")</f>
        <v>DENVER ONLINE HIGH SCHOOL</v>
      </c>
      <c r="E552" s="13" t="str">
        <f>IFERROR(__xludf.DUMMYFUNCTION("""COMPUTED_VALUE"""),"Group 7")</f>
        <v>Group 7</v>
      </c>
      <c r="F552" s="13" t="str">
        <f>IFERROR(__xludf.DUMMYFUNCTION("""COMPUTED_VALUE"""),"2024 - 2025")</f>
        <v>2024 - 2025</v>
      </c>
      <c r="G552" s="13" t="str">
        <f>IFERROR(__xludf.DUMMYFUNCTION("""COMPUTED_VALUE"""),"2023 - 2024")</f>
        <v>2023 - 2024</v>
      </c>
      <c r="H552" s="13">
        <f>IFERROR(__xludf.DUMMYFUNCTION("""COMPUTED_VALUE"""),50.42)</f>
        <v>50.42</v>
      </c>
      <c r="I552" s="15">
        <f>IFERROR(__xludf.DUMMYFUNCTION("""COMPUTED_VALUE"""),49.58)</f>
        <v>49.58</v>
      </c>
    </row>
    <row r="553">
      <c r="A553" s="13" t="str">
        <f>IFERROR(__xludf.DUMMYFUNCTION("""COMPUTED_VALUE"""),"0880")</f>
        <v>0880</v>
      </c>
      <c r="B553" s="13" t="str">
        <f>IFERROR(__xludf.DUMMYFUNCTION("""COMPUTED_VALUE"""),"DENVER COUNTY 1")</f>
        <v>DENVER COUNTY 1</v>
      </c>
      <c r="C553" s="14" t="str">
        <f>IFERROR(__xludf.DUMMYFUNCTION("""COMPUTED_VALUE"""),"06754")</f>
        <v>06754</v>
      </c>
      <c r="D553" s="13" t="str">
        <f>IFERROR(__xludf.DUMMYFUNCTION("""COMPUTED_VALUE"""),"PARK HILL SCHOOL")</f>
        <v>PARK HILL SCHOOL</v>
      </c>
      <c r="E553" s="13" t="str">
        <f>IFERROR(__xludf.DUMMYFUNCTION("""COMPUTED_VALUE"""),"Group 7")</f>
        <v>Group 7</v>
      </c>
      <c r="F553" s="13" t="str">
        <f>IFERROR(__xludf.DUMMYFUNCTION("""COMPUTED_VALUE"""),"2024 - 2025")</f>
        <v>2024 - 2025</v>
      </c>
      <c r="G553" s="13" t="str">
        <f>IFERROR(__xludf.DUMMYFUNCTION("""COMPUTED_VALUE"""),"2023 - 2024")</f>
        <v>2023 - 2024</v>
      </c>
      <c r="H553" s="13">
        <f>IFERROR(__xludf.DUMMYFUNCTION("""COMPUTED_VALUE"""),50.42)</f>
        <v>50.42</v>
      </c>
      <c r="I553" s="15">
        <f>IFERROR(__xludf.DUMMYFUNCTION("""COMPUTED_VALUE"""),49.58)</f>
        <v>49.58</v>
      </c>
    </row>
    <row r="554">
      <c r="A554" s="13" t="str">
        <f>IFERROR(__xludf.DUMMYFUNCTION("""COMPUTED_VALUE"""),"0880")</f>
        <v>0880</v>
      </c>
      <c r="B554" s="13" t="str">
        <f>IFERROR(__xludf.DUMMYFUNCTION("""COMPUTED_VALUE"""),"DENVER COUNTY 1")</f>
        <v>DENVER COUNTY 1</v>
      </c>
      <c r="C554" s="14" t="str">
        <f>IFERROR(__xludf.DUMMYFUNCTION("""COMPUTED_VALUE"""),"08222")</f>
        <v>08222</v>
      </c>
      <c r="D554" s="13" t="str">
        <f>IFERROR(__xludf.DUMMYFUNCTION("""COMPUTED_VALUE"""),"STECK ELEMENTARY SCHOOL")</f>
        <v>STECK ELEMENTARY SCHOOL</v>
      </c>
      <c r="E554" s="13" t="str">
        <f>IFERROR(__xludf.DUMMYFUNCTION("""COMPUTED_VALUE"""),"Group 7")</f>
        <v>Group 7</v>
      </c>
      <c r="F554" s="13" t="str">
        <f>IFERROR(__xludf.DUMMYFUNCTION("""COMPUTED_VALUE"""),"2024 - 2025")</f>
        <v>2024 - 2025</v>
      </c>
      <c r="G554" s="13" t="str">
        <f>IFERROR(__xludf.DUMMYFUNCTION("""COMPUTED_VALUE"""),"2023 - 2024")</f>
        <v>2023 - 2024</v>
      </c>
      <c r="H554" s="13">
        <f>IFERROR(__xludf.DUMMYFUNCTION("""COMPUTED_VALUE"""),50.42)</f>
        <v>50.42</v>
      </c>
      <c r="I554" s="15">
        <f>IFERROR(__xludf.DUMMYFUNCTION("""COMPUTED_VALUE"""),49.58)</f>
        <v>49.58</v>
      </c>
    </row>
    <row r="555">
      <c r="A555" s="13" t="str">
        <f>IFERROR(__xludf.DUMMYFUNCTION("""COMPUTED_VALUE"""),"0880")</f>
        <v>0880</v>
      </c>
      <c r="B555" s="13" t="str">
        <f>IFERROR(__xludf.DUMMYFUNCTION("""COMPUTED_VALUE"""),"DENVER COUNTY 1")</f>
        <v>DENVER COUNTY 1</v>
      </c>
      <c r="C555" s="14" t="str">
        <f>IFERROR(__xludf.DUMMYFUNCTION("""COMPUTED_VALUE"""),"08242")</f>
        <v>08242</v>
      </c>
      <c r="D555" s="13" t="str">
        <f>IFERROR(__xludf.DUMMYFUNCTION("""COMPUTED_VALUE"""),"STEELE ELEMENTARY SCHOOL")</f>
        <v>STEELE ELEMENTARY SCHOOL</v>
      </c>
      <c r="E555" s="13" t="str">
        <f>IFERROR(__xludf.DUMMYFUNCTION("""COMPUTED_VALUE"""),"Group 7")</f>
        <v>Group 7</v>
      </c>
      <c r="F555" s="13" t="str">
        <f>IFERROR(__xludf.DUMMYFUNCTION("""COMPUTED_VALUE"""),"2024 - 2025")</f>
        <v>2024 - 2025</v>
      </c>
      <c r="G555" s="13" t="str">
        <f>IFERROR(__xludf.DUMMYFUNCTION("""COMPUTED_VALUE"""),"2023 - 2024")</f>
        <v>2023 - 2024</v>
      </c>
      <c r="H555" s="13">
        <f>IFERROR(__xludf.DUMMYFUNCTION("""COMPUTED_VALUE"""),50.42)</f>
        <v>50.42</v>
      </c>
      <c r="I555" s="15">
        <f>IFERROR(__xludf.DUMMYFUNCTION("""COMPUTED_VALUE"""),49.58)</f>
        <v>49.58</v>
      </c>
    </row>
    <row r="556">
      <c r="A556" s="13" t="str">
        <f>IFERROR(__xludf.DUMMYFUNCTION("""COMPUTED_VALUE"""),"0880")</f>
        <v>0880</v>
      </c>
      <c r="B556" s="13" t="str">
        <f>IFERROR(__xludf.DUMMYFUNCTION("""COMPUTED_VALUE"""),"DENVER COUNTY 1")</f>
        <v>DENVER COUNTY 1</v>
      </c>
      <c r="C556" s="14" t="str">
        <f>IFERROR(__xludf.DUMMYFUNCTION("""COMPUTED_VALUE"""),"08453")</f>
        <v>08453</v>
      </c>
      <c r="D556" s="13" t="str">
        <f>IFERROR(__xludf.DUMMYFUNCTION("""COMPUTED_VALUE"""),"Swigert International School")</f>
        <v>Swigert International School</v>
      </c>
      <c r="E556" s="13" t="str">
        <f>IFERROR(__xludf.DUMMYFUNCTION("""COMPUTED_VALUE"""),"Group 7")</f>
        <v>Group 7</v>
      </c>
      <c r="F556" s="13" t="str">
        <f>IFERROR(__xludf.DUMMYFUNCTION("""COMPUTED_VALUE"""),"2024 - 2025")</f>
        <v>2024 - 2025</v>
      </c>
      <c r="G556" s="13" t="str">
        <f>IFERROR(__xludf.DUMMYFUNCTION("""COMPUTED_VALUE"""),"2023 - 2024")</f>
        <v>2023 - 2024</v>
      </c>
      <c r="H556" s="13">
        <f>IFERROR(__xludf.DUMMYFUNCTION("""COMPUTED_VALUE"""),50.42)</f>
        <v>50.42</v>
      </c>
      <c r="I556" s="15">
        <f>IFERROR(__xludf.DUMMYFUNCTION("""COMPUTED_VALUE"""),49.58)</f>
        <v>49.58</v>
      </c>
    </row>
    <row r="557">
      <c r="A557" s="13" t="str">
        <f>IFERROR(__xludf.DUMMYFUNCTION("""COMPUTED_VALUE"""),"0880")</f>
        <v>0880</v>
      </c>
      <c r="B557" s="13" t="str">
        <f>IFERROR(__xludf.DUMMYFUNCTION("""COMPUTED_VALUE"""),"DENVER COUNTY 1")</f>
        <v>DENVER COUNTY 1</v>
      </c>
      <c r="C557" s="14" t="str">
        <f>IFERROR(__xludf.DUMMYFUNCTION("""COMPUTED_VALUE"""),"08776")</f>
        <v>08776</v>
      </c>
      <c r="D557" s="13" t="str">
        <f>IFERROR(__xludf.DUMMYFUNCTION("""COMPUTED_VALUE"""),"TELLER ELEMENTARY SCHOOL")</f>
        <v>TELLER ELEMENTARY SCHOOL</v>
      </c>
      <c r="E557" s="13" t="str">
        <f>IFERROR(__xludf.DUMMYFUNCTION("""COMPUTED_VALUE"""),"Group 7")</f>
        <v>Group 7</v>
      </c>
      <c r="F557" s="13" t="str">
        <f>IFERROR(__xludf.DUMMYFUNCTION("""COMPUTED_VALUE"""),"2024 - 2025")</f>
        <v>2024 - 2025</v>
      </c>
      <c r="G557" s="13" t="str">
        <f>IFERROR(__xludf.DUMMYFUNCTION("""COMPUTED_VALUE"""),"2023 - 2024")</f>
        <v>2023 - 2024</v>
      </c>
      <c r="H557" s="13">
        <f>IFERROR(__xludf.DUMMYFUNCTION("""COMPUTED_VALUE"""),50.42)</f>
        <v>50.42</v>
      </c>
      <c r="I557" s="15">
        <f>IFERROR(__xludf.DUMMYFUNCTION("""COMPUTED_VALUE"""),49.58)</f>
        <v>49.58</v>
      </c>
    </row>
    <row r="558">
      <c r="A558" s="13" t="str">
        <f>IFERROR(__xludf.DUMMYFUNCTION("""COMPUTED_VALUE"""),"0880")</f>
        <v>0880</v>
      </c>
      <c r="B558" s="13" t="str">
        <f>IFERROR(__xludf.DUMMYFUNCTION("""COMPUTED_VALUE"""),"DENVER COUNTY 1")</f>
        <v>DENVER COUNTY 1</v>
      </c>
      <c r="C558" s="14" t="str">
        <f>IFERROR(__xludf.DUMMYFUNCTION("""COMPUTED_VALUE"""),"09425")</f>
        <v>09425</v>
      </c>
      <c r="D558" s="13" t="str">
        <f>IFERROR(__xludf.DUMMYFUNCTION("""COMPUTED_VALUE"""),"WESTERLY CREEK ELEMENTARY")</f>
        <v>WESTERLY CREEK ELEMENTARY</v>
      </c>
      <c r="E558" s="13" t="str">
        <f>IFERROR(__xludf.DUMMYFUNCTION("""COMPUTED_VALUE"""),"Group 7")</f>
        <v>Group 7</v>
      </c>
      <c r="F558" s="13" t="str">
        <f>IFERROR(__xludf.DUMMYFUNCTION("""COMPUTED_VALUE"""),"2024 - 2025")</f>
        <v>2024 - 2025</v>
      </c>
      <c r="G558" s="13" t="str">
        <f>IFERROR(__xludf.DUMMYFUNCTION("""COMPUTED_VALUE"""),"2023 - 2024")</f>
        <v>2023 - 2024</v>
      </c>
      <c r="H558" s="13">
        <f>IFERROR(__xludf.DUMMYFUNCTION("""COMPUTED_VALUE"""),50.42)</f>
        <v>50.42</v>
      </c>
      <c r="I558" s="15">
        <f>IFERROR(__xludf.DUMMYFUNCTION("""COMPUTED_VALUE"""),49.58)</f>
        <v>49.58</v>
      </c>
    </row>
    <row r="559">
      <c r="A559" s="13" t="str">
        <f>IFERROR(__xludf.DUMMYFUNCTION("""COMPUTED_VALUE"""),"0880")</f>
        <v>0880</v>
      </c>
      <c r="B559" s="13" t="str">
        <f>IFERROR(__xludf.DUMMYFUNCTION("""COMPUTED_VALUE"""),"DENVER COUNTY 1")</f>
        <v>DENVER COUNTY 1</v>
      </c>
      <c r="C559" s="14" t="str">
        <f>IFERROR(__xludf.DUMMYFUNCTION("""COMPUTED_VALUE"""),"09623")</f>
        <v>09623</v>
      </c>
      <c r="D559" s="13" t="str">
        <f>IFERROR(__xludf.DUMMYFUNCTION("""COMPUTED_VALUE"""),"WILLIAM (BILL) ROBERTS K-8 SCHOOL")</f>
        <v>WILLIAM (BILL) ROBERTS K-8 SCHOOL</v>
      </c>
      <c r="E559" s="13" t="str">
        <f>IFERROR(__xludf.DUMMYFUNCTION("""COMPUTED_VALUE"""),"Group 7")</f>
        <v>Group 7</v>
      </c>
      <c r="F559" s="13" t="str">
        <f>IFERROR(__xludf.DUMMYFUNCTION("""COMPUTED_VALUE"""),"2024 - 2025")</f>
        <v>2024 - 2025</v>
      </c>
      <c r="G559" s="13" t="str">
        <f>IFERROR(__xludf.DUMMYFUNCTION("""COMPUTED_VALUE"""),"2023 - 2024")</f>
        <v>2023 - 2024</v>
      </c>
      <c r="H559" s="13">
        <f>IFERROR(__xludf.DUMMYFUNCTION("""COMPUTED_VALUE"""),50.42)</f>
        <v>50.42</v>
      </c>
      <c r="I559" s="15">
        <f>IFERROR(__xludf.DUMMYFUNCTION("""COMPUTED_VALUE"""),49.58)</f>
        <v>49.58</v>
      </c>
    </row>
    <row r="560">
      <c r="A560" s="13" t="str">
        <f>IFERROR(__xludf.DUMMYFUNCTION("""COMPUTED_VALUE"""),"0880")</f>
        <v>0880</v>
      </c>
      <c r="B560" s="13" t="str">
        <f>IFERROR(__xludf.DUMMYFUNCTION("""COMPUTED_VALUE"""),"DENVER COUNTY 1")</f>
        <v>DENVER COUNTY 1</v>
      </c>
      <c r="C560" s="14" t="str">
        <f>IFERROR(__xludf.DUMMYFUNCTION("""COMPUTED_VALUE"""),"09693")</f>
        <v>09693</v>
      </c>
      <c r="D560" s="13" t="str">
        <f>IFERROR(__xludf.DUMMYFUNCTION("""COMPUTED_VALUE"""),"West High School")</f>
        <v>West High School</v>
      </c>
      <c r="E560" s="13" t="str">
        <f>IFERROR(__xludf.DUMMYFUNCTION("""COMPUTED_VALUE"""),"Group 7")</f>
        <v>Group 7</v>
      </c>
      <c r="F560" s="13" t="str">
        <f>IFERROR(__xludf.DUMMYFUNCTION("""COMPUTED_VALUE"""),"2024 - 2025")</f>
        <v>2024 - 2025</v>
      </c>
      <c r="G560" s="13" t="str">
        <f>IFERROR(__xludf.DUMMYFUNCTION("""COMPUTED_VALUE"""),"2023 - 2024")</f>
        <v>2023 - 2024</v>
      </c>
      <c r="H560" s="13">
        <f>IFERROR(__xludf.DUMMYFUNCTION("""COMPUTED_VALUE"""),50.42)</f>
        <v>50.42</v>
      </c>
      <c r="I560" s="15">
        <f>IFERROR(__xludf.DUMMYFUNCTION("""COMPUTED_VALUE"""),49.58)</f>
        <v>49.58</v>
      </c>
    </row>
    <row r="561">
      <c r="A561" s="13" t="str">
        <f>IFERROR(__xludf.DUMMYFUNCTION("""COMPUTED_VALUE"""),"0880")</f>
        <v>0880</v>
      </c>
      <c r="B561" s="13" t="str">
        <f>IFERROR(__xludf.DUMMYFUNCTION("""COMPUTED_VALUE"""),"DENVER COUNTY 1")</f>
        <v>DENVER COUNTY 1</v>
      </c>
      <c r="C561" s="14" t="str">
        <f>IFERROR(__xludf.DUMMYFUNCTION("""COMPUTED_VALUE"""),"07188")</f>
        <v>07188</v>
      </c>
      <c r="D561" s="13" t="str">
        <f>IFERROR(__xludf.DUMMYFUNCTION("""COMPUTED_VALUE"""),"MONTBELLO CAREER AND TECHNICAL HIGH SCHOOL")</f>
        <v>MONTBELLO CAREER AND TECHNICAL HIGH SCHOOL</v>
      </c>
      <c r="E561" s="13" t="str">
        <f>IFERROR(__xludf.DUMMYFUNCTION("""COMPUTED_VALUE"""),"Group 7")</f>
        <v>Group 7</v>
      </c>
      <c r="F561" s="13" t="str">
        <f>IFERROR(__xludf.DUMMYFUNCTION("""COMPUTED_VALUE"""),"2024 - 2025")</f>
        <v>2024 - 2025</v>
      </c>
      <c r="G561" s="13" t="str">
        <f>IFERROR(__xludf.DUMMYFUNCTION("""COMPUTED_VALUE"""),"2023 - 2024")</f>
        <v>2023 - 2024</v>
      </c>
      <c r="H561" s="13">
        <f>IFERROR(__xludf.DUMMYFUNCTION("""COMPUTED_VALUE"""),50.42)</f>
        <v>50.42</v>
      </c>
      <c r="I561" s="15">
        <f>IFERROR(__xludf.DUMMYFUNCTION("""COMPUTED_VALUE"""),49.58)</f>
        <v>49.58</v>
      </c>
    </row>
    <row r="562">
      <c r="A562" s="13" t="str">
        <f>IFERROR(__xludf.DUMMYFUNCTION("""COMPUTED_VALUE"""),"0880")</f>
        <v>0880</v>
      </c>
      <c r="B562" s="13" t="str">
        <f>IFERROR(__xludf.DUMMYFUNCTION("""COMPUTED_VALUE"""),"DENVER COUNTY 1")</f>
        <v>DENVER COUNTY 1</v>
      </c>
      <c r="C562" s="14" t="str">
        <f>IFERROR(__xludf.DUMMYFUNCTION("""COMPUTED_VALUE"""),"01106")</f>
        <v>01106</v>
      </c>
      <c r="D562" s="13" t="str">
        <f>IFERROR(__xludf.DUMMYFUNCTION("""COMPUTED_VALUE"""),"BRYANT WEBSTER DUAL LANGUAGE ECE-8 SCHOOL")</f>
        <v>BRYANT WEBSTER DUAL LANGUAGE ECE-8 SCHOOL</v>
      </c>
      <c r="E562" s="13" t="str">
        <f>IFERROR(__xludf.DUMMYFUNCTION("""COMPUTED_VALUE"""),"Group 8")</f>
        <v>Group 8</v>
      </c>
      <c r="F562" s="13" t="str">
        <f>IFERROR(__xludf.DUMMYFUNCTION("""COMPUTED_VALUE"""),"2024 - 2025")</f>
        <v>2024 - 2025</v>
      </c>
      <c r="G562" s="13" t="str">
        <f>IFERROR(__xludf.DUMMYFUNCTION("""COMPUTED_VALUE"""),"2023 - 2024")</f>
        <v>2023 - 2024</v>
      </c>
      <c r="H562" s="13">
        <f>IFERROR(__xludf.DUMMYFUNCTION("""COMPUTED_VALUE"""),84.46)</f>
        <v>84.46</v>
      </c>
      <c r="I562" s="15">
        <f>IFERROR(__xludf.DUMMYFUNCTION("""COMPUTED_VALUE"""),15.540000000000006)</f>
        <v>15.54</v>
      </c>
    </row>
    <row r="563">
      <c r="A563" s="13" t="str">
        <f>IFERROR(__xludf.DUMMYFUNCTION("""COMPUTED_VALUE"""),"0880")</f>
        <v>0880</v>
      </c>
      <c r="B563" s="13" t="str">
        <f>IFERROR(__xludf.DUMMYFUNCTION("""COMPUTED_VALUE"""),"DENVER COUNTY 1")</f>
        <v>DENVER COUNTY 1</v>
      </c>
      <c r="C563" s="14" t="str">
        <f>IFERROR(__xludf.DUMMYFUNCTION("""COMPUTED_VALUE"""),"02129")</f>
        <v>02129</v>
      </c>
      <c r="D563" s="13" t="str">
        <f>IFERROR(__xludf.DUMMYFUNCTION("""COMPUTED_VALUE"""),"DENVER CENTER FOR INTERNATIONAL STUDIES AT FAIRMONT")</f>
        <v>DENVER CENTER FOR INTERNATIONAL STUDIES AT FAIRMONT</v>
      </c>
      <c r="E563" s="13" t="str">
        <f>IFERROR(__xludf.DUMMYFUNCTION("""COMPUTED_VALUE"""),"Group 8")</f>
        <v>Group 8</v>
      </c>
      <c r="F563" s="13" t="str">
        <f>IFERROR(__xludf.DUMMYFUNCTION("""COMPUTED_VALUE"""),"2024 - 2025")</f>
        <v>2024 - 2025</v>
      </c>
      <c r="G563" s="13" t="str">
        <f>IFERROR(__xludf.DUMMYFUNCTION("""COMPUTED_VALUE"""),"2023 - 2024")</f>
        <v>2023 - 2024</v>
      </c>
      <c r="H563" s="13">
        <f>IFERROR(__xludf.DUMMYFUNCTION("""COMPUTED_VALUE"""),84.46)</f>
        <v>84.46</v>
      </c>
      <c r="I563" s="15">
        <f>IFERROR(__xludf.DUMMYFUNCTION("""COMPUTED_VALUE"""),15.540000000000006)</f>
        <v>15.54</v>
      </c>
    </row>
    <row r="564">
      <c r="A564" s="13" t="str">
        <f>IFERROR(__xludf.DUMMYFUNCTION("""COMPUTED_VALUE"""),"0880")</f>
        <v>0880</v>
      </c>
      <c r="B564" s="13" t="str">
        <f>IFERROR(__xludf.DUMMYFUNCTION("""COMPUTED_VALUE"""),"DENVER COUNTY 1")</f>
        <v>DENVER COUNTY 1</v>
      </c>
      <c r="C564" s="14" t="str">
        <f>IFERROR(__xludf.DUMMYFUNCTION("""COMPUTED_VALUE"""),"01077")</f>
        <v>01077</v>
      </c>
      <c r="D564" s="13" t="str">
        <f>IFERROR(__xludf.DUMMYFUNCTION("""COMPUTED_VALUE"""),"Bear Valley International School")</f>
        <v>Bear Valley International School</v>
      </c>
      <c r="E564" s="13" t="str">
        <f>IFERROR(__xludf.DUMMYFUNCTION("""COMPUTED_VALUE"""),"Group 8")</f>
        <v>Group 8</v>
      </c>
      <c r="F564" s="13" t="str">
        <f>IFERROR(__xludf.DUMMYFUNCTION("""COMPUTED_VALUE"""),"2024 - 2025")</f>
        <v>2024 - 2025</v>
      </c>
      <c r="G564" s="13" t="str">
        <f>IFERROR(__xludf.DUMMYFUNCTION("""COMPUTED_VALUE"""),"2023 - 2024")</f>
        <v>2023 - 2024</v>
      </c>
      <c r="H564" s="13">
        <f>IFERROR(__xludf.DUMMYFUNCTION("""COMPUTED_VALUE"""),84.46)</f>
        <v>84.46</v>
      </c>
      <c r="I564" s="15">
        <f>IFERROR(__xludf.DUMMYFUNCTION("""COMPUTED_VALUE"""),15.540000000000006)</f>
        <v>15.54</v>
      </c>
    </row>
    <row r="565">
      <c r="A565" s="13" t="str">
        <f>IFERROR(__xludf.DUMMYFUNCTION("""COMPUTED_VALUE"""),"0880")</f>
        <v>0880</v>
      </c>
      <c r="B565" s="13" t="str">
        <f>IFERROR(__xludf.DUMMYFUNCTION("""COMPUTED_VALUE"""),"DENVER COUNTY 1")</f>
        <v>DENVER COUNTY 1</v>
      </c>
      <c r="C565" s="14" t="str">
        <f>IFERROR(__xludf.DUMMYFUNCTION("""COMPUTED_VALUE"""),"00964")</f>
        <v>00964</v>
      </c>
      <c r="D565" s="13" t="str">
        <f>IFERROR(__xludf.DUMMYFUNCTION("""COMPUTED_VALUE"""),"BRADLEY INTERNATIONAL SCHOOL")</f>
        <v>BRADLEY INTERNATIONAL SCHOOL</v>
      </c>
      <c r="E565" s="13" t="str">
        <f>IFERROR(__xludf.DUMMYFUNCTION("""COMPUTED_VALUE"""),"Group 9")</f>
        <v>Group 9</v>
      </c>
      <c r="F565" s="13" t="str">
        <f>IFERROR(__xludf.DUMMYFUNCTION("""COMPUTED_VALUE"""),"2024 - 2025")</f>
        <v>2024 - 2025</v>
      </c>
      <c r="G565" s="13" t="str">
        <f>IFERROR(__xludf.DUMMYFUNCTION("""COMPUTED_VALUE"""),"2023 - 2024")</f>
        <v>2023 - 2024</v>
      </c>
      <c r="H565" s="13">
        <f>IFERROR(__xludf.DUMMYFUNCTION("""COMPUTED_VALUE"""),60.77)</f>
        <v>60.77</v>
      </c>
      <c r="I565" s="15">
        <f>IFERROR(__xludf.DUMMYFUNCTION("""COMPUTED_VALUE"""),39.23)</f>
        <v>39.23</v>
      </c>
    </row>
    <row r="566">
      <c r="A566" s="13" t="str">
        <f>IFERROR(__xludf.DUMMYFUNCTION("""COMPUTED_VALUE"""),"0880")</f>
        <v>0880</v>
      </c>
      <c r="B566" s="13" t="str">
        <f>IFERROR(__xludf.DUMMYFUNCTION("""COMPUTED_VALUE"""),"DENVER COUNTY 1")</f>
        <v>DENVER COUNTY 1</v>
      </c>
      <c r="C566" s="14" t="str">
        <f>IFERROR(__xludf.DUMMYFUNCTION("""COMPUTED_VALUE"""),"08822")</f>
        <v>08822</v>
      </c>
      <c r="D566" s="13" t="str">
        <f>IFERROR(__xludf.DUMMYFUNCTION("""COMPUTED_VALUE"""),"THOMAS JEFFERSON HIGH SCHOOL")</f>
        <v>THOMAS JEFFERSON HIGH SCHOOL</v>
      </c>
      <c r="E566" s="13" t="str">
        <f>IFERROR(__xludf.DUMMYFUNCTION("""COMPUTED_VALUE"""),"Group 9")</f>
        <v>Group 9</v>
      </c>
      <c r="F566" s="13" t="str">
        <f>IFERROR(__xludf.DUMMYFUNCTION("""COMPUTED_VALUE"""),"2024 - 2025")</f>
        <v>2024 - 2025</v>
      </c>
      <c r="G566" s="13" t="str">
        <f>IFERROR(__xludf.DUMMYFUNCTION("""COMPUTED_VALUE"""),"2023 - 2024")</f>
        <v>2023 - 2024</v>
      </c>
      <c r="H566" s="13">
        <f>IFERROR(__xludf.DUMMYFUNCTION("""COMPUTED_VALUE"""),60.77)</f>
        <v>60.77</v>
      </c>
      <c r="I566" s="15">
        <f>IFERROR(__xludf.DUMMYFUNCTION("""COMPUTED_VALUE"""),39.23)</f>
        <v>39.23</v>
      </c>
    </row>
    <row r="567">
      <c r="A567" s="13" t="str">
        <f>IFERROR(__xludf.DUMMYFUNCTION("""COMPUTED_VALUE"""),"0890")</f>
        <v>0890</v>
      </c>
      <c r="B567" s="13" t="str">
        <f>IFERROR(__xludf.DUMMYFUNCTION("""COMPUTED_VALUE"""),"DOLORES COUNTY RE NO.2")</f>
        <v>DOLORES COUNTY RE NO.2</v>
      </c>
      <c r="C567" s="14" t="str">
        <f>IFERROR(__xludf.DUMMYFUNCTION("""COMPUTED_VALUE"""),"02216")</f>
        <v>02216</v>
      </c>
      <c r="D567" s="13" t="str">
        <f>IFERROR(__xludf.DUMMYFUNCTION("""COMPUTED_VALUE"""),"DOVE CREEK HIGH SCHOOL")</f>
        <v>DOVE CREEK HIGH SCHOOL</v>
      </c>
      <c r="E567" s="13" t="str">
        <f>IFERROR(__xludf.DUMMYFUNCTION("""COMPUTED_VALUE"""),"Group 1")</f>
        <v>Group 1</v>
      </c>
      <c r="F567" s="13" t="str">
        <f>IFERROR(__xludf.DUMMYFUNCTION("""COMPUTED_VALUE"""),"2024 - 2025")</f>
        <v>2024 - 2025</v>
      </c>
      <c r="G567" s="13" t="str">
        <f>IFERROR(__xludf.DUMMYFUNCTION("""COMPUTED_VALUE"""),"2023 - 2024")</f>
        <v>2023 - 2024</v>
      </c>
      <c r="H567" s="13">
        <f>IFERROR(__xludf.DUMMYFUNCTION("""COMPUTED_VALUE"""),69.62)</f>
        <v>69.62</v>
      </c>
      <c r="I567" s="15">
        <f>IFERROR(__xludf.DUMMYFUNCTION("""COMPUTED_VALUE"""),30.379999999999995)</f>
        <v>30.38</v>
      </c>
    </row>
    <row r="568">
      <c r="A568" s="13" t="str">
        <f>IFERROR(__xludf.DUMMYFUNCTION("""COMPUTED_VALUE"""),"0890")</f>
        <v>0890</v>
      </c>
      <c r="B568" s="13" t="str">
        <f>IFERROR(__xludf.DUMMYFUNCTION("""COMPUTED_VALUE"""),"DOLORES COUNTY RE NO.2")</f>
        <v>DOLORES COUNTY RE NO.2</v>
      </c>
      <c r="C568" s="14" t="str">
        <f>IFERROR(__xludf.DUMMYFUNCTION("""COMPUTED_VALUE"""),"07764")</f>
        <v>07764</v>
      </c>
      <c r="D568" s="13" t="str">
        <f>IFERROR(__xludf.DUMMYFUNCTION("""COMPUTED_VALUE"""),"DOVE CREEK ELEMENTARY SCHOOL")</f>
        <v>DOVE CREEK ELEMENTARY SCHOOL</v>
      </c>
      <c r="E568" s="13" t="str">
        <f>IFERROR(__xludf.DUMMYFUNCTION("""COMPUTED_VALUE"""),"Group 2")</f>
        <v>Group 2</v>
      </c>
      <c r="F568" s="13" t="str">
        <f>IFERROR(__xludf.DUMMYFUNCTION("""COMPUTED_VALUE"""),"2024 - 2025")</f>
        <v>2024 - 2025</v>
      </c>
      <c r="G568" s="13" t="str">
        <f>IFERROR(__xludf.DUMMYFUNCTION("""COMPUTED_VALUE"""),"2023 - 2024")</f>
        <v>2023 - 2024</v>
      </c>
      <c r="H568" s="13">
        <f>IFERROR(__xludf.DUMMYFUNCTION("""COMPUTED_VALUE"""),73.22)</f>
        <v>73.22</v>
      </c>
      <c r="I568" s="15">
        <f>IFERROR(__xludf.DUMMYFUNCTION("""COMPUTED_VALUE"""),26.78)</f>
        <v>26.78</v>
      </c>
    </row>
    <row r="569">
      <c r="A569" s="13" t="str">
        <f>IFERROR(__xludf.DUMMYFUNCTION("""COMPUTED_VALUE"""),"0900")</f>
        <v>0900</v>
      </c>
      <c r="B569" s="13" t="str">
        <f>IFERROR(__xludf.DUMMYFUNCTION("""COMPUTED_VALUE"""),"DOUGLAS COUNTY RE 1")</f>
        <v>DOUGLAS COUNTY RE 1</v>
      </c>
      <c r="C569" s="14" t="str">
        <f>IFERROR(__xludf.DUMMYFUNCTION("""COMPUTED_VALUE"""),"00354")</f>
        <v>00354</v>
      </c>
      <c r="D569" s="13" t="str">
        <f>IFERROR(__xludf.DUMMYFUNCTION("""COMPUTED_VALUE"""),"ARROWWOOD ELEMENTARY SCHOOL")</f>
        <v>ARROWWOOD ELEMENTARY SCHOOL</v>
      </c>
      <c r="E569" s="13" t="str">
        <f>IFERROR(__xludf.DUMMYFUNCTION("""COMPUTED_VALUE"""),"Group 1")</f>
        <v>Group 1</v>
      </c>
      <c r="F569" s="13" t="str">
        <f>IFERROR(__xludf.DUMMYFUNCTION("""COMPUTED_VALUE"""),"2024 - 2025")</f>
        <v>2024 - 2025</v>
      </c>
      <c r="G569" s="13" t="str">
        <f>IFERROR(__xludf.DUMMYFUNCTION("""COMPUTED_VALUE"""),"2023 - 2024")</f>
        <v>2023 - 2024</v>
      </c>
      <c r="H569" s="13">
        <f>IFERROR(__xludf.DUMMYFUNCTION("""COMPUTED_VALUE"""),40.53)</f>
        <v>40.53</v>
      </c>
      <c r="I569" s="15">
        <f>IFERROR(__xludf.DUMMYFUNCTION("""COMPUTED_VALUE"""),59.47)</f>
        <v>59.47</v>
      </c>
    </row>
    <row r="570">
      <c r="A570" s="13" t="str">
        <f>IFERROR(__xludf.DUMMYFUNCTION("""COMPUTED_VALUE"""),"0900")</f>
        <v>0900</v>
      </c>
      <c r="B570" s="13" t="str">
        <f>IFERROR(__xludf.DUMMYFUNCTION("""COMPUTED_VALUE"""),"DOUGLAS COUNTY RE 1")</f>
        <v>DOUGLAS COUNTY RE 1</v>
      </c>
      <c r="C570" s="14" t="str">
        <f>IFERROR(__xludf.DUMMYFUNCTION("""COMPUTED_VALUE"""),"01362")</f>
        <v>01362</v>
      </c>
      <c r="D570" s="13" t="str">
        <f>IFERROR(__xludf.DUMMYFUNCTION("""COMPUTED_VALUE"""),"CASTLE ROCK ELEMENTARY SCHOOL")</f>
        <v>CASTLE ROCK ELEMENTARY SCHOOL</v>
      </c>
      <c r="E570" s="13" t="str">
        <f>IFERROR(__xludf.DUMMYFUNCTION("""COMPUTED_VALUE"""),"Group 1")</f>
        <v>Group 1</v>
      </c>
      <c r="F570" s="13" t="str">
        <f>IFERROR(__xludf.DUMMYFUNCTION("""COMPUTED_VALUE"""),"2024 - 2025")</f>
        <v>2024 - 2025</v>
      </c>
      <c r="G570" s="13" t="str">
        <f>IFERROR(__xludf.DUMMYFUNCTION("""COMPUTED_VALUE"""),"2023 - 2024")</f>
        <v>2023 - 2024</v>
      </c>
      <c r="H570" s="13">
        <f>IFERROR(__xludf.DUMMYFUNCTION("""COMPUTED_VALUE"""),40.53)</f>
        <v>40.53</v>
      </c>
      <c r="I570" s="15">
        <f>IFERROR(__xludf.DUMMYFUNCTION("""COMPUTED_VALUE"""),59.47)</f>
        <v>59.47</v>
      </c>
    </row>
    <row r="571">
      <c r="A571" s="13" t="str">
        <f>IFERROR(__xludf.DUMMYFUNCTION("""COMPUTED_VALUE"""),"0900")</f>
        <v>0900</v>
      </c>
      <c r="B571" s="13" t="str">
        <f>IFERROR(__xludf.DUMMYFUNCTION("""COMPUTED_VALUE"""),"DOUGLAS COUNTY RE 1")</f>
        <v>DOUGLAS COUNTY RE 1</v>
      </c>
      <c r="C571" s="14" t="str">
        <f>IFERROR(__xludf.DUMMYFUNCTION("""COMPUTED_VALUE"""),"01925")</f>
        <v>01925</v>
      </c>
      <c r="D571" s="13" t="str">
        <f>IFERROR(__xludf.DUMMYFUNCTION("""COMPUTED_VALUE"""),"COUGAR RUN ELEMENTARY SCHOOL")</f>
        <v>COUGAR RUN ELEMENTARY SCHOOL</v>
      </c>
      <c r="E571" s="13" t="str">
        <f>IFERROR(__xludf.DUMMYFUNCTION("""COMPUTED_VALUE"""),"Group 1")</f>
        <v>Group 1</v>
      </c>
      <c r="F571" s="13" t="str">
        <f>IFERROR(__xludf.DUMMYFUNCTION("""COMPUTED_VALUE"""),"2024 - 2025")</f>
        <v>2024 - 2025</v>
      </c>
      <c r="G571" s="13" t="str">
        <f>IFERROR(__xludf.DUMMYFUNCTION("""COMPUTED_VALUE"""),"2023 - 2024")</f>
        <v>2023 - 2024</v>
      </c>
      <c r="H571" s="13">
        <f>IFERROR(__xludf.DUMMYFUNCTION("""COMPUTED_VALUE"""),40.53)</f>
        <v>40.53</v>
      </c>
      <c r="I571" s="15">
        <f>IFERROR(__xludf.DUMMYFUNCTION("""COMPUTED_VALUE"""),59.47)</f>
        <v>59.47</v>
      </c>
    </row>
    <row r="572">
      <c r="A572" s="13" t="str">
        <f>IFERROR(__xludf.DUMMYFUNCTION("""COMPUTED_VALUE"""),"0900")</f>
        <v>0900</v>
      </c>
      <c r="B572" s="13" t="str">
        <f>IFERROR(__xludf.DUMMYFUNCTION("""COMPUTED_VALUE"""),"DOUGLAS COUNTY RE 1")</f>
        <v>DOUGLAS COUNTY RE 1</v>
      </c>
      <c r="C572" s="14" t="str">
        <f>IFERROR(__xludf.DUMMYFUNCTION("""COMPUTED_VALUE"""),"02012")</f>
        <v>02012</v>
      </c>
      <c r="D572" s="13" t="str">
        <f>IFERROR(__xludf.DUMMYFUNCTION("""COMPUTED_VALUE"""),"CRESTHILL MIDDLE SCHOOL")</f>
        <v>CRESTHILL MIDDLE SCHOOL</v>
      </c>
      <c r="E572" s="13" t="str">
        <f>IFERROR(__xludf.DUMMYFUNCTION("""COMPUTED_VALUE"""),"Group 1")</f>
        <v>Group 1</v>
      </c>
      <c r="F572" s="13" t="str">
        <f>IFERROR(__xludf.DUMMYFUNCTION("""COMPUTED_VALUE"""),"2024 - 2025")</f>
        <v>2024 - 2025</v>
      </c>
      <c r="G572" s="13" t="str">
        <f>IFERROR(__xludf.DUMMYFUNCTION("""COMPUTED_VALUE"""),"2023 - 2024")</f>
        <v>2023 - 2024</v>
      </c>
      <c r="H572" s="13">
        <f>IFERROR(__xludf.DUMMYFUNCTION("""COMPUTED_VALUE"""),40.53)</f>
        <v>40.53</v>
      </c>
      <c r="I572" s="15">
        <f>IFERROR(__xludf.DUMMYFUNCTION("""COMPUTED_VALUE"""),59.47)</f>
        <v>59.47</v>
      </c>
    </row>
    <row r="573">
      <c r="A573" s="13" t="str">
        <f>IFERROR(__xludf.DUMMYFUNCTION("""COMPUTED_VALUE"""),"0900")</f>
        <v>0900</v>
      </c>
      <c r="B573" s="13" t="str">
        <f>IFERROR(__xludf.DUMMYFUNCTION("""COMPUTED_VALUE"""),"DOUGLAS COUNTY RE 1")</f>
        <v>DOUGLAS COUNTY RE 1</v>
      </c>
      <c r="C573" s="14" t="str">
        <f>IFERROR(__xludf.DUMMYFUNCTION("""COMPUTED_VALUE"""),"02226")</f>
        <v>02226</v>
      </c>
      <c r="D573" s="13" t="str">
        <f>IFERROR(__xludf.DUMMYFUNCTION("""COMPUTED_VALUE"""),"CASTLE ROCK MIDDLE SCHOOL")</f>
        <v>CASTLE ROCK MIDDLE SCHOOL</v>
      </c>
      <c r="E573" s="13" t="str">
        <f>IFERROR(__xludf.DUMMYFUNCTION("""COMPUTED_VALUE"""),"Group 1")</f>
        <v>Group 1</v>
      </c>
      <c r="F573" s="13" t="str">
        <f>IFERROR(__xludf.DUMMYFUNCTION("""COMPUTED_VALUE"""),"2024 - 2025")</f>
        <v>2024 - 2025</v>
      </c>
      <c r="G573" s="13" t="str">
        <f>IFERROR(__xludf.DUMMYFUNCTION("""COMPUTED_VALUE"""),"2023 - 2024")</f>
        <v>2023 - 2024</v>
      </c>
      <c r="H573" s="13">
        <f>IFERROR(__xludf.DUMMYFUNCTION("""COMPUTED_VALUE"""),40.53)</f>
        <v>40.53</v>
      </c>
      <c r="I573" s="15">
        <f>IFERROR(__xludf.DUMMYFUNCTION("""COMPUTED_VALUE"""),59.47)</f>
        <v>59.47</v>
      </c>
    </row>
    <row r="574">
      <c r="A574" s="13" t="str">
        <f>IFERROR(__xludf.DUMMYFUNCTION("""COMPUTED_VALUE"""),"0900")</f>
        <v>0900</v>
      </c>
      <c r="B574" s="13" t="str">
        <f>IFERROR(__xludf.DUMMYFUNCTION("""COMPUTED_VALUE"""),"DOUGLAS COUNTY RE 1")</f>
        <v>DOUGLAS COUNTY RE 1</v>
      </c>
      <c r="C574" s="14" t="str">
        <f>IFERROR(__xludf.DUMMYFUNCTION("""COMPUTED_VALUE"""),"02233")</f>
        <v>02233</v>
      </c>
      <c r="D574" s="13" t="str">
        <f>IFERROR(__xludf.DUMMYFUNCTION("""COMPUTED_VALUE"""),"CHEROKEE TRAIL ELEMENTARY SCHOOL")</f>
        <v>CHEROKEE TRAIL ELEMENTARY SCHOOL</v>
      </c>
      <c r="E574" s="13" t="str">
        <f>IFERROR(__xludf.DUMMYFUNCTION("""COMPUTED_VALUE"""),"Group 1")</f>
        <v>Group 1</v>
      </c>
      <c r="F574" s="13" t="str">
        <f>IFERROR(__xludf.DUMMYFUNCTION("""COMPUTED_VALUE"""),"2024 - 2025")</f>
        <v>2024 - 2025</v>
      </c>
      <c r="G574" s="13" t="str">
        <f>IFERROR(__xludf.DUMMYFUNCTION("""COMPUTED_VALUE"""),"2023 - 2024")</f>
        <v>2023 - 2024</v>
      </c>
      <c r="H574" s="13">
        <f>IFERROR(__xludf.DUMMYFUNCTION("""COMPUTED_VALUE"""),40.53)</f>
        <v>40.53</v>
      </c>
      <c r="I574" s="15">
        <f>IFERROR(__xludf.DUMMYFUNCTION("""COMPUTED_VALUE"""),59.47)</f>
        <v>59.47</v>
      </c>
    </row>
    <row r="575">
      <c r="A575" s="13" t="str">
        <f>IFERROR(__xludf.DUMMYFUNCTION("""COMPUTED_VALUE"""),"0900")</f>
        <v>0900</v>
      </c>
      <c r="B575" s="13" t="str">
        <f>IFERROR(__xludf.DUMMYFUNCTION("""COMPUTED_VALUE"""),"DOUGLAS COUNTY RE 1")</f>
        <v>DOUGLAS COUNTY RE 1</v>
      </c>
      <c r="C575" s="14" t="str">
        <f>IFERROR(__xludf.DUMMYFUNCTION("""COMPUTED_VALUE"""),"02234")</f>
        <v>02234</v>
      </c>
      <c r="D575" s="13" t="str">
        <f>IFERROR(__xludf.DUMMYFUNCTION("""COMPUTED_VALUE"""),"EAGLE RIDGE ELEMENTARY SCHOOL")</f>
        <v>EAGLE RIDGE ELEMENTARY SCHOOL</v>
      </c>
      <c r="E575" s="13" t="str">
        <f>IFERROR(__xludf.DUMMYFUNCTION("""COMPUTED_VALUE"""),"Group 1")</f>
        <v>Group 1</v>
      </c>
      <c r="F575" s="13" t="str">
        <f>IFERROR(__xludf.DUMMYFUNCTION("""COMPUTED_VALUE"""),"2024 - 2025")</f>
        <v>2024 - 2025</v>
      </c>
      <c r="G575" s="13" t="str">
        <f>IFERROR(__xludf.DUMMYFUNCTION("""COMPUTED_VALUE"""),"2023 - 2024")</f>
        <v>2023 - 2024</v>
      </c>
      <c r="H575" s="13">
        <f>IFERROR(__xludf.DUMMYFUNCTION("""COMPUTED_VALUE"""),40.53)</f>
        <v>40.53</v>
      </c>
      <c r="I575" s="15">
        <f>IFERROR(__xludf.DUMMYFUNCTION("""COMPUTED_VALUE"""),59.47)</f>
        <v>59.47</v>
      </c>
    </row>
    <row r="576">
      <c r="A576" s="13" t="str">
        <f>IFERROR(__xludf.DUMMYFUNCTION("""COMPUTED_VALUE"""),"0900")</f>
        <v>0900</v>
      </c>
      <c r="B576" s="13" t="str">
        <f>IFERROR(__xludf.DUMMYFUNCTION("""COMPUTED_VALUE"""),"DOUGLAS COUNTY RE 1")</f>
        <v>DOUGLAS COUNTY RE 1</v>
      </c>
      <c r="C576" s="14" t="str">
        <f>IFERROR(__xludf.DUMMYFUNCTION("""COMPUTED_VALUE"""),"02952")</f>
        <v>02952</v>
      </c>
      <c r="D576" s="13" t="str">
        <f>IFERROR(__xludf.DUMMYFUNCTION("""COMPUTED_VALUE"""),"MAMMOTH HEIGHTS ELEMENTARY")</f>
        <v>MAMMOTH HEIGHTS ELEMENTARY</v>
      </c>
      <c r="E576" s="13" t="str">
        <f>IFERROR(__xludf.DUMMYFUNCTION("""COMPUTED_VALUE"""),"Group 1")</f>
        <v>Group 1</v>
      </c>
      <c r="F576" s="13" t="str">
        <f>IFERROR(__xludf.DUMMYFUNCTION("""COMPUTED_VALUE"""),"2024 - 2025")</f>
        <v>2024 - 2025</v>
      </c>
      <c r="G576" s="13" t="str">
        <f>IFERROR(__xludf.DUMMYFUNCTION("""COMPUTED_VALUE"""),"2023 - 2024")</f>
        <v>2023 - 2024</v>
      </c>
      <c r="H576" s="13">
        <f>IFERROR(__xludf.DUMMYFUNCTION("""COMPUTED_VALUE"""),40.53)</f>
        <v>40.53</v>
      </c>
      <c r="I576" s="15">
        <f>IFERROR(__xludf.DUMMYFUNCTION("""COMPUTED_VALUE"""),59.47)</f>
        <v>59.47</v>
      </c>
    </row>
    <row r="577">
      <c r="A577" s="13" t="str">
        <f>IFERROR(__xludf.DUMMYFUNCTION("""COMPUTED_VALUE"""),"0900")</f>
        <v>0900</v>
      </c>
      <c r="B577" s="13" t="str">
        <f>IFERROR(__xludf.DUMMYFUNCTION("""COMPUTED_VALUE"""),"DOUGLAS COUNTY RE 1")</f>
        <v>DOUGLAS COUNTY RE 1</v>
      </c>
      <c r="C577" s="14" t="str">
        <f>IFERROR(__xludf.DUMMYFUNCTION("""COMPUTED_VALUE"""),"05745")</f>
        <v>05745</v>
      </c>
      <c r="D577" s="13" t="str">
        <f>IFERROR(__xludf.DUMMYFUNCTION("""COMPUTED_VALUE"""),"MEADOW VIEW ELEMENTARY SCHOOL")</f>
        <v>MEADOW VIEW ELEMENTARY SCHOOL</v>
      </c>
      <c r="E577" s="13" t="str">
        <f>IFERROR(__xludf.DUMMYFUNCTION("""COMPUTED_VALUE"""),"Group 1")</f>
        <v>Group 1</v>
      </c>
      <c r="F577" s="13" t="str">
        <f>IFERROR(__xludf.DUMMYFUNCTION("""COMPUTED_VALUE"""),"2024 - 2025")</f>
        <v>2024 - 2025</v>
      </c>
      <c r="G577" s="13" t="str">
        <f>IFERROR(__xludf.DUMMYFUNCTION("""COMPUTED_VALUE"""),"2023 - 2024")</f>
        <v>2023 - 2024</v>
      </c>
      <c r="H577" s="13">
        <f>IFERROR(__xludf.DUMMYFUNCTION("""COMPUTED_VALUE"""),40.53)</f>
        <v>40.53</v>
      </c>
      <c r="I577" s="15">
        <f>IFERROR(__xludf.DUMMYFUNCTION("""COMPUTED_VALUE"""),59.47)</f>
        <v>59.47</v>
      </c>
    </row>
    <row r="578">
      <c r="A578" s="13" t="str">
        <f>IFERROR(__xludf.DUMMYFUNCTION("""COMPUTED_VALUE"""),"0900")</f>
        <v>0900</v>
      </c>
      <c r="B578" s="13" t="str">
        <f>IFERROR(__xludf.DUMMYFUNCTION("""COMPUTED_VALUE"""),"DOUGLAS COUNTY RE 1")</f>
        <v>DOUGLAS COUNTY RE 1</v>
      </c>
      <c r="C578" s="14" t="str">
        <f>IFERROR(__xludf.DUMMYFUNCTION("""COMPUTED_VALUE"""),"06940")</f>
        <v>06940</v>
      </c>
      <c r="D578" s="13" t="str">
        <f>IFERROR(__xludf.DUMMYFUNCTION("""COMPUTED_VALUE"""),"PINE LANE ELEMENTARY")</f>
        <v>PINE LANE ELEMENTARY</v>
      </c>
      <c r="E578" s="13" t="str">
        <f>IFERROR(__xludf.DUMMYFUNCTION("""COMPUTED_VALUE"""),"Group 1")</f>
        <v>Group 1</v>
      </c>
      <c r="F578" s="13" t="str">
        <f>IFERROR(__xludf.DUMMYFUNCTION("""COMPUTED_VALUE"""),"2024 - 2025")</f>
        <v>2024 - 2025</v>
      </c>
      <c r="G578" s="13" t="str">
        <f>IFERROR(__xludf.DUMMYFUNCTION("""COMPUTED_VALUE"""),"2023 - 2024")</f>
        <v>2023 - 2024</v>
      </c>
      <c r="H578" s="13">
        <f>IFERROR(__xludf.DUMMYFUNCTION("""COMPUTED_VALUE"""),40.53)</f>
        <v>40.53</v>
      </c>
      <c r="I578" s="15">
        <f>IFERROR(__xludf.DUMMYFUNCTION("""COMPUTED_VALUE"""),59.47)</f>
        <v>59.47</v>
      </c>
    </row>
    <row r="579">
      <c r="A579" s="13" t="str">
        <f>IFERROR(__xludf.DUMMYFUNCTION("""COMPUTED_VALUE"""),"0900")</f>
        <v>0900</v>
      </c>
      <c r="B579" s="13" t="str">
        <f>IFERROR(__xludf.DUMMYFUNCTION("""COMPUTED_VALUE"""),"DOUGLAS COUNTY RE 1")</f>
        <v>DOUGLAS COUNTY RE 1</v>
      </c>
      <c r="C579" s="14" t="str">
        <f>IFERROR(__xludf.DUMMYFUNCTION("""COMPUTED_VALUE"""),"07610")</f>
        <v>07610</v>
      </c>
      <c r="D579" s="13" t="str">
        <f>IFERROR(__xludf.DUMMYFUNCTION("""COMPUTED_VALUE"""),"SAND CREEK ELEMENTARY SCHOOL")</f>
        <v>SAND CREEK ELEMENTARY SCHOOL</v>
      </c>
      <c r="E579" s="13" t="str">
        <f>IFERROR(__xludf.DUMMYFUNCTION("""COMPUTED_VALUE"""),"Group 1")</f>
        <v>Group 1</v>
      </c>
      <c r="F579" s="13" t="str">
        <f>IFERROR(__xludf.DUMMYFUNCTION("""COMPUTED_VALUE"""),"2024 - 2025")</f>
        <v>2024 - 2025</v>
      </c>
      <c r="G579" s="13" t="str">
        <f>IFERROR(__xludf.DUMMYFUNCTION("""COMPUTED_VALUE"""),"2023 - 2024")</f>
        <v>2023 - 2024</v>
      </c>
      <c r="H579" s="13">
        <f>IFERROR(__xludf.DUMMYFUNCTION("""COMPUTED_VALUE"""),40.53)</f>
        <v>40.53</v>
      </c>
      <c r="I579" s="15">
        <f>IFERROR(__xludf.DUMMYFUNCTION("""COMPUTED_VALUE"""),59.47)</f>
        <v>59.47</v>
      </c>
    </row>
    <row r="580">
      <c r="A580" s="13" t="str">
        <f>IFERROR(__xludf.DUMMYFUNCTION("""COMPUTED_VALUE"""),"0900")</f>
        <v>0900</v>
      </c>
      <c r="B580" s="13" t="str">
        <f>IFERROR(__xludf.DUMMYFUNCTION("""COMPUTED_VALUE"""),"DOUGLAS COUNTY RE 1")</f>
        <v>DOUGLAS COUNTY RE 1</v>
      </c>
      <c r="C580" s="14" t="str">
        <f>IFERROR(__xludf.DUMMYFUNCTION("""COMPUTED_VALUE"""),"07718")</f>
        <v>07718</v>
      </c>
      <c r="D580" s="13" t="str">
        <f>IFERROR(__xludf.DUMMYFUNCTION("""COMPUTED_VALUE"""),"SEDALIA ELEMENTARY SCHOOL")</f>
        <v>SEDALIA ELEMENTARY SCHOOL</v>
      </c>
      <c r="E580" s="13" t="str">
        <f>IFERROR(__xludf.DUMMYFUNCTION("""COMPUTED_VALUE"""),"Group 1")</f>
        <v>Group 1</v>
      </c>
      <c r="F580" s="13" t="str">
        <f>IFERROR(__xludf.DUMMYFUNCTION("""COMPUTED_VALUE"""),"2024 - 2025")</f>
        <v>2024 - 2025</v>
      </c>
      <c r="G580" s="13" t="str">
        <f>IFERROR(__xludf.DUMMYFUNCTION("""COMPUTED_VALUE"""),"2023 - 2024")</f>
        <v>2023 - 2024</v>
      </c>
      <c r="H580" s="13">
        <f>IFERROR(__xludf.DUMMYFUNCTION("""COMPUTED_VALUE"""),40.53)</f>
        <v>40.53</v>
      </c>
      <c r="I580" s="15">
        <f>IFERROR(__xludf.DUMMYFUNCTION("""COMPUTED_VALUE"""),59.47)</f>
        <v>59.47</v>
      </c>
    </row>
    <row r="581">
      <c r="A581" s="13" t="str">
        <f>IFERROR(__xludf.DUMMYFUNCTION("""COMPUTED_VALUE"""),"0900")</f>
        <v>0900</v>
      </c>
      <c r="B581" s="13" t="str">
        <f>IFERROR(__xludf.DUMMYFUNCTION("""COMPUTED_VALUE"""),"DOUGLAS COUNTY RE 1")</f>
        <v>DOUGLAS COUNTY RE 1</v>
      </c>
      <c r="C581" s="14" t="str">
        <f>IFERROR(__xludf.DUMMYFUNCTION("""COMPUTED_VALUE"""),"08126")</f>
        <v>08126</v>
      </c>
      <c r="D581" s="13" t="str">
        <f>IFERROR(__xludf.DUMMYFUNCTION("""COMPUTED_VALUE"""),"SOUTH RIDGE ELEMENTARY SCHOOL")</f>
        <v>SOUTH RIDGE ELEMENTARY SCHOOL</v>
      </c>
      <c r="E581" s="13" t="str">
        <f>IFERROR(__xludf.DUMMYFUNCTION("""COMPUTED_VALUE"""),"Group 1")</f>
        <v>Group 1</v>
      </c>
      <c r="F581" s="13" t="str">
        <f>IFERROR(__xludf.DUMMYFUNCTION("""COMPUTED_VALUE"""),"2024 - 2025")</f>
        <v>2024 - 2025</v>
      </c>
      <c r="G581" s="13" t="str">
        <f>IFERROR(__xludf.DUMMYFUNCTION("""COMPUTED_VALUE"""),"2023 - 2024")</f>
        <v>2023 - 2024</v>
      </c>
      <c r="H581" s="13">
        <f>IFERROR(__xludf.DUMMYFUNCTION("""COMPUTED_VALUE"""),40.53)</f>
        <v>40.53</v>
      </c>
      <c r="I581" s="15">
        <f>IFERROR(__xludf.DUMMYFUNCTION("""COMPUTED_VALUE"""),59.47)</f>
        <v>59.47</v>
      </c>
    </row>
    <row r="582">
      <c r="A582" s="13" t="str">
        <f>IFERROR(__xludf.DUMMYFUNCTION("""COMPUTED_VALUE"""),"0900")</f>
        <v>0900</v>
      </c>
      <c r="B582" s="13" t="str">
        <f>IFERROR(__xludf.DUMMYFUNCTION("""COMPUTED_VALUE"""),"DOUGLAS COUNTY RE 1")</f>
        <v>DOUGLAS COUNTY RE 1</v>
      </c>
      <c r="C582" s="14" t="str">
        <f>IFERROR(__xludf.DUMMYFUNCTION("""COMPUTED_VALUE"""),"00201")</f>
        <v>00201</v>
      </c>
      <c r="D582" s="13" t="str">
        <f>IFERROR(__xludf.DUMMYFUNCTION("""COMPUTED_VALUE"""),"Daniel C Oaks High School")</f>
        <v>Daniel C Oaks High School</v>
      </c>
      <c r="E582" s="13" t="str">
        <f>IFERROR(__xludf.DUMMYFUNCTION("""COMPUTED_VALUE"""),"Group 1")</f>
        <v>Group 1</v>
      </c>
      <c r="F582" s="13" t="str">
        <f>IFERROR(__xludf.DUMMYFUNCTION("""COMPUTED_VALUE"""),"2024 - 2025")</f>
        <v>2024 - 2025</v>
      </c>
      <c r="G582" s="13" t="str">
        <f>IFERROR(__xludf.DUMMYFUNCTION("""COMPUTED_VALUE"""),"2023 - 2024")</f>
        <v>2023 - 2024</v>
      </c>
      <c r="H582" s="13">
        <f>IFERROR(__xludf.DUMMYFUNCTION("""COMPUTED_VALUE"""),40.53)</f>
        <v>40.53</v>
      </c>
      <c r="I582" s="15">
        <f>IFERROR(__xludf.DUMMYFUNCTION("""COMPUTED_VALUE"""),59.47)</f>
        <v>59.47</v>
      </c>
    </row>
    <row r="583">
      <c r="A583" s="13" t="str">
        <f>IFERROR(__xludf.DUMMYFUNCTION("""COMPUTED_VALUE"""),"0900")</f>
        <v>0900</v>
      </c>
      <c r="B583" s="13" t="str">
        <f>IFERROR(__xludf.DUMMYFUNCTION("""COMPUTED_VALUE"""),"DOUGLAS COUNTY RE 1")</f>
        <v>DOUGLAS COUNTY RE 1</v>
      </c>
      <c r="C583" s="14" t="str">
        <f>IFERROR(__xludf.DUMMYFUNCTION("""COMPUTED_VALUE"""),"00012")</f>
        <v>00012</v>
      </c>
      <c r="D583" s="13" t="str">
        <f>IFERROR(__xludf.DUMMYFUNCTION("""COMPUTED_VALUE"""),"ACRES GREEN ELEMENTARY SCHOOL")</f>
        <v>ACRES GREEN ELEMENTARY SCHOOL</v>
      </c>
      <c r="E583" s="13" t="str">
        <f>IFERROR(__xludf.DUMMYFUNCTION("""COMPUTED_VALUE"""),"Group 2")</f>
        <v>Group 2</v>
      </c>
      <c r="F583" s="13" t="str">
        <f>IFERROR(__xludf.DUMMYFUNCTION("""COMPUTED_VALUE"""),"2024 - 2025")</f>
        <v>2024 - 2025</v>
      </c>
      <c r="G583" s="13" t="str">
        <f>IFERROR(__xludf.DUMMYFUNCTION("""COMPUTED_VALUE"""),"2023 - 2024")</f>
        <v>2023 - 2024</v>
      </c>
      <c r="H583" s="13">
        <f>IFERROR(__xludf.DUMMYFUNCTION("""COMPUTED_VALUE"""),42.86)</f>
        <v>42.86</v>
      </c>
      <c r="I583" s="15">
        <f>IFERROR(__xludf.DUMMYFUNCTION("""COMPUTED_VALUE"""),57.14)</f>
        <v>57.14</v>
      </c>
    </row>
    <row r="584">
      <c r="A584" s="13" t="str">
        <f>IFERROR(__xludf.DUMMYFUNCTION("""COMPUTED_VALUE"""),"0900")</f>
        <v>0900</v>
      </c>
      <c r="B584" s="13" t="str">
        <f>IFERROR(__xludf.DUMMYFUNCTION("""COMPUTED_VALUE"""),"DOUGLAS COUNTY RE 1")</f>
        <v>DOUGLAS COUNTY RE 1</v>
      </c>
      <c r="C584" s="14" t="str">
        <f>IFERROR(__xludf.DUMMYFUNCTION("""COMPUTED_VALUE"""),"02232")</f>
        <v>02232</v>
      </c>
      <c r="D584" s="13" t="str">
        <f>IFERROR(__xludf.DUMMYFUNCTION("""COMPUTED_VALUE"""),"ROCK RIDGE ELEMENTARY SCHOOL")</f>
        <v>ROCK RIDGE ELEMENTARY SCHOOL</v>
      </c>
      <c r="E584" s="13" t="str">
        <f>IFERROR(__xludf.DUMMYFUNCTION("""COMPUTED_VALUE"""),"Group 3")</f>
        <v>Group 3</v>
      </c>
      <c r="F584" s="13" t="str">
        <f>IFERROR(__xludf.DUMMYFUNCTION("""COMPUTED_VALUE"""),"2024 - 2025")</f>
        <v>2024 - 2025</v>
      </c>
      <c r="G584" s="13" t="str">
        <f>IFERROR(__xludf.DUMMYFUNCTION("""COMPUTED_VALUE"""),"2023 - 2024")</f>
        <v>2023 - 2024</v>
      </c>
      <c r="H584" s="13">
        <f>IFERROR(__xludf.DUMMYFUNCTION("""COMPUTED_VALUE"""),40.46)</f>
        <v>40.46</v>
      </c>
      <c r="I584" s="15">
        <f>IFERROR(__xludf.DUMMYFUNCTION("""COMPUTED_VALUE"""),59.54)</f>
        <v>59.54</v>
      </c>
    </row>
    <row r="585">
      <c r="A585" s="13" t="str">
        <f>IFERROR(__xludf.DUMMYFUNCTION("""COMPUTED_VALUE"""),"0910")</f>
        <v>0910</v>
      </c>
      <c r="B585" s="13" t="str">
        <f>IFERROR(__xludf.DUMMYFUNCTION("""COMPUTED_VALUE"""),"EAGLE COUNTY RE 50")</f>
        <v>EAGLE COUNTY RE 50</v>
      </c>
      <c r="C585" s="14" t="str">
        <f>IFERROR(__xludf.DUMMYFUNCTION("""COMPUTED_VALUE"""),"00038")</f>
        <v>00038</v>
      </c>
      <c r="D585" s="13" t="str">
        <f>IFERROR(__xludf.DUMMYFUNCTION("""COMPUTED_VALUE"""),"BRUSH CREEK ELEMENTARY SCHOOL")</f>
        <v>BRUSH CREEK ELEMENTARY SCHOOL</v>
      </c>
      <c r="E585" s="13" t="str">
        <f>IFERROR(__xludf.DUMMYFUNCTION("""COMPUTED_VALUE"""),"Group 1")</f>
        <v>Group 1</v>
      </c>
      <c r="F585" s="13" t="str">
        <f>IFERROR(__xludf.DUMMYFUNCTION("""COMPUTED_VALUE"""),"2024 - 2025")</f>
        <v>2024 - 2025</v>
      </c>
      <c r="G585" s="13" t="str">
        <f>IFERROR(__xludf.DUMMYFUNCTION("""COMPUTED_VALUE"""),"2023 - 2024")</f>
        <v>2023 - 2024</v>
      </c>
      <c r="H585" s="13">
        <f>IFERROR(__xludf.DUMMYFUNCTION("""COMPUTED_VALUE"""),41.12)</f>
        <v>41.12</v>
      </c>
      <c r="I585" s="15">
        <f>IFERROR(__xludf.DUMMYFUNCTION("""COMPUTED_VALUE"""),58.88)</f>
        <v>58.88</v>
      </c>
    </row>
    <row r="586">
      <c r="A586" s="13" t="str">
        <f>IFERROR(__xludf.DUMMYFUNCTION("""COMPUTED_VALUE"""),"0910")</f>
        <v>0910</v>
      </c>
      <c r="B586" s="13" t="str">
        <f>IFERROR(__xludf.DUMMYFUNCTION("""COMPUTED_VALUE"""),"EAGLE COUNTY RE 50")</f>
        <v>EAGLE COUNTY RE 50</v>
      </c>
      <c r="C586" s="14" t="str">
        <f>IFERROR(__xludf.DUMMYFUNCTION("""COMPUTED_VALUE"""),"00471")</f>
        <v>00471</v>
      </c>
      <c r="D586" s="13" t="str">
        <f>IFERROR(__xludf.DUMMYFUNCTION("""COMPUTED_VALUE"""),"AVON ELEMENTARY SCHOOL")</f>
        <v>AVON ELEMENTARY SCHOOL</v>
      </c>
      <c r="E586" s="13" t="str">
        <f>IFERROR(__xludf.DUMMYFUNCTION("""COMPUTED_VALUE"""),"Group 1")</f>
        <v>Group 1</v>
      </c>
      <c r="F586" s="13" t="str">
        <f>IFERROR(__xludf.DUMMYFUNCTION("""COMPUTED_VALUE"""),"2024 - 2025")</f>
        <v>2024 - 2025</v>
      </c>
      <c r="G586" s="13" t="str">
        <f>IFERROR(__xludf.DUMMYFUNCTION("""COMPUTED_VALUE"""),"2023 - 2024")</f>
        <v>2023 - 2024</v>
      </c>
      <c r="H586" s="13">
        <f>IFERROR(__xludf.DUMMYFUNCTION("""COMPUTED_VALUE"""),41.12)</f>
        <v>41.12</v>
      </c>
      <c r="I586" s="15">
        <f>IFERROR(__xludf.DUMMYFUNCTION("""COMPUTED_VALUE"""),58.88)</f>
        <v>58.88</v>
      </c>
    </row>
    <row r="587">
      <c r="A587" s="13" t="str">
        <f>IFERROR(__xludf.DUMMYFUNCTION("""COMPUTED_VALUE"""),"0910")</f>
        <v>0910</v>
      </c>
      <c r="B587" s="13" t="str">
        <f>IFERROR(__xludf.DUMMYFUNCTION("""COMPUTED_VALUE"""),"EAGLE COUNTY RE 50")</f>
        <v>EAGLE COUNTY RE 50</v>
      </c>
      <c r="C587" s="14" t="str">
        <f>IFERROR(__xludf.DUMMYFUNCTION("""COMPUTED_VALUE"""),"00793")</f>
        <v>00793</v>
      </c>
      <c r="D587" s="13" t="str">
        <f>IFERROR(__xludf.DUMMYFUNCTION("""COMPUTED_VALUE"""),"BERRY CREEK MIDDLE SCHOOL")</f>
        <v>BERRY CREEK MIDDLE SCHOOL</v>
      </c>
      <c r="E587" s="13" t="str">
        <f>IFERROR(__xludf.DUMMYFUNCTION("""COMPUTED_VALUE"""),"Group 1")</f>
        <v>Group 1</v>
      </c>
      <c r="F587" s="13" t="str">
        <f>IFERROR(__xludf.DUMMYFUNCTION("""COMPUTED_VALUE"""),"2024 - 2025")</f>
        <v>2024 - 2025</v>
      </c>
      <c r="G587" s="13" t="str">
        <f>IFERROR(__xludf.DUMMYFUNCTION("""COMPUTED_VALUE"""),"2023 - 2024")</f>
        <v>2023 - 2024</v>
      </c>
      <c r="H587" s="13">
        <f>IFERROR(__xludf.DUMMYFUNCTION("""COMPUTED_VALUE"""),41.12)</f>
        <v>41.12</v>
      </c>
      <c r="I587" s="15">
        <f>IFERROR(__xludf.DUMMYFUNCTION("""COMPUTED_VALUE"""),58.88)</f>
        <v>58.88</v>
      </c>
    </row>
    <row r="588">
      <c r="A588" s="13" t="str">
        <f>IFERROR(__xludf.DUMMYFUNCTION("""COMPUTED_VALUE"""),"0910")</f>
        <v>0910</v>
      </c>
      <c r="B588" s="13" t="str">
        <f>IFERROR(__xludf.DUMMYFUNCTION("""COMPUTED_VALUE"""),"EAGLE COUNTY RE 50")</f>
        <v>EAGLE COUNTY RE 50</v>
      </c>
      <c r="C588" s="14" t="str">
        <f>IFERROR(__xludf.DUMMYFUNCTION("""COMPUTED_VALUE"""),"00479")</f>
        <v>00479</v>
      </c>
      <c r="D588" s="13" t="str">
        <f>IFERROR(__xludf.DUMMYFUNCTION("""COMPUTED_VALUE"""),"Edwards Early Learning Center")</f>
        <v>Edwards Early Learning Center</v>
      </c>
      <c r="E588" s="13" t="str">
        <f>IFERROR(__xludf.DUMMYFUNCTION("""COMPUTED_VALUE"""),"Group 2")</f>
        <v>Group 2</v>
      </c>
      <c r="F588" s="13" t="str">
        <f>IFERROR(__xludf.DUMMYFUNCTION("""COMPUTED_VALUE"""),"2024 - 2025")</f>
        <v>2024 - 2025</v>
      </c>
      <c r="G588" s="13" t="str">
        <f>IFERROR(__xludf.DUMMYFUNCTION("""COMPUTED_VALUE"""),"2023 - 2024")</f>
        <v>2023 - 2024</v>
      </c>
      <c r="H588" s="13">
        <f>IFERROR(__xludf.DUMMYFUNCTION("""COMPUTED_VALUE"""),76.53)</f>
        <v>76.53</v>
      </c>
      <c r="I588" s="15">
        <f>IFERROR(__xludf.DUMMYFUNCTION("""COMPUTED_VALUE"""),23.47)</f>
        <v>23.47</v>
      </c>
    </row>
    <row r="589">
      <c r="A589" s="13" t="str">
        <f>IFERROR(__xludf.DUMMYFUNCTION("""COMPUTED_VALUE"""),"0910")</f>
        <v>0910</v>
      </c>
      <c r="B589" s="13" t="str">
        <f>IFERROR(__xludf.DUMMYFUNCTION("""COMPUTED_VALUE"""),"EAGLE COUNTY RE 50")</f>
        <v>EAGLE COUNTY RE 50</v>
      </c>
      <c r="C589" s="14" t="str">
        <f>IFERROR(__xludf.DUMMYFUNCTION("""COMPUTED_VALUE"""),"02346")</f>
        <v>02346</v>
      </c>
      <c r="D589" s="13" t="str">
        <f>IFERROR(__xludf.DUMMYFUNCTION("""COMPUTED_VALUE"""),"EAGLE VALLEY ELEMENTARY SCHOOL")</f>
        <v>EAGLE VALLEY ELEMENTARY SCHOOL</v>
      </c>
      <c r="E589" s="13" t="str">
        <f>IFERROR(__xludf.DUMMYFUNCTION("""COMPUTED_VALUE"""),"Group 3")</f>
        <v>Group 3</v>
      </c>
      <c r="F589" s="13" t="str">
        <f>IFERROR(__xludf.DUMMYFUNCTION("""COMPUTED_VALUE"""),"2024 - 2025")</f>
        <v>2024 - 2025</v>
      </c>
      <c r="G589" s="13" t="str">
        <f>IFERROR(__xludf.DUMMYFUNCTION("""COMPUTED_VALUE"""),"2023 - 2024")</f>
        <v>2023 - 2024</v>
      </c>
      <c r="H589" s="13">
        <f>IFERROR(__xludf.DUMMYFUNCTION("""COMPUTED_VALUE"""),41.42)</f>
        <v>41.42</v>
      </c>
      <c r="I589" s="15">
        <f>IFERROR(__xludf.DUMMYFUNCTION("""COMPUTED_VALUE"""),58.58)</f>
        <v>58.58</v>
      </c>
    </row>
    <row r="590">
      <c r="A590" s="13" t="str">
        <f>IFERROR(__xludf.DUMMYFUNCTION("""COMPUTED_VALUE"""),"0930")</f>
        <v>0930</v>
      </c>
      <c r="B590" s="13" t="str">
        <f>IFERROR(__xludf.DUMMYFUNCTION("""COMPUTED_VALUE"""),"KIOWA C-2")</f>
        <v>KIOWA C-2</v>
      </c>
      <c r="C590" s="14" t="str">
        <f>IFERROR(__xludf.DUMMYFUNCTION("""COMPUTED_VALUE"""),"04724")</f>
        <v>04724</v>
      </c>
      <c r="D590" s="13" t="str">
        <f>IFERROR(__xludf.DUMMYFUNCTION("""COMPUTED_VALUE"""),"KIOWA ELEMENTARY SCHOOL")</f>
        <v>KIOWA ELEMENTARY SCHOOL</v>
      </c>
      <c r="E590" s="13" t="str">
        <f>IFERROR(__xludf.DUMMYFUNCTION("""COMPUTED_VALUE"""),"Group 1")</f>
        <v>Group 1</v>
      </c>
      <c r="F590" s="13" t="str">
        <f>IFERROR(__xludf.DUMMYFUNCTION("""COMPUTED_VALUE"""),"2024 - 2025")</f>
        <v>2024 - 2025</v>
      </c>
      <c r="G590" s="13" t="str">
        <f>IFERROR(__xludf.DUMMYFUNCTION("""COMPUTED_VALUE"""),"2023 - 2024")</f>
        <v>2023 - 2024</v>
      </c>
      <c r="H590" s="13">
        <f>IFERROR(__xludf.DUMMYFUNCTION("""COMPUTED_VALUE"""),50.96)</f>
        <v>50.96</v>
      </c>
      <c r="I590" s="15">
        <f>IFERROR(__xludf.DUMMYFUNCTION("""COMPUTED_VALUE"""),49.04)</f>
        <v>49.04</v>
      </c>
    </row>
    <row r="591">
      <c r="A591" s="13" t="str">
        <f>IFERROR(__xludf.DUMMYFUNCTION("""COMPUTED_VALUE"""),"0930")</f>
        <v>0930</v>
      </c>
      <c r="B591" s="13" t="str">
        <f>IFERROR(__xludf.DUMMYFUNCTION("""COMPUTED_VALUE"""),"KIOWA C-2")</f>
        <v>KIOWA C-2</v>
      </c>
      <c r="C591" s="14" t="str">
        <f>IFERROR(__xludf.DUMMYFUNCTION("""COMPUTED_VALUE"""),"04726")</f>
        <v>04726</v>
      </c>
      <c r="D591" s="13" t="str">
        <f>IFERROR(__xludf.DUMMYFUNCTION("""COMPUTED_VALUE"""),"KIOWA MIDDLE SCHOOL")</f>
        <v>KIOWA MIDDLE SCHOOL</v>
      </c>
      <c r="E591" s="13" t="str">
        <f>IFERROR(__xludf.DUMMYFUNCTION("""COMPUTED_VALUE"""),"Group 1")</f>
        <v>Group 1</v>
      </c>
      <c r="F591" s="13" t="str">
        <f>IFERROR(__xludf.DUMMYFUNCTION("""COMPUTED_VALUE"""),"2024 - 2025")</f>
        <v>2024 - 2025</v>
      </c>
      <c r="G591" s="13" t="str">
        <f>IFERROR(__xludf.DUMMYFUNCTION("""COMPUTED_VALUE"""),"2023 - 2024")</f>
        <v>2023 - 2024</v>
      </c>
      <c r="H591" s="13">
        <f>IFERROR(__xludf.DUMMYFUNCTION("""COMPUTED_VALUE"""),50.96)</f>
        <v>50.96</v>
      </c>
      <c r="I591" s="15">
        <f>IFERROR(__xludf.DUMMYFUNCTION("""COMPUTED_VALUE"""),49.04)</f>
        <v>49.04</v>
      </c>
    </row>
    <row r="592">
      <c r="A592" s="13" t="str">
        <f>IFERROR(__xludf.DUMMYFUNCTION("""COMPUTED_VALUE"""),"0930")</f>
        <v>0930</v>
      </c>
      <c r="B592" s="13" t="str">
        <f>IFERROR(__xludf.DUMMYFUNCTION("""COMPUTED_VALUE"""),"KIOWA C-2")</f>
        <v>KIOWA C-2</v>
      </c>
      <c r="C592" s="14" t="str">
        <f>IFERROR(__xludf.DUMMYFUNCTION("""COMPUTED_VALUE"""),"04728")</f>
        <v>04728</v>
      </c>
      <c r="D592" s="13" t="str">
        <f>IFERROR(__xludf.DUMMYFUNCTION("""COMPUTED_VALUE"""),"KIOWA HIGH SCHOOL")</f>
        <v>KIOWA HIGH SCHOOL</v>
      </c>
      <c r="E592" s="13" t="str">
        <f>IFERROR(__xludf.DUMMYFUNCTION("""COMPUTED_VALUE"""),"Group 1")</f>
        <v>Group 1</v>
      </c>
      <c r="F592" s="13" t="str">
        <f>IFERROR(__xludf.DUMMYFUNCTION("""COMPUTED_VALUE"""),"2024 - 2025")</f>
        <v>2024 - 2025</v>
      </c>
      <c r="G592" s="13" t="str">
        <f>IFERROR(__xludf.DUMMYFUNCTION("""COMPUTED_VALUE"""),"2023 - 2024")</f>
        <v>2023 - 2024</v>
      </c>
      <c r="H592" s="13">
        <f>IFERROR(__xludf.DUMMYFUNCTION("""COMPUTED_VALUE"""),50.96)</f>
        <v>50.96</v>
      </c>
      <c r="I592" s="15">
        <f>IFERROR(__xludf.DUMMYFUNCTION("""COMPUTED_VALUE"""),49.04)</f>
        <v>49.04</v>
      </c>
    </row>
    <row r="593">
      <c r="A593" s="13" t="str">
        <f>IFERROR(__xludf.DUMMYFUNCTION("""COMPUTED_VALUE"""),"0960")</f>
        <v>0960</v>
      </c>
      <c r="B593" s="13" t="str">
        <f>IFERROR(__xludf.DUMMYFUNCTION("""COMPUTED_VALUE"""),"AGATE 300")</f>
        <v>AGATE 300</v>
      </c>
      <c r="C593" s="14" t="str">
        <f>IFERROR(__xludf.DUMMYFUNCTION("""COMPUTED_VALUE"""),"00048")</f>
        <v>00048</v>
      </c>
      <c r="D593" s="13" t="str">
        <f>IFERROR(__xludf.DUMMYFUNCTION("""COMPUTED_VALUE"""),"AGATE JUNIOR-SENIOR HIGH SCHOOL")</f>
        <v>AGATE JUNIOR-SENIOR HIGH SCHOOL</v>
      </c>
      <c r="E593" s="13" t="str">
        <f>IFERROR(__xludf.DUMMYFUNCTION("""COMPUTED_VALUE"""),"Group 1")</f>
        <v>Group 1</v>
      </c>
      <c r="F593" s="13" t="str">
        <f>IFERROR(__xludf.DUMMYFUNCTION("""COMPUTED_VALUE"""),"2024 - 2025")</f>
        <v>2024 - 2025</v>
      </c>
      <c r="G593" s="13" t="str">
        <f>IFERROR(__xludf.DUMMYFUNCTION("""COMPUTED_VALUE"""),"2023 - 2024")</f>
        <v>2023 - 2024</v>
      </c>
      <c r="H593" s="13">
        <f>IFERROR(__xludf.DUMMYFUNCTION("""COMPUTED_VALUE"""),63.02)</f>
        <v>63.02</v>
      </c>
      <c r="I593" s="15">
        <f>IFERROR(__xludf.DUMMYFUNCTION("""COMPUTED_VALUE"""),36.98)</f>
        <v>36.98</v>
      </c>
    </row>
    <row r="594">
      <c r="A594" s="13" t="str">
        <f>IFERROR(__xludf.DUMMYFUNCTION("""COMPUTED_VALUE"""),"0960")</f>
        <v>0960</v>
      </c>
      <c r="B594" s="13" t="str">
        <f>IFERROR(__xludf.DUMMYFUNCTION("""COMPUTED_VALUE"""),"AGATE 300")</f>
        <v>AGATE 300</v>
      </c>
      <c r="C594" s="14" t="str">
        <f>IFERROR(__xludf.DUMMYFUNCTION("""COMPUTED_VALUE"""),"00044")</f>
        <v>00044</v>
      </c>
      <c r="D594" s="13" t="str">
        <f>IFERROR(__xludf.DUMMYFUNCTION("""COMPUTED_VALUE"""),"AGATE ELEMENTARY SCHOOL")</f>
        <v>AGATE ELEMENTARY SCHOOL</v>
      </c>
      <c r="E594" s="13" t="str">
        <f>IFERROR(__xludf.DUMMYFUNCTION("""COMPUTED_VALUE"""),"Group 2")</f>
        <v>Group 2</v>
      </c>
      <c r="F594" s="13" t="str">
        <f>IFERROR(__xludf.DUMMYFUNCTION("""COMPUTED_VALUE"""),"2024 - 2025")</f>
        <v>2024 - 2025</v>
      </c>
      <c r="G594" s="13" t="str">
        <f>IFERROR(__xludf.DUMMYFUNCTION("""COMPUTED_VALUE"""),"2023 - 2024")</f>
        <v>2023 - 2024</v>
      </c>
      <c r="H594" s="13">
        <f>IFERROR(__xludf.DUMMYFUNCTION("""COMPUTED_VALUE"""),88.51)</f>
        <v>88.51</v>
      </c>
      <c r="I594" s="15">
        <f>IFERROR(__xludf.DUMMYFUNCTION("""COMPUTED_VALUE"""),11.489999999999995)</f>
        <v>11.49</v>
      </c>
    </row>
    <row r="595">
      <c r="A595" s="13" t="str">
        <f>IFERROR(__xludf.DUMMYFUNCTION("""COMPUTED_VALUE"""),"0970")</f>
        <v>0970</v>
      </c>
      <c r="B595" s="13" t="str">
        <f>IFERROR(__xludf.DUMMYFUNCTION("""COMPUTED_VALUE"""),"CALHAN RJ-1")</f>
        <v>CALHAN RJ-1</v>
      </c>
      <c r="C595" s="14" t="str">
        <f>IFERROR(__xludf.DUMMYFUNCTION("""COMPUTED_VALUE"""),"01210")</f>
        <v>01210</v>
      </c>
      <c r="D595" s="13" t="str">
        <f>IFERROR(__xludf.DUMMYFUNCTION("""COMPUTED_VALUE"""),"CALHAN ELEMENTARY SCHOOL")</f>
        <v>CALHAN ELEMENTARY SCHOOL</v>
      </c>
      <c r="E595" s="13" t="str">
        <f>IFERROR(__xludf.DUMMYFUNCTION("""COMPUTED_VALUE"""),"Group 1")</f>
        <v>Group 1</v>
      </c>
      <c r="F595" s="13" t="str">
        <f>IFERROR(__xludf.DUMMYFUNCTION("""COMPUTED_VALUE"""),"2024 - 2025")</f>
        <v>2024 - 2025</v>
      </c>
      <c r="G595" s="13" t="str">
        <f>IFERROR(__xludf.DUMMYFUNCTION("""COMPUTED_VALUE"""),"2023 - 2024")</f>
        <v>2023 - 2024</v>
      </c>
      <c r="H595" s="13">
        <f>IFERROR(__xludf.DUMMYFUNCTION("""COMPUTED_VALUE"""),85.23)</f>
        <v>85.23</v>
      </c>
      <c r="I595" s="15">
        <f>IFERROR(__xludf.DUMMYFUNCTION("""COMPUTED_VALUE"""),14.769999999999996)</f>
        <v>14.77</v>
      </c>
    </row>
    <row r="596">
      <c r="A596" s="13" t="str">
        <f>IFERROR(__xludf.DUMMYFUNCTION("""COMPUTED_VALUE"""),"0970")</f>
        <v>0970</v>
      </c>
      <c r="B596" s="13" t="str">
        <f>IFERROR(__xludf.DUMMYFUNCTION("""COMPUTED_VALUE"""),"CALHAN RJ-1")</f>
        <v>CALHAN RJ-1</v>
      </c>
      <c r="C596" s="14" t="str">
        <f>IFERROR(__xludf.DUMMYFUNCTION("""COMPUTED_VALUE"""),"01218")</f>
        <v>01218</v>
      </c>
      <c r="D596" s="13" t="str">
        <f>IFERROR(__xludf.DUMMYFUNCTION("""COMPUTED_VALUE"""),"CALHAN SECONDARY SCHOOL")</f>
        <v>CALHAN SECONDARY SCHOOL</v>
      </c>
      <c r="E596" s="13" t="str">
        <f>IFERROR(__xludf.DUMMYFUNCTION("""COMPUTED_VALUE"""),"Group 2")</f>
        <v>Group 2</v>
      </c>
      <c r="F596" s="13" t="str">
        <f>IFERROR(__xludf.DUMMYFUNCTION("""COMPUTED_VALUE"""),"2024 - 2025")</f>
        <v>2024 - 2025</v>
      </c>
      <c r="G596" s="13" t="str">
        <f>IFERROR(__xludf.DUMMYFUNCTION("""COMPUTED_VALUE"""),"2023 - 2024")</f>
        <v>2023 - 2024</v>
      </c>
      <c r="H596" s="13">
        <f>IFERROR(__xludf.DUMMYFUNCTION("""COMPUTED_VALUE"""),75.95)</f>
        <v>75.95</v>
      </c>
      <c r="I596" s="15">
        <f>IFERROR(__xludf.DUMMYFUNCTION("""COMPUTED_VALUE"""),24.049999999999997)</f>
        <v>24.05</v>
      </c>
    </row>
    <row r="597">
      <c r="A597" s="13" t="str">
        <f>IFERROR(__xludf.DUMMYFUNCTION("""COMPUTED_VALUE"""),"0980")</f>
        <v>0980</v>
      </c>
      <c r="B597" s="13" t="str">
        <f>IFERROR(__xludf.DUMMYFUNCTION("""COMPUTED_VALUE"""),"HARRISON 2")</f>
        <v>HARRISON 2</v>
      </c>
      <c r="C597" s="14" t="str">
        <f>IFERROR(__xludf.DUMMYFUNCTION("""COMPUTED_VALUE"""),"01000")</f>
        <v>01000</v>
      </c>
      <c r="D597" s="13" t="str">
        <f>IFERROR(__xludf.DUMMYFUNCTION("""COMPUTED_VALUE"""),"BRICKER ELEMENTARY SCHOOL")</f>
        <v>BRICKER ELEMENTARY SCHOOL</v>
      </c>
      <c r="E597" s="13" t="str">
        <f>IFERROR(__xludf.DUMMYFUNCTION("""COMPUTED_VALUE"""),"Group 1")</f>
        <v>Group 1</v>
      </c>
      <c r="F597" s="13" t="str">
        <f>IFERROR(__xludf.DUMMYFUNCTION("""COMPUTED_VALUE"""),"2024 - 2025")</f>
        <v>2024 - 2025</v>
      </c>
      <c r="G597" s="13" t="str">
        <f>IFERROR(__xludf.DUMMYFUNCTION("""COMPUTED_VALUE"""),"2023 - 2024")</f>
        <v>2023 - 2024</v>
      </c>
      <c r="H597" s="13">
        <f>IFERROR(__xludf.DUMMYFUNCTION("""COMPUTED_VALUE"""),100.0)</f>
        <v>100</v>
      </c>
      <c r="I597" s="15">
        <f>IFERROR(__xludf.DUMMYFUNCTION("""COMPUTED_VALUE"""),0.0)</f>
        <v>0</v>
      </c>
    </row>
    <row r="598">
      <c r="A598" s="13" t="str">
        <f>IFERROR(__xludf.DUMMYFUNCTION("""COMPUTED_VALUE"""),"0980")</f>
        <v>0980</v>
      </c>
      <c r="B598" s="13" t="str">
        <f>IFERROR(__xludf.DUMMYFUNCTION("""COMPUTED_VALUE"""),"HARRISON 2")</f>
        <v>HARRISON 2</v>
      </c>
      <c r="C598" s="14" t="str">
        <f>IFERROR(__xludf.DUMMYFUNCTION("""COMPUTED_VALUE"""),"03392")</f>
        <v>03392</v>
      </c>
      <c r="D598" s="13" t="str">
        <f>IFERROR(__xludf.DUMMYFUNCTION("""COMPUTED_VALUE"""),"GIBERSON ELEMENTARY SCHOOL")</f>
        <v>GIBERSON ELEMENTARY SCHOOL</v>
      </c>
      <c r="E598" s="13" t="str">
        <f>IFERROR(__xludf.DUMMYFUNCTION("""COMPUTED_VALUE"""),"Group 1")</f>
        <v>Group 1</v>
      </c>
      <c r="F598" s="13" t="str">
        <f>IFERROR(__xludf.DUMMYFUNCTION("""COMPUTED_VALUE"""),"2024 - 2025")</f>
        <v>2024 - 2025</v>
      </c>
      <c r="G598" s="13" t="str">
        <f>IFERROR(__xludf.DUMMYFUNCTION("""COMPUTED_VALUE"""),"2023 - 2024")</f>
        <v>2023 - 2024</v>
      </c>
      <c r="H598" s="13">
        <f>IFERROR(__xludf.DUMMYFUNCTION("""COMPUTED_VALUE"""),100.0)</f>
        <v>100</v>
      </c>
      <c r="I598" s="15">
        <f>IFERROR(__xludf.DUMMYFUNCTION("""COMPUTED_VALUE"""),0.0)</f>
        <v>0</v>
      </c>
    </row>
    <row r="599">
      <c r="A599" s="13" t="str">
        <f>IFERROR(__xludf.DUMMYFUNCTION("""COMPUTED_VALUE"""),"0980")</f>
        <v>0980</v>
      </c>
      <c r="B599" s="13" t="str">
        <f>IFERROR(__xludf.DUMMYFUNCTION("""COMPUTED_VALUE"""),"HARRISON 2")</f>
        <v>HARRISON 2</v>
      </c>
      <c r="C599" s="14" t="str">
        <f>IFERROR(__xludf.DUMMYFUNCTION("""COMPUTED_VALUE"""),"03806")</f>
        <v>03806</v>
      </c>
      <c r="D599" s="13" t="str">
        <f>IFERROR(__xludf.DUMMYFUNCTION("""COMPUTED_VALUE"""),"HARRISON HIGH SCHOOL")</f>
        <v>HARRISON HIGH SCHOOL</v>
      </c>
      <c r="E599" s="13" t="str">
        <f>IFERROR(__xludf.DUMMYFUNCTION("""COMPUTED_VALUE"""),"Group 1")</f>
        <v>Group 1</v>
      </c>
      <c r="F599" s="13" t="str">
        <f>IFERROR(__xludf.DUMMYFUNCTION("""COMPUTED_VALUE"""),"2024 - 2025")</f>
        <v>2024 - 2025</v>
      </c>
      <c r="G599" s="13" t="str">
        <f>IFERROR(__xludf.DUMMYFUNCTION("""COMPUTED_VALUE"""),"2023 - 2024")</f>
        <v>2023 - 2024</v>
      </c>
      <c r="H599" s="13">
        <f>IFERROR(__xludf.DUMMYFUNCTION("""COMPUTED_VALUE"""),100.0)</f>
        <v>100</v>
      </c>
      <c r="I599" s="15">
        <f>IFERROR(__xludf.DUMMYFUNCTION("""COMPUTED_VALUE"""),0.0)</f>
        <v>0</v>
      </c>
    </row>
    <row r="600">
      <c r="A600" s="13" t="str">
        <f>IFERROR(__xludf.DUMMYFUNCTION("""COMPUTED_VALUE"""),"0980")</f>
        <v>0980</v>
      </c>
      <c r="B600" s="13" t="str">
        <f>IFERROR(__xludf.DUMMYFUNCTION("""COMPUTED_VALUE"""),"HARRISON 2")</f>
        <v>HARRISON 2</v>
      </c>
      <c r="C600" s="14" t="str">
        <f>IFERROR(__xludf.DUMMYFUNCTION("""COMPUTED_VALUE"""),"01306")</f>
        <v>01306</v>
      </c>
      <c r="D600" s="13" t="str">
        <f>IFERROR(__xludf.DUMMYFUNCTION("""COMPUTED_VALUE"""),"CARMEL MIDDLE SCHOOL")</f>
        <v>CARMEL MIDDLE SCHOOL</v>
      </c>
      <c r="E600" s="13" t="str">
        <f>IFERROR(__xludf.DUMMYFUNCTION("""COMPUTED_VALUE"""),"Group 2")</f>
        <v>Group 2</v>
      </c>
      <c r="F600" s="13" t="str">
        <f>IFERROR(__xludf.DUMMYFUNCTION("""COMPUTED_VALUE"""),"2024 - 2025")</f>
        <v>2024 - 2025</v>
      </c>
      <c r="G600" s="13" t="str">
        <f>IFERROR(__xludf.DUMMYFUNCTION("""COMPUTED_VALUE"""),"2023 - 2024")</f>
        <v>2023 - 2024</v>
      </c>
      <c r="H600" s="13">
        <f>IFERROR(__xludf.DUMMYFUNCTION("""COMPUTED_VALUE"""),100.0)</f>
        <v>100</v>
      </c>
      <c r="I600" s="15">
        <f>IFERROR(__xludf.DUMMYFUNCTION("""COMPUTED_VALUE"""),0.0)</f>
        <v>0</v>
      </c>
    </row>
    <row r="601">
      <c r="A601" s="13" t="str">
        <f>IFERROR(__xludf.DUMMYFUNCTION("""COMPUTED_VALUE"""),"0980")</f>
        <v>0980</v>
      </c>
      <c r="B601" s="13" t="str">
        <f>IFERROR(__xludf.DUMMYFUNCTION("""COMPUTED_VALUE"""),"HARRISON 2")</f>
        <v>HARRISON 2</v>
      </c>
      <c r="C601" s="14" t="str">
        <f>IFERROR(__xludf.DUMMYFUNCTION("""COMPUTED_VALUE"""),"06460")</f>
        <v>06460</v>
      </c>
      <c r="D601" s="13" t="str">
        <f>IFERROR(__xludf.DUMMYFUNCTION("""COMPUTED_VALUE"""),"OAK CREEK ELEMENTARY SCHOOL")</f>
        <v>OAK CREEK ELEMENTARY SCHOOL</v>
      </c>
      <c r="E601" s="13" t="str">
        <f>IFERROR(__xludf.DUMMYFUNCTION("""COMPUTED_VALUE"""),"Group 2")</f>
        <v>Group 2</v>
      </c>
      <c r="F601" s="13" t="str">
        <f>IFERROR(__xludf.DUMMYFUNCTION("""COMPUTED_VALUE"""),"2024 - 2025")</f>
        <v>2024 - 2025</v>
      </c>
      <c r="G601" s="13" t="str">
        <f>IFERROR(__xludf.DUMMYFUNCTION("""COMPUTED_VALUE"""),"2023 - 2024")</f>
        <v>2023 - 2024</v>
      </c>
      <c r="H601" s="13">
        <f>IFERROR(__xludf.DUMMYFUNCTION("""COMPUTED_VALUE"""),100.0)</f>
        <v>100</v>
      </c>
      <c r="I601" s="15">
        <f>IFERROR(__xludf.DUMMYFUNCTION("""COMPUTED_VALUE"""),0.0)</f>
        <v>0</v>
      </c>
    </row>
    <row r="602">
      <c r="A602" s="13" t="str">
        <f>IFERROR(__xludf.DUMMYFUNCTION("""COMPUTED_VALUE"""),"0980")</f>
        <v>0980</v>
      </c>
      <c r="B602" s="13" t="str">
        <f>IFERROR(__xludf.DUMMYFUNCTION("""COMPUTED_VALUE"""),"HARRISON 2")</f>
        <v>HARRISON 2</v>
      </c>
      <c r="C602" s="14" t="str">
        <f>IFERROR(__xludf.DUMMYFUNCTION("""COMPUTED_VALUE"""),"06578")</f>
        <v>06578</v>
      </c>
      <c r="D602" s="13" t="str">
        <f>IFERROR(__xludf.DUMMYFUNCTION("""COMPUTED_VALUE"""),"OTERO ELEMENTARY SCHOOL")</f>
        <v>OTERO ELEMENTARY SCHOOL</v>
      </c>
      <c r="E602" s="13" t="str">
        <f>IFERROR(__xludf.DUMMYFUNCTION("""COMPUTED_VALUE"""),"Group 2")</f>
        <v>Group 2</v>
      </c>
      <c r="F602" s="13" t="str">
        <f>IFERROR(__xludf.DUMMYFUNCTION("""COMPUTED_VALUE"""),"2024 - 2025")</f>
        <v>2024 - 2025</v>
      </c>
      <c r="G602" s="13" t="str">
        <f>IFERROR(__xludf.DUMMYFUNCTION("""COMPUTED_VALUE"""),"2023 - 2024")</f>
        <v>2023 - 2024</v>
      </c>
      <c r="H602" s="13">
        <f>IFERROR(__xludf.DUMMYFUNCTION("""COMPUTED_VALUE"""),100.0)</f>
        <v>100</v>
      </c>
      <c r="I602" s="15">
        <f>IFERROR(__xludf.DUMMYFUNCTION("""COMPUTED_VALUE"""),0.0)</f>
        <v>0</v>
      </c>
    </row>
    <row r="603">
      <c r="A603" s="13" t="str">
        <f>IFERROR(__xludf.DUMMYFUNCTION("""COMPUTED_VALUE"""),"0980")</f>
        <v>0980</v>
      </c>
      <c r="B603" s="13" t="str">
        <f>IFERROR(__xludf.DUMMYFUNCTION("""COMPUTED_VALUE"""),"HARRISON 2")</f>
        <v>HARRISON 2</v>
      </c>
      <c r="C603" s="14" t="str">
        <f>IFERROR(__xludf.DUMMYFUNCTION("""COMPUTED_VALUE"""),"08034")</f>
        <v>08034</v>
      </c>
      <c r="D603" s="13" t="str">
        <f>IFERROR(__xludf.DUMMYFUNCTION("""COMPUTED_VALUE"""),"SOARING EAGLES ELEMENTARY SCHOOL")</f>
        <v>SOARING EAGLES ELEMENTARY SCHOOL</v>
      </c>
      <c r="E603" s="13" t="str">
        <f>IFERROR(__xludf.DUMMYFUNCTION("""COMPUTED_VALUE"""),"Group 2")</f>
        <v>Group 2</v>
      </c>
      <c r="F603" s="13" t="str">
        <f>IFERROR(__xludf.DUMMYFUNCTION("""COMPUTED_VALUE"""),"2024 - 2025")</f>
        <v>2024 - 2025</v>
      </c>
      <c r="G603" s="13" t="str">
        <f>IFERROR(__xludf.DUMMYFUNCTION("""COMPUTED_VALUE"""),"2023 - 2024")</f>
        <v>2023 - 2024</v>
      </c>
      <c r="H603" s="13">
        <f>IFERROR(__xludf.DUMMYFUNCTION("""COMPUTED_VALUE"""),100.0)</f>
        <v>100</v>
      </c>
      <c r="I603" s="15">
        <f>IFERROR(__xludf.DUMMYFUNCTION("""COMPUTED_VALUE"""),0.0)</f>
        <v>0</v>
      </c>
    </row>
    <row r="604">
      <c r="A604" s="13" t="str">
        <f>IFERROR(__xludf.DUMMYFUNCTION("""COMPUTED_VALUE"""),"0980")</f>
        <v>0980</v>
      </c>
      <c r="B604" s="13" t="str">
        <f>IFERROR(__xludf.DUMMYFUNCTION("""COMPUTED_VALUE"""),"HARRISON 2")</f>
        <v>HARRISON 2</v>
      </c>
      <c r="C604" s="14" t="str">
        <f>IFERROR(__xludf.DUMMYFUNCTION("""COMPUTED_VALUE"""),"03522")</f>
        <v>03522</v>
      </c>
      <c r="D604" s="13" t="str">
        <f>IFERROR(__xludf.DUMMYFUNCTION("""COMPUTED_VALUE"""),"FOX MEADOW MIDDLE SCHOOL")</f>
        <v>FOX MEADOW MIDDLE SCHOOL</v>
      </c>
      <c r="E604" s="13" t="str">
        <f>IFERROR(__xludf.DUMMYFUNCTION("""COMPUTED_VALUE"""),"Group 3")</f>
        <v>Group 3</v>
      </c>
      <c r="F604" s="13" t="str">
        <f>IFERROR(__xludf.DUMMYFUNCTION("""COMPUTED_VALUE"""),"2024 - 2025")</f>
        <v>2024 - 2025</v>
      </c>
      <c r="G604" s="13" t="str">
        <f>IFERROR(__xludf.DUMMYFUNCTION("""COMPUTED_VALUE"""),"2023 - 2024")</f>
        <v>2023 - 2024</v>
      </c>
      <c r="H604" s="13">
        <f>IFERROR(__xludf.DUMMYFUNCTION("""COMPUTED_VALUE"""),100.0)</f>
        <v>100</v>
      </c>
      <c r="I604" s="15">
        <f>IFERROR(__xludf.DUMMYFUNCTION("""COMPUTED_VALUE"""),0.0)</f>
        <v>0</v>
      </c>
    </row>
    <row r="605">
      <c r="A605" s="13" t="str">
        <f>IFERROR(__xludf.DUMMYFUNCTION("""COMPUTED_VALUE"""),"0980")</f>
        <v>0980</v>
      </c>
      <c r="B605" s="13" t="str">
        <f>IFERROR(__xludf.DUMMYFUNCTION("""COMPUTED_VALUE"""),"HARRISON 2")</f>
        <v>HARRISON 2</v>
      </c>
      <c r="C605" s="14" t="str">
        <f>IFERROR(__xludf.DUMMYFUNCTION("""COMPUTED_VALUE"""),"01383")</f>
        <v>01383</v>
      </c>
      <c r="D605" s="13" t="str">
        <f>IFERROR(__xludf.DUMMYFUNCTION("""COMPUTED_VALUE"""),"CENTENNIAL ELEMENTARY SCHOOL")</f>
        <v>CENTENNIAL ELEMENTARY SCHOOL</v>
      </c>
      <c r="E605" s="13" t="str">
        <f>IFERROR(__xludf.DUMMYFUNCTION("""COMPUTED_VALUE"""),"Group 3")</f>
        <v>Group 3</v>
      </c>
      <c r="F605" s="13" t="str">
        <f>IFERROR(__xludf.DUMMYFUNCTION("""COMPUTED_VALUE"""),"2024 - 2025")</f>
        <v>2024 - 2025</v>
      </c>
      <c r="G605" s="13" t="str">
        <f>IFERROR(__xludf.DUMMYFUNCTION("""COMPUTED_VALUE"""),"2023 - 2024")</f>
        <v>2023 - 2024</v>
      </c>
      <c r="H605" s="13">
        <f>IFERROR(__xludf.DUMMYFUNCTION("""COMPUTED_VALUE"""),100.0)</f>
        <v>100</v>
      </c>
      <c r="I605" s="15">
        <f>IFERROR(__xludf.DUMMYFUNCTION("""COMPUTED_VALUE"""),0.0)</f>
        <v>0</v>
      </c>
    </row>
    <row r="606">
      <c r="A606" s="13" t="str">
        <f>IFERROR(__xludf.DUMMYFUNCTION("""COMPUTED_VALUE"""),"0980")</f>
        <v>0980</v>
      </c>
      <c r="B606" s="13" t="str">
        <f>IFERROR(__xludf.DUMMYFUNCTION("""COMPUTED_VALUE"""),"HARRISON 2")</f>
        <v>HARRISON 2</v>
      </c>
      <c r="C606" s="14" t="str">
        <f>IFERROR(__xludf.DUMMYFUNCTION("""COMPUTED_VALUE"""),"07611")</f>
        <v>07611</v>
      </c>
      <c r="D606" s="13" t="str">
        <f>IFERROR(__xludf.DUMMYFUNCTION("""COMPUTED_VALUE"""),"SAND CREEK ELEMENTARY SCHOOL")</f>
        <v>SAND CREEK ELEMENTARY SCHOOL</v>
      </c>
      <c r="E606" s="13" t="str">
        <f>IFERROR(__xludf.DUMMYFUNCTION("""COMPUTED_VALUE"""),"Group 3")</f>
        <v>Group 3</v>
      </c>
      <c r="F606" s="13" t="str">
        <f>IFERROR(__xludf.DUMMYFUNCTION("""COMPUTED_VALUE"""),"2024 - 2025")</f>
        <v>2024 - 2025</v>
      </c>
      <c r="G606" s="13" t="str">
        <f>IFERROR(__xludf.DUMMYFUNCTION("""COMPUTED_VALUE"""),"2023 - 2024")</f>
        <v>2023 - 2024</v>
      </c>
      <c r="H606" s="13">
        <f>IFERROR(__xludf.DUMMYFUNCTION("""COMPUTED_VALUE"""),100.0)</f>
        <v>100</v>
      </c>
      <c r="I606" s="15">
        <f>IFERROR(__xludf.DUMMYFUNCTION("""COMPUTED_VALUE"""),0.0)</f>
        <v>0</v>
      </c>
    </row>
    <row r="607">
      <c r="A607" s="13" t="str">
        <f>IFERROR(__xludf.DUMMYFUNCTION("""COMPUTED_VALUE"""),"0980")</f>
        <v>0980</v>
      </c>
      <c r="B607" s="13" t="str">
        <f>IFERROR(__xludf.DUMMYFUNCTION("""COMPUTED_VALUE"""),"HARRISON 2")</f>
        <v>HARRISON 2</v>
      </c>
      <c r="C607" s="14" t="str">
        <f>IFERROR(__xludf.DUMMYFUNCTION("""COMPUTED_VALUE"""),"06218")</f>
        <v>06218</v>
      </c>
      <c r="D607" s="13" t="str">
        <f>IFERROR(__xludf.DUMMYFUNCTION("""COMPUTED_VALUE"""),"PIKES PEAK BOCES NEEDS PROGRAM")</f>
        <v>PIKES PEAK BOCES NEEDS PROGRAM</v>
      </c>
      <c r="E607" s="13" t="str">
        <f>IFERROR(__xludf.DUMMYFUNCTION("""COMPUTED_VALUE"""),"Group 3")</f>
        <v>Group 3</v>
      </c>
      <c r="F607" s="13" t="str">
        <f>IFERROR(__xludf.DUMMYFUNCTION("""COMPUTED_VALUE"""),"2024 - 2025")</f>
        <v>2024 - 2025</v>
      </c>
      <c r="G607" s="13" t="str">
        <f>IFERROR(__xludf.DUMMYFUNCTION("""COMPUTED_VALUE"""),"2023 - 2024")</f>
        <v>2023 - 2024</v>
      </c>
      <c r="H607" s="13">
        <f>IFERROR(__xludf.DUMMYFUNCTION("""COMPUTED_VALUE"""),100.0)</f>
        <v>100</v>
      </c>
      <c r="I607" s="15">
        <f>IFERROR(__xludf.DUMMYFUNCTION("""COMPUTED_VALUE"""),0.0)</f>
        <v>0</v>
      </c>
    </row>
    <row r="608">
      <c r="A608" s="13" t="str">
        <f>IFERROR(__xludf.DUMMYFUNCTION("""COMPUTED_VALUE"""),"0980")</f>
        <v>0980</v>
      </c>
      <c r="B608" s="13" t="str">
        <f>IFERROR(__xludf.DUMMYFUNCTION("""COMPUTED_VALUE"""),"HARRISON 2")</f>
        <v>HARRISON 2</v>
      </c>
      <c r="C608" s="14" t="str">
        <f>IFERROR(__xludf.DUMMYFUNCTION("""COMPUTED_VALUE"""),"09602")</f>
        <v>09602</v>
      </c>
      <c r="D608" s="13" t="str">
        <f>IFERROR(__xludf.DUMMYFUNCTION("""COMPUTED_VALUE"""),"WILDFLOWER ELEMENTARY SCHOOL")</f>
        <v>WILDFLOWER ELEMENTARY SCHOOL</v>
      </c>
      <c r="E608" s="13" t="str">
        <f>IFERROR(__xludf.DUMMYFUNCTION("""COMPUTED_VALUE"""),"Group 4")</f>
        <v>Group 4</v>
      </c>
      <c r="F608" s="13" t="str">
        <f>IFERROR(__xludf.DUMMYFUNCTION("""COMPUTED_VALUE"""),"2024 - 2025")</f>
        <v>2024 - 2025</v>
      </c>
      <c r="G608" s="13" t="str">
        <f>IFERROR(__xludf.DUMMYFUNCTION("""COMPUTED_VALUE"""),"2023 - 2024")</f>
        <v>2023 - 2024</v>
      </c>
      <c r="H608" s="13">
        <f>IFERROR(__xludf.DUMMYFUNCTION("""COMPUTED_VALUE"""),100.0)</f>
        <v>100</v>
      </c>
      <c r="I608" s="15">
        <f>IFERROR(__xludf.DUMMYFUNCTION("""COMPUTED_VALUE"""),0.0)</f>
        <v>0</v>
      </c>
    </row>
    <row r="609">
      <c r="A609" s="13" t="str">
        <f>IFERROR(__xludf.DUMMYFUNCTION("""COMPUTED_VALUE"""),"0980")</f>
        <v>0980</v>
      </c>
      <c r="B609" s="13" t="str">
        <f>IFERROR(__xludf.DUMMYFUNCTION("""COMPUTED_VALUE"""),"HARRISON 2")</f>
        <v>HARRISON 2</v>
      </c>
      <c r="C609" s="14" t="str">
        <f>IFERROR(__xludf.DUMMYFUNCTION("""COMPUTED_VALUE"""),"06018")</f>
        <v>06018</v>
      </c>
      <c r="D609" s="13" t="str">
        <f>IFERROR(__xludf.DUMMYFUNCTION("""COMPUTED_VALUE"""),"MONTEREY ELEMENTARY SCHOOL")</f>
        <v>MONTEREY ELEMENTARY SCHOOL</v>
      </c>
      <c r="E609" s="13" t="str">
        <f>IFERROR(__xludf.DUMMYFUNCTION("""COMPUTED_VALUE"""),"Group 5")</f>
        <v>Group 5</v>
      </c>
      <c r="F609" s="13" t="str">
        <f>IFERROR(__xludf.DUMMYFUNCTION("""COMPUTED_VALUE"""),"2024 - 2025")</f>
        <v>2024 - 2025</v>
      </c>
      <c r="G609" s="13" t="str">
        <f>IFERROR(__xludf.DUMMYFUNCTION("""COMPUTED_VALUE"""),"2023 - 2024")</f>
        <v>2023 - 2024</v>
      </c>
      <c r="H609" s="13">
        <f>IFERROR(__xludf.DUMMYFUNCTION("""COMPUTED_VALUE"""),100.0)</f>
        <v>100</v>
      </c>
      <c r="I609" s="15">
        <f>IFERROR(__xludf.DUMMYFUNCTION("""COMPUTED_VALUE"""),0.0)</f>
        <v>0</v>
      </c>
    </row>
    <row r="610">
      <c r="A610" s="13" t="str">
        <f>IFERROR(__xludf.DUMMYFUNCTION("""COMPUTED_VALUE"""),"0980")</f>
        <v>0980</v>
      </c>
      <c r="B610" s="13" t="str">
        <f>IFERROR(__xludf.DUMMYFUNCTION("""COMPUTED_VALUE"""),"HARRISON 2")</f>
        <v>HARRISON 2</v>
      </c>
      <c r="C610" s="14" t="str">
        <f>IFERROR(__xludf.DUMMYFUNCTION("""COMPUTED_VALUE"""),"03870")</f>
        <v>03870</v>
      </c>
      <c r="D610" s="13" t="str">
        <f>IFERROR(__xludf.DUMMYFUNCTION("""COMPUTED_VALUE"""),"CAREER READINESS ACADEMY")</f>
        <v>CAREER READINESS ACADEMY</v>
      </c>
      <c r="E610" s="13" t="str">
        <f>IFERROR(__xludf.DUMMYFUNCTION("""COMPUTED_VALUE"""),"Group 6")</f>
        <v>Group 6</v>
      </c>
      <c r="F610" s="13" t="str">
        <f>IFERROR(__xludf.DUMMYFUNCTION("""COMPUTED_VALUE"""),"2024 - 2025")</f>
        <v>2024 - 2025</v>
      </c>
      <c r="G610" s="13" t="str">
        <f>IFERROR(__xludf.DUMMYFUNCTION("""COMPUTED_VALUE"""),"2023 - 2024")</f>
        <v>2023 - 2024</v>
      </c>
      <c r="H610" s="13">
        <f>IFERROR(__xludf.DUMMYFUNCTION("""COMPUTED_VALUE"""),56.11)</f>
        <v>56.11</v>
      </c>
      <c r="I610" s="15">
        <f>IFERROR(__xludf.DUMMYFUNCTION("""COMPUTED_VALUE"""),43.89)</f>
        <v>43.89</v>
      </c>
    </row>
    <row r="611">
      <c r="A611" s="13" t="str">
        <f>IFERROR(__xludf.DUMMYFUNCTION("""COMPUTED_VALUE"""),"0980")</f>
        <v>0980</v>
      </c>
      <c r="B611" s="13" t="str">
        <f>IFERROR(__xludf.DUMMYFUNCTION("""COMPUTED_VALUE"""),"HARRISON 2")</f>
        <v>HARRISON 2</v>
      </c>
      <c r="C611" s="14" t="str">
        <f>IFERROR(__xludf.DUMMYFUNCTION("""COMPUTED_VALUE"""),"05763")</f>
        <v>05763</v>
      </c>
      <c r="D611" s="13" t="str">
        <f>IFERROR(__xludf.DUMMYFUNCTION("""COMPUTED_VALUE"""),"MOUNTAIN VISTA HOMESCHOOL ACADEMY")</f>
        <v>MOUNTAIN VISTA HOMESCHOOL ACADEMY</v>
      </c>
      <c r="E611" s="13" t="str">
        <f>IFERROR(__xludf.DUMMYFUNCTION("""COMPUTED_VALUE"""),"Group 6")</f>
        <v>Group 6</v>
      </c>
      <c r="F611" s="13" t="str">
        <f>IFERROR(__xludf.DUMMYFUNCTION("""COMPUTED_VALUE"""),"2024 - 2025")</f>
        <v>2024 - 2025</v>
      </c>
      <c r="G611" s="13" t="str">
        <f>IFERROR(__xludf.DUMMYFUNCTION("""COMPUTED_VALUE"""),"2023 - 2024")</f>
        <v>2023 - 2024</v>
      </c>
      <c r="H611" s="13">
        <f>IFERROR(__xludf.DUMMYFUNCTION("""COMPUTED_VALUE"""),56.11)</f>
        <v>56.11</v>
      </c>
      <c r="I611" s="15">
        <f>IFERROR(__xludf.DUMMYFUNCTION("""COMPUTED_VALUE"""),43.89)</f>
        <v>43.89</v>
      </c>
    </row>
    <row r="612">
      <c r="A612" s="13" t="str">
        <f>IFERROR(__xludf.DUMMYFUNCTION("""COMPUTED_VALUE"""),"0980")</f>
        <v>0980</v>
      </c>
      <c r="B612" s="13" t="str">
        <f>IFERROR(__xludf.DUMMYFUNCTION("""COMPUTED_VALUE"""),"HARRISON 2")</f>
        <v>HARRISON 2</v>
      </c>
      <c r="C612" s="14" t="str">
        <f>IFERROR(__xludf.DUMMYFUNCTION("""COMPUTED_VALUE"""),"08350")</f>
        <v>08350</v>
      </c>
      <c r="D612" s="13" t="str">
        <f>IFERROR(__xludf.DUMMYFUNCTION("""COMPUTED_VALUE"""),"STRATTON MEADOWS ELEMENTARY SCHOOL")</f>
        <v>STRATTON MEADOWS ELEMENTARY SCHOOL</v>
      </c>
      <c r="E612" s="13" t="str">
        <f>IFERROR(__xludf.DUMMYFUNCTION("""COMPUTED_VALUE"""),"Group 7")</f>
        <v>Group 7</v>
      </c>
      <c r="F612" s="13" t="str">
        <f>IFERROR(__xludf.DUMMYFUNCTION("""COMPUTED_VALUE"""),"2024 - 2025")</f>
        <v>2024 - 2025</v>
      </c>
      <c r="G612" s="13" t="str">
        <f>IFERROR(__xludf.DUMMYFUNCTION("""COMPUTED_VALUE"""),"2023 - 2024")</f>
        <v>2023 - 2024</v>
      </c>
      <c r="H612" s="13">
        <f>IFERROR(__xludf.DUMMYFUNCTION("""COMPUTED_VALUE"""),100.0)</f>
        <v>100</v>
      </c>
      <c r="I612" s="15">
        <f>IFERROR(__xludf.DUMMYFUNCTION("""COMPUTED_VALUE"""),0.0)</f>
        <v>0</v>
      </c>
    </row>
    <row r="613">
      <c r="A613" s="13" t="str">
        <f>IFERROR(__xludf.DUMMYFUNCTION("""COMPUTED_VALUE"""),"0980")</f>
        <v>0980</v>
      </c>
      <c r="B613" s="13" t="str">
        <f>IFERROR(__xludf.DUMMYFUNCTION("""COMPUTED_VALUE"""),"HARRISON 2")</f>
        <v>HARRISON 2</v>
      </c>
      <c r="C613" s="14" t="str">
        <f>IFERROR(__xludf.DUMMYFUNCTION("""COMPUTED_VALUE"""),"06162")</f>
        <v>06162</v>
      </c>
      <c r="D613" s="13" t="str">
        <f>IFERROR(__xludf.DUMMYFUNCTION("""COMPUTED_VALUE"""),"MOUNTAIN VISTA COMMUNITY SCHOOL")</f>
        <v>MOUNTAIN VISTA COMMUNITY SCHOOL</v>
      </c>
      <c r="E613" s="13" t="str">
        <f>IFERROR(__xludf.DUMMYFUNCTION("""COMPUTED_VALUE"""),"Group 8")</f>
        <v>Group 8</v>
      </c>
      <c r="F613" s="13" t="str">
        <f>IFERROR(__xludf.DUMMYFUNCTION("""COMPUTED_VALUE"""),"2024 - 2025")</f>
        <v>2024 - 2025</v>
      </c>
      <c r="G613" s="13" t="str">
        <f>IFERROR(__xludf.DUMMYFUNCTION("""COMPUTED_VALUE"""),"2023 - 2024")</f>
        <v>2023 - 2024</v>
      </c>
      <c r="H613" s="13">
        <f>IFERROR(__xludf.DUMMYFUNCTION("""COMPUTED_VALUE"""),100.0)</f>
        <v>100</v>
      </c>
      <c r="I613" s="15">
        <f>IFERROR(__xludf.DUMMYFUNCTION("""COMPUTED_VALUE"""),0.0)</f>
        <v>0</v>
      </c>
    </row>
    <row r="614">
      <c r="A614" s="13" t="str">
        <f>IFERROR(__xludf.DUMMYFUNCTION("""COMPUTED_VALUE"""),"0980")</f>
        <v>0980</v>
      </c>
      <c r="B614" s="13" t="str">
        <f>IFERROR(__xludf.DUMMYFUNCTION("""COMPUTED_VALUE"""),"HARRISON 2")</f>
        <v>HARRISON 2</v>
      </c>
      <c r="C614" s="14" t="str">
        <f>IFERROR(__xludf.DUMMYFUNCTION("""COMPUTED_VALUE"""),"06686")</f>
        <v>06686</v>
      </c>
      <c r="D614" s="13" t="str">
        <f>IFERROR(__xludf.DUMMYFUNCTION("""COMPUTED_VALUE"""),"PANORAMA MIDDLE SCHOOL")</f>
        <v>PANORAMA MIDDLE SCHOOL</v>
      </c>
      <c r="E614" s="13" t="str">
        <f>IFERROR(__xludf.DUMMYFUNCTION("""COMPUTED_VALUE"""),"Group 8")</f>
        <v>Group 8</v>
      </c>
      <c r="F614" s="13" t="str">
        <f>IFERROR(__xludf.DUMMYFUNCTION("""COMPUTED_VALUE"""),"2024 - 2025")</f>
        <v>2024 - 2025</v>
      </c>
      <c r="G614" s="13" t="str">
        <f>IFERROR(__xludf.DUMMYFUNCTION("""COMPUTED_VALUE"""),"2023 - 2024")</f>
        <v>2023 - 2024</v>
      </c>
      <c r="H614" s="13">
        <f>IFERROR(__xludf.DUMMYFUNCTION("""COMPUTED_VALUE"""),100.0)</f>
        <v>100</v>
      </c>
      <c r="I614" s="15">
        <f>IFERROR(__xludf.DUMMYFUNCTION("""COMPUTED_VALUE"""),0.0)</f>
        <v>0</v>
      </c>
    </row>
    <row r="615">
      <c r="A615" s="13" t="str">
        <f>IFERROR(__xludf.DUMMYFUNCTION("""COMPUTED_VALUE"""),"0980")</f>
        <v>0980</v>
      </c>
      <c r="B615" s="13" t="str">
        <f>IFERROR(__xludf.DUMMYFUNCTION("""COMPUTED_VALUE"""),"HARRISON 2")</f>
        <v>HARRISON 2</v>
      </c>
      <c r="C615" s="14" t="str">
        <f>IFERROR(__xludf.DUMMYFUNCTION("""COMPUTED_VALUE"""),"07882")</f>
        <v>07882</v>
      </c>
      <c r="D615" s="13" t="str">
        <f>IFERROR(__xludf.DUMMYFUNCTION("""COMPUTED_VALUE"""),"SIERRA HIGH SCHOOL")</f>
        <v>SIERRA HIGH SCHOOL</v>
      </c>
      <c r="E615" s="13" t="str">
        <f>IFERROR(__xludf.DUMMYFUNCTION("""COMPUTED_VALUE"""),"Group 8")</f>
        <v>Group 8</v>
      </c>
      <c r="F615" s="13" t="str">
        <f>IFERROR(__xludf.DUMMYFUNCTION("""COMPUTED_VALUE"""),"2024 - 2025")</f>
        <v>2024 - 2025</v>
      </c>
      <c r="G615" s="13" t="str">
        <f>IFERROR(__xludf.DUMMYFUNCTION("""COMPUTED_VALUE"""),"2023 - 2024")</f>
        <v>2023 - 2024</v>
      </c>
      <c r="H615" s="13">
        <f>IFERROR(__xludf.DUMMYFUNCTION("""COMPUTED_VALUE"""),100.0)</f>
        <v>100</v>
      </c>
      <c r="I615" s="15">
        <f>IFERROR(__xludf.DUMMYFUNCTION("""COMPUTED_VALUE"""),0.0)</f>
        <v>0</v>
      </c>
    </row>
    <row r="616">
      <c r="A616" s="13" t="str">
        <f>IFERROR(__xludf.DUMMYFUNCTION("""COMPUTED_VALUE"""),"0980")</f>
        <v>0980</v>
      </c>
      <c r="B616" s="13" t="str">
        <f>IFERROR(__xludf.DUMMYFUNCTION("""COMPUTED_VALUE"""),"HARRISON 2")</f>
        <v>HARRISON 2</v>
      </c>
      <c r="C616" s="14" t="str">
        <f>IFERROR(__xludf.DUMMYFUNCTION("""COMPUTED_VALUE"""),"08923")</f>
        <v>08923</v>
      </c>
      <c r="D616" s="13" t="str">
        <f>IFERROR(__xludf.DUMMYFUNCTION("""COMPUTED_VALUE"""),"TURMAN ELEMENTARY SCHOOL")</f>
        <v>TURMAN ELEMENTARY SCHOOL</v>
      </c>
      <c r="E616" s="13" t="str">
        <f>IFERROR(__xludf.DUMMYFUNCTION("""COMPUTED_VALUE"""),"Group 8")</f>
        <v>Group 8</v>
      </c>
      <c r="F616" s="13" t="str">
        <f>IFERROR(__xludf.DUMMYFUNCTION("""COMPUTED_VALUE"""),"2024 - 2025")</f>
        <v>2024 - 2025</v>
      </c>
      <c r="G616" s="13" t="str">
        <f>IFERROR(__xludf.DUMMYFUNCTION("""COMPUTED_VALUE"""),"2023 - 2024")</f>
        <v>2023 - 2024</v>
      </c>
      <c r="H616" s="13">
        <f>IFERROR(__xludf.DUMMYFUNCTION("""COMPUTED_VALUE"""),100.0)</f>
        <v>100</v>
      </c>
      <c r="I616" s="15">
        <f>IFERROR(__xludf.DUMMYFUNCTION("""COMPUTED_VALUE"""),0.0)</f>
        <v>0</v>
      </c>
    </row>
    <row r="617">
      <c r="A617" s="13" t="str">
        <f>IFERROR(__xludf.DUMMYFUNCTION("""COMPUTED_VALUE"""),"0990")</f>
        <v>0990</v>
      </c>
      <c r="B617" s="13" t="str">
        <f>IFERROR(__xludf.DUMMYFUNCTION("""COMPUTED_VALUE"""),"WIDEFIELD 3")</f>
        <v>WIDEFIELD 3</v>
      </c>
      <c r="C617" s="14" t="str">
        <f>IFERROR(__xludf.DUMMYFUNCTION("""COMPUTED_VALUE"""),"09294")</f>
        <v>09294</v>
      </c>
      <c r="D617" s="13" t="str">
        <f>IFERROR(__xludf.DUMMYFUNCTION("""COMPUTED_VALUE"""),"WATSON JUNIOR HIGH SCHOOL")</f>
        <v>WATSON JUNIOR HIGH SCHOOL</v>
      </c>
      <c r="E617" s="13" t="str">
        <f>IFERROR(__xludf.DUMMYFUNCTION("""COMPUTED_VALUE"""),"Group 1")</f>
        <v>Group 1</v>
      </c>
      <c r="F617" s="13" t="str">
        <f>IFERROR(__xludf.DUMMYFUNCTION("""COMPUTED_VALUE"""),"2024 - 2025")</f>
        <v>2024 - 2025</v>
      </c>
      <c r="G617" s="13" t="str">
        <f>IFERROR(__xludf.DUMMYFUNCTION("""COMPUTED_VALUE"""),"2023 - 2024")</f>
        <v>2023 - 2024</v>
      </c>
      <c r="H617" s="13">
        <f>IFERROR(__xludf.DUMMYFUNCTION("""COMPUTED_VALUE"""),75.41)</f>
        <v>75.41</v>
      </c>
      <c r="I617" s="15">
        <f>IFERROR(__xludf.DUMMYFUNCTION("""COMPUTED_VALUE"""),24.590000000000003)</f>
        <v>24.59</v>
      </c>
    </row>
    <row r="618">
      <c r="A618" s="13" t="str">
        <f>IFERROR(__xludf.DUMMYFUNCTION("""COMPUTED_VALUE"""),"0990")</f>
        <v>0990</v>
      </c>
      <c r="B618" s="13" t="str">
        <f>IFERROR(__xludf.DUMMYFUNCTION("""COMPUTED_VALUE"""),"WIDEFIELD 3")</f>
        <v>WIDEFIELD 3</v>
      </c>
      <c r="C618" s="14" t="str">
        <f>IFERROR(__xludf.DUMMYFUNCTION("""COMPUTED_VALUE"""),"09334")</f>
        <v>09334</v>
      </c>
      <c r="D618" s="13" t="str">
        <f>IFERROR(__xludf.DUMMYFUNCTION("""COMPUTED_VALUE"""),"WEBSTER ELEMENTARY SCHOOL")</f>
        <v>WEBSTER ELEMENTARY SCHOOL</v>
      </c>
      <c r="E618" s="13" t="str">
        <f>IFERROR(__xludf.DUMMYFUNCTION("""COMPUTED_VALUE"""),"Group 1")</f>
        <v>Group 1</v>
      </c>
      <c r="F618" s="13" t="str">
        <f>IFERROR(__xludf.DUMMYFUNCTION("""COMPUTED_VALUE"""),"2024 - 2025")</f>
        <v>2024 - 2025</v>
      </c>
      <c r="G618" s="13" t="str">
        <f>IFERROR(__xludf.DUMMYFUNCTION("""COMPUTED_VALUE"""),"2023 - 2024")</f>
        <v>2023 - 2024</v>
      </c>
      <c r="H618" s="13">
        <f>IFERROR(__xludf.DUMMYFUNCTION("""COMPUTED_VALUE"""),75.41)</f>
        <v>75.41</v>
      </c>
      <c r="I618" s="15">
        <f>IFERROR(__xludf.DUMMYFUNCTION("""COMPUTED_VALUE"""),24.590000000000003)</f>
        <v>24.59</v>
      </c>
    </row>
    <row r="619">
      <c r="A619" s="13" t="str">
        <f>IFERROR(__xludf.DUMMYFUNCTION("""COMPUTED_VALUE"""),"0990")</f>
        <v>0990</v>
      </c>
      <c r="B619" s="13" t="str">
        <f>IFERROR(__xludf.DUMMYFUNCTION("""COMPUTED_VALUE"""),"WIDEFIELD 3")</f>
        <v>WIDEFIELD 3</v>
      </c>
      <c r="C619" s="14" t="str">
        <f>IFERROR(__xludf.DUMMYFUNCTION("""COMPUTED_VALUE"""),"09560")</f>
        <v>09560</v>
      </c>
      <c r="D619" s="13" t="str">
        <f>IFERROR(__xludf.DUMMYFUNCTION("""COMPUTED_VALUE"""),"DISCOVERY HIGH SCHOOL")</f>
        <v>DISCOVERY HIGH SCHOOL</v>
      </c>
      <c r="E619" s="13" t="str">
        <f>IFERROR(__xludf.DUMMYFUNCTION("""COMPUTED_VALUE"""),"Group 1")</f>
        <v>Group 1</v>
      </c>
      <c r="F619" s="13" t="str">
        <f>IFERROR(__xludf.DUMMYFUNCTION("""COMPUTED_VALUE"""),"2024 - 2025")</f>
        <v>2024 - 2025</v>
      </c>
      <c r="G619" s="13" t="str">
        <f>IFERROR(__xludf.DUMMYFUNCTION("""COMPUTED_VALUE"""),"2023 - 2024")</f>
        <v>2023 - 2024</v>
      </c>
      <c r="H619" s="13">
        <f>IFERROR(__xludf.DUMMYFUNCTION("""COMPUTED_VALUE"""),75.41)</f>
        <v>75.41</v>
      </c>
      <c r="I619" s="15">
        <f>IFERROR(__xludf.DUMMYFUNCTION("""COMPUTED_VALUE"""),24.590000000000003)</f>
        <v>24.59</v>
      </c>
    </row>
    <row r="620">
      <c r="A620" s="13" t="str">
        <f>IFERROR(__xludf.DUMMYFUNCTION("""COMPUTED_VALUE"""),"0990")</f>
        <v>0990</v>
      </c>
      <c r="B620" s="13" t="str">
        <f>IFERROR(__xludf.DUMMYFUNCTION("""COMPUTED_VALUE"""),"WIDEFIELD 3")</f>
        <v>WIDEFIELD 3</v>
      </c>
      <c r="C620" s="14" t="str">
        <f>IFERROR(__xludf.DUMMYFUNCTION("""COMPUTED_VALUE"""),"09562")</f>
        <v>09562</v>
      </c>
      <c r="D620" s="13" t="str">
        <f>IFERROR(__xludf.DUMMYFUNCTION("""COMPUTED_VALUE"""),"WIDEFIELD ELEMENTARY SCHOOL")</f>
        <v>WIDEFIELD ELEMENTARY SCHOOL</v>
      </c>
      <c r="E620" s="13" t="str">
        <f>IFERROR(__xludf.DUMMYFUNCTION("""COMPUTED_VALUE"""),"Group 1")</f>
        <v>Group 1</v>
      </c>
      <c r="F620" s="13" t="str">
        <f>IFERROR(__xludf.DUMMYFUNCTION("""COMPUTED_VALUE"""),"2024 - 2025")</f>
        <v>2024 - 2025</v>
      </c>
      <c r="G620" s="13" t="str">
        <f>IFERROR(__xludf.DUMMYFUNCTION("""COMPUTED_VALUE"""),"2023 - 2024")</f>
        <v>2023 - 2024</v>
      </c>
      <c r="H620" s="13">
        <f>IFERROR(__xludf.DUMMYFUNCTION("""COMPUTED_VALUE"""),75.41)</f>
        <v>75.41</v>
      </c>
      <c r="I620" s="15">
        <f>IFERROR(__xludf.DUMMYFUNCTION("""COMPUTED_VALUE"""),24.590000000000003)</f>
        <v>24.59</v>
      </c>
    </row>
    <row r="621">
      <c r="A621" s="13" t="str">
        <f>IFERROR(__xludf.DUMMYFUNCTION("""COMPUTED_VALUE"""),"0990")</f>
        <v>0990</v>
      </c>
      <c r="B621" s="13" t="str">
        <f>IFERROR(__xludf.DUMMYFUNCTION("""COMPUTED_VALUE"""),"WIDEFIELD 3")</f>
        <v>WIDEFIELD 3</v>
      </c>
      <c r="C621" s="14" t="str">
        <f>IFERROR(__xludf.DUMMYFUNCTION("""COMPUTED_VALUE"""),"05033")</f>
        <v>05033</v>
      </c>
      <c r="D621" s="13" t="str">
        <f>IFERROR(__xludf.DUMMYFUNCTION("""COMPUTED_VALUE"""),"James Madison Charter Academy")</f>
        <v>James Madison Charter Academy</v>
      </c>
      <c r="E621" s="13" t="str">
        <f>IFERROR(__xludf.DUMMYFUNCTION("""COMPUTED_VALUE"""),"Group 1")</f>
        <v>Group 1</v>
      </c>
      <c r="F621" s="13" t="str">
        <f>IFERROR(__xludf.DUMMYFUNCTION("""COMPUTED_VALUE"""),"2024 - 2025")</f>
        <v>2024 - 2025</v>
      </c>
      <c r="G621" s="13" t="str">
        <f>IFERROR(__xludf.DUMMYFUNCTION("""COMPUTED_VALUE"""),"2023 - 2024")</f>
        <v>2023 - 2024</v>
      </c>
      <c r="H621" s="13">
        <f>IFERROR(__xludf.DUMMYFUNCTION("""COMPUTED_VALUE"""),75.41)</f>
        <v>75.41</v>
      </c>
      <c r="I621" s="15">
        <f>IFERROR(__xludf.DUMMYFUNCTION("""COMPUTED_VALUE"""),24.590000000000003)</f>
        <v>24.59</v>
      </c>
    </row>
    <row r="622">
      <c r="A622" s="13" t="str">
        <f>IFERROR(__xludf.DUMMYFUNCTION("""COMPUTED_VALUE"""),"0990")</f>
        <v>0990</v>
      </c>
      <c r="B622" s="13" t="str">
        <f>IFERROR(__xludf.DUMMYFUNCTION("""COMPUTED_VALUE"""),"WIDEFIELD 3")</f>
        <v>WIDEFIELD 3</v>
      </c>
      <c r="C622" s="14" t="str">
        <f>IFERROR(__xludf.DUMMYFUNCTION("""COMPUTED_VALUE"""),"04394")</f>
        <v>04394</v>
      </c>
      <c r="D622" s="13" t="str">
        <f>IFERROR(__xludf.DUMMYFUNCTION("""COMPUTED_VALUE"""),"JANITELL JUNIOR HIGH SCHOOL")</f>
        <v>JANITELL JUNIOR HIGH SCHOOL</v>
      </c>
      <c r="E622" s="13" t="str">
        <f>IFERROR(__xludf.DUMMYFUNCTION("""COMPUTED_VALUE"""),"Group 2")</f>
        <v>Group 2</v>
      </c>
      <c r="F622" s="13" t="str">
        <f>IFERROR(__xludf.DUMMYFUNCTION("""COMPUTED_VALUE"""),"2024 - 2025")</f>
        <v>2024 - 2025</v>
      </c>
      <c r="G622" s="13" t="str">
        <f>IFERROR(__xludf.DUMMYFUNCTION("""COMPUTED_VALUE"""),"2023 - 2024")</f>
        <v>2023 - 2024</v>
      </c>
      <c r="H622" s="13">
        <f>IFERROR(__xludf.DUMMYFUNCTION("""COMPUTED_VALUE"""),61.14)</f>
        <v>61.14</v>
      </c>
      <c r="I622" s="15">
        <f>IFERROR(__xludf.DUMMYFUNCTION("""COMPUTED_VALUE"""),38.86)</f>
        <v>38.86</v>
      </c>
    </row>
    <row r="623">
      <c r="A623" s="13" t="str">
        <f>IFERROR(__xludf.DUMMYFUNCTION("""COMPUTED_VALUE"""),"0990")</f>
        <v>0990</v>
      </c>
      <c r="B623" s="13" t="str">
        <f>IFERROR(__xludf.DUMMYFUNCTION("""COMPUTED_VALUE"""),"WIDEFIELD 3")</f>
        <v>WIDEFIELD 3</v>
      </c>
      <c r="C623" s="14" t="str">
        <f>IFERROR(__xludf.DUMMYFUNCTION("""COMPUTED_VALUE"""),"08178")</f>
        <v>08178</v>
      </c>
      <c r="D623" s="13" t="str">
        <f>IFERROR(__xludf.DUMMYFUNCTION("""COMPUTED_VALUE"""),"SPROUL JUNIOR HIGH SCHOOL")</f>
        <v>SPROUL JUNIOR HIGH SCHOOL</v>
      </c>
      <c r="E623" s="13" t="str">
        <f>IFERROR(__xludf.DUMMYFUNCTION("""COMPUTED_VALUE"""),"Group 3")</f>
        <v>Group 3</v>
      </c>
      <c r="F623" s="13" t="str">
        <f>IFERROR(__xludf.DUMMYFUNCTION("""COMPUTED_VALUE"""),"2024 - 2025")</f>
        <v>2024 - 2025</v>
      </c>
      <c r="G623" s="13" t="str">
        <f>IFERROR(__xludf.DUMMYFUNCTION("""COMPUTED_VALUE"""),"2023 - 2024")</f>
        <v>2023 - 2024</v>
      </c>
      <c r="H623" s="13">
        <f>IFERROR(__xludf.DUMMYFUNCTION("""COMPUTED_VALUE"""),68.98)</f>
        <v>68.98</v>
      </c>
      <c r="I623" s="15">
        <f>IFERROR(__xludf.DUMMYFUNCTION("""COMPUTED_VALUE"""),31.019999999999996)</f>
        <v>31.02</v>
      </c>
    </row>
    <row r="624">
      <c r="A624" s="13" t="str">
        <f>IFERROR(__xludf.DUMMYFUNCTION("""COMPUTED_VALUE"""),"0990")</f>
        <v>0990</v>
      </c>
      <c r="B624" s="13" t="str">
        <f>IFERROR(__xludf.DUMMYFUNCTION("""COMPUTED_VALUE"""),"WIDEFIELD 3")</f>
        <v>WIDEFIELD 3</v>
      </c>
      <c r="C624" s="14" t="str">
        <f>IFERROR(__xludf.DUMMYFUNCTION("""COMPUTED_VALUE"""),"05841")</f>
        <v>05841</v>
      </c>
      <c r="D624" s="13" t="str">
        <f>IFERROR(__xludf.DUMMYFUNCTION("""COMPUTED_VALUE"""),"MESA RIDGE HIGH SCHOOL")</f>
        <v>MESA RIDGE HIGH SCHOOL</v>
      </c>
      <c r="E624" s="13" t="str">
        <f>IFERROR(__xludf.DUMMYFUNCTION("""COMPUTED_VALUE"""),"Group 4")</f>
        <v>Group 4</v>
      </c>
      <c r="F624" s="13" t="str">
        <f>IFERROR(__xludf.DUMMYFUNCTION("""COMPUTED_VALUE"""),"2024 - 2025")</f>
        <v>2024 - 2025</v>
      </c>
      <c r="G624" s="13" t="str">
        <f>IFERROR(__xludf.DUMMYFUNCTION("""COMPUTED_VALUE"""),"2023 - 2024")</f>
        <v>2023 - 2024</v>
      </c>
      <c r="H624" s="13">
        <f>IFERROR(__xludf.DUMMYFUNCTION("""COMPUTED_VALUE"""),50.24)</f>
        <v>50.24</v>
      </c>
      <c r="I624" s="15">
        <f>IFERROR(__xludf.DUMMYFUNCTION("""COMPUTED_VALUE"""),49.76)</f>
        <v>49.76</v>
      </c>
    </row>
    <row r="625">
      <c r="A625" s="13" t="str">
        <f>IFERROR(__xludf.DUMMYFUNCTION("""COMPUTED_VALUE"""),"0990")</f>
        <v>0990</v>
      </c>
      <c r="B625" s="13" t="str">
        <f>IFERROR(__xludf.DUMMYFUNCTION("""COMPUTED_VALUE"""),"WIDEFIELD 3")</f>
        <v>WIDEFIELD 3</v>
      </c>
      <c r="C625" s="14" t="str">
        <f>IFERROR(__xludf.DUMMYFUNCTION("""COMPUTED_VALUE"""),"03692")</f>
        <v>03692</v>
      </c>
      <c r="D625" s="13" t="str">
        <f>IFERROR(__xludf.DUMMYFUNCTION("""COMPUTED_VALUE"""),"Grand Mountain School")</f>
        <v>Grand Mountain School</v>
      </c>
      <c r="E625" s="13" t="str">
        <f>IFERROR(__xludf.DUMMYFUNCTION("""COMPUTED_VALUE"""),"Group 4")</f>
        <v>Group 4</v>
      </c>
      <c r="F625" s="13" t="str">
        <f>IFERROR(__xludf.DUMMYFUNCTION("""COMPUTED_VALUE"""),"2024 - 2025")</f>
        <v>2024 - 2025</v>
      </c>
      <c r="G625" s="13" t="str">
        <f>IFERROR(__xludf.DUMMYFUNCTION("""COMPUTED_VALUE"""),"2023 - 2024")</f>
        <v>2023 - 2024</v>
      </c>
      <c r="H625" s="13">
        <f>IFERROR(__xludf.DUMMYFUNCTION("""COMPUTED_VALUE"""),50.24)</f>
        <v>50.24</v>
      </c>
      <c r="I625" s="15">
        <f>IFERROR(__xludf.DUMMYFUNCTION("""COMPUTED_VALUE"""),49.76)</f>
        <v>49.76</v>
      </c>
    </row>
    <row r="626">
      <c r="A626" s="13" t="str">
        <f>IFERROR(__xludf.DUMMYFUNCTION("""COMPUTED_VALUE"""),"0990")</f>
        <v>0990</v>
      </c>
      <c r="B626" s="13" t="str">
        <f>IFERROR(__xludf.DUMMYFUNCTION("""COMPUTED_VALUE"""),"WIDEFIELD 3")</f>
        <v>WIDEFIELD 3</v>
      </c>
      <c r="C626" s="14" t="str">
        <f>IFERROR(__xludf.DUMMYFUNCTION("""COMPUTED_VALUE"""),"01249")</f>
        <v>01249</v>
      </c>
      <c r="D626" s="13" t="str">
        <f>IFERROR(__xludf.DUMMYFUNCTION("""COMPUTED_VALUE"""),"The Haven")</f>
        <v>The Haven</v>
      </c>
      <c r="E626" s="13" t="str">
        <f>IFERROR(__xludf.DUMMYFUNCTION("""COMPUTED_VALUE"""),"Group 4")</f>
        <v>Group 4</v>
      </c>
      <c r="F626" s="13" t="str">
        <f>IFERROR(__xludf.DUMMYFUNCTION("""COMPUTED_VALUE"""),"2024 - 2025")</f>
        <v>2024 - 2025</v>
      </c>
      <c r="G626" s="13" t="str">
        <f>IFERROR(__xludf.DUMMYFUNCTION("""COMPUTED_VALUE"""),"2023 - 2024")</f>
        <v>2023 - 2024</v>
      </c>
      <c r="H626" s="13">
        <f>IFERROR(__xludf.DUMMYFUNCTION("""COMPUTED_VALUE"""),50.24)</f>
        <v>50.24</v>
      </c>
      <c r="I626" s="15">
        <f>IFERROR(__xludf.DUMMYFUNCTION("""COMPUTED_VALUE"""),49.76)</f>
        <v>49.76</v>
      </c>
    </row>
    <row r="627">
      <c r="A627" s="13" t="str">
        <f>IFERROR(__xludf.DUMMYFUNCTION("""COMPUTED_VALUE"""),"0990")</f>
        <v>0990</v>
      </c>
      <c r="B627" s="13" t="str">
        <f>IFERROR(__xludf.DUMMYFUNCTION("""COMPUTED_VALUE"""),"WIDEFIELD 3")</f>
        <v>WIDEFIELD 3</v>
      </c>
      <c r="C627" s="14" t="str">
        <f>IFERROR(__xludf.DUMMYFUNCTION("""COMPUTED_VALUE"""),"03234")</f>
        <v>03234</v>
      </c>
      <c r="D627" s="13" t="str">
        <f>IFERROR(__xludf.DUMMYFUNCTION("""COMPUTED_VALUE"""),"FRENCH ELEMENTARY SCHOOL")</f>
        <v>FRENCH ELEMENTARY SCHOOL</v>
      </c>
      <c r="E627" s="13" t="str">
        <f>IFERROR(__xludf.DUMMYFUNCTION("""COMPUTED_VALUE"""),"Group 5")</f>
        <v>Group 5</v>
      </c>
      <c r="F627" s="13" t="str">
        <f>IFERROR(__xludf.DUMMYFUNCTION("""COMPUTED_VALUE"""),"2024 - 2025")</f>
        <v>2024 - 2025</v>
      </c>
      <c r="G627" s="13" t="str">
        <f>IFERROR(__xludf.DUMMYFUNCTION("""COMPUTED_VALUE"""),"2023 - 2024")</f>
        <v>2023 - 2024</v>
      </c>
      <c r="H627" s="13">
        <f>IFERROR(__xludf.DUMMYFUNCTION("""COMPUTED_VALUE"""),62.34)</f>
        <v>62.34</v>
      </c>
      <c r="I627" s="15">
        <f>IFERROR(__xludf.DUMMYFUNCTION("""COMPUTED_VALUE"""),37.66)</f>
        <v>37.66</v>
      </c>
    </row>
    <row r="628">
      <c r="A628" s="13" t="str">
        <f>IFERROR(__xludf.DUMMYFUNCTION("""COMPUTED_VALUE"""),"0990")</f>
        <v>0990</v>
      </c>
      <c r="B628" s="13" t="str">
        <f>IFERROR(__xludf.DUMMYFUNCTION("""COMPUTED_VALUE"""),"WIDEFIELD 3")</f>
        <v>WIDEFIELD 3</v>
      </c>
      <c r="C628" s="14" t="str">
        <f>IFERROR(__xludf.DUMMYFUNCTION("""COMPUTED_VALUE"""),"08392")</f>
        <v>08392</v>
      </c>
      <c r="D628" s="13" t="str">
        <f>IFERROR(__xludf.DUMMYFUNCTION("""COMPUTED_VALUE"""),"SUNRISE ELEMENTARY SCHOOL")</f>
        <v>SUNRISE ELEMENTARY SCHOOL</v>
      </c>
      <c r="E628" s="13" t="str">
        <f>IFERROR(__xludf.DUMMYFUNCTION("""COMPUTED_VALUE"""),"Group 5")</f>
        <v>Group 5</v>
      </c>
      <c r="F628" s="13" t="str">
        <f>IFERROR(__xludf.DUMMYFUNCTION("""COMPUTED_VALUE"""),"2024 - 2025")</f>
        <v>2024 - 2025</v>
      </c>
      <c r="G628" s="13" t="str">
        <f>IFERROR(__xludf.DUMMYFUNCTION("""COMPUTED_VALUE"""),"2023 - 2024")</f>
        <v>2023 - 2024</v>
      </c>
      <c r="H628" s="13">
        <f>IFERROR(__xludf.DUMMYFUNCTION("""COMPUTED_VALUE"""),62.34)</f>
        <v>62.34</v>
      </c>
      <c r="I628" s="15">
        <f>IFERROR(__xludf.DUMMYFUNCTION("""COMPUTED_VALUE"""),37.66)</f>
        <v>37.66</v>
      </c>
    </row>
    <row r="629">
      <c r="A629" s="13" t="str">
        <f>IFERROR(__xludf.DUMMYFUNCTION("""COMPUTED_VALUE"""),"0990")</f>
        <v>0990</v>
      </c>
      <c r="B629" s="13" t="str">
        <f>IFERROR(__xludf.DUMMYFUNCTION("""COMPUTED_VALUE"""),"WIDEFIELD 3")</f>
        <v>WIDEFIELD 3</v>
      </c>
      <c r="C629" s="14" t="str">
        <f>IFERROR(__xludf.DUMMYFUNCTION("""COMPUTED_VALUE"""),"05602")</f>
        <v>05602</v>
      </c>
      <c r="D629" s="13" t="str">
        <f>IFERROR(__xludf.DUMMYFUNCTION("""COMPUTED_VALUE"""),"MARTIN LUTHER KING JR ELEMENTARY SCHOOL")</f>
        <v>MARTIN LUTHER KING JR ELEMENTARY SCHOOL</v>
      </c>
      <c r="E629" s="13" t="str">
        <f>IFERROR(__xludf.DUMMYFUNCTION("""COMPUTED_VALUE"""),"Group 6")</f>
        <v>Group 6</v>
      </c>
      <c r="F629" s="13" t="str">
        <f>IFERROR(__xludf.DUMMYFUNCTION("""COMPUTED_VALUE"""),"2024 - 2025")</f>
        <v>2024 - 2025</v>
      </c>
      <c r="G629" s="13" t="str">
        <f>IFERROR(__xludf.DUMMYFUNCTION("""COMPUTED_VALUE"""),"2023 - 2024")</f>
        <v>2023 - 2024</v>
      </c>
      <c r="H629" s="13">
        <f>IFERROR(__xludf.DUMMYFUNCTION("""COMPUTED_VALUE"""),58.69)</f>
        <v>58.69</v>
      </c>
      <c r="I629" s="15">
        <f>IFERROR(__xludf.DUMMYFUNCTION("""COMPUTED_VALUE"""),41.31)</f>
        <v>41.31</v>
      </c>
    </row>
    <row r="630">
      <c r="A630" s="13" t="str">
        <f>IFERROR(__xludf.DUMMYFUNCTION("""COMPUTED_VALUE"""),"0990")</f>
        <v>0990</v>
      </c>
      <c r="B630" s="13" t="str">
        <f>IFERROR(__xludf.DUMMYFUNCTION("""COMPUTED_VALUE"""),"WIDEFIELD 3")</f>
        <v>WIDEFIELD 3</v>
      </c>
      <c r="C630" s="14" t="str">
        <f>IFERROR(__xludf.DUMMYFUNCTION("""COMPUTED_VALUE"""),"09566")</f>
        <v>09566</v>
      </c>
      <c r="D630" s="13" t="str">
        <f>IFERROR(__xludf.DUMMYFUNCTION("""COMPUTED_VALUE"""),"WIDEFIELD HIGH SCHOOL")</f>
        <v>WIDEFIELD HIGH SCHOOL</v>
      </c>
      <c r="E630" s="13" t="str">
        <f>IFERROR(__xludf.DUMMYFUNCTION("""COMPUTED_VALUE"""),"Group 6")</f>
        <v>Group 6</v>
      </c>
      <c r="F630" s="13" t="str">
        <f>IFERROR(__xludf.DUMMYFUNCTION("""COMPUTED_VALUE"""),"2024 - 2025")</f>
        <v>2024 - 2025</v>
      </c>
      <c r="G630" s="13" t="str">
        <f>IFERROR(__xludf.DUMMYFUNCTION("""COMPUTED_VALUE"""),"2023 - 2024")</f>
        <v>2023 - 2024</v>
      </c>
      <c r="H630" s="13">
        <f>IFERROR(__xludf.DUMMYFUNCTION("""COMPUTED_VALUE"""),58.69)</f>
        <v>58.69</v>
      </c>
      <c r="I630" s="15">
        <f>IFERROR(__xludf.DUMMYFUNCTION("""COMPUTED_VALUE"""),41.31)</f>
        <v>41.31</v>
      </c>
    </row>
    <row r="631">
      <c r="A631" s="13" t="str">
        <f>IFERROR(__xludf.DUMMYFUNCTION("""COMPUTED_VALUE"""),"0990")</f>
        <v>0990</v>
      </c>
      <c r="B631" s="13" t="str">
        <f>IFERROR(__xludf.DUMMYFUNCTION("""COMPUTED_VALUE"""),"WIDEFIELD 3")</f>
        <v>WIDEFIELD 3</v>
      </c>
      <c r="C631" s="14" t="str">
        <f>IFERROR(__xludf.DUMMYFUNCTION("""COMPUTED_VALUE"""),"04346")</f>
        <v>04346</v>
      </c>
      <c r="D631" s="13" t="str">
        <f>IFERROR(__xludf.DUMMYFUNCTION("""COMPUTED_VALUE"""),"TALBOTT ELEMENTARY SCHOOL")</f>
        <v>TALBOTT ELEMENTARY SCHOOL</v>
      </c>
      <c r="E631" s="13" t="str">
        <f>IFERROR(__xludf.DUMMYFUNCTION("""COMPUTED_VALUE"""),"Group 7")</f>
        <v>Group 7</v>
      </c>
      <c r="F631" s="13" t="str">
        <f>IFERROR(__xludf.DUMMYFUNCTION("""COMPUTED_VALUE"""),"2024 - 2025")</f>
        <v>2024 - 2025</v>
      </c>
      <c r="G631" s="13" t="str">
        <f>IFERROR(__xludf.DUMMYFUNCTION("""COMPUTED_VALUE"""),"2023 - 2024")</f>
        <v>2023 - 2024</v>
      </c>
      <c r="H631" s="13">
        <f>IFERROR(__xludf.DUMMYFUNCTION("""COMPUTED_VALUE"""),89.09)</f>
        <v>89.09</v>
      </c>
      <c r="I631" s="15">
        <f>IFERROR(__xludf.DUMMYFUNCTION("""COMPUTED_VALUE"""),10.909999999999997)</f>
        <v>10.91</v>
      </c>
    </row>
    <row r="632">
      <c r="A632" s="13" t="str">
        <f>IFERROR(__xludf.DUMMYFUNCTION("""COMPUTED_VALUE"""),"0990")</f>
        <v>0990</v>
      </c>
      <c r="B632" s="13" t="str">
        <f>IFERROR(__xludf.DUMMYFUNCTION("""COMPUTED_VALUE"""),"WIDEFIELD 3")</f>
        <v>WIDEFIELD 3</v>
      </c>
      <c r="C632" s="14" t="str">
        <f>IFERROR(__xludf.DUMMYFUNCTION("""COMPUTED_VALUE"""),"08122")</f>
        <v>08122</v>
      </c>
      <c r="D632" s="13" t="str">
        <f>IFERROR(__xludf.DUMMYFUNCTION("""COMPUTED_VALUE"""),"VENETUCCI ELEMENTARY SCHOOL")</f>
        <v>VENETUCCI ELEMENTARY SCHOOL</v>
      </c>
      <c r="E632" s="13" t="str">
        <f>IFERROR(__xludf.DUMMYFUNCTION("""COMPUTED_VALUE"""),"Group 7")</f>
        <v>Group 7</v>
      </c>
      <c r="F632" s="13" t="str">
        <f>IFERROR(__xludf.DUMMYFUNCTION("""COMPUTED_VALUE"""),"2024 - 2025")</f>
        <v>2024 - 2025</v>
      </c>
      <c r="G632" s="13" t="str">
        <f>IFERROR(__xludf.DUMMYFUNCTION("""COMPUTED_VALUE"""),"2023 - 2024")</f>
        <v>2023 - 2024</v>
      </c>
      <c r="H632" s="13">
        <f>IFERROR(__xludf.DUMMYFUNCTION("""COMPUTED_VALUE"""),89.09)</f>
        <v>89.09</v>
      </c>
      <c r="I632" s="15">
        <f>IFERROR(__xludf.DUMMYFUNCTION("""COMPUTED_VALUE"""),10.909999999999997)</f>
        <v>10.91</v>
      </c>
    </row>
    <row r="633">
      <c r="A633" s="13" t="str">
        <f>IFERROR(__xludf.DUMMYFUNCTION("""COMPUTED_VALUE"""),"0990")</f>
        <v>0990</v>
      </c>
      <c r="B633" s="13" t="str">
        <f>IFERROR(__xludf.DUMMYFUNCTION("""COMPUTED_VALUE"""),"WIDEFIELD 3")</f>
        <v>WIDEFIELD 3</v>
      </c>
      <c r="C633" s="14" t="str">
        <f>IFERROR(__xludf.DUMMYFUNCTION("""COMPUTED_VALUE"""),"06952")</f>
        <v>06952</v>
      </c>
      <c r="D633" s="13" t="str">
        <f>IFERROR(__xludf.DUMMYFUNCTION("""COMPUTED_VALUE"""),"PINELLO ELEMENTARY SCHOOL")</f>
        <v>PINELLO ELEMENTARY SCHOOL</v>
      </c>
      <c r="E633" s="13" t="str">
        <f>IFERROR(__xludf.DUMMYFUNCTION("""COMPUTED_VALUE"""),"Group 8")</f>
        <v>Group 8</v>
      </c>
      <c r="F633" s="13" t="str">
        <f>IFERROR(__xludf.DUMMYFUNCTION("""COMPUTED_VALUE"""),"2024 - 2025")</f>
        <v>2024 - 2025</v>
      </c>
      <c r="G633" s="13" t="str">
        <f>IFERROR(__xludf.DUMMYFUNCTION("""COMPUTED_VALUE"""),"2023 - 2024")</f>
        <v>2023 - 2024</v>
      </c>
      <c r="H633" s="13">
        <f>IFERROR(__xludf.DUMMYFUNCTION("""COMPUTED_VALUE"""),86.45)</f>
        <v>86.45</v>
      </c>
      <c r="I633" s="15">
        <f>IFERROR(__xludf.DUMMYFUNCTION("""COMPUTED_VALUE"""),13.549999999999997)</f>
        <v>13.55</v>
      </c>
    </row>
    <row r="634">
      <c r="A634" s="13" t="str">
        <f>IFERROR(__xludf.DUMMYFUNCTION("""COMPUTED_VALUE"""),"1000")</f>
        <v>1000</v>
      </c>
      <c r="B634" s="13" t="str">
        <f>IFERROR(__xludf.DUMMYFUNCTION("""COMPUTED_VALUE"""),"FOUNTAIN 8")</f>
        <v>FOUNTAIN 8</v>
      </c>
      <c r="C634" s="14" t="str">
        <f>IFERROR(__xludf.DUMMYFUNCTION("""COMPUTED_VALUE"""),"03027")</f>
        <v>03027</v>
      </c>
      <c r="D634" s="13" t="str">
        <f>IFERROR(__xludf.DUMMYFUNCTION("""COMPUTED_VALUE"""),"EAGLESIDE ELEMENTARY SCHOOL")</f>
        <v>EAGLESIDE ELEMENTARY SCHOOL</v>
      </c>
      <c r="E634" s="13" t="str">
        <f>IFERROR(__xludf.DUMMYFUNCTION("""COMPUTED_VALUE"""),"Group 1")</f>
        <v>Group 1</v>
      </c>
      <c r="F634" s="13" t="str">
        <f>IFERROR(__xludf.DUMMYFUNCTION("""COMPUTED_VALUE"""),"2024 - 2025")</f>
        <v>2024 - 2025</v>
      </c>
      <c r="G634" s="13" t="str">
        <f>IFERROR(__xludf.DUMMYFUNCTION("""COMPUTED_VALUE"""),"2023 - 2024")</f>
        <v>2023 - 2024</v>
      </c>
      <c r="H634" s="13">
        <f>IFERROR(__xludf.DUMMYFUNCTION("""COMPUTED_VALUE"""),66.24)</f>
        <v>66.24</v>
      </c>
      <c r="I634" s="15">
        <f>IFERROR(__xludf.DUMMYFUNCTION("""COMPUTED_VALUE"""),33.760000000000005)</f>
        <v>33.76</v>
      </c>
    </row>
    <row r="635">
      <c r="A635" s="13" t="str">
        <f>IFERROR(__xludf.DUMMYFUNCTION("""COMPUTED_VALUE"""),"1000")</f>
        <v>1000</v>
      </c>
      <c r="B635" s="13" t="str">
        <f>IFERROR(__xludf.DUMMYFUNCTION("""COMPUTED_VALUE"""),"FOUNTAIN 8")</f>
        <v>FOUNTAIN 8</v>
      </c>
      <c r="C635" s="14" t="str">
        <f>IFERROR(__xludf.DUMMYFUNCTION("""COMPUTED_VALUE"""),"03106")</f>
        <v>03106</v>
      </c>
      <c r="D635" s="13" t="str">
        <f>IFERROR(__xludf.DUMMYFUNCTION("""COMPUTED_VALUE"""),"FOUNTAIN MIDDLE SCHOOL")</f>
        <v>FOUNTAIN MIDDLE SCHOOL</v>
      </c>
      <c r="E635" s="13" t="str">
        <f>IFERROR(__xludf.DUMMYFUNCTION("""COMPUTED_VALUE"""),"Group 1")</f>
        <v>Group 1</v>
      </c>
      <c r="F635" s="13" t="str">
        <f>IFERROR(__xludf.DUMMYFUNCTION("""COMPUTED_VALUE"""),"2024 - 2025")</f>
        <v>2024 - 2025</v>
      </c>
      <c r="G635" s="13" t="str">
        <f>IFERROR(__xludf.DUMMYFUNCTION("""COMPUTED_VALUE"""),"2023 - 2024")</f>
        <v>2023 - 2024</v>
      </c>
      <c r="H635" s="13">
        <f>IFERROR(__xludf.DUMMYFUNCTION("""COMPUTED_VALUE"""),66.24)</f>
        <v>66.24</v>
      </c>
      <c r="I635" s="15">
        <f>IFERROR(__xludf.DUMMYFUNCTION("""COMPUTED_VALUE"""),33.760000000000005)</f>
        <v>33.76</v>
      </c>
    </row>
    <row r="636">
      <c r="A636" s="13" t="str">
        <f>IFERROR(__xludf.DUMMYFUNCTION("""COMPUTED_VALUE"""),"1000")</f>
        <v>1000</v>
      </c>
      <c r="B636" s="13" t="str">
        <f>IFERROR(__xludf.DUMMYFUNCTION("""COMPUTED_VALUE"""),"FOUNTAIN 8")</f>
        <v>FOUNTAIN 8</v>
      </c>
      <c r="C636" s="14" t="str">
        <f>IFERROR(__xludf.DUMMYFUNCTION("""COMPUTED_VALUE"""),"04474")</f>
        <v>04474</v>
      </c>
      <c r="D636" s="13" t="str">
        <f>IFERROR(__xludf.DUMMYFUNCTION("""COMPUTED_VALUE"""),"JORDAHL ELEMENTARY SCHOOL")</f>
        <v>JORDAHL ELEMENTARY SCHOOL</v>
      </c>
      <c r="E636" s="13" t="str">
        <f>IFERROR(__xludf.DUMMYFUNCTION("""COMPUTED_VALUE"""),"Group 1")</f>
        <v>Group 1</v>
      </c>
      <c r="F636" s="13" t="str">
        <f>IFERROR(__xludf.DUMMYFUNCTION("""COMPUTED_VALUE"""),"2024 - 2025")</f>
        <v>2024 - 2025</v>
      </c>
      <c r="G636" s="13" t="str">
        <f>IFERROR(__xludf.DUMMYFUNCTION("""COMPUTED_VALUE"""),"2023 - 2024")</f>
        <v>2023 - 2024</v>
      </c>
      <c r="H636" s="13">
        <f>IFERROR(__xludf.DUMMYFUNCTION("""COMPUTED_VALUE"""),66.24)</f>
        <v>66.24</v>
      </c>
      <c r="I636" s="15">
        <f>IFERROR(__xludf.DUMMYFUNCTION("""COMPUTED_VALUE"""),33.760000000000005)</f>
        <v>33.76</v>
      </c>
    </row>
    <row r="637">
      <c r="A637" s="13" t="str">
        <f>IFERROR(__xludf.DUMMYFUNCTION("""COMPUTED_VALUE"""),"1000")</f>
        <v>1000</v>
      </c>
      <c r="B637" s="13" t="str">
        <f>IFERROR(__xludf.DUMMYFUNCTION("""COMPUTED_VALUE"""),"FOUNTAIN 8")</f>
        <v>FOUNTAIN 8</v>
      </c>
      <c r="C637" s="14" t="str">
        <f>IFERROR(__xludf.DUMMYFUNCTION("""COMPUTED_VALUE"""),"03110")</f>
        <v>03110</v>
      </c>
      <c r="D637" s="13" t="str">
        <f>IFERROR(__xludf.DUMMYFUNCTION("""COMPUTED_VALUE"""),"FOUNTAIN-FORT CARSON HIGH SCHOOL")</f>
        <v>FOUNTAIN-FORT CARSON HIGH SCHOOL</v>
      </c>
      <c r="E637" s="13" t="str">
        <f>IFERROR(__xludf.DUMMYFUNCTION("""COMPUTED_VALUE"""),"Group 2")</f>
        <v>Group 2</v>
      </c>
      <c r="F637" s="13" t="str">
        <f>IFERROR(__xludf.DUMMYFUNCTION("""COMPUTED_VALUE"""),"2024 - 2025")</f>
        <v>2024 - 2025</v>
      </c>
      <c r="G637" s="13" t="str">
        <f>IFERROR(__xludf.DUMMYFUNCTION("""COMPUTED_VALUE"""),"2023 - 2024")</f>
        <v>2023 - 2024</v>
      </c>
      <c r="H637" s="13">
        <f>IFERROR(__xludf.DUMMYFUNCTION("""COMPUTED_VALUE"""),53.18)</f>
        <v>53.18</v>
      </c>
      <c r="I637" s="15">
        <f>IFERROR(__xludf.DUMMYFUNCTION("""COMPUTED_VALUE"""),46.82)</f>
        <v>46.82</v>
      </c>
    </row>
    <row r="638">
      <c r="A638" s="13" t="str">
        <f>IFERROR(__xludf.DUMMYFUNCTION("""COMPUTED_VALUE"""),"1000")</f>
        <v>1000</v>
      </c>
      <c r="B638" s="13" t="str">
        <f>IFERROR(__xludf.DUMMYFUNCTION("""COMPUTED_VALUE"""),"FOUNTAIN 8")</f>
        <v>FOUNTAIN 8</v>
      </c>
      <c r="C638" s="14" t="str">
        <f>IFERROR(__xludf.DUMMYFUNCTION("""COMPUTED_VALUE"""),"00203")</f>
        <v>00203</v>
      </c>
      <c r="D638" s="13" t="str">
        <f>IFERROR(__xludf.DUMMYFUNCTION("""COMPUTED_VALUE"""),"Welte Education Center")</f>
        <v>Welte Education Center</v>
      </c>
      <c r="E638" s="13" t="str">
        <f>IFERROR(__xludf.DUMMYFUNCTION("""COMPUTED_VALUE"""),"Group 3")</f>
        <v>Group 3</v>
      </c>
      <c r="F638" s="13" t="str">
        <f>IFERROR(__xludf.DUMMYFUNCTION("""COMPUTED_VALUE"""),"2024 - 2025")</f>
        <v>2024 - 2025</v>
      </c>
      <c r="G638" s="13" t="str">
        <f>IFERROR(__xludf.DUMMYFUNCTION("""COMPUTED_VALUE"""),"2023 - 2024")</f>
        <v>2023 - 2024</v>
      </c>
      <c r="H638" s="13">
        <f>IFERROR(__xludf.DUMMYFUNCTION("""COMPUTED_VALUE"""),86.46)</f>
        <v>86.46</v>
      </c>
      <c r="I638" s="15">
        <f>IFERROR(__xludf.DUMMYFUNCTION("""COMPUTED_VALUE"""),13.540000000000006)</f>
        <v>13.54</v>
      </c>
    </row>
    <row r="639">
      <c r="A639" s="13" t="str">
        <f>IFERROR(__xludf.DUMMYFUNCTION("""COMPUTED_VALUE"""),"1000")</f>
        <v>1000</v>
      </c>
      <c r="B639" s="13" t="str">
        <f>IFERROR(__xludf.DUMMYFUNCTION("""COMPUTED_VALUE"""),"FOUNTAIN 8")</f>
        <v>FOUNTAIN 8</v>
      </c>
      <c r="C639" s="14" t="str">
        <f>IFERROR(__xludf.DUMMYFUNCTION("""COMPUTED_VALUE"""),"03102")</f>
        <v>03102</v>
      </c>
      <c r="D639" s="13" t="str">
        <f>IFERROR(__xludf.DUMMYFUNCTION("""COMPUTED_VALUE"""),"ARAGON ELEMENTARY SCHOOL")</f>
        <v>ARAGON ELEMENTARY SCHOOL</v>
      </c>
      <c r="E639" s="13" t="str">
        <f>IFERROR(__xludf.DUMMYFUNCTION("""COMPUTED_VALUE"""),"Group 3")</f>
        <v>Group 3</v>
      </c>
      <c r="F639" s="13" t="str">
        <f>IFERROR(__xludf.DUMMYFUNCTION("""COMPUTED_VALUE"""),"2024 - 2025")</f>
        <v>2024 - 2025</v>
      </c>
      <c r="G639" s="13" t="str">
        <f>IFERROR(__xludf.DUMMYFUNCTION("""COMPUTED_VALUE"""),"2023 - 2024")</f>
        <v>2023 - 2024</v>
      </c>
      <c r="H639" s="13">
        <f>IFERROR(__xludf.DUMMYFUNCTION("""COMPUTED_VALUE"""),86.46)</f>
        <v>86.46</v>
      </c>
      <c r="I639" s="15">
        <f>IFERROR(__xludf.DUMMYFUNCTION("""COMPUTED_VALUE"""),13.540000000000006)</f>
        <v>13.54</v>
      </c>
    </row>
    <row r="640">
      <c r="A640" s="13" t="str">
        <f>IFERROR(__xludf.DUMMYFUNCTION("""COMPUTED_VALUE"""),"1000")</f>
        <v>1000</v>
      </c>
      <c r="B640" s="13" t="str">
        <f>IFERROR(__xludf.DUMMYFUNCTION("""COMPUTED_VALUE"""),"FOUNTAIN 8")</f>
        <v>FOUNTAIN 8</v>
      </c>
      <c r="C640" s="14" t="str">
        <f>IFERROR(__xludf.DUMMYFUNCTION("""COMPUTED_VALUE"""),"03108")</f>
        <v>03108</v>
      </c>
      <c r="D640" s="13" t="str">
        <f>IFERROR(__xludf.DUMMYFUNCTION("""COMPUTED_VALUE"""),"MESA ELEMENTARY SCHOOL")</f>
        <v>MESA ELEMENTARY SCHOOL</v>
      </c>
      <c r="E640" s="13" t="str">
        <f>IFERROR(__xludf.DUMMYFUNCTION("""COMPUTED_VALUE"""),"Group 3")</f>
        <v>Group 3</v>
      </c>
      <c r="F640" s="13" t="str">
        <f>IFERROR(__xludf.DUMMYFUNCTION("""COMPUTED_VALUE"""),"2024 - 2025")</f>
        <v>2024 - 2025</v>
      </c>
      <c r="G640" s="13" t="str">
        <f>IFERROR(__xludf.DUMMYFUNCTION("""COMPUTED_VALUE"""),"2023 - 2024")</f>
        <v>2023 - 2024</v>
      </c>
      <c r="H640" s="13">
        <f>IFERROR(__xludf.DUMMYFUNCTION("""COMPUTED_VALUE"""),86.46)</f>
        <v>86.46</v>
      </c>
      <c r="I640" s="15">
        <f>IFERROR(__xludf.DUMMYFUNCTION("""COMPUTED_VALUE"""),13.540000000000006)</f>
        <v>13.54</v>
      </c>
    </row>
    <row r="641">
      <c r="A641" s="13" t="str">
        <f>IFERROR(__xludf.DUMMYFUNCTION("""COMPUTED_VALUE"""),"1010")</f>
        <v>1010</v>
      </c>
      <c r="B641" s="13" t="str">
        <f>IFERROR(__xludf.DUMMYFUNCTION("""COMPUTED_VALUE"""),"COLORADO SPRINGS 11")</f>
        <v>COLORADO SPRINGS 11</v>
      </c>
      <c r="C641" s="14" t="str">
        <f>IFERROR(__xludf.DUMMYFUNCTION("""COMPUTED_VALUE"""),"01625")</f>
        <v>01625</v>
      </c>
      <c r="D641" s="13" t="str">
        <f>IFERROR(__xludf.DUMMYFUNCTION("""COMPUTED_VALUE"""),"MCAULIFFE ELEMENTARY")</f>
        <v>MCAULIFFE ELEMENTARY</v>
      </c>
      <c r="E641" s="13" t="str">
        <f>IFERROR(__xludf.DUMMYFUNCTION("""COMPUTED_VALUE"""),"Group 1")</f>
        <v>Group 1</v>
      </c>
      <c r="F641" s="13" t="str">
        <f>IFERROR(__xludf.DUMMYFUNCTION("""COMPUTED_VALUE"""),"2024 - 2025")</f>
        <v>2024 - 2025</v>
      </c>
      <c r="G641" s="13" t="str">
        <f>IFERROR(__xludf.DUMMYFUNCTION("""COMPUTED_VALUE"""),"2023 - 2024")</f>
        <v>2023 - 2024</v>
      </c>
      <c r="H641" s="13">
        <f>IFERROR(__xludf.DUMMYFUNCTION("""COMPUTED_VALUE"""),69.38)</f>
        <v>69.38</v>
      </c>
      <c r="I641" s="15">
        <f>IFERROR(__xludf.DUMMYFUNCTION("""COMPUTED_VALUE"""),30.620000000000005)</f>
        <v>30.62</v>
      </c>
    </row>
    <row r="642">
      <c r="A642" s="13" t="str">
        <f>IFERROR(__xludf.DUMMYFUNCTION("""COMPUTED_VALUE"""),"1010")</f>
        <v>1010</v>
      </c>
      <c r="B642" s="13" t="str">
        <f>IFERROR(__xludf.DUMMYFUNCTION("""COMPUTED_VALUE"""),"COLORADO SPRINGS 11")</f>
        <v>COLORADO SPRINGS 11</v>
      </c>
      <c r="C642" s="14" t="str">
        <f>IFERROR(__xludf.DUMMYFUNCTION("""COMPUTED_VALUE"""),"02202")</f>
        <v>02202</v>
      </c>
      <c r="D642" s="13" t="str">
        <f>IFERROR(__xludf.DUMMYFUNCTION("""COMPUTED_VALUE"""),"DOHERTY HIGH SCHOOL")</f>
        <v>DOHERTY HIGH SCHOOL</v>
      </c>
      <c r="E642" s="13" t="str">
        <f>IFERROR(__xludf.DUMMYFUNCTION("""COMPUTED_VALUE"""),"Group 1")</f>
        <v>Group 1</v>
      </c>
      <c r="F642" s="13" t="str">
        <f>IFERROR(__xludf.DUMMYFUNCTION("""COMPUTED_VALUE"""),"2024 - 2025")</f>
        <v>2024 - 2025</v>
      </c>
      <c r="G642" s="13" t="str">
        <f>IFERROR(__xludf.DUMMYFUNCTION("""COMPUTED_VALUE"""),"2023 - 2024")</f>
        <v>2023 - 2024</v>
      </c>
      <c r="H642" s="13">
        <f>IFERROR(__xludf.DUMMYFUNCTION("""COMPUTED_VALUE"""),69.38)</f>
        <v>69.38</v>
      </c>
      <c r="I642" s="15">
        <f>IFERROR(__xludf.DUMMYFUNCTION("""COMPUTED_VALUE"""),30.620000000000005)</f>
        <v>30.62</v>
      </c>
    </row>
    <row r="643">
      <c r="A643" s="13" t="str">
        <f>IFERROR(__xludf.DUMMYFUNCTION("""COMPUTED_VALUE"""),"1010")</f>
        <v>1010</v>
      </c>
      <c r="B643" s="13" t="str">
        <f>IFERROR(__xludf.DUMMYFUNCTION("""COMPUTED_VALUE"""),"COLORADO SPRINGS 11")</f>
        <v>COLORADO SPRINGS 11</v>
      </c>
      <c r="C643" s="14" t="str">
        <f>IFERROR(__xludf.DUMMYFUNCTION("""COMPUTED_VALUE"""),"02528")</f>
        <v>02528</v>
      </c>
      <c r="D643" s="13" t="str">
        <f>IFERROR(__xludf.DUMMYFUNCTION("""COMPUTED_VALUE"""),"NIKOLA TESLA EDUCATION OPPORTUNITY CENTER")</f>
        <v>NIKOLA TESLA EDUCATION OPPORTUNITY CENTER</v>
      </c>
      <c r="E643" s="13" t="str">
        <f>IFERROR(__xludf.DUMMYFUNCTION("""COMPUTED_VALUE"""),"Group 1")</f>
        <v>Group 1</v>
      </c>
      <c r="F643" s="13" t="str">
        <f>IFERROR(__xludf.DUMMYFUNCTION("""COMPUTED_VALUE"""),"2024 - 2025")</f>
        <v>2024 - 2025</v>
      </c>
      <c r="G643" s="13" t="str">
        <f>IFERROR(__xludf.DUMMYFUNCTION("""COMPUTED_VALUE"""),"2023 - 2024")</f>
        <v>2023 - 2024</v>
      </c>
      <c r="H643" s="13">
        <f>IFERROR(__xludf.DUMMYFUNCTION("""COMPUTED_VALUE"""),69.38)</f>
        <v>69.38</v>
      </c>
      <c r="I643" s="15">
        <f>IFERROR(__xludf.DUMMYFUNCTION("""COMPUTED_VALUE"""),30.620000000000005)</f>
        <v>30.62</v>
      </c>
    </row>
    <row r="644">
      <c r="A644" s="13" t="str">
        <f>IFERROR(__xludf.DUMMYFUNCTION("""COMPUTED_VALUE"""),"1010")</f>
        <v>1010</v>
      </c>
      <c r="B644" s="13" t="str">
        <f>IFERROR(__xludf.DUMMYFUNCTION("""COMPUTED_VALUE"""),"COLORADO SPRINGS 11")</f>
        <v>COLORADO SPRINGS 11</v>
      </c>
      <c r="C644" s="14" t="str">
        <f>IFERROR(__xludf.DUMMYFUNCTION("""COMPUTED_VALUE"""),"06680")</f>
        <v>06680</v>
      </c>
      <c r="D644" s="13" t="str">
        <f>IFERROR(__xludf.DUMMYFUNCTION("""COMPUTED_VALUE"""),"PALMER HIGH SCHOOL")</f>
        <v>PALMER HIGH SCHOOL</v>
      </c>
      <c r="E644" s="13" t="str">
        <f>IFERROR(__xludf.DUMMYFUNCTION("""COMPUTED_VALUE"""),"Group 1")</f>
        <v>Group 1</v>
      </c>
      <c r="F644" s="13" t="str">
        <f>IFERROR(__xludf.DUMMYFUNCTION("""COMPUTED_VALUE"""),"2024 - 2025")</f>
        <v>2024 - 2025</v>
      </c>
      <c r="G644" s="13" t="str">
        <f>IFERROR(__xludf.DUMMYFUNCTION("""COMPUTED_VALUE"""),"2023 - 2024")</f>
        <v>2023 - 2024</v>
      </c>
      <c r="H644" s="13">
        <f>IFERROR(__xludf.DUMMYFUNCTION("""COMPUTED_VALUE"""),69.38)</f>
        <v>69.38</v>
      </c>
      <c r="I644" s="15">
        <f>IFERROR(__xludf.DUMMYFUNCTION("""COMPUTED_VALUE"""),30.620000000000005)</f>
        <v>30.62</v>
      </c>
    </row>
    <row r="645">
      <c r="A645" s="13" t="str">
        <f>IFERROR(__xludf.DUMMYFUNCTION("""COMPUTED_VALUE"""),"1010")</f>
        <v>1010</v>
      </c>
      <c r="B645" s="13" t="str">
        <f>IFERROR(__xludf.DUMMYFUNCTION("""COMPUTED_VALUE"""),"COLORADO SPRINGS 11")</f>
        <v>COLORADO SPRINGS 11</v>
      </c>
      <c r="C645" s="14" t="str">
        <f>IFERROR(__xludf.DUMMYFUNCTION("""COMPUTED_VALUE"""),"07705")</f>
        <v>07705</v>
      </c>
      <c r="D645" s="13" t="str">
        <f>IFERROR(__xludf.DUMMYFUNCTION("""COMPUTED_VALUE"""),"SCOTT ELEMENTARY SCHOOL")</f>
        <v>SCOTT ELEMENTARY SCHOOL</v>
      </c>
      <c r="E645" s="13" t="str">
        <f>IFERROR(__xludf.DUMMYFUNCTION("""COMPUTED_VALUE"""),"Group 1")</f>
        <v>Group 1</v>
      </c>
      <c r="F645" s="13" t="str">
        <f>IFERROR(__xludf.DUMMYFUNCTION("""COMPUTED_VALUE"""),"2024 - 2025")</f>
        <v>2024 - 2025</v>
      </c>
      <c r="G645" s="13" t="str">
        <f>IFERROR(__xludf.DUMMYFUNCTION("""COMPUTED_VALUE"""),"2023 - 2024")</f>
        <v>2023 - 2024</v>
      </c>
      <c r="H645" s="13">
        <f>IFERROR(__xludf.DUMMYFUNCTION("""COMPUTED_VALUE"""),69.38)</f>
        <v>69.38</v>
      </c>
      <c r="I645" s="15">
        <f>IFERROR(__xludf.DUMMYFUNCTION("""COMPUTED_VALUE"""),30.620000000000005)</f>
        <v>30.62</v>
      </c>
    </row>
    <row r="646">
      <c r="A646" s="13" t="str">
        <f>IFERROR(__xludf.DUMMYFUNCTION("""COMPUTED_VALUE"""),"1010")</f>
        <v>1010</v>
      </c>
      <c r="B646" s="13" t="str">
        <f>IFERROR(__xludf.DUMMYFUNCTION("""COMPUTED_VALUE"""),"COLORADO SPRINGS 11")</f>
        <v>COLORADO SPRINGS 11</v>
      </c>
      <c r="C646" s="14" t="str">
        <f>IFERROR(__xludf.DUMMYFUNCTION("""COMPUTED_VALUE"""),"00269")</f>
        <v>00269</v>
      </c>
      <c r="D646" s="13" t="str">
        <f>IFERROR(__xludf.DUMMYFUNCTION("""COMPUTED_VALUE"""),"Achieve Online School")</f>
        <v>Achieve Online School</v>
      </c>
      <c r="E646" s="13" t="str">
        <f>IFERROR(__xludf.DUMMYFUNCTION("""COMPUTED_VALUE"""),"Group 1")</f>
        <v>Group 1</v>
      </c>
      <c r="F646" s="13" t="str">
        <f>IFERROR(__xludf.DUMMYFUNCTION("""COMPUTED_VALUE"""),"2024 - 2025")</f>
        <v>2024 - 2025</v>
      </c>
      <c r="G646" s="13" t="str">
        <f>IFERROR(__xludf.DUMMYFUNCTION("""COMPUTED_VALUE"""),"2023 - 2024")</f>
        <v>2023 - 2024</v>
      </c>
      <c r="H646" s="13">
        <f>IFERROR(__xludf.DUMMYFUNCTION("""COMPUTED_VALUE"""),69.38)</f>
        <v>69.38</v>
      </c>
      <c r="I646" s="15">
        <f>IFERROR(__xludf.DUMMYFUNCTION("""COMPUTED_VALUE"""),30.620000000000005)</f>
        <v>30.62</v>
      </c>
    </row>
    <row r="647">
      <c r="A647" s="13" t="str">
        <f>IFERROR(__xludf.DUMMYFUNCTION("""COMPUTED_VALUE"""),"1010")</f>
        <v>1010</v>
      </c>
      <c r="B647" s="13" t="str">
        <f>IFERROR(__xludf.DUMMYFUNCTION("""COMPUTED_VALUE"""),"COLORADO SPRINGS 11")</f>
        <v>COLORADO SPRINGS 11</v>
      </c>
      <c r="C647" s="14" t="str">
        <f>IFERROR(__xludf.DUMMYFUNCTION("""COMPUTED_VALUE"""),"03326")</f>
        <v>03326</v>
      </c>
      <c r="D647" s="13" t="str">
        <f>IFERROR(__xludf.DUMMYFUNCTION("""COMPUTED_VALUE"""),"Colorado International Language Academy")</f>
        <v>Colorado International Language Academy</v>
      </c>
      <c r="E647" s="13" t="str">
        <f>IFERROR(__xludf.DUMMYFUNCTION("""COMPUTED_VALUE"""),"Group 1")</f>
        <v>Group 1</v>
      </c>
      <c r="F647" s="13" t="str">
        <f>IFERROR(__xludf.DUMMYFUNCTION("""COMPUTED_VALUE"""),"2024 - 2025")</f>
        <v>2024 - 2025</v>
      </c>
      <c r="G647" s="13" t="str">
        <f>IFERROR(__xludf.DUMMYFUNCTION("""COMPUTED_VALUE"""),"2023 - 2024")</f>
        <v>2023 - 2024</v>
      </c>
      <c r="H647" s="13">
        <f>IFERROR(__xludf.DUMMYFUNCTION("""COMPUTED_VALUE"""),69.38)</f>
        <v>69.38</v>
      </c>
      <c r="I647" s="15">
        <f>IFERROR(__xludf.DUMMYFUNCTION("""COMPUTED_VALUE"""),30.620000000000005)</f>
        <v>30.62</v>
      </c>
    </row>
    <row r="648">
      <c r="A648" s="13" t="str">
        <f>IFERROR(__xludf.DUMMYFUNCTION("""COMPUTED_VALUE"""),"1010")</f>
        <v>1010</v>
      </c>
      <c r="B648" s="13" t="str">
        <f>IFERROR(__xludf.DUMMYFUNCTION("""COMPUTED_VALUE"""),"COLORADO SPRINGS 11")</f>
        <v>COLORADO SPRINGS 11</v>
      </c>
      <c r="C648" s="14" t="str">
        <f>IFERROR(__xludf.DUMMYFUNCTION("""COMPUTED_VALUE"""),"03890")</f>
        <v>03890</v>
      </c>
      <c r="D648" s="13" t="str">
        <f>IFERROR(__xludf.DUMMYFUNCTION("""COMPUTED_VALUE"""),"Adams Elementary School")</f>
        <v>Adams Elementary School</v>
      </c>
      <c r="E648" s="13" t="str">
        <f>IFERROR(__xludf.DUMMYFUNCTION("""COMPUTED_VALUE"""),"Group 10")</f>
        <v>Group 10</v>
      </c>
      <c r="F648" s="13" t="str">
        <f>IFERROR(__xludf.DUMMYFUNCTION("""COMPUTED_VALUE"""),"2024 - 2025")</f>
        <v>2024 - 2025</v>
      </c>
      <c r="G648" s="13" t="str">
        <f>IFERROR(__xludf.DUMMYFUNCTION("""COMPUTED_VALUE"""),"2023 - 2024")</f>
        <v>2023 - 2024</v>
      </c>
      <c r="H648" s="13">
        <f>IFERROR(__xludf.DUMMYFUNCTION("""COMPUTED_VALUE"""),100.0)</f>
        <v>100</v>
      </c>
      <c r="I648" s="15">
        <f>IFERROR(__xludf.DUMMYFUNCTION("""COMPUTED_VALUE"""),0.0)</f>
        <v>0</v>
      </c>
    </row>
    <row r="649">
      <c r="A649" s="13" t="str">
        <f>IFERROR(__xludf.DUMMYFUNCTION("""COMPUTED_VALUE"""),"1010")</f>
        <v>1010</v>
      </c>
      <c r="B649" s="13" t="str">
        <f>IFERROR(__xludf.DUMMYFUNCTION("""COMPUTED_VALUE"""),"COLORADO SPRINGS 11")</f>
        <v>COLORADO SPRINGS 11</v>
      </c>
      <c r="C649" s="14" t="str">
        <f>IFERROR(__xludf.DUMMYFUNCTION("""COMPUTED_VALUE"""),"04530")</f>
        <v>04530</v>
      </c>
      <c r="D649" s="13" t="str">
        <f>IFERROR(__xludf.DUMMYFUNCTION("""COMPUTED_VALUE"""),"KELLER ELEMENTARY SCHOOL")</f>
        <v>KELLER ELEMENTARY SCHOOL</v>
      </c>
      <c r="E649" s="13" t="str">
        <f>IFERROR(__xludf.DUMMYFUNCTION("""COMPUTED_VALUE"""),"Group 10")</f>
        <v>Group 10</v>
      </c>
      <c r="F649" s="13" t="str">
        <f>IFERROR(__xludf.DUMMYFUNCTION("""COMPUTED_VALUE"""),"2024 - 2025")</f>
        <v>2024 - 2025</v>
      </c>
      <c r="G649" s="13" t="str">
        <f>IFERROR(__xludf.DUMMYFUNCTION("""COMPUTED_VALUE"""),"2023 - 2024")</f>
        <v>2023 - 2024</v>
      </c>
      <c r="H649" s="13">
        <f>IFERROR(__xludf.DUMMYFUNCTION("""COMPUTED_VALUE"""),100.0)</f>
        <v>100</v>
      </c>
      <c r="I649" s="15">
        <f>IFERROR(__xludf.DUMMYFUNCTION("""COMPUTED_VALUE"""),0.0)</f>
        <v>0</v>
      </c>
    </row>
    <row r="650">
      <c r="A650" s="13" t="str">
        <f>IFERROR(__xludf.DUMMYFUNCTION("""COMPUTED_VALUE"""),"1010")</f>
        <v>1010</v>
      </c>
      <c r="B650" s="13" t="str">
        <f>IFERROR(__xludf.DUMMYFUNCTION("""COMPUTED_VALUE"""),"COLORADO SPRINGS 11")</f>
        <v>COLORADO SPRINGS 11</v>
      </c>
      <c r="C650" s="14" t="str">
        <f>IFERROR(__xludf.DUMMYFUNCTION("""COMPUTED_VALUE"""),"07556")</f>
        <v>07556</v>
      </c>
      <c r="D650" s="13" t="str">
        <f>IFERROR(__xludf.DUMMYFUNCTION("""COMPUTED_VALUE"""),"SABIN MIDDLE SCHOOL")</f>
        <v>SABIN MIDDLE SCHOOL</v>
      </c>
      <c r="E650" s="13" t="str">
        <f>IFERROR(__xludf.DUMMYFUNCTION("""COMPUTED_VALUE"""),"Group 10")</f>
        <v>Group 10</v>
      </c>
      <c r="F650" s="13" t="str">
        <f>IFERROR(__xludf.DUMMYFUNCTION("""COMPUTED_VALUE"""),"2024 - 2025")</f>
        <v>2024 - 2025</v>
      </c>
      <c r="G650" s="13" t="str">
        <f>IFERROR(__xludf.DUMMYFUNCTION("""COMPUTED_VALUE"""),"2023 - 2024")</f>
        <v>2023 - 2024</v>
      </c>
      <c r="H650" s="13">
        <f>IFERROR(__xludf.DUMMYFUNCTION("""COMPUTED_VALUE"""),100.0)</f>
        <v>100</v>
      </c>
      <c r="I650" s="15">
        <f>IFERROR(__xludf.DUMMYFUNCTION("""COMPUTED_VALUE"""),0.0)</f>
        <v>0</v>
      </c>
    </row>
    <row r="651">
      <c r="A651" s="13" t="str">
        <f>IFERROR(__xludf.DUMMYFUNCTION("""COMPUTED_VALUE"""),"1010")</f>
        <v>1010</v>
      </c>
      <c r="B651" s="13" t="str">
        <f>IFERROR(__xludf.DUMMYFUNCTION("""COMPUTED_VALUE"""),"COLORADO SPRINGS 11")</f>
        <v>COLORADO SPRINGS 11</v>
      </c>
      <c r="C651" s="14" t="str">
        <f>IFERROR(__xludf.DUMMYFUNCTION("""COMPUTED_VALUE"""),"00452")</f>
        <v>00452</v>
      </c>
      <c r="D651" s="13" t="str">
        <f>IFERROR(__xludf.DUMMYFUNCTION("""COMPUTED_VALUE"""),"AUDUBON ELEMENTARY SCHOOL")</f>
        <v>AUDUBON ELEMENTARY SCHOOL</v>
      </c>
      <c r="E651" s="13" t="str">
        <f>IFERROR(__xludf.DUMMYFUNCTION("""COMPUTED_VALUE"""),"Group 11")</f>
        <v>Group 11</v>
      </c>
      <c r="F651" s="13" t="str">
        <f>IFERROR(__xludf.DUMMYFUNCTION("""COMPUTED_VALUE"""),"2024 - 2025")</f>
        <v>2024 - 2025</v>
      </c>
      <c r="G651" s="13" t="str">
        <f>IFERROR(__xludf.DUMMYFUNCTION("""COMPUTED_VALUE"""),"2023 - 2024")</f>
        <v>2023 - 2024</v>
      </c>
      <c r="H651" s="13">
        <f>IFERROR(__xludf.DUMMYFUNCTION("""COMPUTED_VALUE"""),99.95)</f>
        <v>99.95</v>
      </c>
      <c r="I651" s="15">
        <f>IFERROR(__xludf.DUMMYFUNCTION("""COMPUTED_VALUE"""),0.04999999999999716)</f>
        <v>0.05</v>
      </c>
    </row>
    <row r="652">
      <c r="A652" s="13" t="str">
        <f>IFERROR(__xludf.DUMMYFUNCTION("""COMPUTED_VALUE"""),"1010")</f>
        <v>1010</v>
      </c>
      <c r="B652" s="13" t="str">
        <f>IFERROR(__xludf.DUMMYFUNCTION("""COMPUTED_VALUE"""),"COLORADO SPRINGS 11")</f>
        <v>COLORADO SPRINGS 11</v>
      </c>
      <c r="C652" s="14" t="str">
        <f>IFERROR(__xludf.DUMMYFUNCTION("""COMPUTED_VALUE"""),"01032")</f>
        <v>01032</v>
      </c>
      <c r="D652" s="13" t="str">
        <f>IFERROR(__xludf.DUMMYFUNCTION("""COMPUTED_VALUE"""),"BRISTOL ELEMENTARY SCHOOL")</f>
        <v>BRISTOL ELEMENTARY SCHOOL</v>
      </c>
      <c r="E652" s="13" t="str">
        <f>IFERROR(__xludf.DUMMYFUNCTION("""COMPUTED_VALUE"""),"Group 11")</f>
        <v>Group 11</v>
      </c>
      <c r="F652" s="13" t="str">
        <f>IFERROR(__xludf.DUMMYFUNCTION("""COMPUTED_VALUE"""),"2024 - 2025")</f>
        <v>2024 - 2025</v>
      </c>
      <c r="G652" s="13" t="str">
        <f>IFERROR(__xludf.DUMMYFUNCTION("""COMPUTED_VALUE"""),"2023 - 2024")</f>
        <v>2023 - 2024</v>
      </c>
      <c r="H652" s="13">
        <f>IFERROR(__xludf.DUMMYFUNCTION("""COMPUTED_VALUE"""),99.95)</f>
        <v>99.95</v>
      </c>
      <c r="I652" s="15">
        <f>IFERROR(__xludf.DUMMYFUNCTION("""COMPUTED_VALUE"""),0.04999999999999716)</f>
        <v>0.05</v>
      </c>
    </row>
    <row r="653">
      <c r="A653" s="13" t="str">
        <f>IFERROR(__xludf.DUMMYFUNCTION("""COMPUTED_VALUE"""),"1010")</f>
        <v>1010</v>
      </c>
      <c r="B653" s="13" t="str">
        <f>IFERROR(__xludf.DUMMYFUNCTION("""COMPUTED_VALUE"""),"COLORADO SPRINGS 11")</f>
        <v>COLORADO SPRINGS 11</v>
      </c>
      <c r="C653" s="14" t="str">
        <f>IFERROR(__xludf.DUMMYFUNCTION("""COMPUTED_VALUE"""),"01340")</f>
        <v>01340</v>
      </c>
      <c r="D653" s="13" t="str">
        <f>IFERROR(__xludf.DUMMYFUNCTION("""COMPUTED_VALUE"""),"CARVER ELEMENTARY SCHOOL")</f>
        <v>CARVER ELEMENTARY SCHOOL</v>
      </c>
      <c r="E653" s="13" t="str">
        <f>IFERROR(__xludf.DUMMYFUNCTION("""COMPUTED_VALUE"""),"Group 11")</f>
        <v>Group 11</v>
      </c>
      <c r="F653" s="13" t="str">
        <f>IFERROR(__xludf.DUMMYFUNCTION("""COMPUTED_VALUE"""),"2024 - 2025")</f>
        <v>2024 - 2025</v>
      </c>
      <c r="G653" s="13" t="str">
        <f>IFERROR(__xludf.DUMMYFUNCTION("""COMPUTED_VALUE"""),"2023 - 2024")</f>
        <v>2023 - 2024</v>
      </c>
      <c r="H653" s="13">
        <f>IFERROR(__xludf.DUMMYFUNCTION("""COMPUTED_VALUE"""),99.95)</f>
        <v>99.95</v>
      </c>
      <c r="I653" s="15">
        <f>IFERROR(__xludf.DUMMYFUNCTION("""COMPUTED_VALUE"""),0.04999999999999716)</f>
        <v>0.05</v>
      </c>
    </row>
    <row r="654">
      <c r="A654" s="13" t="str">
        <f>IFERROR(__xludf.DUMMYFUNCTION("""COMPUTED_VALUE"""),"1010")</f>
        <v>1010</v>
      </c>
      <c r="B654" s="13" t="str">
        <f>IFERROR(__xludf.DUMMYFUNCTION("""COMPUTED_VALUE"""),"COLORADO SPRINGS 11")</f>
        <v>COLORADO SPRINGS 11</v>
      </c>
      <c r="C654" s="14" t="str">
        <f>IFERROR(__xludf.DUMMYFUNCTION("""COMPUTED_VALUE"""),"01798")</f>
        <v>01798</v>
      </c>
      <c r="D654" s="13" t="str">
        <f>IFERROR(__xludf.DUMMYFUNCTION("""COMPUTED_VALUE"""),"COLUMBIA ELEMENTARY SCHOOL")</f>
        <v>COLUMBIA ELEMENTARY SCHOOL</v>
      </c>
      <c r="E654" s="13" t="str">
        <f>IFERROR(__xludf.DUMMYFUNCTION("""COMPUTED_VALUE"""),"Group 11")</f>
        <v>Group 11</v>
      </c>
      <c r="F654" s="13" t="str">
        <f>IFERROR(__xludf.DUMMYFUNCTION("""COMPUTED_VALUE"""),"2024 - 2025")</f>
        <v>2024 - 2025</v>
      </c>
      <c r="G654" s="13" t="str">
        <f>IFERROR(__xludf.DUMMYFUNCTION("""COMPUTED_VALUE"""),"2023 - 2024")</f>
        <v>2023 - 2024</v>
      </c>
      <c r="H654" s="13">
        <f>IFERROR(__xludf.DUMMYFUNCTION("""COMPUTED_VALUE"""),99.95)</f>
        <v>99.95</v>
      </c>
      <c r="I654" s="15">
        <f>IFERROR(__xludf.DUMMYFUNCTION("""COMPUTED_VALUE"""),0.04999999999999716)</f>
        <v>0.05</v>
      </c>
    </row>
    <row r="655">
      <c r="A655" s="13" t="str">
        <f>IFERROR(__xludf.DUMMYFUNCTION("""COMPUTED_VALUE"""),"1010")</f>
        <v>1010</v>
      </c>
      <c r="B655" s="13" t="str">
        <f>IFERROR(__xludf.DUMMYFUNCTION("""COMPUTED_VALUE"""),"COLORADO SPRINGS 11")</f>
        <v>COLORADO SPRINGS 11</v>
      </c>
      <c r="C655" s="14" t="str">
        <f>IFERROR(__xludf.DUMMYFUNCTION("""COMPUTED_VALUE"""),"02510")</f>
        <v>02510</v>
      </c>
      <c r="D655" s="13" t="str">
        <f>IFERROR(__xludf.DUMMYFUNCTION("""COMPUTED_VALUE"""),"EDISON ELEMENTARY SCHOOL")</f>
        <v>EDISON ELEMENTARY SCHOOL</v>
      </c>
      <c r="E655" s="13" t="str">
        <f>IFERROR(__xludf.DUMMYFUNCTION("""COMPUTED_VALUE"""),"Group 11")</f>
        <v>Group 11</v>
      </c>
      <c r="F655" s="13" t="str">
        <f>IFERROR(__xludf.DUMMYFUNCTION("""COMPUTED_VALUE"""),"2024 - 2025")</f>
        <v>2024 - 2025</v>
      </c>
      <c r="G655" s="13" t="str">
        <f>IFERROR(__xludf.DUMMYFUNCTION("""COMPUTED_VALUE"""),"2023 - 2024")</f>
        <v>2023 - 2024</v>
      </c>
      <c r="H655" s="13">
        <f>IFERROR(__xludf.DUMMYFUNCTION("""COMPUTED_VALUE"""),99.95)</f>
        <v>99.95</v>
      </c>
      <c r="I655" s="15">
        <f>IFERROR(__xludf.DUMMYFUNCTION("""COMPUTED_VALUE"""),0.04999999999999716)</f>
        <v>0.05</v>
      </c>
    </row>
    <row r="656">
      <c r="A656" s="13" t="str">
        <f>IFERROR(__xludf.DUMMYFUNCTION("""COMPUTED_VALUE"""),"1010")</f>
        <v>1010</v>
      </c>
      <c r="B656" s="13" t="str">
        <f>IFERROR(__xludf.DUMMYFUNCTION("""COMPUTED_VALUE"""),"COLORADO SPRINGS 11")</f>
        <v>COLORADO SPRINGS 11</v>
      </c>
      <c r="C656" s="14" t="str">
        <f>IFERROR(__xludf.DUMMYFUNCTION("""COMPUTED_VALUE"""),"03218")</f>
        <v>03218</v>
      </c>
      <c r="D656" s="13" t="str">
        <f>IFERROR(__xludf.DUMMYFUNCTION("""COMPUTED_VALUE"""),"FREMONT ELEMENTARY SCHOOL")</f>
        <v>FREMONT ELEMENTARY SCHOOL</v>
      </c>
      <c r="E656" s="13" t="str">
        <f>IFERROR(__xludf.DUMMYFUNCTION("""COMPUTED_VALUE"""),"Group 11")</f>
        <v>Group 11</v>
      </c>
      <c r="F656" s="13" t="str">
        <f>IFERROR(__xludf.DUMMYFUNCTION("""COMPUTED_VALUE"""),"2024 - 2025")</f>
        <v>2024 - 2025</v>
      </c>
      <c r="G656" s="13" t="str">
        <f>IFERROR(__xludf.DUMMYFUNCTION("""COMPUTED_VALUE"""),"2023 - 2024")</f>
        <v>2023 - 2024</v>
      </c>
      <c r="H656" s="13">
        <f>IFERROR(__xludf.DUMMYFUNCTION("""COMPUTED_VALUE"""),99.95)</f>
        <v>99.95</v>
      </c>
      <c r="I656" s="15">
        <f>IFERROR(__xludf.DUMMYFUNCTION("""COMPUTED_VALUE"""),0.04999999999999716)</f>
        <v>0.05</v>
      </c>
    </row>
    <row r="657">
      <c r="A657" s="13" t="str">
        <f>IFERROR(__xludf.DUMMYFUNCTION("""COMPUTED_VALUE"""),"1010")</f>
        <v>1010</v>
      </c>
      <c r="B657" s="13" t="str">
        <f>IFERROR(__xludf.DUMMYFUNCTION("""COMPUTED_VALUE"""),"COLORADO SPRINGS 11")</f>
        <v>COLORADO SPRINGS 11</v>
      </c>
      <c r="C657" s="14" t="str">
        <f>IFERROR(__xludf.DUMMYFUNCTION("""COMPUTED_VALUE"""),"03360")</f>
        <v>03360</v>
      </c>
      <c r="D657" s="13" t="str">
        <f>IFERROR(__xludf.DUMMYFUNCTION("""COMPUTED_VALUE"""),"GALILEO MIDDLE SCHOOL")</f>
        <v>GALILEO MIDDLE SCHOOL</v>
      </c>
      <c r="E657" s="13" t="str">
        <f>IFERROR(__xludf.DUMMYFUNCTION("""COMPUTED_VALUE"""),"Group 11")</f>
        <v>Group 11</v>
      </c>
      <c r="F657" s="13" t="str">
        <f>IFERROR(__xludf.DUMMYFUNCTION("""COMPUTED_VALUE"""),"2024 - 2025")</f>
        <v>2024 - 2025</v>
      </c>
      <c r="G657" s="13" t="str">
        <f>IFERROR(__xludf.DUMMYFUNCTION("""COMPUTED_VALUE"""),"2023 - 2024")</f>
        <v>2023 - 2024</v>
      </c>
      <c r="H657" s="13">
        <f>IFERROR(__xludf.DUMMYFUNCTION("""COMPUTED_VALUE"""),99.95)</f>
        <v>99.95</v>
      </c>
      <c r="I657" s="15">
        <f>IFERROR(__xludf.DUMMYFUNCTION("""COMPUTED_VALUE"""),0.04999999999999716)</f>
        <v>0.05</v>
      </c>
    </row>
    <row r="658">
      <c r="A658" s="13" t="str">
        <f>IFERROR(__xludf.DUMMYFUNCTION("""COMPUTED_VALUE"""),"1010")</f>
        <v>1010</v>
      </c>
      <c r="B658" s="13" t="str">
        <f>IFERROR(__xludf.DUMMYFUNCTION("""COMPUTED_VALUE"""),"COLORADO SPRINGS 11")</f>
        <v>COLORADO SPRINGS 11</v>
      </c>
      <c r="C658" s="14" t="str">
        <f>IFERROR(__xludf.DUMMYFUNCTION("""COMPUTED_VALUE"""),"03592")</f>
        <v>03592</v>
      </c>
      <c r="D658" s="13" t="str">
        <f>IFERROR(__xludf.DUMMYFUNCTION("""COMPUTED_VALUE"""),"GRANT ELEMENTARY SCHOOL")</f>
        <v>GRANT ELEMENTARY SCHOOL</v>
      </c>
      <c r="E658" s="13" t="str">
        <f>IFERROR(__xludf.DUMMYFUNCTION("""COMPUTED_VALUE"""),"Group 11")</f>
        <v>Group 11</v>
      </c>
      <c r="F658" s="13" t="str">
        <f>IFERROR(__xludf.DUMMYFUNCTION("""COMPUTED_VALUE"""),"2024 - 2025")</f>
        <v>2024 - 2025</v>
      </c>
      <c r="G658" s="13" t="str">
        <f>IFERROR(__xludf.DUMMYFUNCTION("""COMPUTED_VALUE"""),"2023 - 2024")</f>
        <v>2023 - 2024</v>
      </c>
      <c r="H658" s="13">
        <f>IFERROR(__xludf.DUMMYFUNCTION("""COMPUTED_VALUE"""),99.95)</f>
        <v>99.95</v>
      </c>
      <c r="I658" s="15">
        <f>IFERROR(__xludf.DUMMYFUNCTION("""COMPUTED_VALUE"""),0.04999999999999716)</f>
        <v>0.05</v>
      </c>
    </row>
    <row r="659">
      <c r="A659" s="13" t="str">
        <f>IFERROR(__xludf.DUMMYFUNCTION("""COMPUTED_VALUE"""),"1010")</f>
        <v>1010</v>
      </c>
      <c r="B659" s="13" t="str">
        <f>IFERROR(__xludf.DUMMYFUNCTION("""COMPUTED_VALUE"""),"COLORADO SPRINGS 11")</f>
        <v>COLORADO SPRINGS 11</v>
      </c>
      <c r="C659" s="14" t="str">
        <f>IFERROR(__xludf.DUMMYFUNCTION("""COMPUTED_VALUE"""),"03920")</f>
        <v>03920</v>
      </c>
      <c r="D659" s="13" t="str">
        <f>IFERROR(__xludf.DUMMYFUNCTION("""COMPUTED_VALUE"""),"HENRY ELEMENTARY SCHOOL")</f>
        <v>HENRY ELEMENTARY SCHOOL</v>
      </c>
      <c r="E659" s="13" t="str">
        <f>IFERROR(__xludf.DUMMYFUNCTION("""COMPUTED_VALUE"""),"Group 11")</f>
        <v>Group 11</v>
      </c>
      <c r="F659" s="13" t="str">
        <f>IFERROR(__xludf.DUMMYFUNCTION("""COMPUTED_VALUE"""),"2024 - 2025")</f>
        <v>2024 - 2025</v>
      </c>
      <c r="G659" s="13" t="str">
        <f>IFERROR(__xludf.DUMMYFUNCTION("""COMPUTED_VALUE"""),"2023 - 2024")</f>
        <v>2023 - 2024</v>
      </c>
      <c r="H659" s="13">
        <f>IFERROR(__xludf.DUMMYFUNCTION("""COMPUTED_VALUE"""),99.95)</f>
        <v>99.95</v>
      </c>
      <c r="I659" s="15">
        <f>IFERROR(__xludf.DUMMYFUNCTION("""COMPUTED_VALUE"""),0.04999999999999716)</f>
        <v>0.05</v>
      </c>
    </row>
    <row r="660">
      <c r="A660" s="13" t="str">
        <f>IFERROR(__xludf.DUMMYFUNCTION("""COMPUTED_VALUE"""),"1010")</f>
        <v>1010</v>
      </c>
      <c r="B660" s="13" t="str">
        <f>IFERROR(__xludf.DUMMYFUNCTION("""COMPUTED_VALUE"""),"COLORADO SPRINGS 11")</f>
        <v>COLORADO SPRINGS 11</v>
      </c>
      <c r="C660" s="14" t="str">
        <f>IFERROR(__xludf.DUMMYFUNCTION("""COMPUTED_VALUE"""),"04090")</f>
        <v>04090</v>
      </c>
      <c r="D660" s="13" t="str">
        <f>IFERROR(__xludf.DUMMYFUNCTION("""COMPUTED_VALUE"""),"MANN MIDDLE SCHOOL")</f>
        <v>MANN MIDDLE SCHOOL</v>
      </c>
      <c r="E660" s="13" t="str">
        <f>IFERROR(__xludf.DUMMYFUNCTION("""COMPUTED_VALUE"""),"Group 11")</f>
        <v>Group 11</v>
      </c>
      <c r="F660" s="13" t="str">
        <f>IFERROR(__xludf.DUMMYFUNCTION("""COMPUTED_VALUE"""),"2024 - 2025")</f>
        <v>2024 - 2025</v>
      </c>
      <c r="G660" s="13" t="str">
        <f>IFERROR(__xludf.DUMMYFUNCTION("""COMPUTED_VALUE"""),"2023 - 2024")</f>
        <v>2023 - 2024</v>
      </c>
      <c r="H660" s="13">
        <f>IFERROR(__xludf.DUMMYFUNCTION("""COMPUTED_VALUE"""),99.95)</f>
        <v>99.95</v>
      </c>
      <c r="I660" s="15">
        <f>IFERROR(__xludf.DUMMYFUNCTION("""COMPUTED_VALUE"""),0.04999999999999716)</f>
        <v>0.05</v>
      </c>
    </row>
    <row r="661">
      <c r="A661" s="13" t="str">
        <f>IFERROR(__xludf.DUMMYFUNCTION("""COMPUTED_VALUE"""),"1010")</f>
        <v>1010</v>
      </c>
      <c r="B661" s="13" t="str">
        <f>IFERROR(__xludf.DUMMYFUNCTION("""COMPUTED_VALUE"""),"COLORADO SPRINGS 11")</f>
        <v>COLORADO SPRINGS 11</v>
      </c>
      <c r="C661" s="14" t="str">
        <f>IFERROR(__xludf.DUMMYFUNCTION("""COMPUTED_VALUE"""),"04358")</f>
        <v>04358</v>
      </c>
      <c r="D661" s="13" t="str">
        <f>IFERROR(__xludf.DUMMYFUNCTION("""COMPUTED_VALUE"""),"JACKSON ELEMENTARY SCHOOL")</f>
        <v>JACKSON ELEMENTARY SCHOOL</v>
      </c>
      <c r="E661" s="13" t="str">
        <f>IFERROR(__xludf.DUMMYFUNCTION("""COMPUTED_VALUE"""),"Group 11")</f>
        <v>Group 11</v>
      </c>
      <c r="F661" s="13" t="str">
        <f>IFERROR(__xludf.DUMMYFUNCTION("""COMPUTED_VALUE"""),"2024 - 2025")</f>
        <v>2024 - 2025</v>
      </c>
      <c r="G661" s="13" t="str">
        <f>IFERROR(__xludf.DUMMYFUNCTION("""COMPUTED_VALUE"""),"2023 - 2024")</f>
        <v>2023 - 2024</v>
      </c>
      <c r="H661" s="13">
        <f>IFERROR(__xludf.DUMMYFUNCTION("""COMPUTED_VALUE"""),99.95)</f>
        <v>99.95</v>
      </c>
      <c r="I661" s="15">
        <f>IFERROR(__xludf.DUMMYFUNCTION("""COMPUTED_VALUE"""),0.04999999999999716)</f>
        <v>0.05</v>
      </c>
    </row>
    <row r="662">
      <c r="A662" s="13" t="str">
        <f>IFERROR(__xludf.DUMMYFUNCTION("""COMPUTED_VALUE"""),"1010")</f>
        <v>1010</v>
      </c>
      <c r="B662" s="13" t="str">
        <f>IFERROR(__xludf.DUMMYFUNCTION("""COMPUTED_VALUE"""),"COLORADO SPRINGS 11")</f>
        <v>COLORADO SPRINGS 11</v>
      </c>
      <c r="C662" s="14" t="str">
        <f>IFERROR(__xludf.DUMMYFUNCTION("""COMPUTED_VALUE"""),"05404")</f>
        <v>05404</v>
      </c>
      <c r="D662" s="13" t="str">
        <f>IFERROR(__xludf.DUMMYFUNCTION("""COMPUTED_VALUE"""),"MADISON ELEMENTARY SCHOOL")</f>
        <v>MADISON ELEMENTARY SCHOOL</v>
      </c>
      <c r="E662" s="13" t="str">
        <f>IFERROR(__xludf.DUMMYFUNCTION("""COMPUTED_VALUE"""),"Group 11")</f>
        <v>Group 11</v>
      </c>
      <c r="F662" s="13" t="str">
        <f>IFERROR(__xludf.DUMMYFUNCTION("""COMPUTED_VALUE"""),"2024 - 2025")</f>
        <v>2024 - 2025</v>
      </c>
      <c r="G662" s="13" t="str">
        <f>IFERROR(__xludf.DUMMYFUNCTION("""COMPUTED_VALUE"""),"2023 - 2024")</f>
        <v>2023 - 2024</v>
      </c>
      <c r="H662" s="13">
        <f>IFERROR(__xludf.DUMMYFUNCTION("""COMPUTED_VALUE"""),99.95)</f>
        <v>99.95</v>
      </c>
      <c r="I662" s="15">
        <f>IFERROR(__xludf.DUMMYFUNCTION("""COMPUTED_VALUE"""),0.04999999999999716)</f>
        <v>0.05</v>
      </c>
    </row>
    <row r="663">
      <c r="A663" s="13" t="str">
        <f>IFERROR(__xludf.DUMMYFUNCTION("""COMPUTED_VALUE"""),"1010")</f>
        <v>1010</v>
      </c>
      <c r="B663" s="13" t="str">
        <f>IFERROR(__xludf.DUMMYFUNCTION("""COMPUTED_VALUE"""),"COLORADO SPRINGS 11")</f>
        <v>COLORADO SPRINGS 11</v>
      </c>
      <c r="C663" s="14" t="str">
        <f>IFERROR(__xludf.DUMMYFUNCTION("""COMPUTED_VALUE"""),"05576")</f>
        <v>05576</v>
      </c>
      <c r="D663" s="13" t="str">
        <f>IFERROR(__xludf.DUMMYFUNCTION("""COMPUTED_VALUE"""),"TWAIN ELEMENTARY SCHOOL")</f>
        <v>TWAIN ELEMENTARY SCHOOL</v>
      </c>
      <c r="E663" s="13" t="str">
        <f>IFERROR(__xludf.DUMMYFUNCTION("""COMPUTED_VALUE"""),"Group 11")</f>
        <v>Group 11</v>
      </c>
      <c r="F663" s="13" t="str">
        <f>IFERROR(__xludf.DUMMYFUNCTION("""COMPUTED_VALUE"""),"2024 - 2025")</f>
        <v>2024 - 2025</v>
      </c>
      <c r="G663" s="13" t="str">
        <f>IFERROR(__xludf.DUMMYFUNCTION("""COMPUTED_VALUE"""),"2023 - 2024")</f>
        <v>2023 - 2024</v>
      </c>
      <c r="H663" s="13">
        <f>IFERROR(__xludf.DUMMYFUNCTION("""COMPUTED_VALUE"""),99.95)</f>
        <v>99.95</v>
      </c>
      <c r="I663" s="15">
        <f>IFERROR(__xludf.DUMMYFUNCTION("""COMPUTED_VALUE"""),0.04999999999999716)</f>
        <v>0.05</v>
      </c>
    </row>
    <row r="664">
      <c r="A664" s="13" t="str">
        <f>IFERROR(__xludf.DUMMYFUNCTION("""COMPUTED_VALUE"""),"1010")</f>
        <v>1010</v>
      </c>
      <c r="B664" s="13" t="str">
        <f>IFERROR(__xludf.DUMMYFUNCTION("""COMPUTED_VALUE"""),"COLORADO SPRINGS 11")</f>
        <v>COLORADO SPRINGS 11</v>
      </c>
      <c r="C664" s="14" t="str">
        <f>IFERROR(__xludf.DUMMYFUNCTION("""COMPUTED_VALUE"""),"05604")</f>
        <v>05604</v>
      </c>
      <c r="D664" s="13" t="str">
        <f>IFERROR(__xludf.DUMMYFUNCTION("""COMPUTED_VALUE"""),"KING ELEMENTARY SCHOOL")</f>
        <v>KING ELEMENTARY SCHOOL</v>
      </c>
      <c r="E664" s="13" t="str">
        <f>IFERROR(__xludf.DUMMYFUNCTION("""COMPUTED_VALUE"""),"Group 11")</f>
        <v>Group 11</v>
      </c>
      <c r="F664" s="13" t="str">
        <f>IFERROR(__xludf.DUMMYFUNCTION("""COMPUTED_VALUE"""),"2024 - 2025")</f>
        <v>2024 - 2025</v>
      </c>
      <c r="G664" s="13" t="str">
        <f>IFERROR(__xludf.DUMMYFUNCTION("""COMPUTED_VALUE"""),"2023 - 2024")</f>
        <v>2023 - 2024</v>
      </c>
      <c r="H664" s="13">
        <f>IFERROR(__xludf.DUMMYFUNCTION("""COMPUTED_VALUE"""),99.95)</f>
        <v>99.95</v>
      </c>
      <c r="I664" s="15">
        <f>IFERROR(__xludf.DUMMYFUNCTION("""COMPUTED_VALUE"""),0.04999999999999716)</f>
        <v>0.05</v>
      </c>
    </row>
    <row r="665">
      <c r="A665" s="13" t="str">
        <f>IFERROR(__xludf.DUMMYFUNCTION("""COMPUTED_VALUE"""),"1010")</f>
        <v>1010</v>
      </c>
      <c r="B665" s="13" t="str">
        <f>IFERROR(__xludf.DUMMYFUNCTION("""COMPUTED_VALUE"""),"COLORADO SPRINGS 11")</f>
        <v>COLORADO SPRINGS 11</v>
      </c>
      <c r="C665" s="14" t="str">
        <f>IFERROR(__xludf.DUMMYFUNCTION("""COMPUTED_VALUE"""),"05878")</f>
        <v>05878</v>
      </c>
      <c r="D665" s="13" t="str">
        <f>IFERROR(__xludf.DUMMYFUNCTION("""COMPUTED_VALUE"""),"MIDLAND ELEMENTARY SCHOOL")</f>
        <v>MIDLAND ELEMENTARY SCHOOL</v>
      </c>
      <c r="E665" s="13" t="str">
        <f>IFERROR(__xludf.DUMMYFUNCTION("""COMPUTED_VALUE"""),"Group 11")</f>
        <v>Group 11</v>
      </c>
      <c r="F665" s="13" t="str">
        <f>IFERROR(__xludf.DUMMYFUNCTION("""COMPUTED_VALUE"""),"2024 - 2025")</f>
        <v>2024 - 2025</v>
      </c>
      <c r="G665" s="13" t="str">
        <f>IFERROR(__xludf.DUMMYFUNCTION("""COMPUTED_VALUE"""),"2023 - 2024")</f>
        <v>2023 - 2024</v>
      </c>
      <c r="H665" s="13">
        <f>IFERROR(__xludf.DUMMYFUNCTION("""COMPUTED_VALUE"""),99.95)</f>
        <v>99.95</v>
      </c>
      <c r="I665" s="15">
        <f>IFERROR(__xludf.DUMMYFUNCTION("""COMPUTED_VALUE"""),0.04999999999999716)</f>
        <v>0.05</v>
      </c>
    </row>
    <row r="666">
      <c r="A666" s="13" t="str">
        <f>IFERROR(__xludf.DUMMYFUNCTION("""COMPUTED_VALUE"""),"1010")</f>
        <v>1010</v>
      </c>
      <c r="B666" s="13" t="str">
        <f>IFERROR(__xludf.DUMMYFUNCTION("""COMPUTED_VALUE"""),"COLORADO SPRINGS 11")</f>
        <v>COLORADO SPRINGS 11</v>
      </c>
      <c r="C666" s="14" t="str">
        <f>IFERROR(__xludf.DUMMYFUNCTION("""COMPUTED_VALUE"""),"05948")</f>
        <v>05948</v>
      </c>
      <c r="D666" s="13" t="str">
        <f>IFERROR(__xludf.DUMMYFUNCTION("""COMPUTED_VALUE"""),"MITCHELL HIGH SCHOOL")</f>
        <v>MITCHELL HIGH SCHOOL</v>
      </c>
      <c r="E666" s="13" t="str">
        <f>IFERROR(__xludf.DUMMYFUNCTION("""COMPUTED_VALUE"""),"Group 11")</f>
        <v>Group 11</v>
      </c>
      <c r="F666" s="13" t="str">
        <f>IFERROR(__xludf.DUMMYFUNCTION("""COMPUTED_VALUE"""),"2024 - 2025")</f>
        <v>2024 - 2025</v>
      </c>
      <c r="G666" s="13" t="str">
        <f>IFERROR(__xludf.DUMMYFUNCTION("""COMPUTED_VALUE"""),"2023 - 2024")</f>
        <v>2023 - 2024</v>
      </c>
      <c r="H666" s="13">
        <f>IFERROR(__xludf.DUMMYFUNCTION("""COMPUTED_VALUE"""),99.95)</f>
        <v>99.95</v>
      </c>
      <c r="I666" s="15">
        <f>IFERROR(__xludf.DUMMYFUNCTION("""COMPUTED_VALUE"""),0.04999999999999716)</f>
        <v>0.05</v>
      </c>
    </row>
    <row r="667">
      <c r="A667" s="13" t="str">
        <f>IFERROR(__xludf.DUMMYFUNCTION("""COMPUTED_VALUE"""),"1010")</f>
        <v>1010</v>
      </c>
      <c r="B667" s="13" t="str">
        <f>IFERROR(__xludf.DUMMYFUNCTION("""COMPUTED_VALUE"""),"COLORADO SPRINGS 11")</f>
        <v>COLORADO SPRINGS 11</v>
      </c>
      <c r="C667" s="14" t="str">
        <f>IFERROR(__xludf.DUMMYFUNCTION("""COMPUTED_VALUE"""),"05988")</f>
        <v>05988</v>
      </c>
      <c r="D667" s="13" t="str">
        <f>IFERROR(__xludf.DUMMYFUNCTION("""COMPUTED_VALUE"""),"MONROE ELEMENTARY SCHOOL")</f>
        <v>MONROE ELEMENTARY SCHOOL</v>
      </c>
      <c r="E667" s="13" t="str">
        <f>IFERROR(__xludf.DUMMYFUNCTION("""COMPUTED_VALUE"""),"Group 11")</f>
        <v>Group 11</v>
      </c>
      <c r="F667" s="13" t="str">
        <f>IFERROR(__xludf.DUMMYFUNCTION("""COMPUTED_VALUE"""),"2024 - 2025")</f>
        <v>2024 - 2025</v>
      </c>
      <c r="G667" s="13" t="str">
        <f>IFERROR(__xludf.DUMMYFUNCTION("""COMPUTED_VALUE"""),"2023 - 2024")</f>
        <v>2023 - 2024</v>
      </c>
      <c r="H667" s="13">
        <f>IFERROR(__xludf.DUMMYFUNCTION("""COMPUTED_VALUE"""),99.95)</f>
        <v>99.95</v>
      </c>
      <c r="I667" s="15">
        <f>IFERROR(__xludf.DUMMYFUNCTION("""COMPUTED_VALUE"""),0.04999999999999716)</f>
        <v>0.05</v>
      </c>
    </row>
    <row r="668">
      <c r="A668" s="13" t="str">
        <f>IFERROR(__xludf.DUMMYFUNCTION("""COMPUTED_VALUE"""),"1010")</f>
        <v>1010</v>
      </c>
      <c r="B668" s="13" t="str">
        <f>IFERROR(__xludf.DUMMYFUNCTION("""COMPUTED_VALUE"""),"COLORADO SPRINGS 11")</f>
        <v>COLORADO SPRINGS 11</v>
      </c>
      <c r="C668" s="14" t="str">
        <f>IFERROR(__xludf.DUMMYFUNCTION("""COMPUTED_VALUE"""),"07228")</f>
        <v>07228</v>
      </c>
      <c r="D668" s="13" t="str">
        <f>IFERROR(__xludf.DUMMYFUNCTION("""COMPUTED_VALUE"""),"QUEEN PALMER ELEMENTARY SCHOOL")</f>
        <v>QUEEN PALMER ELEMENTARY SCHOOL</v>
      </c>
      <c r="E668" s="13" t="str">
        <f>IFERROR(__xludf.DUMMYFUNCTION("""COMPUTED_VALUE"""),"Group 11")</f>
        <v>Group 11</v>
      </c>
      <c r="F668" s="13" t="str">
        <f>IFERROR(__xludf.DUMMYFUNCTION("""COMPUTED_VALUE"""),"2024 - 2025")</f>
        <v>2024 - 2025</v>
      </c>
      <c r="G668" s="13" t="str">
        <f>IFERROR(__xludf.DUMMYFUNCTION("""COMPUTED_VALUE"""),"2023 - 2024")</f>
        <v>2023 - 2024</v>
      </c>
      <c r="H668" s="13">
        <f>IFERROR(__xludf.DUMMYFUNCTION("""COMPUTED_VALUE"""),99.95)</f>
        <v>99.95</v>
      </c>
      <c r="I668" s="15">
        <f>IFERROR(__xludf.DUMMYFUNCTION("""COMPUTED_VALUE"""),0.04999999999999716)</f>
        <v>0.05</v>
      </c>
    </row>
    <row r="669">
      <c r="A669" s="13" t="str">
        <f>IFERROR(__xludf.DUMMYFUNCTION("""COMPUTED_VALUE"""),"1010")</f>
        <v>1010</v>
      </c>
      <c r="B669" s="13" t="str">
        <f>IFERROR(__xludf.DUMMYFUNCTION("""COMPUTED_VALUE"""),"COLORADO SPRINGS 11")</f>
        <v>COLORADO SPRINGS 11</v>
      </c>
      <c r="C669" s="14" t="str">
        <f>IFERROR(__xludf.DUMMYFUNCTION("""COMPUTED_VALUE"""),"07482")</f>
        <v>07482</v>
      </c>
      <c r="D669" s="13" t="str">
        <f>IFERROR(__xludf.DUMMYFUNCTION("""COMPUTED_VALUE"""),"ROOSEVELT EDISON CHARTER SCHOOL")</f>
        <v>ROOSEVELT EDISON CHARTER SCHOOL</v>
      </c>
      <c r="E669" s="13" t="str">
        <f>IFERROR(__xludf.DUMMYFUNCTION("""COMPUTED_VALUE"""),"Group 11")</f>
        <v>Group 11</v>
      </c>
      <c r="F669" s="13" t="str">
        <f>IFERROR(__xludf.DUMMYFUNCTION("""COMPUTED_VALUE"""),"2024 - 2025")</f>
        <v>2024 - 2025</v>
      </c>
      <c r="G669" s="13" t="str">
        <f>IFERROR(__xludf.DUMMYFUNCTION("""COMPUTED_VALUE"""),"2023 - 2024")</f>
        <v>2023 - 2024</v>
      </c>
      <c r="H669" s="13">
        <f>IFERROR(__xludf.DUMMYFUNCTION("""COMPUTED_VALUE"""),99.95)</f>
        <v>99.95</v>
      </c>
      <c r="I669" s="15">
        <f>IFERROR(__xludf.DUMMYFUNCTION("""COMPUTED_VALUE"""),0.04999999999999716)</f>
        <v>0.05</v>
      </c>
    </row>
    <row r="670">
      <c r="A670" s="13" t="str">
        <f>IFERROR(__xludf.DUMMYFUNCTION("""COMPUTED_VALUE"""),"1010")</f>
        <v>1010</v>
      </c>
      <c r="B670" s="13" t="str">
        <f>IFERROR(__xludf.DUMMYFUNCTION("""COMPUTED_VALUE"""),"COLORADO SPRINGS 11")</f>
        <v>COLORADO SPRINGS 11</v>
      </c>
      <c r="C670" s="14" t="str">
        <f>IFERROR(__xludf.DUMMYFUNCTION("""COMPUTED_VALUE"""),"07523")</f>
        <v>07523</v>
      </c>
      <c r="D670" s="13" t="str">
        <f>IFERROR(__xludf.DUMMYFUNCTION("""COMPUTED_VALUE"""),"RUSSELL MIDDLE SCHOOL")</f>
        <v>RUSSELL MIDDLE SCHOOL</v>
      </c>
      <c r="E670" s="13" t="str">
        <f>IFERROR(__xludf.DUMMYFUNCTION("""COMPUTED_VALUE"""),"Group 11")</f>
        <v>Group 11</v>
      </c>
      <c r="F670" s="13" t="str">
        <f>IFERROR(__xludf.DUMMYFUNCTION("""COMPUTED_VALUE"""),"2024 - 2025")</f>
        <v>2024 - 2025</v>
      </c>
      <c r="G670" s="13" t="str">
        <f>IFERROR(__xludf.DUMMYFUNCTION("""COMPUTED_VALUE"""),"2023 - 2024")</f>
        <v>2023 - 2024</v>
      </c>
      <c r="H670" s="13">
        <f>IFERROR(__xludf.DUMMYFUNCTION("""COMPUTED_VALUE"""),99.95)</f>
        <v>99.95</v>
      </c>
      <c r="I670" s="15">
        <f>IFERROR(__xludf.DUMMYFUNCTION("""COMPUTED_VALUE"""),0.04999999999999716)</f>
        <v>0.05</v>
      </c>
    </row>
    <row r="671">
      <c r="A671" s="13" t="str">
        <f>IFERROR(__xludf.DUMMYFUNCTION("""COMPUTED_VALUE"""),"1010")</f>
        <v>1010</v>
      </c>
      <c r="B671" s="13" t="str">
        <f>IFERROR(__xludf.DUMMYFUNCTION("""COMPUTED_VALUE"""),"COLORADO SPRINGS 11")</f>
        <v>COLORADO SPRINGS 11</v>
      </c>
      <c r="C671" s="14" t="str">
        <f>IFERROR(__xludf.DUMMYFUNCTION("""COMPUTED_VALUE"""),"08466")</f>
        <v>08466</v>
      </c>
      <c r="D671" s="13" t="str">
        <f>IFERROR(__xludf.DUMMYFUNCTION("""COMPUTED_VALUE"""),"TAYLOR ELEMENTARY SCHOOL")</f>
        <v>TAYLOR ELEMENTARY SCHOOL</v>
      </c>
      <c r="E671" s="13" t="str">
        <f>IFERROR(__xludf.DUMMYFUNCTION("""COMPUTED_VALUE"""),"Group 11")</f>
        <v>Group 11</v>
      </c>
      <c r="F671" s="13" t="str">
        <f>IFERROR(__xludf.DUMMYFUNCTION("""COMPUTED_VALUE"""),"2024 - 2025")</f>
        <v>2024 - 2025</v>
      </c>
      <c r="G671" s="13" t="str">
        <f>IFERROR(__xludf.DUMMYFUNCTION("""COMPUTED_VALUE"""),"2023 - 2024")</f>
        <v>2023 - 2024</v>
      </c>
      <c r="H671" s="13">
        <f>IFERROR(__xludf.DUMMYFUNCTION("""COMPUTED_VALUE"""),99.95)</f>
        <v>99.95</v>
      </c>
      <c r="I671" s="15">
        <f>IFERROR(__xludf.DUMMYFUNCTION("""COMPUTED_VALUE"""),0.04999999999999716)</f>
        <v>0.05</v>
      </c>
    </row>
    <row r="672">
      <c r="A672" s="13" t="str">
        <f>IFERROR(__xludf.DUMMYFUNCTION("""COMPUTED_VALUE"""),"1010")</f>
        <v>1010</v>
      </c>
      <c r="B672" s="13" t="str">
        <f>IFERROR(__xludf.DUMMYFUNCTION("""COMPUTED_VALUE"""),"COLORADO SPRINGS 11")</f>
        <v>COLORADO SPRINGS 11</v>
      </c>
      <c r="C672" s="14" t="str">
        <f>IFERROR(__xludf.DUMMYFUNCTION("""COMPUTED_VALUE"""),"08902")</f>
        <v>08902</v>
      </c>
      <c r="D672" s="13" t="str">
        <f>IFERROR(__xludf.DUMMYFUNCTION("""COMPUTED_VALUE"""),"TRAILBLAZER ELEMENTARY SCHOOL")</f>
        <v>TRAILBLAZER ELEMENTARY SCHOOL</v>
      </c>
      <c r="E672" s="13" t="str">
        <f>IFERROR(__xludf.DUMMYFUNCTION("""COMPUTED_VALUE"""),"Group 11")</f>
        <v>Group 11</v>
      </c>
      <c r="F672" s="13" t="str">
        <f>IFERROR(__xludf.DUMMYFUNCTION("""COMPUTED_VALUE"""),"2024 - 2025")</f>
        <v>2024 - 2025</v>
      </c>
      <c r="G672" s="13" t="str">
        <f>IFERROR(__xludf.DUMMYFUNCTION("""COMPUTED_VALUE"""),"2023 - 2024")</f>
        <v>2023 - 2024</v>
      </c>
      <c r="H672" s="13">
        <f>IFERROR(__xludf.DUMMYFUNCTION("""COMPUTED_VALUE"""),99.95)</f>
        <v>99.95</v>
      </c>
      <c r="I672" s="15">
        <f>IFERROR(__xludf.DUMMYFUNCTION("""COMPUTED_VALUE"""),0.04999999999999716)</f>
        <v>0.05</v>
      </c>
    </row>
    <row r="673">
      <c r="A673" s="13" t="str">
        <f>IFERROR(__xludf.DUMMYFUNCTION("""COMPUTED_VALUE"""),"1010")</f>
        <v>1010</v>
      </c>
      <c r="B673" s="13" t="str">
        <f>IFERROR(__xludf.DUMMYFUNCTION("""COMPUTED_VALUE"""),"COLORADO SPRINGS 11")</f>
        <v>COLORADO SPRINGS 11</v>
      </c>
      <c r="C673" s="14" t="str">
        <f>IFERROR(__xludf.DUMMYFUNCTION("""COMPUTED_VALUE"""),"09404")</f>
        <v>09404</v>
      </c>
      <c r="D673" s="13" t="str">
        <f>IFERROR(__xludf.DUMMYFUNCTION("""COMPUTED_VALUE"""),"WEST MIDDLE SCHOOL")</f>
        <v>WEST MIDDLE SCHOOL</v>
      </c>
      <c r="E673" s="13" t="str">
        <f>IFERROR(__xludf.DUMMYFUNCTION("""COMPUTED_VALUE"""),"Group 11")</f>
        <v>Group 11</v>
      </c>
      <c r="F673" s="13" t="str">
        <f>IFERROR(__xludf.DUMMYFUNCTION("""COMPUTED_VALUE"""),"2024 - 2025")</f>
        <v>2024 - 2025</v>
      </c>
      <c r="G673" s="13" t="str">
        <f>IFERROR(__xludf.DUMMYFUNCTION("""COMPUTED_VALUE"""),"2023 - 2024")</f>
        <v>2023 - 2024</v>
      </c>
      <c r="H673" s="13">
        <f>IFERROR(__xludf.DUMMYFUNCTION("""COMPUTED_VALUE"""),99.95)</f>
        <v>99.95</v>
      </c>
      <c r="I673" s="15">
        <f>IFERROR(__xludf.DUMMYFUNCTION("""COMPUTED_VALUE"""),0.04999999999999716)</f>
        <v>0.05</v>
      </c>
    </row>
    <row r="674">
      <c r="A674" s="13" t="str">
        <f>IFERROR(__xludf.DUMMYFUNCTION("""COMPUTED_VALUE"""),"1010")</f>
        <v>1010</v>
      </c>
      <c r="B674" s="13" t="str">
        <f>IFERROR(__xludf.DUMMYFUNCTION("""COMPUTED_VALUE"""),"COLORADO SPRINGS 11")</f>
        <v>COLORADO SPRINGS 11</v>
      </c>
      <c r="C674" s="14" t="str">
        <f>IFERROR(__xludf.DUMMYFUNCTION("""COMPUTED_VALUE"""),"09445")</f>
        <v>09445</v>
      </c>
      <c r="D674" s="13" t="str">
        <f>IFERROR(__xludf.DUMMYFUNCTION("""COMPUTED_VALUE"""),"WEST ELEMENTARY")</f>
        <v>WEST ELEMENTARY</v>
      </c>
      <c r="E674" s="13" t="str">
        <f>IFERROR(__xludf.DUMMYFUNCTION("""COMPUTED_VALUE"""),"Group 11")</f>
        <v>Group 11</v>
      </c>
      <c r="F674" s="13" t="str">
        <f>IFERROR(__xludf.DUMMYFUNCTION("""COMPUTED_VALUE"""),"2024 - 2025")</f>
        <v>2024 - 2025</v>
      </c>
      <c r="G674" s="13" t="str">
        <f>IFERROR(__xludf.DUMMYFUNCTION("""COMPUTED_VALUE"""),"2023 - 2024")</f>
        <v>2023 - 2024</v>
      </c>
      <c r="H674" s="13">
        <f>IFERROR(__xludf.DUMMYFUNCTION("""COMPUTED_VALUE"""),99.95)</f>
        <v>99.95</v>
      </c>
      <c r="I674" s="15">
        <f>IFERROR(__xludf.DUMMYFUNCTION("""COMPUTED_VALUE"""),0.04999999999999716)</f>
        <v>0.05</v>
      </c>
    </row>
    <row r="675">
      <c r="A675" s="13" t="str">
        <f>IFERROR(__xludf.DUMMYFUNCTION("""COMPUTED_VALUE"""),"1010")</f>
        <v>1010</v>
      </c>
      <c r="B675" s="13" t="str">
        <f>IFERROR(__xludf.DUMMYFUNCTION("""COMPUTED_VALUE"""),"COLORADO SPRINGS 11")</f>
        <v>COLORADO SPRINGS 11</v>
      </c>
      <c r="C675" s="14" t="str">
        <f>IFERROR(__xludf.DUMMYFUNCTION("""COMPUTED_VALUE"""),"09618")</f>
        <v>09618</v>
      </c>
      <c r="D675" s="13" t="str">
        <f>IFERROR(__xludf.DUMMYFUNCTION("""COMPUTED_VALUE"""),"ROGERS ELEMENTARY SCHOOL")</f>
        <v>ROGERS ELEMENTARY SCHOOL</v>
      </c>
      <c r="E675" s="13" t="str">
        <f>IFERROR(__xludf.DUMMYFUNCTION("""COMPUTED_VALUE"""),"Group 11")</f>
        <v>Group 11</v>
      </c>
      <c r="F675" s="13" t="str">
        <f>IFERROR(__xludf.DUMMYFUNCTION("""COMPUTED_VALUE"""),"2024 - 2025")</f>
        <v>2024 - 2025</v>
      </c>
      <c r="G675" s="13" t="str">
        <f>IFERROR(__xludf.DUMMYFUNCTION("""COMPUTED_VALUE"""),"2023 - 2024")</f>
        <v>2023 - 2024</v>
      </c>
      <c r="H675" s="13">
        <f>IFERROR(__xludf.DUMMYFUNCTION("""COMPUTED_VALUE"""),99.95)</f>
        <v>99.95</v>
      </c>
      <c r="I675" s="15">
        <f>IFERROR(__xludf.DUMMYFUNCTION("""COMPUTED_VALUE"""),0.04999999999999716)</f>
        <v>0.05</v>
      </c>
    </row>
    <row r="676">
      <c r="A676" s="13" t="str">
        <f>IFERROR(__xludf.DUMMYFUNCTION("""COMPUTED_VALUE"""),"1010")</f>
        <v>1010</v>
      </c>
      <c r="B676" s="13" t="str">
        <f>IFERROR(__xludf.DUMMYFUNCTION("""COMPUTED_VALUE"""),"COLORADO SPRINGS 11")</f>
        <v>COLORADO SPRINGS 11</v>
      </c>
      <c r="C676" s="14" t="str">
        <f>IFERROR(__xludf.DUMMYFUNCTION("""COMPUTED_VALUE"""),"09660")</f>
        <v>09660</v>
      </c>
      <c r="D676" s="13" t="str">
        <f>IFERROR(__xludf.DUMMYFUNCTION("""COMPUTED_VALUE"""),"WILSON ELEMENTARY SCHOOL")</f>
        <v>WILSON ELEMENTARY SCHOOL</v>
      </c>
      <c r="E676" s="13" t="str">
        <f>IFERROR(__xludf.DUMMYFUNCTION("""COMPUTED_VALUE"""),"Group 11")</f>
        <v>Group 11</v>
      </c>
      <c r="F676" s="13" t="str">
        <f>IFERROR(__xludf.DUMMYFUNCTION("""COMPUTED_VALUE"""),"2024 - 2025")</f>
        <v>2024 - 2025</v>
      </c>
      <c r="G676" s="13" t="str">
        <f>IFERROR(__xludf.DUMMYFUNCTION("""COMPUTED_VALUE"""),"2023 - 2024")</f>
        <v>2023 - 2024</v>
      </c>
      <c r="H676" s="13">
        <f>IFERROR(__xludf.DUMMYFUNCTION("""COMPUTED_VALUE"""),99.95)</f>
        <v>99.95</v>
      </c>
      <c r="I676" s="15">
        <f>IFERROR(__xludf.DUMMYFUNCTION("""COMPUTED_VALUE"""),0.04999999999999716)</f>
        <v>0.05</v>
      </c>
    </row>
    <row r="677">
      <c r="A677" s="13" t="str">
        <f>IFERROR(__xludf.DUMMYFUNCTION("""COMPUTED_VALUE"""),"1010")</f>
        <v>1010</v>
      </c>
      <c r="B677" s="13" t="str">
        <f>IFERROR(__xludf.DUMMYFUNCTION("""COMPUTED_VALUE"""),"COLORADO SPRINGS 11")</f>
        <v>COLORADO SPRINGS 11</v>
      </c>
      <c r="C677" s="14" t="str">
        <f>IFERROR(__xludf.DUMMYFUNCTION("""COMPUTED_VALUE"""),"06306")</f>
        <v>06306</v>
      </c>
      <c r="D677" s="13" t="str">
        <f>IFERROR(__xludf.DUMMYFUNCTION("""COMPUTED_VALUE"""),"NORTH MIDDLE SCHOOL")</f>
        <v>NORTH MIDDLE SCHOOL</v>
      </c>
      <c r="E677" s="13" t="str">
        <f>IFERROR(__xludf.DUMMYFUNCTION("""COMPUTED_VALUE"""),"Group 2")</f>
        <v>Group 2</v>
      </c>
      <c r="F677" s="13" t="str">
        <f>IFERROR(__xludf.DUMMYFUNCTION("""COMPUTED_VALUE"""),"2024 - 2025")</f>
        <v>2024 - 2025</v>
      </c>
      <c r="G677" s="13" t="str">
        <f>IFERROR(__xludf.DUMMYFUNCTION("""COMPUTED_VALUE"""),"2023 - 2024")</f>
        <v>2023 - 2024</v>
      </c>
      <c r="H677" s="13">
        <f>IFERROR(__xludf.DUMMYFUNCTION("""COMPUTED_VALUE"""),87.07)</f>
        <v>87.07</v>
      </c>
      <c r="I677" s="15">
        <f>IFERROR(__xludf.DUMMYFUNCTION("""COMPUTED_VALUE"""),12.930000000000007)</f>
        <v>12.93</v>
      </c>
    </row>
    <row r="678">
      <c r="A678" s="13" t="str">
        <f>IFERROR(__xludf.DUMMYFUNCTION("""COMPUTED_VALUE"""),"1010")</f>
        <v>1010</v>
      </c>
      <c r="B678" s="13" t="str">
        <f>IFERROR(__xludf.DUMMYFUNCTION("""COMPUTED_VALUE"""),"COLORADO SPRINGS 11")</f>
        <v>COLORADO SPRINGS 11</v>
      </c>
      <c r="C678" s="14" t="str">
        <f>IFERROR(__xludf.DUMMYFUNCTION("""COMPUTED_VALUE"""),"08457")</f>
        <v>08457</v>
      </c>
      <c r="D678" s="13" t="str">
        <f>IFERROR(__xludf.DUMMYFUNCTION("""COMPUTED_VALUE"""),"JACK SWIGERT MIDDLE SCHOOL")</f>
        <v>JACK SWIGERT MIDDLE SCHOOL</v>
      </c>
      <c r="E678" s="13" t="str">
        <f>IFERROR(__xludf.DUMMYFUNCTION("""COMPUTED_VALUE"""),"Group 3")</f>
        <v>Group 3</v>
      </c>
      <c r="F678" s="13" t="str">
        <f>IFERROR(__xludf.DUMMYFUNCTION("""COMPUTED_VALUE"""),"2024 - 2025")</f>
        <v>2024 - 2025</v>
      </c>
      <c r="G678" s="13" t="str">
        <f>IFERROR(__xludf.DUMMYFUNCTION("""COMPUTED_VALUE"""),"2023 - 2024")</f>
        <v>2023 - 2024</v>
      </c>
      <c r="H678" s="13">
        <f>IFERROR(__xludf.DUMMYFUNCTION("""COMPUTED_VALUE"""),99.39)</f>
        <v>99.39</v>
      </c>
      <c r="I678" s="15">
        <f>IFERROR(__xludf.DUMMYFUNCTION("""COMPUTED_VALUE"""),0.6099999999999994)</f>
        <v>0.61</v>
      </c>
    </row>
    <row r="679">
      <c r="A679" s="13" t="str">
        <f>IFERROR(__xludf.DUMMYFUNCTION("""COMPUTED_VALUE"""),"1010")</f>
        <v>1010</v>
      </c>
      <c r="B679" s="13" t="str">
        <f>IFERROR(__xludf.DUMMYFUNCTION("""COMPUTED_VALUE"""),"COLORADO SPRINGS 11")</f>
        <v>COLORADO SPRINGS 11</v>
      </c>
      <c r="C679" s="14" t="str">
        <f>IFERROR(__xludf.DUMMYFUNCTION("""COMPUTED_VALUE"""),"08246")</f>
        <v>08246</v>
      </c>
      <c r="D679" s="13" t="str">
        <f>IFERROR(__xludf.DUMMYFUNCTION("""COMPUTED_VALUE"""),"STEELE ELEMENTARY SCHOOL")</f>
        <v>STEELE ELEMENTARY SCHOOL</v>
      </c>
      <c r="E679" s="13" t="str">
        <f>IFERROR(__xludf.DUMMYFUNCTION("""COMPUTED_VALUE"""),"Group 4")</f>
        <v>Group 4</v>
      </c>
      <c r="F679" s="13" t="str">
        <f>IFERROR(__xludf.DUMMYFUNCTION("""COMPUTED_VALUE"""),"2024 - 2025")</f>
        <v>2024 - 2025</v>
      </c>
      <c r="G679" s="13" t="str">
        <f>IFERROR(__xludf.DUMMYFUNCTION("""COMPUTED_VALUE"""),"2023 - 2024")</f>
        <v>2023 - 2024</v>
      </c>
      <c r="H679" s="13">
        <f>IFERROR(__xludf.DUMMYFUNCTION("""COMPUTED_VALUE"""),61.89)</f>
        <v>61.89</v>
      </c>
      <c r="I679" s="15">
        <f>IFERROR(__xludf.DUMMYFUNCTION("""COMPUTED_VALUE"""),38.11)</f>
        <v>38.11</v>
      </c>
    </row>
    <row r="680">
      <c r="A680" s="13" t="str">
        <f>IFERROR(__xludf.DUMMYFUNCTION("""COMPUTED_VALUE"""),"1010")</f>
        <v>1010</v>
      </c>
      <c r="B680" s="13" t="str">
        <f>IFERROR(__xludf.DUMMYFUNCTION("""COMPUTED_VALUE"""),"COLORADO SPRINGS 11")</f>
        <v>COLORADO SPRINGS 11</v>
      </c>
      <c r="C680" s="14" t="str">
        <f>IFERROR(__xludf.DUMMYFUNCTION("""COMPUTED_VALUE"""),"02400")</f>
        <v>02400</v>
      </c>
      <c r="D680" s="13" t="str">
        <f>IFERROR(__xludf.DUMMYFUNCTION("""COMPUTED_VALUE"""),"ODYSSEY EARLY COLLEGE AND CAREER OPTIONS")</f>
        <v>ODYSSEY EARLY COLLEGE AND CAREER OPTIONS</v>
      </c>
      <c r="E680" s="13" t="str">
        <f>IFERROR(__xludf.DUMMYFUNCTION("""COMPUTED_VALUE"""),"Group 4")</f>
        <v>Group 4</v>
      </c>
      <c r="F680" s="13" t="str">
        <f>IFERROR(__xludf.DUMMYFUNCTION("""COMPUTED_VALUE"""),"2024 - 2025")</f>
        <v>2024 - 2025</v>
      </c>
      <c r="G680" s="13" t="str">
        <f>IFERROR(__xludf.DUMMYFUNCTION("""COMPUTED_VALUE"""),"2023 - 2024")</f>
        <v>2023 - 2024</v>
      </c>
      <c r="H680" s="13">
        <f>IFERROR(__xludf.DUMMYFUNCTION("""COMPUTED_VALUE"""),61.89)</f>
        <v>61.89</v>
      </c>
      <c r="I680" s="15">
        <f>IFERROR(__xludf.DUMMYFUNCTION("""COMPUTED_VALUE"""),38.11)</f>
        <v>38.11</v>
      </c>
    </row>
    <row r="681">
      <c r="A681" s="13" t="str">
        <f>IFERROR(__xludf.DUMMYFUNCTION("""COMPUTED_VALUE"""),"1010")</f>
        <v>1010</v>
      </c>
      <c r="B681" s="13" t="str">
        <f>IFERROR(__xludf.DUMMYFUNCTION("""COMPUTED_VALUE"""),"COLORADO SPRINGS 11")</f>
        <v>COLORADO SPRINGS 11</v>
      </c>
      <c r="C681" s="14" t="str">
        <f>IFERROR(__xludf.DUMMYFUNCTION("""COMPUTED_VALUE"""),"06856")</f>
        <v>06856</v>
      </c>
      <c r="D681" s="13" t="str">
        <f>IFERROR(__xludf.DUMMYFUNCTION("""COMPUTED_VALUE"""),"PENROSE ELEMENTARY SCHOOL")</f>
        <v>PENROSE ELEMENTARY SCHOOL</v>
      </c>
      <c r="E681" s="13" t="str">
        <f>IFERROR(__xludf.DUMMYFUNCTION("""COMPUTED_VALUE"""),"Group 5")</f>
        <v>Group 5</v>
      </c>
      <c r="F681" s="13" t="str">
        <f>IFERROR(__xludf.DUMMYFUNCTION("""COMPUTED_VALUE"""),"2024 - 2025")</f>
        <v>2024 - 2025</v>
      </c>
      <c r="G681" s="13" t="str">
        <f>IFERROR(__xludf.DUMMYFUNCTION("""COMPUTED_VALUE"""),"2023 - 2024")</f>
        <v>2023 - 2024</v>
      </c>
      <c r="H681" s="13">
        <f>IFERROR(__xludf.DUMMYFUNCTION("""COMPUTED_VALUE"""),86.16)</f>
        <v>86.16</v>
      </c>
      <c r="I681" s="15">
        <f>IFERROR(__xludf.DUMMYFUNCTION("""COMPUTED_VALUE"""),13.840000000000003)</f>
        <v>13.84</v>
      </c>
    </row>
    <row r="682">
      <c r="A682" s="13" t="str">
        <f>IFERROR(__xludf.DUMMYFUNCTION("""COMPUTED_VALUE"""),"1010")</f>
        <v>1010</v>
      </c>
      <c r="B682" s="13" t="str">
        <f>IFERROR(__xludf.DUMMYFUNCTION("""COMPUTED_VALUE"""),"COLORADO SPRINGS 11")</f>
        <v>COLORADO SPRINGS 11</v>
      </c>
      <c r="C682" s="14" t="str">
        <f>IFERROR(__xludf.DUMMYFUNCTION("""COMPUTED_VALUE"""),"08346")</f>
        <v>08346</v>
      </c>
      <c r="D682" s="13" t="str">
        <f>IFERROR(__xludf.DUMMYFUNCTION("""COMPUTED_VALUE"""),"STRATTON ELEMENTARY SCHOOL")</f>
        <v>STRATTON ELEMENTARY SCHOOL</v>
      </c>
      <c r="E682" s="13" t="str">
        <f>IFERROR(__xludf.DUMMYFUNCTION("""COMPUTED_VALUE"""),"Group 6")</f>
        <v>Group 6</v>
      </c>
      <c r="F682" s="13" t="str">
        <f>IFERROR(__xludf.DUMMYFUNCTION("""COMPUTED_VALUE"""),"2024 - 2025")</f>
        <v>2024 - 2025</v>
      </c>
      <c r="G682" s="13" t="str">
        <f>IFERROR(__xludf.DUMMYFUNCTION("""COMPUTED_VALUE"""),"2023 - 2024")</f>
        <v>2023 - 2024</v>
      </c>
      <c r="H682" s="13">
        <f>IFERROR(__xludf.DUMMYFUNCTION("""COMPUTED_VALUE"""),65.54)</f>
        <v>65.54</v>
      </c>
      <c r="I682" s="15">
        <f>IFERROR(__xludf.DUMMYFUNCTION("""COMPUTED_VALUE"""),34.459999999999994)</f>
        <v>34.46</v>
      </c>
    </row>
    <row r="683">
      <c r="A683" s="13" t="str">
        <f>IFERROR(__xludf.DUMMYFUNCTION("""COMPUTED_VALUE"""),"1010")</f>
        <v>1010</v>
      </c>
      <c r="B683" s="13" t="str">
        <f>IFERROR(__xludf.DUMMYFUNCTION("""COMPUTED_VALUE"""),"COLORADO SPRINGS 11")</f>
        <v>COLORADO SPRINGS 11</v>
      </c>
      <c r="C683" s="14" t="str">
        <f>IFERROR(__xludf.DUMMYFUNCTION("""COMPUTED_VALUE"""),"07513")</f>
        <v>07513</v>
      </c>
      <c r="D683" s="13" t="str">
        <f>IFERROR(__xludf.DUMMYFUNCTION("""COMPUTED_VALUE"""),"RUDY ELEMENTARY SCHOOL")</f>
        <v>RUDY ELEMENTARY SCHOOL</v>
      </c>
      <c r="E683" s="13" t="str">
        <f>IFERROR(__xludf.DUMMYFUNCTION("""COMPUTED_VALUE"""),"Group 7")</f>
        <v>Group 7</v>
      </c>
      <c r="F683" s="13" t="str">
        <f>IFERROR(__xludf.DUMMYFUNCTION("""COMPUTED_VALUE"""),"2024 - 2025")</f>
        <v>2024 - 2025</v>
      </c>
      <c r="G683" s="13" t="str">
        <f>IFERROR(__xludf.DUMMYFUNCTION("""COMPUTED_VALUE"""),"2023 - 2024")</f>
        <v>2023 - 2024</v>
      </c>
      <c r="H683" s="13">
        <f>IFERROR(__xludf.DUMMYFUNCTION("""COMPUTED_VALUE"""),75.54)</f>
        <v>75.54</v>
      </c>
      <c r="I683" s="15">
        <f>IFERROR(__xludf.DUMMYFUNCTION("""COMPUTED_VALUE"""),24.459999999999994)</f>
        <v>24.46</v>
      </c>
    </row>
    <row r="684">
      <c r="A684" s="13" t="str">
        <f>IFERROR(__xludf.DUMMYFUNCTION("""COMPUTED_VALUE"""),"1010")</f>
        <v>1010</v>
      </c>
      <c r="B684" s="13" t="str">
        <f>IFERROR(__xludf.DUMMYFUNCTION("""COMPUTED_VALUE"""),"COLORADO SPRINGS 11")</f>
        <v>COLORADO SPRINGS 11</v>
      </c>
      <c r="C684" s="14" t="str">
        <f>IFERROR(__xludf.DUMMYFUNCTION("""COMPUTED_VALUE"""),"05610")</f>
        <v>05610</v>
      </c>
      <c r="D684" s="13" t="str">
        <f>IFERROR(__xludf.DUMMYFUNCTION("""COMPUTED_VALUE"""),"MARTINEZ ELEMENTARY SCHOOL")</f>
        <v>MARTINEZ ELEMENTARY SCHOOL</v>
      </c>
      <c r="E684" s="13" t="str">
        <f>IFERROR(__xludf.DUMMYFUNCTION("""COMPUTED_VALUE"""),"Group 8")</f>
        <v>Group 8</v>
      </c>
      <c r="F684" s="13" t="str">
        <f>IFERROR(__xludf.DUMMYFUNCTION("""COMPUTED_VALUE"""),"2024 - 2025")</f>
        <v>2024 - 2025</v>
      </c>
      <c r="G684" s="13" t="str">
        <f>IFERROR(__xludf.DUMMYFUNCTION("""COMPUTED_VALUE"""),"2023 - 2024")</f>
        <v>2023 - 2024</v>
      </c>
      <c r="H684" s="13">
        <f>IFERROR(__xludf.DUMMYFUNCTION("""COMPUTED_VALUE"""),65.89)</f>
        <v>65.89</v>
      </c>
      <c r="I684" s="15">
        <f>IFERROR(__xludf.DUMMYFUNCTION("""COMPUTED_VALUE"""),34.11)</f>
        <v>34.11</v>
      </c>
    </row>
    <row r="685">
      <c r="A685" s="13" t="str">
        <f>IFERROR(__xludf.DUMMYFUNCTION("""COMPUTED_VALUE"""),"1010")</f>
        <v>1010</v>
      </c>
      <c r="B685" s="13" t="str">
        <f>IFERROR(__xludf.DUMMYFUNCTION("""COMPUTED_VALUE"""),"COLORADO SPRINGS 11")</f>
        <v>COLORADO SPRINGS 11</v>
      </c>
      <c r="C685" s="14" t="str">
        <f>IFERROR(__xludf.DUMMYFUNCTION("""COMPUTED_VALUE"""),"00871")</f>
        <v>00871</v>
      </c>
      <c r="D685" s="13" t="str">
        <f>IFERROR(__xludf.DUMMYFUNCTION("""COMPUTED_VALUE"""),"THE BIJOU SCHOOL")</f>
        <v>THE BIJOU SCHOOL</v>
      </c>
      <c r="E685" s="13" t="str">
        <f>IFERROR(__xludf.DUMMYFUNCTION("""COMPUTED_VALUE"""),"Group 9")</f>
        <v>Group 9</v>
      </c>
      <c r="F685" s="13" t="str">
        <f>IFERROR(__xludf.DUMMYFUNCTION("""COMPUTED_VALUE"""),"2024 - 2025")</f>
        <v>2024 - 2025</v>
      </c>
      <c r="G685" s="13" t="str">
        <f>IFERROR(__xludf.DUMMYFUNCTION("""COMPUTED_VALUE"""),"2023 - 2024")</f>
        <v>2023 - 2024</v>
      </c>
      <c r="H685" s="13">
        <f>IFERROR(__xludf.DUMMYFUNCTION("""COMPUTED_VALUE"""),100.0)</f>
        <v>100</v>
      </c>
      <c r="I685" s="15">
        <f>IFERROR(__xludf.DUMMYFUNCTION("""COMPUTED_VALUE"""),0.0)</f>
        <v>0</v>
      </c>
    </row>
    <row r="686">
      <c r="A686" s="13" t="str">
        <f>IFERROR(__xludf.DUMMYFUNCTION("""COMPUTED_VALUE"""),"1020")</f>
        <v>1020</v>
      </c>
      <c r="B686" s="13" t="str">
        <f>IFERROR(__xludf.DUMMYFUNCTION("""COMPUTED_VALUE"""),"CHEYENNE MOUNTAIN 12")</f>
        <v>CHEYENNE MOUNTAIN 12</v>
      </c>
      <c r="C686" s="14" t="str">
        <f>IFERROR(__xludf.DUMMYFUNCTION("""COMPUTED_VALUE"""),"01596")</f>
        <v>01596</v>
      </c>
      <c r="D686" s="13" t="str">
        <f>IFERROR(__xludf.DUMMYFUNCTION("""COMPUTED_VALUE"""),"CANON ELEMENTARY SCHOOL")</f>
        <v>CANON ELEMENTARY SCHOOL</v>
      </c>
      <c r="E686" s="13" t="str">
        <f>IFERROR(__xludf.DUMMYFUNCTION("""COMPUTED_VALUE"""),"Group 1")</f>
        <v>Group 1</v>
      </c>
      <c r="F686" s="13" t="str">
        <f>IFERROR(__xludf.DUMMYFUNCTION("""COMPUTED_VALUE"""),"2024 - 2025")</f>
        <v>2024 - 2025</v>
      </c>
      <c r="G686" s="13" t="str">
        <f>IFERROR(__xludf.DUMMYFUNCTION("""COMPUTED_VALUE"""),"2023 - 2024")</f>
        <v>2023 - 2024</v>
      </c>
      <c r="H686" s="13">
        <f>IFERROR(__xludf.DUMMYFUNCTION("""COMPUTED_VALUE"""),48.46)</f>
        <v>48.46</v>
      </c>
      <c r="I686" s="15">
        <f>IFERROR(__xludf.DUMMYFUNCTION("""COMPUTED_VALUE"""),51.54)</f>
        <v>51.54</v>
      </c>
    </row>
    <row r="687">
      <c r="A687" s="13" t="str">
        <f>IFERROR(__xludf.DUMMYFUNCTION("""COMPUTED_VALUE"""),"1020")</f>
        <v>1020</v>
      </c>
      <c r="B687" s="13" t="str">
        <f>IFERROR(__xludf.DUMMYFUNCTION("""COMPUTED_VALUE"""),"CHEYENNE MOUNTAIN 12")</f>
        <v>CHEYENNE MOUNTAIN 12</v>
      </c>
      <c r="C687" s="14" t="str">
        <f>IFERROR(__xludf.DUMMYFUNCTION("""COMPUTED_VALUE"""),"01604")</f>
        <v>01604</v>
      </c>
      <c r="D687" s="13" t="str">
        <f>IFERROR(__xludf.DUMMYFUNCTION("""COMPUTED_VALUE"""),"SKYWAY PARK ELEMENTARY SCHOOL")</f>
        <v>SKYWAY PARK ELEMENTARY SCHOOL</v>
      </c>
      <c r="E687" s="13" t="str">
        <f>IFERROR(__xludf.DUMMYFUNCTION("""COMPUTED_VALUE"""),"Group 1")</f>
        <v>Group 1</v>
      </c>
      <c r="F687" s="13" t="str">
        <f>IFERROR(__xludf.DUMMYFUNCTION("""COMPUTED_VALUE"""),"2024 - 2025")</f>
        <v>2024 - 2025</v>
      </c>
      <c r="G687" s="13" t="str">
        <f>IFERROR(__xludf.DUMMYFUNCTION("""COMPUTED_VALUE"""),"2023 - 2024")</f>
        <v>2023 - 2024</v>
      </c>
      <c r="H687" s="13">
        <f>IFERROR(__xludf.DUMMYFUNCTION("""COMPUTED_VALUE"""),48.46)</f>
        <v>48.46</v>
      </c>
      <c r="I687" s="15">
        <f>IFERROR(__xludf.DUMMYFUNCTION("""COMPUTED_VALUE"""),51.54)</f>
        <v>51.54</v>
      </c>
    </row>
    <row r="688">
      <c r="A688" s="13" t="str">
        <f>IFERROR(__xludf.DUMMYFUNCTION("""COMPUTED_VALUE"""),"1030")</f>
        <v>1030</v>
      </c>
      <c r="B688" s="13" t="str">
        <f>IFERROR(__xludf.DUMMYFUNCTION("""COMPUTED_VALUE"""),"MANITOU SPRINGS 14")</f>
        <v>MANITOU SPRINGS 14</v>
      </c>
      <c r="C688" s="14" t="str">
        <f>IFERROR(__xludf.DUMMYFUNCTION("""COMPUTED_VALUE"""),"05468")</f>
        <v>05468</v>
      </c>
      <c r="D688" s="13" t="str">
        <f>IFERROR(__xludf.DUMMYFUNCTION("""COMPUTED_VALUE"""),"MANITOU SPRINGS HIGH SCHOOL")</f>
        <v>MANITOU SPRINGS HIGH SCHOOL</v>
      </c>
      <c r="E688" s="13" t="str">
        <f>IFERROR(__xludf.DUMMYFUNCTION("""COMPUTED_VALUE"""),"Group 1")</f>
        <v>Group 1</v>
      </c>
      <c r="F688" s="13" t="str">
        <f>IFERROR(__xludf.DUMMYFUNCTION("""COMPUTED_VALUE"""),"2024 - 2025")</f>
        <v>2024 - 2025</v>
      </c>
      <c r="G688" s="13" t="str">
        <f>IFERROR(__xludf.DUMMYFUNCTION("""COMPUTED_VALUE"""),"2023 - 2024")</f>
        <v>2023 - 2024</v>
      </c>
      <c r="H688" s="13">
        <f>IFERROR(__xludf.DUMMYFUNCTION("""COMPUTED_VALUE"""),47.74)</f>
        <v>47.74</v>
      </c>
      <c r="I688" s="15">
        <f>IFERROR(__xludf.DUMMYFUNCTION("""COMPUTED_VALUE"""),52.26)</f>
        <v>52.26</v>
      </c>
    </row>
    <row r="689">
      <c r="A689" s="13" t="str">
        <f>IFERROR(__xludf.DUMMYFUNCTION("""COMPUTED_VALUE"""),"1030")</f>
        <v>1030</v>
      </c>
      <c r="B689" s="13" t="str">
        <f>IFERROR(__xludf.DUMMYFUNCTION("""COMPUTED_VALUE"""),"MANITOU SPRINGS 14")</f>
        <v>MANITOU SPRINGS 14</v>
      </c>
      <c r="C689" s="14" t="str">
        <f>IFERROR(__xludf.DUMMYFUNCTION("""COMPUTED_VALUE"""),"05464")</f>
        <v>05464</v>
      </c>
      <c r="D689" s="13" t="str">
        <f>IFERROR(__xludf.DUMMYFUNCTION("""COMPUTED_VALUE"""),"MANITOU SPRINGS MIDDLE SCHOOL")</f>
        <v>MANITOU SPRINGS MIDDLE SCHOOL</v>
      </c>
      <c r="E689" s="13" t="str">
        <f>IFERROR(__xludf.DUMMYFUNCTION("""COMPUTED_VALUE"""),"Group 2")</f>
        <v>Group 2</v>
      </c>
      <c r="F689" s="13" t="str">
        <f>IFERROR(__xludf.DUMMYFUNCTION("""COMPUTED_VALUE"""),"2024 - 2025")</f>
        <v>2024 - 2025</v>
      </c>
      <c r="G689" s="13" t="str">
        <f>IFERROR(__xludf.DUMMYFUNCTION("""COMPUTED_VALUE"""),"2023 - 2024")</f>
        <v>2023 - 2024</v>
      </c>
      <c r="H689" s="13">
        <f>IFERROR(__xludf.DUMMYFUNCTION("""COMPUTED_VALUE"""),55.55)</f>
        <v>55.55</v>
      </c>
      <c r="I689" s="15">
        <f>IFERROR(__xludf.DUMMYFUNCTION("""COMPUTED_VALUE"""),44.45)</f>
        <v>44.45</v>
      </c>
    </row>
    <row r="690">
      <c r="A690" s="13" t="str">
        <f>IFERROR(__xludf.DUMMYFUNCTION("""COMPUTED_VALUE"""),"1030")</f>
        <v>1030</v>
      </c>
      <c r="B690" s="13" t="str">
        <f>IFERROR(__xludf.DUMMYFUNCTION("""COMPUTED_VALUE"""),"MANITOU SPRINGS 14")</f>
        <v>MANITOU SPRINGS 14</v>
      </c>
      <c r="C690" s="14" t="str">
        <f>IFERROR(__xludf.DUMMYFUNCTION("""COMPUTED_VALUE"""),"09010")</f>
        <v>09010</v>
      </c>
      <c r="D690" s="13" t="str">
        <f>IFERROR(__xludf.DUMMYFUNCTION("""COMPUTED_VALUE"""),"UTE PASS ELEMENTARY SCHOOL")</f>
        <v>UTE PASS ELEMENTARY SCHOOL</v>
      </c>
      <c r="E690" s="13" t="str">
        <f>IFERROR(__xludf.DUMMYFUNCTION("""COMPUTED_VALUE"""),"Group 2")</f>
        <v>Group 2</v>
      </c>
      <c r="F690" s="13" t="str">
        <f>IFERROR(__xludf.DUMMYFUNCTION("""COMPUTED_VALUE"""),"2024 - 2025")</f>
        <v>2024 - 2025</v>
      </c>
      <c r="G690" s="13" t="str">
        <f>IFERROR(__xludf.DUMMYFUNCTION("""COMPUTED_VALUE"""),"2023 - 2024")</f>
        <v>2023 - 2024</v>
      </c>
      <c r="H690" s="13">
        <f>IFERROR(__xludf.DUMMYFUNCTION("""COMPUTED_VALUE"""),55.55)</f>
        <v>55.55</v>
      </c>
      <c r="I690" s="15">
        <f>IFERROR(__xludf.DUMMYFUNCTION("""COMPUTED_VALUE"""),44.45)</f>
        <v>44.45</v>
      </c>
    </row>
    <row r="691">
      <c r="A691" s="13" t="str">
        <f>IFERROR(__xludf.DUMMYFUNCTION("""COMPUTED_VALUE"""),"1030")</f>
        <v>1030</v>
      </c>
      <c r="B691" s="13" t="str">
        <f>IFERROR(__xludf.DUMMYFUNCTION("""COMPUTED_VALUE"""),"MANITOU SPRINGS 14")</f>
        <v>MANITOU SPRINGS 14</v>
      </c>
      <c r="C691" s="14" t="str">
        <f>IFERROR(__xludf.DUMMYFUNCTION("""COMPUTED_VALUE"""),"05460")</f>
        <v>05460</v>
      </c>
      <c r="D691" s="13" t="str">
        <f>IFERROR(__xludf.DUMMYFUNCTION("""COMPUTED_VALUE"""),"MANITOU SPRINGS ELEMENTARY SCHOOL")</f>
        <v>MANITOU SPRINGS ELEMENTARY SCHOOL</v>
      </c>
      <c r="E691" s="13" t="str">
        <f>IFERROR(__xludf.DUMMYFUNCTION("""COMPUTED_VALUE"""),"Group 3")</f>
        <v>Group 3</v>
      </c>
      <c r="F691" s="13" t="str">
        <f>IFERROR(__xludf.DUMMYFUNCTION("""COMPUTED_VALUE"""),"2024 - 2025")</f>
        <v>2024 - 2025</v>
      </c>
      <c r="G691" s="13" t="str">
        <f>IFERROR(__xludf.DUMMYFUNCTION("""COMPUTED_VALUE"""),"2023 - 2024")</f>
        <v>2023 - 2024</v>
      </c>
      <c r="H691" s="13">
        <f>IFERROR(__xludf.DUMMYFUNCTION("""COMPUTED_VALUE"""),58.94)</f>
        <v>58.94</v>
      </c>
      <c r="I691" s="15">
        <f>IFERROR(__xludf.DUMMYFUNCTION("""COMPUTED_VALUE"""),41.06)</f>
        <v>41.06</v>
      </c>
    </row>
    <row r="692">
      <c r="A692" s="13" t="str">
        <f>IFERROR(__xludf.DUMMYFUNCTION("""COMPUTED_VALUE"""),"1040")</f>
        <v>1040</v>
      </c>
      <c r="B692" s="13" t="str">
        <f>IFERROR(__xludf.DUMMYFUNCTION("""COMPUTED_VALUE"""),"ACADEMY 20")</f>
        <v>ACADEMY 20</v>
      </c>
      <c r="C692" s="14" t="str">
        <f>IFERROR(__xludf.DUMMYFUNCTION("""COMPUTED_VALUE"""),"00074")</f>
        <v>00074</v>
      </c>
      <c r="D692" s="13" t="str">
        <f>IFERROR(__xludf.DUMMYFUNCTION("""COMPUTED_VALUE"""),"CHALLENGER MIDDLE SCHOOL")</f>
        <v>CHALLENGER MIDDLE SCHOOL</v>
      </c>
      <c r="E692" s="13" t="str">
        <f>IFERROR(__xludf.DUMMYFUNCTION("""COMPUTED_VALUE"""),"Group 1")</f>
        <v>Group 1</v>
      </c>
      <c r="F692" s="13" t="str">
        <f>IFERROR(__xludf.DUMMYFUNCTION("""COMPUTED_VALUE"""),"2024 - 2025")</f>
        <v>2024 - 2025</v>
      </c>
      <c r="G692" s="13" t="str">
        <f>IFERROR(__xludf.DUMMYFUNCTION("""COMPUTED_VALUE"""),"2023 - 2024")</f>
        <v>2023 - 2024</v>
      </c>
      <c r="H692" s="13">
        <f>IFERROR(__xludf.DUMMYFUNCTION("""COMPUTED_VALUE"""),40.08)</f>
        <v>40.08</v>
      </c>
      <c r="I692" s="15">
        <f>IFERROR(__xludf.DUMMYFUNCTION("""COMPUTED_VALUE"""),59.92)</f>
        <v>59.92</v>
      </c>
    </row>
    <row r="693">
      <c r="A693" s="13" t="str">
        <f>IFERROR(__xludf.DUMMYFUNCTION("""COMPUTED_VALUE"""),"1040")</f>
        <v>1040</v>
      </c>
      <c r="B693" s="13" t="str">
        <f>IFERROR(__xludf.DUMMYFUNCTION("""COMPUTED_VALUE"""),"ACADEMY 20")</f>
        <v>ACADEMY 20</v>
      </c>
      <c r="C693" s="14" t="str">
        <f>IFERROR(__xludf.DUMMYFUNCTION("""COMPUTED_VALUE"""),"03104")</f>
        <v>03104</v>
      </c>
      <c r="D693" s="13" t="str">
        <f>IFERROR(__xludf.DUMMYFUNCTION("""COMPUTED_VALUE"""),"FOOTHILLS ELEMENTARY SCHOOL")</f>
        <v>FOOTHILLS ELEMENTARY SCHOOL</v>
      </c>
      <c r="E693" s="13" t="str">
        <f>IFERROR(__xludf.DUMMYFUNCTION("""COMPUTED_VALUE"""),"Group 1")</f>
        <v>Group 1</v>
      </c>
      <c r="F693" s="13" t="str">
        <f>IFERROR(__xludf.DUMMYFUNCTION("""COMPUTED_VALUE"""),"2024 - 2025")</f>
        <v>2024 - 2025</v>
      </c>
      <c r="G693" s="13" t="str">
        <f>IFERROR(__xludf.DUMMYFUNCTION("""COMPUTED_VALUE"""),"2023 - 2024")</f>
        <v>2023 - 2024</v>
      </c>
      <c r="H693" s="13">
        <f>IFERROR(__xludf.DUMMYFUNCTION("""COMPUTED_VALUE"""),40.08)</f>
        <v>40.08</v>
      </c>
      <c r="I693" s="15">
        <f>IFERROR(__xludf.DUMMYFUNCTION("""COMPUTED_VALUE"""),59.92)</f>
        <v>59.92</v>
      </c>
    </row>
    <row r="694">
      <c r="A694" s="13" t="str">
        <f>IFERROR(__xludf.DUMMYFUNCTION("""COMPUTED_VALUE"""),"1040")</f>
        <v>1040</v>
      </c>
      <c r="B694" s="13" t="str">
        <f>IFERROR(__xludf.DUMMYFUNCTION("""COMPUTED_VALUE"""),"ACADEMY 20")</f>
        <v>ACADEMY 20</v>
      </c>
      <c r="C694" s="14" t="str">
        <f>IFERROR(__xludf.DUMMYFUNCTION("""COMPUTED_VALUE"""),"03238")</f>
        <v>03238</v>
      </c>
      <c r="D694" s="13" t="str">
        <f>IFERROR(__xludf.DUMMYFUNCTION("""COMPUTED_VALUE"""),"FRONTIER ELEMENTARY SCHOOL")</f>
        <v>FRONTIER ELEMENTARY SCHOOL</v>
      </c>
      <c r="E694" s="13" t="str">
        <f>IFERROR(__xludf.DUMMYFUNCTION("""COMPUTED_VALUE"""),"Group 1")</f>
        <v>Group 1</v>
      </c>
      <c r="F694" s="13" t="str">
        <f>IFERROR(__xludf.DUMMYFUNCTION("""COMPUTED_VALUE"""),"2024 - 2025")</f>
        <v>2024 - 2025</v>
      </c>
      <c r="G694" s="13" t="str">
        <f>IFERROR(__xludf.DUMMYFUNCTION("""COMPUTED_VALUE"""),"2023 - 2024")</f>
        <v>2023 - 2024</v>
      </c>
      <c r="H694" s="13">
        <f>IFERROR(__xludf.DUMMYFUNCTION("""COMPUTED_VALUE"""),40.08)</f>
        <v>40.08</v>
      </c>
      <c r="I694" s="15">
        <f>IFERROR(__xludf.DUMMYFUNCTION("""COMPUTED_VALUE"""),59.92)</f>
        <v>59.92</v>
      </c>
    </row>
    <row r="695">
      <c r="A695" s="13" t="str">
        <f>IFERROR(__xludf.DUMMYFUNCTION("""COMPUTED_VALUE"""),"1040")</f>
        <v>1040</v>
      </c>
      <c r="B695" s="13" t="str">
        <f>IFERROR(__xludf.DUMMYFUNCTION("""COMPUTED_VALUE"""),"ACADEMY 20")</f>
        <v>ACADEMY 20</v>
      </c>
      <c r="C695" s="14" t="str">
        <f>IFERROR(__xludf.DUMMYFUNCTION("""COMPUTED_VALUE"""),"03985")</f>
        <v>03985</v>
      </c>
      <c r="D695" s="13" t="str">
        <f>IFERROR(__xludf.DUMMYFUNCTION("""COMPUTED_VALUE"""),"HIGH PLAINS ELEMENTARY SCHOOL")</f>
        <v>HIGH PLAINS ELEMENTARY SCHOOL</v>
      </c>
      <c r="E695" s="13" t="str">
        <f>IFERROR(__xludf.DUMMYFUNCTION("""COMPUTED_VALUE"""),"Group 1")</f>
        <v>Group 1</v>
      </c>
      <c r="F695" s="13" t="str">
        <f>IFERROR(__xludf.DUMMYFUNCTION("""COMPUTED_VALUE"""),"2024 - 2025")</f>
        <v>2024 - 2025</v>
      </c>
      <c r="G695" s="13" t="str">
        <f>IFERROR(__xludf.DUMMYFUNCTION("""COMPUTED_VALUE"""),"2023 - 2024")</f>
        <v>2023 - 2024</v>
      </c>
      <c r="H695" s="13">
        <f>IFERROR(__xludf.DUMMYFUNCTION("""COMPUTED_VALUE"""),40.08)</f>
        <v>40.08</v>
      </c>
      <c r="I695" s="15">
        <f>IFERROR(__xludf.DUMMYFUNCTION("""COMPUTED_VALUE"""),59.92)</f>
        <v>59.92</v>
      </c>
    </row>
    <row r="696">
      <c r="A696" s="13" t="str">
        <f>IFERROR(__xludf.DUMMYFUNCTION("""COMPUTED_VALUE"""),"1040")</f>
        <v>1040</v>
      </c>
      <c r="B696" s="13" t="str">
        <f>IFERROR(__xludf.DUMMYFUNCTION("""COMPUTED_VALUE"""),"ACADEMY 20")</f>
        <v>ACADEMY 20</v>
      </c>
      <c r="C696" s="14" t="str">
        <f>IFERROR(__xludf.DUMMYFUNCTION("""COMPUTED_VALUE"""),"07159")</f>
        <v>07159</v>
      </c>
      <c r="D696" s="13" t="str">
        <f>IFERROR(__xludf.DUMMYFUNCTION("""COMPUTED_VALUE"""),"PRAIRIE HILLS ELEMENTARY SCHOOL")</f>
        <v>PRAIRIE HILLS ELEMENTARY SCHOOL</v>
      </c>
      <c r="E696" s="13" t="str">
        <f>IFERROR(__xludf.DUMMYFUNCTION("""COMPUTED_VALUE"""),"Group 1")</f>
        <v>Group 1</v>
      </c>
      <c r="F696" s="13" t="str">
        <f>IFERROR(__xludf.DUMMYFUNCTION("""COMPUTED_VALUE"""),"2024 - 2025")</f>
        <v>2024 - 2025</v>
      </c>
      <c r="G696" s="13" t="str">
        <f>IFERROR(__xludf.DUMMYFUNCTION("""COMPUTED_VALUE"""),"2023 - 2024")</f>
        <v>2023 - 2024</v>
      </c>
      <c r="H696" s="13">
        <f>IFERROR(__xludf.DUMMYFUNCTION("""COMPUTED_VALUE"""),40.08)</f>
        <v>40.08</v>
      </c>
      <c r="I696" s="15">
        <f>IFERROR(__xludf.DUMMYFUNCTION("""COMPUTED_VALUE"""),59.92)</f>
        <v>59.92</v>
      </c>
    </row>
    <row r="697">
      <c r="A697" s="13" t="str">
        <f>IFERROR(__xludf.DUMMYFUNCTION("""COMPUTED_VALUE"""),"1040")</f>
        <v>1040</v>
      </c>
      <c r="B697" s="13" t="str">
        <f>IFERROR(__xludf.DUMMYFUNCTION("""COMPUTED_VALUE"""),"ACADEMY 20")</f>
        <v>ACADEMY 20</v>
      </c>
      <c r="C697" s="14" t="str">
        <f>IFERROR(__xludf.DUMMYFUNCTION("""COMPUTED_VALUE"""),"07240")</f>
        <v>07240</v>
      </c>
      <c r="D697" s="13" t="str">
        <f>IFERROR(__xludf.DUMMYFUNCTION("""COMPUTED_VALUE"""),"RAMPART HIGH SCHOOL")</f>
        <v>RAMPART HIGH SCHOOL</v>
      </c>
      <c r="E697" s="13" t="str">
        <f>IFERROR(__xludf.DUMMYFUNCTION("""COMPUTED_VALUE"""),"Group 1")</f>
        <v>Group 1</v>
      </c>
      <c r="F697" s="13" t="str">
        <f>IFERROR(__xludf.DUMMYFUNCTION("""COMPUTED_VALUE"""),"2024 - 2025")</f>
        <v>2024 - 2025</v>
      </c>
      <c r="G697" s="13" t="str">
        <f>IFERROR(__xludf.DUMMYFUNCTION("""COMPUTED_VALUE"""),"2023 - 2024")</f>
        <v>2023 - 2024</v>
      </c>
      <c r="H697" s="13">
        <f>IFERROR(__xludf.DUMMYFUNCTION("""COMPUTED_VALUE"""),40.08)</f>
        <v>40.08</v>
      </c>
      <c r="I697" s="15">
        <f>IFERROR(__xludf.DUMMYFUNCTION("""COMPUTED_VALUE"""),59.92)</f>
        <v>59.92</v>
      </c>
    </row>
    <row r="698">
      <c r="A698" s="13" t="str">
        <f>IFERROR(__xludf.DUMMYFUNCTION("""COMPUTED_VALUE"""),"1040")</f>
        <v>1040</v>
      </c>
      <c r="B698" s="13" t="str">
        <f>IFERROR(__xludf.DUMMYFUNCTION("""COMPUTED_VALUE"""),"ACADEMY 20")</f>
        <v>ACADEMY 20</v>
      </c>
      <c r="C698" s="14" t="str">
        <f>IFERROR(__xludf.DUMMYFUNCTION("""COMPUTED_VALUE"""),"07247")</f>
        <v>07247</v>
      </c>
      <c r="D698" s="13" t="str">
        <f>IFERROR(__xludf.DUMMYFUNCTION("""COMPUTED_VALUE"""),"RANCH CREEK ELEMENTARY")</f>
        <v>RANCH CREEK ELEMENTARY</v>
      </c>
      <c r="E698" s="13" t="str">
        <f>IFERROR(__xludf.DUMMYFUNCTION("""COMPUTED_VALUE"""),"Group 1")</f>
        <v>Group 1</v>
      </c>
      <c r="F698" s="13" t="str">
        <f>IFERROR(__xludf.DUMMYFUNCTION("""COMPUTED_VALUE"""),"2024 - 2025")</f>
        <v>2024 - 2025</v>
      </c>
      <c r="G698" s="13" t="str">
        <f>IFERROR(__xludf.DUMMYFUNCTION("""COMPUTED_VALUE"""),"2023 - 2024")</f>
        <v>2023 - 2024</v>
      </c>
      <c r="H698" s="13">
        <f>IFERROR(__xludf.DUMMYFUNCTION("""COMPUTED_VALUE"""),40.08)</f>
        <v>40.08</v>
      </c>
      <c r="I698" s="15">
        <f>IFERROR(__xludf.DUMMYFUNCTION("""COMPUTED_VALUE"""),59.92)</f>
        <v>59.92</v>
      </c>
    </row>
    <row r="699">
      <c r="A699" s="13" t="str">
        <f>IFERROR(__xludf.DUMMYFUNCTION("""COMPUTED_VALUE"""),"1040")</f>
        <v>1040</v>
      </c>
      <c r="B699" s="13" t="str">
        <f>IFERROR(__xludf.DUMMYFUNCTION("""COMPUTED_VALUE"""),"ACADEMY 20")</f>
        <v>ACADEMY 20</v>
      </c>
      <c r="C699" s="14" t="str">
        <f>IFERROR(__xludf.DUMMYFUNCTION("""COMPUTED_VALUE"""),"09714")</f>
        <v>09714</v>
      </c>
      <c r="D699" s="13" t="str">
        <f>IFERROR(__xludf.DUMMYFUNCTION("""COMPUTED_VALUE"""),"WOODMEN-ROBERTS ELEMENTARY SCHOOL")</f>
        <v>WOODMEN-ROBERTS ELEMENTARY SCHOOL</v>
      </c>
      <c r="E699" s="13" t="str">
        <f>IFERROR(__xludf.DUMMYFUNCTION("""COMPUTED_VALUE"""),"Group 1")</f>
        <v>Group 1</v>
      </c>
      <c r="F699" s="13" t="str">
        <f>IFERROR(__xludf.DUMMYFUNCTION("""COMPUTED_VALUE"""),"2024 - 2025")</f>
        <v>2024 - 2025</v>
      </c>
      <c r="G699" s="13" t="str">
        <f>IFERROR(__xludf.DUMMYFUNCTION("""COMPUTED_VALUE"""),"2023 - 2024")</f>
        <v>2023 - 2024</v>
      </c>
      <c r="H699" s="13">
        <f>IFERROR(__xludf.DUMMYFUNCTION("""COMPUTED_VALUE"""),40.08)</f>
        <v>40.08</v>
      </c>
      <c r="I699" s="15">
        <f>IFERROR(__xludf.DUMMYFUNCTION("""COMPUTED_VALUE"""),59.92)</f>
        <v>59.92</v>
      </c>
    </row>
    <row r="700">
      <c r="A700" s="13" t="str">
        <f>IFERROR(__xludf.DUMMYFUNCTION("""COMPUTED_VALUE"""),"1040")</f>
        <v>1040</v>
      </c>
      <c r="B700" s="13" t="str">
        <f>IFERROR(__xludf.DUMMYFUNCTION("""COMPUTED_VALUE"""),"ACADEMY 20")</f>
        <v>ACADEMY 20</v>
      </c>
      <c r="C700" s="14" t="str">
        <f>IFERROR(__xludf.DUMMYFUNCTION("""COMPUTED_VALUE"""),"06247")</f>
        <v>06247</v>
      </c>
      <c r="D700" s="13" t="str">
        <f>IFERROR(__xludf.DUMMYFUNCTION("""COMPUTED_VALUE"""),"Legacy Peak Elementary")</f>
        <v>Legacy Peak Elementary</v>
      </c>
      <c r="E700" s="13" t="str">
        <f>IFERROR(__xludf.DUMMYFUNCTION("""COMPUTED_VALUE"""),"Group 1")</f>
        <v>Group 1</v>
      </c>
      <c r="F700" s="13" t="str">
        <f>IFERROR(__xludf.DUMMYFUNCTION("""COMPUTED_VALUE"""),"2024 - 2025")</f>
        <v>2024 - 2025</v>
      </c>
      <c r="G700" s="13" t="str">
        <f>IFERROR(__xludf.DUMMYFUNCTION("""COMPUTED_VALUE"""),"2023 - 2024")</f>
        <v>2023 - 2024</v>
      </c>
      <c r="H700" s="13">
        <f>IFERROR(__xludf.DUMMYFUNCTION("""COMPUTED_VALUE"""),40.08)</f>
        <v>40.08</v>
      </c>
      <c r="I700" s="15">
        <f>IFERROR(__xludf.DUMMYFUNCTION("""COMPUTED_VALUE"""),59.92)</f>
        <v>59.92</v>
      </c>
    </row>
    <row r="701">
      <c r="A701" s="13" t="str">
        <f>IFERROR(__xludf.DUMMYFUNCTION("""COMPUTED_VALUE"""),"1040")</f>
        <v>1040</v>
      </c>
      <c r="B701" s="13" t="str">
        <f>IFERROR(__xludf.DUMMYFUNCTION("""COMPUTED_VALUE"""),"ACADEMY 20")</f>
        <v>ACADEMY 20</v>
      </c>
      <c r="C701" s="14" t="str">
        <f>IFERROR(__xludf.DUMMYFUNCTION("""COMPUTED_VALUE"""),"06242")</f>
        <v>06242</v>
      </c>
      <c r="D701" s="13" t="str">
        <f>IFERROR(__xludf.DUMMYFUNCTION("""COMPUTED_VALUE"""),"New Summit Charter Academy")</f>
        <v>New Summit Charter Academy</v>
      </c>
      <c r="E701" s="13" t="str">
        <f>IFERROR(__xludf.DUMMYFUNCTION("""COMPUTED_VALUE"""),"Group 1")</f>
        <v>Group 1</v>
      </c>
      <c r="F701" s="13" t="str">
        <f>IFERROR(__xludf.DUMMYFUNCTION("""COMPUTED_VALUE"""),"2024 - 2025")</f>
        <v>2024 - 2025</v>
      </c>
      <c r="G701" s="13" t="str">
        <f>IFERROR(__xludf.DUMMYFUNCTION("""COMPUTED_VALUE"""),"2023 - 2024")</f>
        <v>2023 - 2024</v>
      </c>
      <c r="H701" s="13">
        <f>IFERROR(__xludf.DUMMYFUNCTION("""COMPUTED_VALUE"""),40.08)</f>
        <v>40.08</v>
      </c>
      <c r="I701" s="15">
        <f>IFERROR(__xludf.DUMMYFUNCTION("""COMPUTED_VALUE"""),59.92)</f>
        <v>59.92</v>
      </c>
    </row>
    <row r="702">
      <c r="A702" s="13" t="str">
        <f>IFERROR(__xludf.DUMMYFUNCTION("""COMPUTED_VALUE"""),"1040")</f>
        <v>1040</v>
      </c>
      <c r="B702" s="13" t="str">
        <f>IFERROR(__xludf.DUMMYFUNCTION("""COMPUTED_VALUE"""),"ACADEMY 20")</f>
        <v>ACADEMY 20</v>
      </c>
      <c r="C702" s="14" t="str">
        <f>IFERROR(__xludf.DUMMYFUNCTION("""COMPUTED_VALUE"""),"01229")</f>
        <v>01229</v>
      </c>
      <c r="D702" s="13" t="str">
        <f>IFERROR(__xludf.DUMMYFUNCTION("""COMPUTED_VALUE"""),"Encompass Heights Elementary School")</f>
        <v>Encompass Heights Elementary School</v>
      </c>
      <c r="E702" s="13" t="str">
        <f>IFERROR(__xludf.DUMMYFUNCTION("""COMPUTED_VALUE"""),"Group 1")</f>
        <v>Group 1</v>
      </c>
      <c r="F702" s="13" t="str">
        <f>IFERROR(__xludf.DUMMYFUNCTION("""COMPUTED_VALUE"""),"2024 - 2025")</f>
        <v>2024 - 2025</v>
      </c>
      <c r="G702" s="13" t="str">
        <f>IFERROR(__xludf.DUMMYFUNCTION("""COMPUTED_VALUE"""),"2023 - 2024")</f>
        <v>2023 - 2024</v>
      </c>
      <c r="H702" s="13">
        <f>IFERROR(__xludf.DUMMYFUNCTION("""COMPUTED_VALUE"""),40.08)</f>
        <v>40.08</v>
      </c>
      <c r="I702" s="15">
        <f>IFERROR(__xludf.DUMMYFUNCTION("""COMPUTED_VALUE"""),59.92)</f>
        <v>59.92</v>
      </c>
    </row>
    <row r="703">
      <c r="A703" s="13" t="str">
        <f>IFERROR(__xludf.DUMMYFUNCTION("""COMPUTED_VALUE"""),"1040")</f>
        <v>1040</v>
      </c>
      <c r="B703" s="13" t="str">
        <f>IFERROR(__xludf.DUMMYFUNCTION("""COMPUTED_VALUE"""),"ACADEMY 20")</f>
        <v>ACADEMY 20</v>
      </c>
      <c r="C703" s="14" t="str">
        <f>IFERROR(__xludf.DUMMYFUNCTION("""COMPUTED_VALUE"""),"07460")</f>
        <v>07460</v>
      </c>
      <c r="D703" s="13" t="str">
        <f>IFERROR(__xludf.DUMMYFUNCTION("""COMPUTED_VALUE"""),"ROCKRIMMON ELEMENTARY SCHOOL")</f>
        <v>ROCKRIMMON ELEMENTARY SCHOOL</v>
      </c>
      <c r="E703" s="13" t="str">
        <f>IFERROR(__xludf.DUMMYFUNCTION("""COMPUTED_VALUE"""),"Group 2")</f>
        <v>Group 2</v>
      </c>
      <c r="F703" s="13" t="str">
        <f>IFERROR(__xludf.DUMMYFUNCTION("""COMPUTED_VALUE"""),"2024 - 2025")</f>
        <v>2024 - 2025</v>
      </c>
      <c r="G703" s="13" t="str">
        <f>IFERROR(__xludf.DUMMYFUNCTION("""COMPUTED_VALUE"""),"2023 - 2024")</f>
        <v>2023 - 2024</v>
      </c>
      <c r="H703" s="13">
        <f>IFERROR(__xludf.DUMMYFUNCTION("""COMPUTED_VALUE"""),40.51)</f>
        <v>40.51</v>
      </c>
      <c r="I703" s="15">
        <f>IFERROR(__xludf.DUMMYFUNCTION("""COMPUTED_VALUE"""),59.49)</f>
        <v>59.49</v>
      </c>
    </row>
    <row r="704">
      <c r="A704" s="13" t="str">
        <f>IFERROR(__xludf.DUMMYFUNCTION("""COMPUTED_VALUE"""),"1040")</f>
        <v>1040</v>
      </c>
      <c r="B704" s="13" t="str">
        <f>IFERROR(__xludf.DUMMYFUNCTION("""COMPUTED_VALUE"""),"ACADEMY 20")</f>
        <v>ACADEMY 20</v>
      </c>
      <c r="C704" s="14" t="str">
        <f>IFERROR(__xludf.DUMMYFUNCTION("""COMPUTED_VALUE"""),"06960")</f>
        <v>06960</v>
      </c>
      <c r="D704" s="13" t="str">
        <f>IFERROR(__xludf.DUMMYFUNCTION("""COMPUTED_VALUE"""),"PIONEER ELEMENTARY SCHOOL")</f>
        <v>PIONEER ELEMENTARY SCHOOL</v>
      </c>
      <c r="E704" s="13" t="str">
        <f>IFERROR(__xludf.DUMMYFUNCTION("""COMPUTED_VALUE"""),"Group 3")</f>
        <v>Group 3</v>
      </c>
      <c r="F704" s="13" t="str">
        <f>IFERROR(__xludf.DUMMYFUNCTION("""COMPUTED_VALUE"""),"2024 - 2025")</f>
        <v>2024 - 2025</v>
      </c>
      <c r="G704" s="13" t="str">
        <f>IFERROR(__xludf.DUMMYFUNCTION("""COMPUTED_VALUE"""),"2023 - 2024")</f>
        <v>2023 - 2024</v>
      </c>
      <c r="H704" s="13">
        <f>IFERROR(__xludf.DUMMYFUNCTION("""COMPUTED_VALUE"""),74.85)</f>
        <v>74.85</v>
      </c>
      <c r="I704" s="15">
        <f>IFERROR(__xludf.DUMMYFUNCTION("""COMPUTED_VALUE"""),25.150000000000006)</f>
        <v>25.15</v>
      </c>
    </row>
    <row r="705">
      <c r="A705" s="13" t="str">
        <f>IFERROR(__xludf.DUMMYFUNCTION("""COMPUTED_VALUE"""),"1040")</f>
        <v>1040</v>
      </c>
      <c r="B705" s="13" t="str">
        <f>IFERROR(__xludf.DUMMYFUNCTION("""COMPUTED_VALUE"""),"ACADEMY 20")</f>
        <v>ACADEMY 20</v>
      </c>
      <c r="C705" s="14" t="str">
        <f>IFERROR(__xludf.DUMMYFUNCTION("""COMPUTED_VALUE"""),"02248")</f>
        <v>02248</v>
      </c>
      <c r="D705" s="13" t="str">
        <f>IFERROR(__xludf.DUMMYFUNCTION("""COMPUTED_VALUE"""),"DOUGLASS VALLEY ELEMENTARY SCHOOL")</f>
        <v>DOUGLASS VALLEY ELEMENTARY SCHOOL</v>
      </c>
      <c r="E705" s="13" t="str">
        <f>IFERROR(__xludf.DUMMYFUNCTION("""COMPUTED_VALUE"""),"Group 4")</f>
        <v>Group 4</v>
      </c>
      <c r="F705" s="13" t="str">
        <f>IFERROR(__xludf.DUMMYFUNCTION("""COMPUTED_VALUE"""),"2024 - 2025")</f>
        <v>2024 - 2025</v>
      </c>
      <c r="G705" s="13" t="str">
        <f>IFERROR(__xludf.DUMMYFUNCTION("""COMPUTED_VALUE"""),"2023 - 2024")</f>
        <v>2023 - 2024</v>
      </c>
      <c r="H705" s="13">
        <f>IFERROR(__xludf.DUMMYFUNCTION("""COMPUTED_VALUE"""),41.15)</f>
        <v>41.15</v>
      </c>
      <c r="I705" s="15">
        <f>IFERROR(__xludf.DUMMYFUNCTION("""COMPUTED_VALUE"""),58.85)</f>
        <v>58.85</v>
      </c>
    </row>
    <row r="706">
      <c r="A706" s="13" t="str">
        <f>IFERROR(__xludf.DUMMYFUNCTION("""COMPUTED_VALUE"""),"1040")</f>
        <v>1040</v>
      </c>
      <c r="B706" s="13" t="str">
        <f>IFERROR(__xludf.DUMMYFUNCTION("""COMPUTED_VALUE"""),"ACADEMY 20")</f>
        <v>ACADEMY 20</v>
      </c>
      <c r="C706" s="14" t="str">
        <f>IFERROR(__xludf.DUMMYFUNCTION("""COMPUTED_VALUE"""),"02800")</f>
        <v>02800</v>
      </c>
      <c r="D706" s="13" t="str">
        <f>IFERROR(__xludf.DUMMYFUNCTION("""COMPUTED_VALUE"""),"EXPLORER ELEMENTARY SCHOOL")</f>
        <v>EXPLORER ELEMENTARY SCHOOL</v>
      </c>
      <c r="E706" s="13" t="str">
        <f>IFERROR(__xludf.DUMMYFUNCTION("""COMPUTED_VALUE"""),"Group 4")</f>
        <v>Group 4</v>
      </c>
      <c r="F706" s="13" t="str">
        <f>IFERROR(__xludf.DUMMYFUNCTION("""COMPUTED_VALUE"""),"2024 - 2025")</f>
        <v>2024 - 2025</v>
      </c>
      <c r="G706" s="13" t="str">
        <f>IFERROR(__xludf.DUMMYFUNCTION("""COMPUTED_VALUE"""),"2023 - 2024")</f>
        <v>2023 - 2024</v>
      </c>
      <c r="H706" s="13">
        <f>IFERROR(__xludf.DUMMYFUNCTION("""COMPUTED_VALUE"""),41.15)</f>
        <v>41.15</v>
      </c>
      <c r="I706" s="15">
        <f>IFERROR(__xludf.DUMMYFUNCTION("""COMPUTED_VALUE"""),58.85)</f>
        <v>58.85</v>
      </c>
    </row>
    <row r="707">
      <c r="A707" s="13" t="str">
        <f>IFERROR(__xludf.DUMMYFUNCTION("""COMPUTED_VALUE"""),"1040")</f>
        <v>1040</v>
      </c>
      <c r="B707" s="13" t="str">
        <f>IFERROR(__xludf.DUMMYFUNCTION("""COMPUTED_VALUE"""),"ACADEMY 20")</f>
        <v>ACADEMY 20</v>
      </c>
      <c r="C707" s="14" t="str">
        <f>IFERROR(__xludf.DUMMYFUNCTION("""COMPUTED_VALUE"""),"06140")</f>
        <v>06140</v>
      </c>
      <c r="D707" s="13" t="str">
        <f>IFERROR(__xludf.DUMMYFUNCTION("""COMPUTED_VALUE"""),"MOUNTAIN RIDGE MIDDLE SCHOOL")</f>
        <v>MOUNTAIN RIDGE MIDDLE SCHOOL</v>
      </c>
      <c r="E707" s="13" t="str">
        <f>IFERROR(__xludf.DUMMYFUNCTION("""COMPUTED_VALUE"""),"Group 4")</f>
        <v>Group 4</v>
      </c>
      <c r="F707" s="13" t="str">
        <f>IFERROR(__xludf.DUMMYFUNCTION("""COMPUTED_VALUE"""),"2024 - 2025")</f>
        <v>2024 - 2025</v>
      </c>
      <c r="G707" s="13" t="str">
        <f>IFERROR(__xludf.DUMMYFUNCTION("""COMPUTED_VALUE"""),"2023 - 2024")</f>
        <v>2023 - 2024</v>
      </c>
      <c r="H707" s="13">
        <f>IFERROR(__xludf.DUMMYFUNCTION("""COMPUTED_VALUE"""),41.15)</f>
        <v>41.15</v>
      </c>
      <c r="I707" s="15">
        <f>IFERROR(__xludf.DUMMYFUNCTION("""COMPUTED_VALUE"""),58.85)</f>
        <v>58.85</v>
      </c>
    </row>
    <row r="708">
      <c r="A708" s="13" t="str">
        <f>IFERROR(__xludf.DUMMYFUNCTION("""COMPUTED_VALUE"""),"1040")</f>
        <v>1040</v>
      </c>
      <c r="B708" s="13" t="str">
        <f>IFERROR(__xludf.DUMMYFUNCTION("""COMPUTED_VALUE"""),"ACADEMY 20")</f>
        <v>ACADEMY 20</v>
      </c>
      <c r="C708" s="14" t="str">
        <f>IFERROR(__xludf.DUMMYFUNCTION("""COMPUTED_VALUE"""),"08813")</f>
        <v>08813</v>
      </c>
      <c r="D708" s="13" t="str">
        <f>IFERROR(__xludf.DUMMYFUNCTION("""COMPUTED_VALUE"""),"THE DA VINCI ACADEMY")</f>
        <v>THE DA VINCI ACADEMY</v>
      </c>
      <c r="E708" s="13" t="str">
        <f>IFERROR(__xludf.DUMMYFUNCTION("""COMPUTED_VALUE"""),"Group 4")</f>
        <v>Group 4</v>
      </c>
      <c r="F708" s="13" t="str">
        <f>IFERROR(__xludf.DUMMYFUNCTION("""COMPUTED_VALUE"""),"2024 - 2025")</f>
        <v>2024 - 2025</v>
      </c>
      <c r="G708" s="13" t="str">
        <f>IFERROR(__xludf.DUMMYFUNCTION("""COMPUTED_VALUE"""),"2023 - 2024")</f>
        <v>2023 - 2024</v>
      </c>
      <c r="H708" s="13">
        <f>IFERROR(__xludf.DUMMYFUNCTION("""COMPUTED_VALUE"""),41.15)</f>
        <v>41.15</v>
      </c>
      <c r="I708" s="15">
        <f>IFERROR(__xludf.DUMMYFUNCTION("""COMPUTED_VALUE"""),58.85)</f>
        <v>58.85</v>
      </c>
    </row>
    <row r="709">
      <c r="A709" s="13" t="str">
        <f>IFERROR(__xludf.DUMMYFUNCTION("""COMPUTED_VALUE"""),"1040")</f>
        <v>1040</v>
      </c>
      <c r="B709" s="13" t="str">
        <f>IFERROR(__xludf.DUMMYFUNCTION("""COMPUTED_VALUE"""),"ACADEMY 20")</f>
        <v>ACADEMY 20</v>
      </c>
      <c r="C709" s="14" t="str">
        <f>IFERROR(__xludf.DUMMYFUNCTION("""COMPUTED_VALUE"""),"08851")</f>
        <v>08851</v>
      </c>
      <c r="D709" s="13" t="str">
        <f>IFERROR(__xludf.DUMMYFUNCTION("""COMPUTED_VALUE"""),"TIMBERVIEW MIDDLE SCHOOL")</f>
        <v>TIMBERVIEW MIDDLE SCHOOL</v>
      </c>
      <c r="E709" s="13" t="str">
        <f>IFERROR(__xludf.DUMMYFUNCTION("""COMPUTED_VALUE"""),"Group 4")</f>
        <v>Group 4</v>
      </c>
      <c r="F709" s="13" t="str">
        <f>IFERROR(__xludf.DUMMYFUNCTION("""COMPUTED_VALUE"""),"2024 - 2025")</f>
        <v>2024 - 2025</v>
      </c>
      <c r="G709" s="13" t="str">
        <f>IFERROR(__xludf.DUMMYFUNCTION("""COMPUTED_VALUE"""),"2023 - 2024")</f>
        <v>2023 - 2024</v>
      </c>
      <c r="H709" s="13">
        <f>IFERROR(__xludf.DUMMYFUNCTION("""COMPUTED_VALUE"""),41.15)</f>
        <v>41.15</v>
      </c>
      <c r="I709" s="15">
        <f>IFERROR(__xludf.DUMMYFUNCTION("""COMPUTED_VALUE"""),58.85)</f>
        <v>58.85</v>
      </c>
    </row>
    <row r="710">
      <c r="A710" s="13" t="str">
        <f>IFERROR(__xludf.DUMMYFUNCTION("""COMPUTED_VALUE"""),"1050")</f>
        <v>1050</v>
      </c>
      <c r="B710" s="13" t="str">
        <f>IFERROR(__xludf.DUMMYFUNCTION("""COMPUTED_VALUE"""),"ELLICOTT 22")</f>
        <v>ELLICOTT 22</v>
      </c>
      <c r="C710" s="14" t="str">
        <f>IFERROR(__xludf.DUMMYFUNCTION("""COMPUTED_VALUE"""),"02642")</f>
        <v>02642</v>
      </c>
      <c r="D710" s="13" t="str">
        <f>IFERROR(__xludf.DUMMYFUNCTION("""COMPUTED_VALUE"""),"ELLICOTT SENIOR HIGH SCHOOL")</f>
        <v>ELLICOTT SENIOR HIGH SCHOOL</v>
      </c>
      <c r="E710" s="13" t="str">
        <f>IFERROR(__xludf.DUMMYFUNCTION("""COMPUTED_VALUE"""),"Group 1")</f>
        <v>Group 1</v>
      </c>
      <c r="F710" s="13" t="str">
        <f>IFERROR(__xludf.DUMMYFUNCTION("""COMPUTED_VALUE"""),"2024 - 2025")</f>
        <v>2024 - 2025</v>
      </c>
      <c r="G710" s="13" t="str">
        <f>IFERROR(__xludf.DUMMYFUNCTION("""COMPUTED_VALUE"""),"2023 - 2024")</f>
        <v>2023 - 2024</v>
      </c>
      <c r="H710" s="13">
        <f>IFERROR(__xludf.DUMMYFUNCTION("""COMPUTED_VALUE"""),54.75)</f>
        <v>54.75</v>
      </c>
      <c r="I710" s="15">
        <f>IFERROR(__xludf.DUMMYFUNCTION("""COMPUTED_VALUE"""),45.25)</f>
        <v>45.25</v>
      </c>
    </row>
    <row r="711">
      <c r="A711" s="13" t="str">
        <f>IFERROR(__xludf.DUMMYFUNCTION("""COMPUTED_VALUE"""),"1060")</f>
        <v>1060</v>
      </c>
      <c r="B711" s="13" t="str">
        <f>IFERROR(__xludf.DUMMYFUNCTION("""COMPUTED_VALUE"""),"PEYTON 23 JT")</f>
        <v>PEYTON 23 JT</v>
      </c>
      <c r="C711" s="14" t="str">
        <f>IFERROR(__xludf.DUMMYFUNCTION("""COMPUTED_VALUE"""),"06898")</f>
        <v>06898</v>
      </c>
      <c r="D711" s="13" t="str">
        <f>IFERROR(__xludf.DUMMYFUNCTION("""COMPUTED_VALUE"""),"PEYTON ELEMENTARY SCHOOL")</f>
        <v>PEYTON ELEMENTARY SCHOOL</v>
      </c>
      <c r="E711" s="13" t="str">
        <f>IFERROR(__xludf.DUMMYFUNCTION("""COMPUTED_VALUE"""),"Group 1")</f>
        <v>Group 1</v>
      </c>
      <c r="F711" s="13" t="str">
        <f>IFERROR(__xludf.DUMMYFUNCTION("""COMPUTED_VALUE"""),"2024 - 2025")</f>
        <v>2024 - 2025</v>
      </c>
      <c r="G711" s="13" t="str">
        <f>IFERROR(__xludf.DUMMYFUNCTION("""COMPUTED_VALUE"""),"2023 - 2024")</f>
        <v>2023 - 2024</v>
      </c>
      <c r="H711" s="13">
        <f>IFERROR(__xludf.DUMMYFUNCTION("""COMPUTED_VALUE"""),64.11)</f>
        <v>64.11</v>
      </c>
      <c r="I711" s="15">
        <f>IFERROR(__xludf.DUMMYFUNCTION("""COMPUTED_VALUE"""),35.89)</f>
        <v>35.89</v>
      </c>
    </row>
    <row r="712">
      <c r="A712" s="13" t="str">
        <f>IFERROR(__xludf.DUMMYFUNCTION("""COMPUTED_VALUE"""),"1060")</f>
        <v>1060</v>
      </c>
      <c r="B712" s="13" t="str">
        <f>IFERROR(__xludf.DUMMYFUNCTION("""COMPUTED_VALUE"""),"PEYTON 23 JT")</f>
        <v>PEYTON 23 JT</v>
      </c>
      <c r="C712" s="14" t="str">
        <f>IFERROR(__xludf.DUMMYFUNCTION("""COMPUTED_VALUE"""),"06900")</f>
        <v>06900</v>
      </c>
      <c r="D712" s="13" t="str">
        <f>IFERROR(__xludf.DUMMYFUNCTION("""COMPUTED_VALUE"""),"PEYTON MIDDLE SCHOOL")</f>
        <v>PEYTON MIDDLE SCHOOL</v>
      </c>
      <c r="E712" s="13" t="str">
        <f>IFERROR(__xludf.DUMMYFUNCTION("""COMPUTED_VALUE"""),"Group 2")</f>
        <v>Group 2</v>
      </c>
      <c r="F712" s="13" t="str">
        <f>IFERROR(__xludf.DUMMYFUNCTION("""COMPUTED_VALUE"""),"2024 - 2025")</f>
        <v>2024 - 2025</v>
      </c>
      <c r="G712" s="13" t="str">
        <f>IFERROR(__xludf.DUMMYFUNCTION("""COMPUTED_VALUE"""),"2023 - 2024")</f>
        <v>2023 - 2024</v>
      </c>
      <c r="H712" s="13">
        <f>IFERROR(__xludf.DUMMYFUNCTION("""COMPUTED_VALUE"""),41.23)</f>
        <v>41.23</v>
      </c>
      <c r="I712" s="15">
        <f>IFERROR(__xludf.DUMMYFUNCTION("""COMPUTED_VALUE"""),58.77)</f>
        <v>58.77</v>
      </c>
    </row>
    <row r="713">
      <c r="A713" s="13" t="str">
        <f>IFERROR(__xludf.DUMMYFUNCTION("""COMPUTED_VALUE"""),"1060")</f>
        <v>1060</v>
      </c>
      <c r="B713" s="13" t="str">
        <f>IFERROR(__xludf.DUMMYFUNCTION("""COMPUTED_VALUE"""),"PEYTON 23 JT")</f>
        <v>PEYTON 23 JT</v>
      </c>
      <c r="C713" s="14" t="str">
        <f>IFERROR(__xludf.DUMMYFUNCTION("""COMPUTED_VALUE"""),"06902")</f>
        <v>06902</v>
      </c>
      <c r="D713" s="13" t="str">
        <f>IFERROR(__xludf.DUMMYFUNCTION("""COMPUTED_VALUE"""),"PEYTON HIGH SCHOOL")</f>
        <v>PEYTON HIGH SCHOOL</v>
      </c>
      <c r="E713" s="13" t="str">
        <f>IFERROR(__xludf.DUMMYFUNCTION("""COMPUTED_VALUE"""),"Group 2")</f>
        <v>Group 2</v>
      </c>
      <c r="F713" s="13" t="str">
        <f>IFERROR(__xludf.DUMMYFUNCTION("""COMPUTED_VALUE"""),"2024 - 2025")</f>
        <v>2024 - 2025</v>
      </c>
      <c r="G713" s="13" t="str">
        <f>IFERROR(__xludf.DUMMYFUNCTION("""COMPUTED_VALUE"""),"2023 - 2024")</f>
        <v>2023 - 2024</v>
      </c>
      <c r="H713" s="13">
        <f>IFERROR(__xludf.DUMMYFUNCTION("""COMPUTED_VALUE"""),41.23)</f>
        <v>41.23</v>
      </c>
      <c r="I713" s="15">
        <f>IFERROR(__xludf.DUMMYFUNCTION("""COMPUTED_VALUE"""),58.77)</f>
        <v>58.77</v>
      </c>
    </row>
    <row r="714">
      <c r="A714" s="13" t="str">
        <f>IFERROR(__xludf.DUMMYFUNCTION("""COMPUTED_VALUE"""),"1070")</f>
        <v>1070</v>
      </c>
      <c r="B714" s="13" t="str">
        <f>IFERROR(__xludf.DUMMYFUNCTION("""COMPUTED_VALUE"""),"Hanover School District 28")</f>
        <v>Hanover School District 28</v>
      </c>
      <c r="C714" s="14" t="str">
        <f>IFERROR(__xludf.DUMMYFUNCTION("""COMPUTED_VALUE"""),"03758")</f>
        <v>03758</v>
      </c>
      <c r="D714" s="13" t="str">
        <f>IFERROR(__xludf.DUMMYFUNCTION("""COMPUTED_VALUE"""),"HANOVER JUNIOR-SENIOR HIGH SCHOOL")</f>
        <v>HANOVER JUNIOR-SENIOR HIGH SCHOOL</v>
      </c>
      <c r="E714" s="13" t="str">
        <f>IFERROR(__xludf.DUMMYFUNCTION("""COMPUTED_VALUE"""),"Group 1")</f>
        <v>Group 1</v>
      </c>
      <c r="F714" s="13" t="str">
        <f>IFERROR(__xludf.DUMMYFUNCTION("""COMPUTED_VALUE"""),"2024 - 2025")</f>
        <v>2024 - 2025</v>
      </c>
      <c r="G714" s="13" t="str">
        <f>IFERROR(__xludf.DUMMYFUNCTION("""COMPUTED_VALUE"""),"2023 - 2024")</f>
        <v>2023 - 2024</v>
      </c>
      <c r="H714" s="13">
        <f>IFERROR(__xludf.DUMMYFUNCTION("""COMPUTED_VALUE"""),100.0)</f>
        <v>100</v>
      </c>
      <c r="I714" s="15">
        <f>IFERROR(__xludf.DUMMYFUNCTION("""COMPUTED_VALUE"""),0.0)</f>
        <v>0</v>
      </c>
    </row>
    <row r="715">
      <c r="A715" s="13" t="str">
        <f>IFERROR(__xludf.DUMMYFUNCTION("""COMPUTED_VALUE"""),"1070")</f>
        <v>1070</v>
      </c>
      <c r="B715" s="13" t="str">
        <f>IFERROR(__xludf.DUMMYFUNCTION("""COMPUTED_VALUE"""),"Hanover School District 28")</f>
        <v>Hanover School District 28</v>
      </c>
      <c r="C715" s="14" t="str">
        <f>IFERROR(__xludf.DUMMYFUNCTION("""COMPUTED_VALUE"""),"06701")</f>
        <v>06701</v>
      </c>
      <c r="D715" s="13" t="str">
        <f>IFERROR(__xludf.DUMMYFUNCTION("""COMPUTED_VALUE"""),"PRAIRIE HEIGHTS ELEMENTARY")</f>
        <v>PRAIRIE HEIGHTS ELEMENTARY</v>
      </c>
      <c r="E715" s="13" t="str">
        <f>IFERROR(__xludf.DUMMYFUNCTION("""COMPUTED_VALUE"""),"Group 1")</f>
        <v>Group 1</v>
      </c>
      <c r="F715" s="13" t="str">
        <f>IFERROR(__xludf.DUMMYFUNCTION("""COMPUTED_VALUE"""),"2024 - 2025")</f>
        <v>2024 - 2025</v>
      </c>
      <c r="G715" s="13" t="str">
        <f>IFERROR(__xludf.DUMMYFUNCTION("""COMPUTED_VALUE"""),"2023 - 2024")</f>
        <v>2023 - 2024</v>
      </c>
      <c r="H715" s="13">
        <f>IFERROR(__xludf.DUMMYFUNCTION("""COMPUTED_VALUE"""),100.0)</f>
        <v>100</v>
      </c>
      <c r="I715" s="15">
        <f>IFERROR(__xludf.DUMMYFUNCTION("""COMPUTED_VALUE"""),0.0)</f>
        <v>0</v>
      </c>
    </row>
    <row r="716">
      <c r="A716" s="13" t="str">
        <f>IFERROR(__xludf.DUMMYFUNCTION("""COMPUTED_VALUE"""),"1110")</f>
        <v>1110</v>
      </c>
      <c r="B716" s="13" t="str">
        <f>IFERROR(__xludf.DUMMYFUNCTION("""COMPUTED_VALUE"""),"DISTRICT 49")</f>
        <v>DISTRICT 49</v>
      </c>
      <c r="C716" s="14" t="str">
        <f>IFERROR(__xludf.DUMMYFUNCTION("""COMPUTED_VALUE"""),"04102")</f>
        <v>04102</v>
      </c>
      <c r="D716" s="13" t="str">
        <f>IFERROR(__xludf.DUMMYFUNCTION("""COMPUTED_VALUE"""),"HORIZON MIDDLE SCHOOL")</f>
        <v>HORIZON MIDDLE SCHOOL</v>
      </c>
      <c r="E716" s="13" t="str">
        <f>IFERROR(__xludf.DUMMYFUNCTION("""COMPUTED_VALUE"""),"Group 1")</f>
        <v>Group 1</v>
      </c>
      <c r="F716" s="13" t="str">
        <f>IFERROR(__xludf.DUMMYFUNCTION("""COMPUTED_VALUE"""),"2024 - 2025")</f>
        <v>2024 - 2025</v>
      </c>
      <c r="G716" s="13" t="str">
        <f>IFERROR(__xludf.DUMMYFUNCTION("""COMPUTED_VALUE"""),"2023 - 2024")</f>
        <v>2023 - 2024</v>
      </c>
      <c r="H716" s="13">
        <f>IFERROR(__xludf.DUMMYFUNCTION("""COMPUTED_VALUE"""),58.7)</f>
        <v>58.7</v>
      </c>
      <c r="I716" s="15">
        <f>IFERROR(__xludf.DUMMYFUNCTION("""COMPUTED_VALUE"""),41.3)</f>
        <v>41.3</v>
      </c>
    </row>
    <row r="717">
      <c r="A717" s="13" t="str">
        <f>IFERROR(__xludf.DUMMYFUNCTION("""COMPUTED_VALUE"""),"1110")</f>
        <v>1110</v>
      </c>
      <c r="B717" s="13" t="str">
        <f>IFERROR(__xludf.DUMMYFUNCTION("""COMPUTED_VALUE"""),"DISTRICT 49")</f>
        <v>DISTRICT 49</v>
      </c>
      <c r="C717" s="14" t="str">
        <f>IFERROR(__xludf.DUMMYFUNCTION("""COMPUTED_VALUE"""),"06483")</f>
        <v>06483</v>
      </c>
      <c r="D717" s="13" t="str">
        <f>IFERROR(__xludf.DUMMYFUNCTION("""COMPUTED_VALUE"""),"ODYSSEY ELEMENTARY SCHOOL")</f>
        <v>ODYSSEY ELEMENTARY SCHOOL</v>
      </c>
      <c r="E717" s="13" t="str">
        <f>IFERROR(__xludf.DUMMYFUNCTION("""COMPUTED_VALUE"""),"Group 1")</f>
        <v>Group 1</v>
      </c>
      <c r="F717" s="13" t="str">
        <f>IFERROR(__xludf.DUMMYFUNCTION("""COMPUTED_VALUE"""),"2024 - 2025")</f>
        <v>2024 - 2025</v>
      </c>
      <c r="G717" s="13" t="str">
        <f>IFERROR(__xludf.DUMMYFUNCTION("""COMPUTED_VALUE"""),"2023 - 2024")</f>
        <v>2023 - 2024</v>
      </c>
      <c r="H717" s="13">
        <f>IFERROR(__xludf.DUMMYFUNCTION("""COMPUTED_VALUE"""),58.7)</f>
        <v>58.7</v>
      </c>
      <c r="I717" s="15">
        <f>IFERROR(__xludf.DUMMYFUNCTION("""COMPUTED_VALUE"""),41.3)</f>
        <v>41.3</v>
      </c>
    </row>
    <row r="718">
      <c r="A718" s="13" t="str">
        <f>IFERROR(__xludf.DUMMYFUNCTION("""COMPUTED_VALUE"""),"1110")</f>
        <v>1110</v>
      </c>
      <c r="B718" s="13" t="str">
        <f>IFERROR(__xludf.DUMMYFUNCTION("""COMPUTED_VALUE"""),"DISTRICT 49")</f>
        <v>DISTRICT 49</v>
      </c>
      <c r="C718" s="14" t="str">
        <f>IFERROR(__xludf.DUMMYFUNCTION("""COMPUTED_VALUE"""),"08010")</f>
        <v>08010</v>
      </c>
      <c r="D718" s="13" t="str">
        <f>IFERROR(__xludf.DUMMYFUNCTION("""COMPUTED_VALUE"""),"SPRINGS RANCH ELEMENTARY SCHOOL")</f>
        <v>SPRINGS RANCH ELEMENTARY SCHOOL</v>
      </c>
      <c r="E718" s="13" t="str">
        <f>IFERROR(__xludf.DUMMYFUNCTION("""COMPUTED_VALUE"""),"Group 1")</f>
        <v>Group 1</v>
      </c>
      <c r="F718" s="13" t="str">
        <f>IFERROR(__xludf.DUMMYFUNCTION("""COMPUTED_VALUE"""),"2024 - 2025")</f>
        <v>2024 - 2025</v>
      </c>
      <c r="G718" s="13" t="str">
        <f>IFERROR(__xludf.DUMMYFUNCTION("""COMPUTED_VALUE"""),"2023 - 2024")</f>
        <v>2023 - 2024</v>
      </c>
      <c r="H718" s="13">
        <f>IFERROR(__xludf.DUMMYFUNCTION("""COMPUTED_VALUE"""),58.7)</f>
        <v>58.7</v>
      </c>
      <c r="I718" s="15">
        <f>IFERROR(__xludf.DUMMYFUNCTION("""COMPUTED_VALUE"""),41.3)</f>
        <v>41.3</v>
      </c>
    </row>
    <row r="719">
      <c r="A719" s="13" t="str">
        <f>IFERROR(__xludf.DUMMYFUNCTION("""COMPUTED_VALUE"""),"1110")</f>
        <v>1110</v>
      </c>
      <c r="B719" s="13" t="str">
        <f>IFERROR(__xludf.DUMMYFUNCTION("""COMPUTED_VALUE"""),"DISTRICT 49")</f>
        <v>DISTRICT 49</v>
      </c>
      <c r="C719" s="14" t="str">
        <f>IFERROR(__xludf.DUMMYFUNCTION("""COMPUTED_VALUE"""),"08266")</f>
        <v>08266</v>
      </c>
      <c r="D719" s="13" t="str">
        <f>IFERROR(__xludf.DUMMYFUNCTION("""COMPUTED_VALUE"""),"STETSON ELEMENTARY SCHOOL")</f>
        <v>STETSON ELEMENTARY SCHOOL</v>
      </c>
      <c r="E719" s="13" t="str">
        <f>IFERROR(__xludf.DUMMYFUNCTION("""COMPUTED_VALUE"""),"Group 2")</f>
        <v>Group 2</v>
      </c>
      <c r="F719" s="13" t="str">
        <f>IFERROR(__xludf.DUMMYFUNCTION("""COMPUTED_VALUE"""),"2024 - 2025")</f>
        <v>2024 - 2025</v>
      </c>
      <c r="G719" s="13" t="str">
        <f>IFERROR(__xludf.DUMMYFUNCTION("""COMPUTED_VALUE"""),"2023 - 2024")</f>
        <v>2023 - 2024</v>
      </c>
      <c r="H719" s="13">
        <f>IFERROR(__xludf.DUMMYFUNCTION("""COMPUTED_VALUE"""),51.39)</f>
        <v>51.39</v>
      </c>
      <c r="I719" s="15">
        <f>IFERROR(__xludf.DUMMYFUNCTION("""COMPUTED_VALUE"""),48.61)</f>
        <v>48.61</v>
      </c>
    </row>
    <row r="720">
      <c r="A720" s="13" t="str">
        <f>IFERROR(__xludf.DUMMYFUNCTION("""COMPUTED_VALUE"""),"1110")</f>
        <v>1110</v>
      </c>
      <c r="B720" s="13" t="str">
        <f>IFERROR(__xludf.DUMMYFUNCTION("""COMPUTED_VALUE"""),"DISTRICT 49")</f>
        <v>DISTRICT 49</v>
      </c>
      <c r="C720" s="14" t="str">
        <f>IFERROR(__xludf.DUMMYFUNCTION("""COMPUTED_VALUE"""),"07960")</f>
        <v>07960</v>
      </c>
      <c r="D720" s="13" t="str">
        <f>IFERROR(__xludf.DUMMYFUNCTION("""COMPUTED_VALUE"""),"SKYVIEW MIDDLE SCHOOL")</f>
        <v>SKYVIEW MIDDLE SCHOOL</v>
      </c>
      <c r="E720" s="13" t="str">
        <f>IFERROR(__xludf.DUMMYFUNCTION("""COMPUTED_VALUE"""),"Group 3")</f>
        <v>Group 3</v>
      </c>
      <c r="F720" s="13" t="str">
        <f>IFERROR(__xludf.DUMMYFUNCTION("""COMPUTED_VALUE"""),"2024 - 2025")</f>
        <v>2024 - 2025</v>
      </c>
      <c r="G720" s="13" t="str">
        <f>IFERROR(__xludf.DUMMYFUNCTION("""COMPUTED_VALUE"""),"2023 - 2024")</f>
        <v>2023 - 2024</v>
      </c>
      <c r="H720" s="13">
        <f>IFERROR(__xludf.DUMMYFUNCTION("""COMPUTED_VALUE"""),44.14)</f>
        <v>44.14</v>
      </c>
      <c r="I720" s="15">
        <f>IFERROR(__xludf.DUMMYFUNCTION("""COMPUTED_VALUE"""),55.86)</f>
        <v>55.86</v>
      </c>
    </row>
    <row r="721">
      <c r="A721" s="13" t="str">
        <f>IFERROR(__xludf.DUMMYFUNCTION("""COMPUTED_VALUE"""),"1110")</f>
        <v>1110</v>
      </c>
      <c r="B721" s="13" t="str">
        <f>IFERROR(__xludf.DUMMYFUNCTION("""COMPUTED_VALUE"""),"DISTRICT 49")</f>
        <v>DISTRICT 49</v>
      </c>
      <c r="C721" s="14" t="str">
        <f>IFERROR(__xludf.DUMMYFUNCTION("""COMPUTED_VALUE"""),"04272")</f>
        <v>04272</v>
      </c>
      <c r="D721" s="13" t="str">
        <f>IFERROR(__xludf.DUMMYFUNCTION("""COMPUTED_VALUE"""),"Inspiration View Elementary")</f>
        <v>Inspiration View Elementary</v>
      </c>
      <c r="E721" s="13" t="str">
        <f>IFERROR(__xludf.DUMMYFUNCTION("""COMPUTED_VALUE"""),"Group 3")</f>
        <v>Group 3</v>
      </c>
      <c r="F721" s="13" t="str">
        <f>IFERROR(__xludf.DUMMYFUNCTION("""COMPUTED_VALUE"""),"2024 - 2025")</f>
        <v>2024 - 2025</v>
      </c>
      <c r="G721" s="13" t="str">
        <f>IFERROR(__xludf.DUMMYFUNCTION("""COMPUTED_VALUE"""),"2023 - 2024")</f>
        <v>2023 - 2024</v>
      </c>
      <c r="H721" s="13">
        <f>IFERROR(__xludf.DUMMYFUNCTION("""COMPUTED_VALUE"""),44.14)</f>
        <v>44.14</v>
      </c>
      <c r="I721" s="15">
        <f>IFERROR(__xludf.DUMMYFUNCTION("""COMPUTED_VALUE"""),55.86)</f>
        <v>55.86</v>
      </c>
    </row>
    <row r="722">
      <c r="A722" s="13" t="str">
        <f>IFERROR(__xludf.DUMMYFUNCTION("""COMPUTED_VALUE"""),"1110")</f>
        <v>1110</v>
      </c>
      <c r="B722" s="13" t="str">
        <f>IFERROR(__xludf.DUMMYFUNCTION("""COMPUTED_VALUE"""),"DISTRICT 49")</f>
        <v>DISTRICT 49</v>
      </c>
      <c r="C722" s="14" t="str">
        <f>IFERROR(__xludf.DUMMYFUNCTION("""COMPUTED_VALUE"""),"07339")</f>
        <v>07339</v>
      </c>
      <c r="D722" s="13" t="str">
        <f>IFERROR(__xludf.DUMMYFUNCTION("""COMPUTED_VALUE"""),"RIDGEVIEW ELEMENTARY SCHOOL")</f>
        <v>RIDGEVIEW ELEMENTARY SCHOOL</v>
      </c>
      <c r="E722" s="13" t="str">
        <f>IFERROR(__xludf.DUMMYFUNCTION("""COMPUTED_VALUE"""),"Group 4")</f>
        <v>Group 4</v>
      </c>
      <c r="F722" s="13" t="str">
        <f>IFERROR(__xludf.DUMMYFUNCTION("""COMPUTED_VALUE"""),"2024 - 2025")</f>
        <v>2024 - 2025</v>
      </c>
      <c r="G722" s="13" t="str">
        <f>IFERROR(__xludf.DUMMYFUNCTION("""COMPUTED_VALUE"""),"2023 - 2024")</f>
        <v>2023 - 2024</v>
      </c>
      <c r="H722" s="13">
        <f>IFERROR(__xludf.DUMMYFUNCTION("""COMPUTED_VALUE"""),47.15)</f>
        <v>47.15</v>
      </c>
      <c r="I722" s="15">
        <f>IFERROR(__xludf.DUMMYFUNCTION("""COMPUTED_VALUE"""),52.85)</f>
        <v>52.85</v>
      </c>
    </row>
    <row r="723">
      <c r="A723" s="13" t="str">
        <f>IFERROR(__xludf.DUMMYFUNCTION("""COMPUTED_VALUE"""),"1110")</f>
        <v>1110</v>
      </c>
      <c r="B723" s="13" t="str">
        <f>IFERROR(__xludf.DUMMYFUNCTION("""COMPUTED_VALUE"""),"DISTRICT 49")</f>
        <v>DISTRICT 49</v>
      </c>
      <c r="C723" s="14" t="str">
        <f>IFERROR(__xludf.DUMMYFUNCTION("""COMPUTED_VALUE"""),"07317")</f>
        <v>07317</v>
      </c>
      <c r="D723" s="13" t="str">
        <f>IFERROR(__xludf.DUMMYFUNCTION("""COMPUTED_VALUE"""),"REMINGTON ELEMENTARY SCHOOL")</f>
        <v>REMINGTON ELEMENTARY SCHOOL</v>
      </c>
      <c r="E723" s="13" t="str">
        <f>IFERROR(__xludf.DUMMYFUNCTION("""COMPUTED_VALUE"""),"Group 5")</f>
        <v>Group 5</v>
      </c>
      <c r="F723" s="13" t="str">
        <f>IFERROR(__xludf.DUMMYFUNCTION("""COMPUTED_VALUE"""),"2024 - 2025")</f>
        <v>2024 - 2025</v>
      </c>
      <c r="G723" s="13" t="str">
        <f>IFERROR(__xludf.DUMMYFUNCTION("""COMPUTED_VALUE"""),"2023 - 2024")</f>
        <v>2023 - 2024</v>
      </c>
      <c r="H723" s="13">
        <f>IFERROR(__xludf.DUMMYFUNCTION("""COMPUTED_VALUE"""),51.36)</f>
        <v>51.36</v>
      </c>
      <c r="I723" s="15">
        <f>IFERROR(__xludf.DUMMYFUNCTION("""COMPUTED_VALUE"""),48.64)</f>
        <v>48.64</v>
      </c>
    </row>
    <row r="724">
      <c r="A724" s="13" t="str">
        <f>IFERROR(__xludf.DUMMYFUNCTION("""COMPUTED_VALUE"""),"1110")</f>
        <v>1110</v>
      </c>
      <c r="B724" s="13" t="str">
        <f>IFERROR(__xludf.DUMMYFUNCTION("""COMPUTED_VALUE"""),"DISTRICT 49")</f>
        <v>DISTRICT 49</v>
      </c>
      <c r="C724" s="14" t="str">
        <f>IFERROR(__xludf.DUMMYFUNCTION("""COMPUTED_VALUE"""),"01618")</f>
        <v>01618</v>
      </c>
      <c r="D724" s="13" t="str">
        <f>IFERROR(__xludf.DUMMYFUNCTION("""COMPUTED_VALUE"""),"EVANS INTERNATIONAL ELEMENTARY SCHOOL")</f>
        <v>EVANS INTERNATIONAL ELEMENTARY SCHOOL</v>
      </c>
      <c r="E724" s="13" t="str">
        <f>IFERROR(__xludf.DUMMYFUNCTION("""COMPUTED_VALUE"""),"Group 6")</f>
        <v>Group 6</v>
      </c>
      <c r="F724" s="13" t="str">
        <f>IFERROR(__xludf.DUMMYFUNCTION("""COMPUTED_VALUE"""),"2024 - 2025")</f>
        <v>2024 - 2025</v>
      </c>
      <c r="G724" s="13" t="str">
        <f>IFERROR(__xludf.DUMMYFUNCTION("""COMPUTED_VALUE"""),"2023 - 2024")</f>
        <v>2023 - 2024</v>
      </c>
      <c r="H724" s="13">
        <f>IFERROR(__xludf.DUMMYFUNCTION("""COMPUTED_VALUE"""),86.0)</f>
        <v>86</v>
      </c>
      <c r="I724" s="15">
        <f>IFERROR(__xludf.DUMMYFUNCTION("""COMPUTED_VALUE"""),14.0)</f>
        <v>14</v>
      </c>
    </row>
    <row r="725">
      <c r="A725" s="13" t="str">
        <f>IFERROR(__xludf.DUMMYFUNCTION("""COMPUTED_VALUE"""),"1110")</f>
        <v>1110</v>
      </c>
      <c r="B725" s="13" t="str">
        <f>IFERROR(__xludf.DUMMYFUNCTION("""COMPUTED_VALUE"""),"DISTRICT 49")</f>
        <v>DISTRICT 49</v>
      </c>
      <c r="C725" s="14" t="str">
        <f>IFERROR(__xludf.DUMMYFUNCTION("""COMPUTED_VALUE"""),"00696")</f>
        <v>00696</v>
      </c>
      <c r="D725" s="13" t="str">
        <f>IFERROR(__xludf.DUMMYFUNCTION("""COMPUTED_VALUE"""),"Bennett Ranch")</f>
        <v>Bennett Ranch</v>
      </c>
      <c r="E725" s="13" t="str">
        <f>IFERROR(__xludf.DUMMYFUNCTION("""COMPUTED_VALUE"""),"Group 6")</f>
        <v>Group 6</v>
      </c>
      <c r="F725" s="13" t="str">
        <f>IFERROR(__xludf.DUMMYFUNCTION("""COMPUTED_VALUE"""),"2024 - 2025")</f>
        <v>2024 - 2025</v>
      </c>
      <c r="G725" s="13" t="str">
        <f>IFERROR(__xludf.DUMMYFUNCTION("""COMPUTED_VALUE"""),"2023 - 2024")</f>
        <v>2023 - 2024</v>
      </c>
      <c r="H725" s="13">
        <f>IFERROR(__xludf.DUMMYFUNCTION("""COMPUTED_VALUE"""),86.0)</f>
        <v>86</v>
      </c>
      <c r="I725" s="15">
        <f>IFERROR(__xludf.DUMMYFUNCTION("""COMPUTED_VALUE"""),14.0)</f>
        <v>14</v>
      </c>
    </row>
    <row r="726">
      <c r="A726" s="13" t="str">
        <f>IFERROR(__xludf.DUMMYFUNCTION("""COMPUTED_VALUE"""),"1110")</f>
        <v>1110</v>
      </c>
      <c r="B726" s="13" t="str">
        <f>IFERROR(__xludf.DUMMYFUNCTION("""COMPUTED_VALUE"""),"DISTRICT 49")</f>
        <v>DISTRICT 49</v>
      </c>
      <c r="C726" s="14" t="str">
        <f>IFERROR(__xludf.DUMMYFUNCTION("""COMPUTED_VALUE"""),"02902")</f>
        <v>02902</v>
      </c>
      <c r="D726" s="13" t="str">
        <f>IFERROR(__xludf.DUMMYFUNCTION("""COMPUTED_VALUE"""),"FALCON ELEMENTARY SCHOOL")</f>
        <v>FALCON ELEMENTARY SCHOOL</v>
      </c>
      <c r="E726" s="13" t="str">
        <f>IFERROR(__xludf.DUMMYFUNCTION("""COMPUTED_VALUE"""),"Group 7")</f>
        <v>Group 7</v>
      </c>
      <c r="F726" s="13" t="str">
        <f>IFERROR(__xludf.DUMMYFUNCTION("""COMPUTED_VALUE"""),"2024 - 2025")</f>
        <v>2024 - 2025</v>
      </c>
      <c r="G726" s="13" t="str">
        <f>IFERROR(__xludf.DUMMYFUNCTION("""COMPUTED_VALUE"""),"2023 - 2024")</f>
        <v>2023 - 2024</v>
      </c>
      <c r="H726" s="13">
        <f>IFERROR(__xludf.DUMMYFUNCTION("""COMPUTED_VALUE"""),54.93)</f>
        <v>54.93</v>
      </c>
      <c r="I726" s="15">
        <f>IFERROR(__xludf.DUMMYFUNCTION("""COMPUTED_VALUE"""),45.07)</f>
        <v>45.07</v>
      </c>
    </row>
    <row r="727">
      <c r="A727" s="13" t="str">
        <f>IFERROR(__xludf.DUMMYFUNCTION("""COMPUTED_VALUE"""),"1110")</f>
        <v>1110</v>
      </c>
      <c r="B727" s="13" t="str">
        <f>IFERROR(__xludf.DUMMYFUNCTION("""COMPUTED_VALUE"""),"DISTRICT 49")</f>
        <v>DISTRICT 49</v>
      </c>
      <c r="C727" s="14" t="str">
        <f>IFERROR(__xludf.DUMMYFUNCTION("""COMPUTED_VALUE"""),"02906")</f>
        <v>02906</v>
      </c>
      <c r="D727" s="13" t="str">
        <f>IFERROR(__xludf.DUMMYFUNCTION("""COMPUTED_VALUE"""),"FALCON MIDDLE SCHOOL")</f>
        <v>FALCON MIDDLE SCHOOL</v>
      </c>
      <c r="E727" s="13" t="str">
        <f>IFERROR(__xludf.DUMMYFUNCTION("""COMPUTED_VALUE"""),"Group 8")</f>
        <v>Group 8</v>
      </c>
      <c r="F727" s="13" t="str">
        <f>IFERROR(__xludf.DUMMYFUNCTION("""COMPUTED_VALUE"""),"2024 - 2025")</f>
        <v>2024 - 2025</v>
      </c>
      <c r="G727" s="13" t="str">
        <f>IFERROR(__xludf.DUMMYFUNCTION("""COMPUTED_VALUE"""),"2023 - 2024")</f>
        <v>2023 - 2024</v>
      </c>
      <c r="H727" s="13">
        <f>IFERROR(__xludf.DUMMYFUNCTION("""COMPUTED_VALUE"""),40.13)</f>
        <v>40.13</v>
      </c>
      <c r="I727" s="15">
        <f>IFERROR(__xludf.DUMMYFUNCTION("""COMPUTED_VALUE"""),59.87)</f>
        <v>59.87</v>
      </c>
    </row>
    <row r="728">
      <c r="A728" s="13" t="str">
        <f>IFERROR(__xludf.DUMMYFUNCTION("""COMPUTED_VALUE"""),"1110")</f>
        <v>1110</v>
      </c>
      <c r="B728" s="13" t="str">
        <f>IFERROR(__xludf.DUMMYFUNCTION("""COMPUTED_VALUE"""),"DISTRICT 49")</f>
        <v>DISTRICT 49</v>
      </c>
      <c r="C728" s="14" t="str">
        <f>IFERROR(__xludf.DUMMYFUNCTION("""COMPUTED_VALUE"""),"05779")</f>
        <v>05779</v>
      </c>
      <c r="D728" s="13" t="str">
        <f>IFERROR(__xludf.DUMMYFUNCTION("""COMPUTED_VALUE"""),"MERIDIAN RANCH INTERNATIONAL SCHOOL")</f>
        <v>MERIDIAN RANCH INTERNATIONAL SCHOOL</v>
      </c>
      <c r="E728" s="13" t="str">
        <f>IFERROR(__xludf.DUMMYFUNCTION("""COMPUTED_VALUE"""),"Group 8")</f>
        <v>Group 8</v>
      </c>
      <c r="F728" s="13" t="str">
        <f>IFERROR(__xludf.DUMMYFUNCTION("""COMPUTED_VALUE"""),"2024 - 2025")</f>
        <v>2024 - 2025</v>
      </c>
      <c r="G728" s="13" t="str">
        <f>IFERROR(__xludf.DUMMYFUNCTION("""COMPUTED_VALUE"""),"2023 - 2024")</f>
        <v>2023 - 2024</v>
      </c>
      <c r="H728" s="13">
        <f>IFERROR(__xludf.DUMMYFUNCTION("""COMPUTED_VALUE"""),40.13)</f>
        <v>40.13</v>
      </c>
      <c r="I728" s="15">
        <f>IFERROR(__xludf.DUMMYFUNCTION("""COMPUTED_VALUE"""),59.87)</f>
        <v>59.87</v>
      </c>
    </row>
    <row r="729">
      <c r="A729" s="13" t="str">
        <f>IFERROR(__xludf.DUMMYFUNCTION("""COMPUTED_VALUE"""),"1110")</f>
        <v>1110</v>
      </c>
      <c r="B729" s="13" t="str">
        <f>IFERROR(__xludf.DUMMYFUNCTION("""COMPUTED_VALUE"""),"DISTRICT 49")</f>
        <v>DISTRICT 49</v>
      </c>
      <c r="C729" s="14" t="str">
        <f>IFERROR(__xludf.DUMMYFUNCTION("""COMPUTED_VALUE"""),"06810")</f>
        <v>06810</v>
      </c>
      <c r="D729" s="13" t="str">
        <f>IFERROR(__xludf.DUMMYFUNCTION("""COMPUTED_VALUE"""),"PATRIOT HIGH SCHOOL")</f>
        <v>PATRIOT HIGH SCHOOL</v>
      </c>
      <c r="E729" s="13" t="str">
        <f>IFERROR(__xludf.DUMMYFUNCTION("""COMPUTED_VALUE"""),"Group 8")</f>
        <v>Group 8</v>
      </c>
      <c r="F729" s="13" t="str">
        <f>IFERROR(__xludf.DUMMYFUNCTION("""COMPUTED_VALUE"""),"2024 - 2025")</f>
        <v>2024 - 2025</v>
      </c>
      <c r="G729" s="13" t="str">
        <f>IFERROR(__xludf.DUMMYFUNCTION("""COMPUTED_VALUE"""),"2023 - 2024")</f>
        <v>2023 - 2024</v>
      </c>
      <c r="H729" s="13">
        <f>IFERROR(__xludf.DUMMYFUNCTION("""COMPUTED_VALUE"""),40.13)</f>
        <v>40.13</v>
      </c>
      <c r="I729" s="15">
        <f>IFERROR(__xludf.DUMMYFUNCTION("""COMPUTED_VALUE"""),59.87)</f>
        <v>59.87</v>
      </c>
    </row>
    <row r="730">
      <c r="A730" s="13" t="str">
        <f>IFERROR(__xludf.DUMMYFUNCTION("""COMPUTED_VALUE"""),"1110")</f>
        <v>1110</v>
      </c>
      <c r="B730" s="13" t="str">
        <f>IFERROR(__xludf.DUMMYFUNCTION("""COMPUTED_VALUE"""),"DISTRICT 49")</f>
        <v>DISTRICT 49</v>
      </c>
      <c r="C730" s="14" t="str">
        <f>IFERROR(__xludf.DUMMYFUNCTION("""COMPUTED_VALUE"""),"07613")</f>
        <v>07613</v>
      </c>
      <c r="D730" s="13" t="str">
        <f>IFERROR(__xludf.DUMMYFUNCTION("""COMPUTED_VALUE"""),"SAND CREEK HIGH SCHOOL")</f>
        <v>SAND CREEK HIGH SCHOOL</v>
      </c>
      <c r="E730" s="13" t="str">
        <f>IFERROR(__xludf.DUMMYFUNCTION("""COMPUTED_VALUE"""),"Group 8")</f>
        <v>Group 8</v>
      </c>
      <c r="F730" s="13" t="str">
        <f>IFERROR(__xludf.DUMMYFUNCTION("""COMPUTED_VALUE"""),"2024 - 2025")</f>
        <v>2024 - 2025</v>
      </c>
      <c r="G730" s="13" t="str">
        <f>IFERROR(__xludf.DUMMYFUNCTION("""COMPUTED_VALUE"""),"2023 - 2024")</f>
        <v>2023 - 2024</v>
      </c>
      <c r="H730" s="13">
        <f>IFERROR(__xludf.DUMMYFUNCTION("""COMPUTED_VALUE"""),40.13)</f>
        <v>40.13</v>
      </c>
      <c r="I730" s="15">
        <f>IFERROR(__xludf.DUMMYFUNCTION("""COMPUTED_VALUE"""),59.87)</f>
        <v>59.87</v>
      </c>
    </row>
    <row r="731">
      <c r="A731" s="13" t="str">
        <f>IFERROR(__xludf.DUMMYFUNCTION("""COMPUTED_VALUE"""),"1110")</f>
        <v>1110</v>
      </c>
      <c r="B731" s="13" t="str">
        <f>IFERROR(__xludf.DUMMYFUNCTION("""COMPUTED_VALUE"""),"DISTRICT 49")</f>
        <v>DISTRICT 49</v>
      </c>
      <c r="C731" s="14" t="str">
        <f>IFERROR(__xludf.DUMMYFUNCTION("""COMPUTED_VALUE"""),"00101")</f>
        <v>00101</v>
      </c>
      <c r="D731" s="13" t="str">
        <f>IFERROR(__xludf.DUMMYFUNCTION("""COMPUTED_VALUE"""),"Allies")</f>
        <v>Allies</v>
      </c>
      <c r="E731" s="13" t="str">
        <f>IFERROR(__xludf.DUMMYFUNCTION("""COMPUTED_VALUE"""),"Group 8")</f>
        <v>Group 8</v>
      </c>
      <c r="F731" s="13" t="str">
        <f>IFERROR(__xludf.DUMMYFUNCTION("""COMPUTED_VALUE"""),"2024 - 2025")</f>
        <v>2024 - 2025</v>
      </c>
      <c r="G731" s="13" t="str">
        <f>IFERROR(__xludf.DUMMYFUNCTION("""COMPUTED_VALUE"""),"2023 - 2024")</f>
        <v>2023 - 2024</v>
      </c>
      <c r="H731" s="13">
        <f>IFERROR(__xludf.DUMMYFUNCTION("""COMPUTED_VALUE"""),40.13)</f>
        <v>40.13</v>
      </c>
      <c r="I731" s="15">
        <f>IFERROR(__xludf.DUMMYFUNCTION("""COMPUTED_VALUE"""),59.87)</f>
        <v>59.87</v>
      </c>
    </row>
    <row r="732">
      <c r="A732" s="13" t="str">
        <f>IFERROR(__xludf.DUMMYFUNCTION("""COMPUTED_VALUE"""),"1120")</f>
        <v>1120</v>
      </c>
      <c r="B732" s="13" t="str">
        <f>IFERROR(__xludf.DUMMYFUNCTION("""COMPUTED_VALUE"""),"EDISON 54 JT")</f>
        <v>EDISON 54 JT</v>
      </c>
      <c r="C732" s="14" t="str">
        <f>IFERROR(__xludf.DUMMYFUNCTION("""COMPUTED_VALUE"""),"02514")</f>
        <v>02514</v>
      </c>
      <c r="D732" s="13" t="str">
        <f>IFERROR(__xludf.DUMMYFUNCTION("""COMPUTED_VALUE"""),"EDISON ELEMENTARY SCHOOL")</f>
        <v>EDISON ELEMENTARY SCHOOL</v>
      </c>
      <c r="E732" s="13" t="str">
        <f>IFERROR(__xludf.DUMMYFUNCTION("""COMPUTED_VALUE"""),"Group 1")</f>
        <v>Group 1</v>
      </c>
      <c r="F732" s="13" t="str">
        <f>IFERROR(__xludf.DUMMYFUNCTION("""COMPUTED_VALUE"""),"2024 - 2025")</f>
        <v>2024 - 2025</v>
      </c>
      <c r="G732" s="13" t="str">
        <f>IFERROR(__xludf.DUMMYFUNCTION("""COMPUTED_VALUE"""),"2023 - 2024")</f>
        <v>2023 - 2024</v>
      </c>
      <c r="H732" s="13">
        <f>IFERROR(__xludf.DUMMYFUNCTION("""COMPUTED_VALUE"""),92.45)</f>
        <v>92.45</v>
      </c>
      <c r="I732" s="15">
        <f>IFERROR(__xludf.DUMMYFUNCTION("""COMPUTED_VALUE"""),7.549999999999997)</f>
        <v>7.55</v>
      </c>
    </row>
    <row r="733">
      <c r="A733" s="13" t="str">
        <f>IFERROR(__xludf.DUMMYFUNCTION("""COMPUTED_VALUE"""),"1120")</f>
        <v>1120</v>
      </c>
      <c r="B733" s="13" t="str">
        <f>IFERROR(__xludf.DUMMYFUNCTION("""COMPUTED_VALUE"""),"EDISON 54 JT")</f>
        <v>EDISON 54 JT</v>
      </c>
      <c r="C733" s="14" t="str">
        <f>IFERROR(__xludf.DUMMYFUNCTION("""COMPUTED_VALUE"""),"02526")</f>
        <v>02526</v>
      </c>
      <c r="D733" s="13" t="str">
        <f>IFERROR(__xludf.DUMMYFUNCTION("""COMPUTED_VALUE"""),"EDISON JUNIOR-SENIOR HIGH SCHOOL")</f>
        <v>EDISON JUNIOR-SENIOR HIGH SCHOOL</v>
      </c>
      <c r="E733" s="13" t="str">
        <f>IFERROR(__xludf.DUMMYFUNCTION("""COMPUTED_VALUE"""),"Group 1")</f>
        <v>Group 1</v>
      </c>
      <c r="F733" s="13" t="str">
        <f>IFERROR(__xludf.DUMMYFUNCTION("""COMPUTED_VALUE"""),"2024 - 2025")</f>
        <v>2024 - 2025</v>
      </c>
      <c r="G733" s="13" t="str">
        <f>IFERROR(__xludf.DUMMYFUNCTION("""COMPUTED_VALUE"""),"2023 - 2024")</f>
        <v>2023 - 2024</v>
      </c>
      <c r="H733" s="13">
        <f>IFERROR(__xludf.DUMMYFUNCTION("""COMPUTED_VALUE"""),92.45)</f>
        <v>92.45</v>
      </c>
      <c r="I733" s="15">
        <f>IFERROR(__xludf.DUMMYFUNCTION("""COMPUTED_VALUE"""),7.549999999999997)</f>
        <v>7.55</v>
      </c>
    </row>
    <row r="734">
      <c r="A734" s="13" t="str">
        <f>IFERROR(__xludf.DUMMYFUNCTION("""COMPUTED_VALUE"""),"1130")</f>
        <v>1130</v>
      </c>
      <c r="B734" s="13" t="str">
        <f>IFERROR(__xludf.DUMMYFUNCTION("""COMPUTED_VALUE"""),"MIAMI/YODER 60 JT")</f>
        <v>MIAMI/YODER 60 JT</v>
      </c>
      <c r="C734" s="14" t="str">
        <f>IFERROR(__xludf.DUMMYFUNCTION("""COMPUTED_VALUE"""),"05850")</f>
        <v>05850</v>
      </c>
      <c r="D734" s="13" t="str">
        <f>IFERROR(__xludf.DUMMYFUNCTION("""COMPUTED_VALUE"""),"MIAMI/YODER ELEMENTARY SCHOOL")</f>
        <v>MIAMI/YODER ELEMENTARY SCHOOL</v>
      </c>
      <c r="E734" s="13" t="str">
        <f>IFERROR(__xludf.DUMMYFUNCTION("""COMPUTED_VALUE"""),"Group 1")</f>
        <v>Group 1</v>
      </c>
      <c r="F734" s="13" t="str">
        <f>IFERROR(__xludf.DUMMYFUNCTION("""COMPUTED_VALUE"""),"2024 - 2025")</f>
        <v>2024 - 2025</v>
      </c>
      <c r="G734" s="13" t="str">
        <f>IFERROR(__xludf.DUMMYFUNCTION("""COMPUTED_VALUE"""),"2023 - 2024")</f>
        <v>2023 - 2024</v>
      </c>
      <c r="H734" s="13">
        <f>IFERROR(__xludf.DUMMYFUNCTION("""COMPUTED_VALUE"""),84.46)</f>
        <v>84.46</v>
      </c>
      <c r="I734" s="15">
        <f>IFERROR(__xludf.DUMMYFUNCTION("""COMPUTED_VALUE"""),15.540000000000006)</f>
        <v>15.54</v>
      </c>
    </row>
    <row r="735">
      <c r="A735" s="13" t="str">
        <f>IFERROR(__xludf.DUMMYFUNCTION("""COMPUTED_VALUE"""),"1130")</f>
        <v>1130</v>
      </c>
      <c r="B735" s="13" t="str">
        <f>IFERROR(__xludf.DUMMYFUNCTION("""COMPUTED_VALUE"""),"MIAMI/YODER 60 JT")</f>
        <v>MIAMI/YODER 60 JT</v>
      </c>
      <c r="C735" s="14" t="str">
        <f>IFERROR(__xludf.DUMMYFUNCTION("""COMPUTED_VALUE"""),"05854")</f>
        <v>05854</v>
      </c>
      <c r="D735" s="13" t="str">
        <f>IFERROR(__xludf.DUMMYFUNCTION("""COMPUTED_VALUE"""),"MIAMI/YODER MIDDLE/HIGH SCHOOL")</f>
        <v>MIAMI/YODER MIDDLE/HIGH SCHOOL</v>
      </c>
      <c r="E735" s="13" t="str">
        <f>IFERROR(__xludf.DUMMYFUNCTION("""COMPUTED_VALUE"""),"Group 2")</f>
        <v>Group 2</v>
      </c>
      <c r="F735" s="13" t="str">
        <f>IFERROR(__xludf.DUMMYFUNCTION("""COMPUTED_VALUE"""),"2024 - 2025")</f>
        <v>2024 - 2025</v>
      </c>
      <c r="G735" s="13" t="str">
        <f>IFERROR(__xludf.DUMMYFUNCTION("""COMPUTED_VALUE"""),"2023 - 2024")</f>
        <v>2023 - 2024</v>
      </c>
      <c r="H735" s="13">
        <f>IFERROR(__xludf.DUMMYFUNCTION("""COMPUTED_VALUE"""),75.5)</f>
        <v>75.5</v>
      </c>
      <c r="I735" s="15">
        <f>IFERROR(__xludf.DUMMYFUNCTION("""COMPUTED_VALUE"""),24.5)</f>
        <v>24.5</v>
      </c>
    </row>
    <row r="736">
      <c r="A736" s="13" t="str">
        <f>IFERROR(__xludf.DUMMYFUNCTION("""COMPUTED_VALUE"""),"1140")</f>
        <v>1140</v>
      </c>
      <c r="B736" s="13" t="str">
        <f>IFERROR(__xludf.DUMMYFUNCTION("""COMPUTED_VALUE"""),"CANON CITY RE-1")</f>
        <v>CANON CITY RE-1</v>
      </c>
      <c r="C736" s="14" t="str">
        <f>IFERROR(__xludf.DUMMYFUNCTION("""COMPUTED_VALUE"""),"09248")</f>
        <v>09248</v>
      </c>
      <c r="D736" s="13" t="str">
        <f>IFERROR(__xludf.DUMMYFUNCTION("""COMPUTED_VALUE"""),"WASHINGTON ELEMENTARY SCHOOL")</f>
        <v>WASHINGTON ELEMENTARY SCHOOL</v>
      </c>
      <c r="E736" s="13" t="str">
        <f>IFERROR(__xludf.DUMMYFUNCTION("""COMPUTED_VALUE"""),"Group 1")</f>
        <v>Group 1</v>
      </c>
      <c r="F736" s="13" t="str">
        <f>IFERROR(__xludf.DUMMYFUNCTION("""COMPUTED_VALUE"""),"2024 - 2025")</f>
        <v>2024 - 2025</v>
      </c>
      <c r="G736" s="13" t="str">
        <f>IFERROR(__xludf.DUMMYFUNCTION("""COMPUTED_VALUE"""),"2023 - 2024")</f>
        <v>2023 - 2024</v>
      </c>
      <c r="H736" s="13">
        <f>IFERROR(__xludf.DUMMYFUNCTION("""COMPUTED_VALUE"""),95.76)</f>
        <v>95.76</v>
      </c>
      <c r="I736" s="15">
        <f>IFERROR(__xludf.DUMMYFUNCTION("""COMPUTED_VALUE"""),4.239999999999995)</f>
        <v>4.24</v>
      </c>
    </row>
    <row r="737">
      <c r="A737" s="13" t="str">
        <f>IFERROR(__xludf.DUMMYFUNCTION("""COMPUTED_VALUE"""),"1140")</f>
        <v>1140</v>
      </c>
      <c r="B737" s="13" t="str">
        <f>IFERROR(__xludf.DUMMYFUNCTION("""COMPUTED_VALUE"""),"CANON CITY RE-1")</f>
        <v>CANON CITY RE-1</v>
      </c>
      <c r="C737" s="14" t="str">
        <f>IFERROR(__xludf.DUMMYFUNCTION("""COMPUTED_VALUE"""),"01262")</f>
        <v>01262</v>
      </c>
      <c r="D737" s="13" t="str">
        <f>IFERROR(__xludf.DUMMYFUNCTION("""COMPUTED_VALUE"""),"CANON CITY MIDDLE SCHOOL")</f>
        <v>CANON CITY MIDDLE SCHOOL</v>
      </c>
      <c r="E737" s="13" t="str">
        <f>IFERROR(__xludf.DUMMYFUNCTION("""COMPUTED_VALUE"""),"Group 2")</f>
        <v>Group 2</v>
      </c>
      <c r="F737" s="13" t="str">
        <f>IFERROR(__xludf.DUMMYFUNCTION("""COMPUTED_VALUE"""),"2024 - 2025")</f>
        <v>2024 - 2025</v>
      </c>
      <c r="G737" s="13" t="str">
        <f>IFERROR(__xludf.DUMMYFUNCTION("""COMPUTED_VALUE"""),"2023 - 2024")</f>
        <v>2023 - 2024</v>
      </c>
      <c r="H737" s="13">
        <f>IFERROR(__xludf.DUMMYFUNCTION("""COMPUTED_VALUE"""),68.58)</f>
        <v>68.58</v>
      </c>
      <c r="I737" s="15">
        <f>IFERROR(__xludf.DUMMYFUNCTION("""COMPUTED_VALUE"""),31.42)</f>
        <v>31.42</v>
      </c>
    </row>
    <row r="738">
      <c r="A738" s="13" t="str">
        <f>IFERROR(__xludf.DUMMYFUNCTION("""COMPUTED_VALUE"""),"1140")</f>
        <v>1140</v>
      </c>
      <c r="B738" s="13" t="str">
        <f>IFERROR(__xludf.DUMMYFUNCTION("""COMPUTED_VALUE"""),"CANON CITY RE-1")</f>
        <v>CANON CITY RE-1</v>
      </c>
      <c r="C738" s="14" t="str">
        <f>IFERROR(__xludf.DUMMYFUNCTION("""COMPUTED_VALUE"""),"07950")</f>
        <v>07950</v>
      </c>
      <c r="D738" s="13" t="str">
        <f>IFERROR(__xludf.DUMMYFUNCTION("""COMPUTED_VALUE"""),"Canon Exploratory School")</f>
        <v>Canon Exploratory School</v>
      </c>
      <c r="E738" s="13" t="str">
        <f>IFERROR(__xludf.DUMMYFUNCTION("""COMPUTED_VALUE"""),"Group 3")</f>
        <v>Group 3</v>
      </c>
      <c r="F738" s="13" t="str">
        <f>IFERROR(__xludf.DUMMYFUNCTION("""COMPUTED_VALUE"""),"2024 - 2025")</f>
        <v>2024 - 2025</v>
      </c>
      <c r="G738" s="13" t="str">
        <f>IFERROR(__xludf.DUMMYFUNCTION("""COMPUTED_VALUE"""),"2023 - 2024")</f>
        <v>2023 - 2024</v>
      </c>
      <c r="H738" s="13">
        <f>IFERROR(__xludf.DUMMYFUNCTION("""COMPUTED_VALUE"""),65.55)</f>
        <v>65.55</v>
      </c>
      <c r="I738" s="15">
        <f>IFERROR(__xludf.DUMMYFUNCTION("""COMPUTED_VALUE"""),34.45)</f>
        <v>34.45</v>
      </c>
    </row>
    <row r="739">
      <c r="A739" s="13" t="str">
        <f>IFERROR(__xludf.DUMMYFUNCTION("""COMPUTED_VALUE"""),"1140")</f>
        <v>1140</v>
      </c>
      <c r="B739" s="13" t="str">
        <f>IFERROR(__xludf.DUMMYFUNCTION("""COMPUTED_VALUE"""),"CANON CITY RE-1")</f>
        <v>CANON CITY RE-1</v>
      </c>
      <c r="C739" s="14" t="str">
        <f>IFERROR(__xludf.DUMMYFUNCTION("""COMPUTED_VALUE"""),"03802")</f>
        <v>03802</v>
      </c>
      <c r="D739" s="13" t="str">
        <f>IFERROR(__xludf.DUMMYFUNCTION("""COMPUTED_VALUE"""),"HARRISON SCHOOL")</f>
        <v>HARRISON SCHOOL</v>
      </c>
      <c r="E739" s="13" t="str">
        <f>IFERROR(__xludf.DUMMYFUNCTION("""COMPUTED_VALUE"""),"Group 4")</f>
        <v>Group 4</v>
      </c>
      <c r="F739" s="13" t="str">
        <f>IFERROR(__xludf.DUMMYFUNCTION("""COMPUTED_VALUE"""),"2024 - 2025")</f>
        <v>2024 - 2025</v>
      </c>
      <c r="G739" s="13" t="str">
        <f>IFERROR(__xludf.DUMMYFUNCTION("""COMPUTED_VALUE"""),"2023 - 2024")</f>
        <v>2023 - 2024</v>
      </c>
      <c r="H739" s="13">
        <f>IFERROR(__xludf.DUMMYFUNCTION("""COMPUTED_VALUE"""),97.94)</f>
        <v>97.94</v>
      </c>
      <c r="I739" s="15">
        <f>IFERROR(__xludf.DUMMYFUNCTION("""COMPUTED_VALUE"""),2.0600000000000023)</f>
        <v>2.06</v>
      </c>
    </row>
    <row r="740">
      <c r="A740" s="13" t="str">
        <f>IFERROR(__xludf.DUMMYFUNCTION("""COMPUTED_VALUE"""),"1140")</f>
        <v>1140</v>
      </c>
      <c r="B740" s="13" t="str">
        <f>IFERROR(__xludf.DUMMYFUNCTION("""COMPUTED_VALUE"""),"CANON CITY RE-1")</f>
        <v>CANON CITY RE-1</v>
      </c>
      <c r="C740" s="14" t="str">
        <f>IFERROR(__xludf.DUMMYFUNCTION("""COMPUTED_VALUE"""),"05166")</f>
        <v>05166</v>
      </c>
      <c r="D740" s="13" t="str">
        <f>IFERROR(__xludf.DUMMYFUNCTION("""COMPUTED_VALUE"""),"Lincoln School of Science and Technology")</f>
        <v>Lincoln School of Science and Technology</v>
      </c>
      <c r="E740" s="13" t="str">
        <f>IFERROR(__xludf.DUMMYFUNCTION("""COMPUTED_VALUE"""),"Group 4")</f>
        <v>Group 4</v>
      </c>
      <c r="F740" s="13" t="str">
        <f>IFERROR(__xludf.DUMMYFUNCTION("""COMPUTED_VALUE"""),"2024 - 2025")</f>
        <v>2024 - 2025</v>
      </c>
      <c r="G740" s="13" t="str">
        <f>IFERROR(__xludf.DUMMYFUNCTION("""COMPUTED_VALUE"""),"2023 - 2024")</f>
        <v>2023 - 2024</v>
      </c>
      <c r="H740" s="13">
        <f>IFERROR(__xludf.DUMMYFUNCTION("""COMPUTED_VALUE"""),97.94)</f>
        <v>97.94</v>
      </c>
      <c r="I740" s="15">
        <f>IFERROR(__xludf.DUMMYFUNCTION("""COMPUTED_VALUE"""),2.0600000000000023)</f>
        <v>2.06</v>
      </c>
    </row>
    <row r="741">
      <c r="A741" s="13" t="str">
        <f>IFERROR(__xludf.DUMMYFUNCTION("""COMPUTED_VALUE"""),"1140")</f>
        <v>1140</v>
      </c>
      <c r="B741" s="13" t="str">
        <f>IFERROR(__xludf.DUMMYFUNCTION("""COMPUTED_VALUE"""),"CANON CITY RE-1")</f>
        <v>CANON CITY RE-1</v>
      </c>
      <c r="C741" s="14" t="str">
        <f>IFERROR(__xludf.DUMMYFUNCTION("""COMPUTED_VALUE"""),"05704")</f>
        <v>05704</v>
      </c>
      <c r="D741" s="13" t="str">
        <f>IFERROR(__xludf.DUMMYFUNCTION("""COMPUTED_VALUE"""),"MC KINLEY ELEMENTARY SCHOOL")</f>
        <v>MC KINLEY ELEMENTARY SCHOOL</v>
      </c>
      <c r="E741" s="13" t="str">
        <f>IFERROR(__xludf.DUMMYFUNCTION("""COMPUTED_VALUE"""),"Group 4")</f>
        <v>Group 4</v>
      </c>
      <c r="F741" s="13" t="str">
        <f>IFERROR(__xludf.DUMMYFUNCTION("""COMPUTED_VALUE"""),"2024 - 2025")</f>
        <v>2024 - 2025</v>
      </c>
      <c r="G741" s="13" t="str">
        <f>IFERROR(__xludf.DUMMYFUNCTION("""COMPUTED_VALUE"""),"2023 - 2024")</f>
        <v>2023 - 2024</v>
      </c>
      <c r="H741" s="13">
        <f>IFERROR(__xludf.DUMMYFUNCTION("""COMPUTED_VALUE"""),97.94)</f>
        <v>97.94</v>
      </c>
      <c r="I741" s="15">
        <f>IFERROR(__xludf.DUMMYFUNCTION("""COMPUTED_VALUE"""),2.0600000000000023)</f>
        <v>2.06</v>
      </c>
    </row>
    <row r="742">
      <c r="A742" s="13" t="str">
        <f>IFERROR(__xludf.DUMMYFUNCTION("""COMPUTED_VALUE"""),"1150")</f>
        <v>1150</v>
      </c>
      <c r="B742" s="13" t="str">
        <f>IFERROR(__xludf.DUMMYFUNCTION("""COMPUTED_VALUE"""),"FREMONT RE-2")</f>
        <v>FREMONT RE-2</v>
      </c>
      <c r="C742" s="14" t="str">
        <f>IFERROR(__xludf.DUMMYFUNCTION("""COMPUTED_VALUE"""),"06858")</f>
        <v>06858</v>
      </c>
      <c r="D742" s="13" t="str">
        <f>IFERROR(__xludf.DUMMYFUNCTION("""COMPUTED_VALUE"""),"PENROSE ELEMENTARY SCHOOL")</f>
        <v>PENROSE ELEMENTARY SCHOOL</v>
      </c>
      <c r="E742" s="13" t="str">
        <f>IFERROR(__xludf.DUMMYFUNCTION("""COMPUTED_VALUE"""),"Group 1")</f>
        <v>Group 1</v>
      </c>
      <c r="F742" s="13" t="str">
        <f>IFERROR(__xludf.DUMMYFUNCTION("""COMPUTED_VALUE"""),"2024 - 2025")</f>
        <v>2024 - 2025</v>
      </c>
      <c r="G742" s="13" t="str">
        <f>IFERROR(__xludf.DUMMYFUNCTION("""COMPUTED_VALUE"""),"2023 - 2024")</f>
        <v>2023 - 2024</v>
      </c>
      <c r="H742" s="13">
        <f>IFERROR(__xludf.DUMMYFUNCTION("""COMPUTED_VALUE"""),79.23)</f>
        <v>79.23</v>
      </c>
      <c r="I742" s="15">
        <f>IFERROR(__xludf.DUMMYFUNCTION("""COMPUTED_VALUE"""),20.769999999999996)</f>
        <v>20.77</v>
      </c>
    </row>
    <row r="743">
      <c r="A743" s="13" t="str">
        <f>IFERROR(__xludf.DUMMYFUNCTION("""COMPUTED_VALUE"""),"1150")</f>
        <v>1150</v>
      </c>
      <c r="B743" s="13" t="str">
        <f>IFERROR(__xludf.DUMMYFUNCTION("""COMPUTED_VALUE"""),"FREMONT RE-2")</f>
        <v>FREMONT RE-2</v>
      </c>
      <c r="C743" s="14" t="str">
        <f>IFERROR(__xludf.DUMMYFUNCTION("""COMPUTED_VALUE"""),"03224")</f>
        <v>03224</v>
      </c>
      <c r="D743" s="13" t="str">
        <f>IFERROR(__xludf.DUMMYFUNCTION("""COMPUTED_VALUE"""),"FREMONT ELEMENTARY SCHOOL")</f>
        <v>FREMONT ELEMENTARY SCHOOL</v>
      </c>
      <c r="E743" s="13" t="str">
        <f>IFERROR(__xludf.DUMMYFUNCTION("""COMPUTED_VALUE"""),"Group 2")</f>
        <v>Group 2</v>
      </c>
      <c r="F743" s="13" t="str">
        <f>IFERROR(__xludf.DUMMYFUNCTION("""COMPUTED_VALUE"""),"2024 - 2025")</f>
        <v>2024 - 2025</v>
      </c>
      <c r="G743" s="13" t="str">
        <f>IFERROR(__xludf.DUMMYFUNCTION("""COMPUTED_VALUE"""),"2023 - 2024")</f>
        <v>2023 - 2024</v>
      </c>
      <c r="H743" s="13">
        <f>IFERROR(__xludf.DUMMYFUNCTION("""COMPUTED_VALUE"""),95.47)</f>
        <v>95.47</v>
      </c>
      <c r="I743" s="15">
        <f>IFERROR(__xludf.DUMMYFUNCTION("""COMPUTED_VALUE"""),4.530000000000001)</f>
        <v>4.53</v>
      </c>
    </row>
    <row r="744">
      <c r="A744" s="13" t="str">
        <f>IFERROR(__xludf.DUMMYFUNCTION("""COMPUTED_VALUE"""),"1150")</f>
        <v>1150</v>
      </c>
      <c r="B744" s="13" t="str">
        <f>IFERROR(__xludf.DUMMYFUNCTION("""COMPUTED_VALUE"""),"FREMONT RE-2")</f>
        <v>FREMONT RE-2</v>
      </c>
      <c r="C744" s="14" t="str">
        <f>IFERROR(__xludf.DUMMYFUNCTION("""COMPUTED_VALUE"""),"03002")</f>
        <v>03002</v>
      </c>
      <c r="D744" s="13" t="str">
        <f>IFERROR(__xludf.DUMMYFUNCTION("""COMPUTED_VALUE"""),"FLORENCE JR/SR HIGH SCHOOL")</f>
        <v>FLORENCE JR/SR HIGH SCHOOL</v>
      </c>
      <c r="E744" s="13" t="str">
        <f>IFERROR(__xludf.DUMMYFUNCTION("""COMPUTED_VALUE"""),"Group 3")</f>
        <v>Group 3</v>
      </c>
      <c r="F744" s="13" t="str">
        <f>IFERROR(__xludf.DUMMYFUNCTION("""COMPUTED_VALUE"""),"2024 - 2025")</f>
        <v>2024 - 2025</v>
      </c>
      <c r="G744" s="13" t="str">
        <f>IFERROR(__xludf.DUMMYFUNCTION("""COMPUTED_VALUE"""),"2023 - 2024")</f>
        <v>2023 - 2024</v>
      </c>
      <c r="H744" s="13">
        <f>IFERROR(__xludf.DUMMYFUNCTION("""COMPUTED_VALUE"""),77.55)</f>
        <v>77.55</v>
      </c>
      <c r="I744" s="15">
        <f>IFERROR(__xludf.DUMMYFUNCTION("""COMPUTED_VALUE"""),22.450000000000003)</f>
        <v>22.45</v>
      </c>
    </row>
    <row r="745">
      <c r="A745" s="13" t="str">
        <f>IFERROR(__xludf.DUMMYFUNCTION("""COMPUTED_VALUE"""),"1160")</f>
        <v>1160</v>
      </c>
      <c r="B745" s="13" t="str">
        <f>IFERROR(__xludf.DUMMYFUNCTION("""COMPUTED_VALUE"""),"COTOPAXI RE-3")</f>
        <v>COTOPAXI RE-3</v>
      </c>
      <c r="C745" s="14" t="str">
        <f>IFERROR(__xludf.DUMMYFUNCTION("""COMPUTED_VALUE"""),"03220")</f>
        <v>03220</v>
      </c>
      <c r="D745" s="13" t="str">
        <f>IFERROR(__xludf.DUMMYFUNCTION("""COMPUTED_VALUE"""),"COTOPAXI ELEMENTARY SCHOOL")</f>
        <v>COTOPAXI ELEMENTARY SCHOOL</v>
      </c>
      <c r="E745" s="13" t="str">
        <f>IFERROR(__xludf.DUMMYFUNCTION("""COMPUTED_VALUE"""),"Group 1")</f>
        <v>Group 1</v>
      </c>
      <c r="F745" s="13" t="str">
        <f>IFERROR(__xludf.DUMMYFUNCTION("""COMPUTED_VALUE"""),"2024 - 2025")</f>
        <v>2024 - 2025</v>
      </c>
      <c r="G745" s="13" t="str">
        <f>IFERROR(__xludf.DUMMYFUNCTION("""COMPUTED_VALUE"""),"2023 - 2024")</f>
        <v>2023 - 2024</v>
      </c>
      <c r="H745" s="13">
        <f>IFERROR(__xludf.DUMMYFUNCTION("""COMPUTED_VALUE"""),100.0)</f>
        <v>100</v>
      </c>
      <c r="I745" s="15">
        <f>IFERROR(__xludf.DUMMYFUNCTION("""COMPUTED_VALUE"""),0.0)</f>
        <v>0</v>
      </c>
    </row>
    <row r="746">
      <c r="A746" s="13" t="str">
        <f>IFERROR(__xludf.DUMMYFUNCTION("""COMPUTED_VALUE"""),"1160")</f>
        <v>1160</v>
      </c>
      <c r="B746" s="13" t="str">
        <f>IFERROR(__xludf.DUMMYFUNCTION("""COMPUTED_VALUE"""),"COTOPAXI RE-3")</f>
        <v>COTOPAXI RE-3</v>
      </c>
      <c r="C746" s="14" t="str">
        <f>IFERROR(__xludf.DUMMYFUNCTION("""COMPUTED_VALUE"""),"03228")</f>
        <v>03228</v>
      </c>
      <c r="D746" s="13" t="str">
        <f>IFERROR(__xludf.DUMMYFUNCTION("""COMPUTED_VALUE"""),"COTOPAXI JUNIOR-SENIOR HIGH SCHOOL")</f>
        <v>COTOPAXI JUNIOR-SENIOR HIGH SCHOOL</v>
      </c>
      <c r="E746" s="13" t="str">
        <f>IFERROR(__xludf.DUMMYFUNCTION("""COMPUTED_VALUE"""),"Group 1")</f>
        <v>Group 1</v>
      </c>
      <c r="F746" s="13" t="str">
        <f>IFERROR(__xludf.DUMMYFUNCTION("""COMPUTED_VALUE"""),"2024 - 2025")</f>
        <v>2024 - 2025</v>
      </c>
      <c r="G746" s="13" t="str">
        <f>IFERROR(__xludf.DUMMYFUNCTION("""COMPUTED_VALUE"""),"2023 - 2024")</f>
        <v>2023 - 2024</v>
      </c>
      <c r="H746" s="13">
        <f>IFERROR(__xludf.DUMMYFUNCTION("""COMPUTED_VALUE"""),100.0)</f>
        <v>100</v>
      </c>
      <c r="I746" s="15">
        <f>IFERROR(__xludf.DUMMYFUNCTION("""COMPUTED_VALUE"""),0.0)</f>
        <v>0</v>
      </c>
    </row>
    <row r="747">
      <c r="A747" s="13" t="str">
        <f>IFERROR(__xludf.DUMMYFUNCTION("""COMPUTED_VALUE"""),"1160")</f>
        <v>1160</v>
      </c>
      <c r="B747" s="13" t="str">
        <f>IFERROR(__xludf.DUMMYFUNCTION("""COMPUTED_VALUE"""),"COTOPAXI RE-3")</f>
        <v>COTOPAXI RE-3</v>
      </c>
      <c r="C747" s="14" t="str">
        <f>IFERROR(__xludf.DUMMYFUNCTION("""COMPUTED_VALUE"""),"04783")</f>
        <v>04783</v>
      </c>
      <c r="D747" s="13" t="str">
        <f>IFERROR(__xludf.DUMMYFUNCTION("""COMPUTED_VALUE"""),"THE COTOPAXI EARLY LEARNING CENTER")</f>
        <v>THE COTOPAXI EARLY LEARNING CENTER</v>
      </c>
      <c r="E747" s="13" t="str">
        <f>IFERROR(__xludf.DUMMYFUNCTION("""COMPUTED_VALUE"""),"Group 1")</f>
        <v>Group 1</v>
      </c>
      <c r="F747" s="13" t="str">
        <f>IFERROR(__xludf.DUMMYFUNCTION("""COMPUTED_VALUE"""),"2024 - 2025")</f>
        <v>2024 - 2025</v>
      </c>
      <c r="G747" s="13" t="str">
        <f>IFERROR(__xludf.DUMMYFUNCTION("""COMPUTED_VALUE"""),"2023 - 2024")</f>
        <v>2023 - 2024</v>
      </c>
      <c r="H747" s="13">
        <f>IFERROR(__xludf.DUMMYFUNCTION("""COMPUTED_VALUE"""),100.0)</f>
        <v>100</v>
      </c>
      <c r="I747" s="15">
        <f>IFERROR(__xludf.DUMMYFUNCTION("""COMPUTED_VALUE"""),0.0)</f>
        <v>0</v>
      </c>
    </row>
    <row r="748">
      <c r="A748" s="13" t="str">
        <f>IFERROR(__xludf.DUMMYFUNCTION("""COMPUTED_VALUE"""),"1195")</f>
        <v>1195</v>
      </c>
      <c r="B748" s="13" t="str">
        <f>IFERROR(__xludf.DUMMYFUNCTION("""COMPUTED_VALUE"""),"GARFIELD RE-2")</f>
        <v>GARFIELD RE-2</v>
      </c>
      <c r="C748" s="14" t="str">
        <f>IFERROR(__xludf.DUMMYFUNCTION("""COMPUTED_VALUE"""),"03281")</f>
        <v>03281</v>
      </c>
      <c r="D748" s="13" t="str">
        <f>IFERROR(__xludf.DUMMYFUNCTION("""COMPUTED_VALUE"""),"GRAHAM MESA ELEMENTARY")</f>
        <v>GRAHAM MESA ELEMENTARY</v>
      </c>
      <c r="E748" s="13" t="str">
        <f>IFERROR(__xludf.DUMMYFUNCTION("""COMPUTED_VALUE"""),"Group 1")</f>
        <v>Group 1</v>
      </c>
      <c r="F748" s="13" t="str">
        <f>IFERROR(__xludf.DUMMYFUNCTION("""COMPUTED_VALUE"""),"2024 - 2025")</f>
        <v>2024 - 2025</v>
      </c>
      <c r="G748" s="13" t="str">
        <f>IFERROR(__xludf.DUMMYFUNCTION("""COMPUTED_VALUE"""),"2023 - 2024")</f>
        <v>2023 - 2024</v>
      </c>
      <c r="H748" s="13">
        <f>IFERROR(__xludf.DUMMYFUNCTION("""COMPUTED_VALUE"""),64.37)</f>
        <v>64.37</v>
      </c>
      <c r="I748" s="15">
        <f>IFERROR(__xludf.DUMMYFUNCTION("""COMPUTED_VALUE"""),35.629999999999995)</f>
        <v>35.63</v>
      </c>
    </row>
    <row r="749">
      <c r="A749" s="13" t="str">
        <f>IFERROR(__xludf.DUMMYFUNCTION("""COMPUTED_VALUE"""),"1195")</f>
        <v>1195</v>
      </c>
      <c r="B749" s="13" t="str">
        <f>IFERROR(__xludf.DUMMYFUNCTION("""COMPUTED_VALUE"""),"GARFIELD RE-2")</f>
        <v>GARFIELD RE-2</v>
      </c>
      <c r="C749" s="14" t="str">
        <f>IFERROR(__xludf.DUMMYFUNCTION("""COMPUTED_VALUE"""),"07356")</f>
        <v>07356</v>
      </c>
      <c r="D749" s="13" t="str">
        <f>IFERROR(__xludf.DUMMYFUNCTION("""COMPUTED_VALUE"""),"RIFLE MIDDLE SCHOOL")</f>
        <v>RIFLE MIDDLE SCHOOL</v>
      </c>
      <c r="E749" s="13" t="str">
        <f>IFERROR(__xludf.DUMMYFUNCTION("""COMPUTED_VALUE"""),"Group 1")</f>
        <v>Group 1</v>
      </c>
      <c r="F749" s="13" t="str">
        <f>IFERROR(__xludf.DUMMYFUNCTION("""COMPUTED_VALUE"""),"2024 - 2025")</f>
        <v>2024 - 2025</v>
      </c>
      <c r="G749" s="13" t="str">
        <f>IFERROR(__xludf.DUMMYFUNCTION("""COMPUTED_VALUE"""),"2023 - 2024")</f>
        <v>2023 - 2024</v>
      </c>
      <c r="H749" s="13">
        <f>IFERROR(__xludf.DUMMYFUNCTION("""COMPUTED_VALUE"""),64.37)</f>
        <v>64.37</v>
      </c>
      <c r="I749" s="15">
        <f>IFERROR(__xludf.DUMMYFUNCTION("""COMPUTED_VALUE"""),35.629999999999995)</f>
        <v>35.63</v>
      </c>
    </row>
    <row r="750">
      <c r="A750" s="13" t="str">
        <f>IFERROR(__xludf.DUMMYFUNCTION("""COMPUTED_VALUE"""),"1195")</f>
        <v>1195</v>
      </c>
      <c r="B750" s="13" t="str">
        <f>IFERROR(__xludf.DUMMYFUNCTION("""COMPUTED_VALUE"""),"GARFIELD RE-2")</f>
        <v>GARFIELD RE-2</v>
      </c>
      <c r="C750" s="14" t="str">
        <f>IFERROR(__xludf.DUMMYFUNCTION("""COMPUTED_VALUE"""),"04510")</f>
        <v>04510</v>
      </c>
      <c r="D750" s="13" t="str">
        <f>IFERROR(__xludf.DUMMYFUNCTION("""COMPUTED_VALUE"""),"KATHRYN SENOR ELEMENTARY SCHOOL")</f>
        <v>KATHRYN SENOR ELEMENTARY SCHOOL</v>
      </c>
      <c r="E750" s="13" t="str">
        <f>IFERROR(__xludf.DUMMYFUNCTION("""COMPUTED_VALUE"""),"Group 2")</f>
        <v>Group 2</v>
      </c>
      <c r="F750" s="13" t="str">
        <f>IFERROR(__xludf.DUMMYFUNCTION("""COMPUTED_VALUE"""),"2024 - 2025")</f>
        <v>2024 - 2025</v>
      </c>
      <c r="G750" s="13" t="str">
        <f>IFERROR(__xludf.DUMMYFUNCTION("""COMPUTED_VALUE"""),"2023 - 2024")</f>
        <v>2023 - 2024</v>
      </c>
      <c r="H750" s="13">
        <f>IFERROR(__xludf.DUMMYFUNCTION("""COMPUTED_VALUE"""),58.42)</f>
        <v>58.42</v>
      </c>
      <c r="I750" s="15">
        <f>IFERROR(__xludf.DUMMYFUNCTION("""COMPUTED_VALUE"""),41.58)</f>
        <v>41.58</v>
      </c>
    </row>
    <row r="751">
      <c r="A751" s="13" t="str">
        <f>IFERROR(__xludf.DUMMYFUNCTION("""COMPUTED_VALUE"""),"1195")</f>
        <v>1195</v>
      </c>
      <c r="B751" s="13" t="str">
        <f>IFERROR(__xludf.DUMMYFUNCTION("""COMPUTED_VALUE"""),"GARFIELD RE-2")</f>
        <v>GARFIELD RE-2</v>
      </c>
      <c r="C751" s="14" t="str">
        <f>IFERROR(__xludf.DUMMYFUNCTION("""COMPUTED_VALUE"""),"03967")</f>
        <v>03967</v>
      </c>
      <c r="D751" s="13" t="str">
        <f>IFERROR(__xludf.DUMMYFUNCTION("""COMPUTED_VALUE"""),"HIGHLAND ELEMENTARY SCHOOL")</f>
        <v>HIGHLAND ELEMENTARY SCHOOL</v>
      </c>
      <c r="E751" s="13" t="str">
        <f>IFERROR(__xludf.DUMMYFUNCTION("""COMPUTED_VALUE"""),"Group 3")</f>
        <v>Group 3</v>
      </c>
      <c r="F751" s="13" t="str">
        <f>IFERROR(__xludf.DUMMYFUNCTION("""COMPUTED_VALUE"""),"2024 - 2025")</f>
        <v>2024 - 2025</v>
      </c>
      <c r="G751" s="13" t="str">
        <f>IFERROR(__xludf.DUMMYFUNCTION("""COMPUTED_VALUE"""),"2023 - 2024")</f>
        <v>2023 - 2024</v>
      </c>
      <c r="H751" s="13">
        <f>IFERROR(__xludf.DUMMYFUNCTION("""COMPUTED_VALUE"""),81.52)</f>
        <v>81.52</v>
      </c>
      <c r="I751" s="15">
        <f>IFERROR(__xludf.DUMMYFUNCTION("""COMPUTED_VALUE"""),18.480000000000004)</f>
        <v>18.48</v>
      </c>
    </row>
    <row r="752">
      <c r="A752" s="13" t="str">
        <f>IFERROR(__xludf.DUMMYFUNCTION("""COMPUTED_VALUE"""),"1195")</f>
        <v>1195</v>
      </c>
      <c r="B752" s="13" t="str">
        <f>IFERROR(__xludf.DUMMYFUNCTION("""COMPUTED_VALUE"""),"GARFIELD RE-2")</f>
        <v>GARFIELD RE-2</v>
      </c>
      <c r="C752" s="14" t="str">
        <f>IFERROR(__xludf.DUMMYFUNCTION("""COMPUTED_VALUE"""),"07890")</f>
        <v>07890</v>
      </c>
      <c r="D752" s="13" t="str">
        <f>IFERROR(__xludf.DUMMYFUNCTION("""COMPUTED_VALUE"""),"CACTUS VALLEY ELEMENTARY SCHOOL")</f>
        <v>CACTUS VALLEY ELEMENTARY SCHOOL</v>
      </c>
      <c r="E752" s="13" t="str">
        <f>IFERROR(__xludf.DUMMYFUNCTION("""COMPUTED_VALUE"""),"Group 3")</f>
        <v>Group 3</v>
      </c>
      <c r="F752" s="13" t="str">
        <f>IFERROR(__xludf.DUMMYFUNCTION("""COMPUTED_VALUE"""),"2024 - 2025")</f>
        <v>2024 - 2025</v>
      </c>
      <c r="G752" s="13" t="str">
        <f>IFERROR(__xludf.DUMMYFUNCTION("""COMPUTED_VALUE"""),"2023 - 2024")</f>
        <v>2023 - 2024</v>
      </c>
      <c r="H752" s="13">
        <f>IFERROR(__xludf.DUMMYFUNCTION("""COMPUTED_VALUE"""),81.52)</f>
        <v>81.52</v>
      </c>
      <c r="I752" s="15">
        <f>IFERROR(__xludf.DUMMYFUNCTION("""COMPUTED_VALUE"""),18.480000000000004)</f>
        <v>18.48</v>
      </c>
    </row>
    <row r="753">
      <c r="A753" s="13" t="str">
        <f>IFERROR(__xludf.DUMMYFUNCTION("""COMPUTED_VALUE"""),"1195")</f>
        <v>1195</v>
      </c>
      <c r="B753" s="13" t="str">
        <f>IFERROR(__xludf.DUMMYFUNCTION("""COMPUTED_VALUE"""),"GARFIELD RE-2")</f>
        <v>GARFIELD RE-2</v>
      </c>
      <c r="C753" s="14" t="str">
        <f>IFERROR(__xludf.DUMMYFUNCTION("""COMPUTED_VALUE"""),"09231")</f>
        <v>09231</v>
      </c>
      <c r="D753" s="13" t="str">
        <f>IFERROR(__xludf.DUMMYFUNCTION("""COMPUTED_VALUE"""),"WAMSLEY ELEMENTARY SCHOOL")</f>
        <v>WAMSLEY ELEMENTARY SCHOOL</v>
      </c>
      <c r="E753" s="13" t="str">
        <f>IFERROR(__xludf.DUMMYFUNCTION("""COMPUTED_VALUE"""),"Group 3")</f>
        <v>Group 3</v>
      </c>
      <c r="F753" s="13" t="str">
        <f>IFERROR(__xludf.DUMMYFUNCTION("""COMPUTED_VALUE"""),"2024 - 2025")</f>
        <v>2024 - 2025</v>
      </c>
      <c r="G753" s="13" t="str">
        <f>IFERROR(__xludf.DUMMYFUNCTION("""COMPUTED_VALUE"""),"2023 - 2024")</f>
        <v>2023 - 2024</v>
      </c>
      <c r="H753" s="13">
        <f>IFERROR(__xludf.DUMMYFUNCTION("""COMPUTED_VALUE"""),81.52)</f>
        <v>81.52</v>
      </c>
      <c r="I753" s="15">
        <f>IFERROR(__xludf.DUMMYFUNCTION("""COMPUTED_VALUE"""),18.480000000000004)</f>
        <v>18.48</v>
      </c>
    </row>
    <row r="754">
      <c r="A754" s="13" t="str">
        <f>IFERROR(__xludf.DUMMYFUNCTION("""COMPUTED_VALUE"""),"1195")</f>
        <v>1195</v>
      </c>
      <c r="B754" s="13" t="str">
        <f>IFERROR(__xludf.DUMMYFUNCTION("""COMPUTED_VALUE"""),"GARFIELD RE-2")</f>
        <v>GARFIELD RE-2</v>
      </c>
      <c r="C754" s="14" t="str">
        <f>IFERROR(__xludf.DUMMYFUNCTION("""COMPUTED_VALUE"""),"02573")</f>
        <v>02573</v>
      </c>
      <c r="D754" s="13" t="str">
        <f>IFERROR(__xludf.DUMMYFUNCTION("""COMPUTED_VALUE"""),"ELK CREEK ELEMENTARY")</f>
        <v>ELK CREEK ELEMENTARY</v>
      </c>
      <c r="E754" s="13" t="str">
        <f>IFERROR(__xludf.DUMMYFUNCTION("""COMPUTED_VALUE"""),"Group 4")</f>
        <v>Group 4</v>
      </c>
      <c r="F754" s="13" t="str">
        <f>IFERROR(__xludf.DUMMYFUNCTION("""COMPUTED_VALUE"""),"2024 - 2025")</f>
        <v>2024 - 2025</v>
      </c>
      <c r="G754" s="13" t="str">
        <f>IFERROR(__xludf.DUMMYFUNCTION("""COMPUTED_VALUE"""),"2023 - 2024")</f>
        <v>2023 - 2024</v>
      </c>
      <c r="H754" s="13">
        <f>IFERROR(__xludf.DUMMYFUNCTION("""COMPUTED_VALUE"""),75.79)</f>
        <v>75.79</v>
      </c>
      <c r="I754" s="15">
        <f>IFERROR(__xludf.DUMMYFUNCTION("""COMPUTED_VALUE"""),24.209999999999994)</f>
        <v>24.21</v>
      </c>
    </row>
    <row r="755">
      <c r="A755" s="13" t="str">
        <f>IFERROR(__xludf.DUMMYFUNCTION("""COMPUTED_VALUE"""),"1195")</f>
        <v>1195</v>
      </c>
      <c r="B755" s="13" t="str">
        <f>IFERROR(__xludf.DUMMYFUNCTION("""COMPUTED_VALUE"""),"GARFIELD RE-2")</f>
        <v>GARFIELD RE-2</v>
      </c>
      <c r="C755" s="14" t="str">
        <f>IFERROR(__xludf.DUMMYFUNCTION("""COMPUTED_VALUE"""),"00065")</f>
        <v>00065</v>
      </c>
      <c r="D755" s="13" t="str">
        <f>IFERROR(__xludf.DUMMYFUNCTION("""COMPUTED_VALUE"""),"COAL RIDGE HIGH SCHOOL")</f>
        <v>COAL RIDGE HIGH SCHOOL</v>
      </c>
      <c r="E755" s="13" t="str">
        <f>IFERROR(__xludf.DUMMYFUNCTION("""COMPUTED_VALUE"""),"Group 5")</f>
        <v>Group 5</v>
      </c>
      <c r="F755" s="13" t="str">
        <f>IFERROR(__xludf.DUMMYFUNCTION("""COMPUTED_VALUE"""),"2024 - 2025")</f>
        <v>2024 - 2025</v>
      </c>
      <c r="G755" s="13" t="str">
        <f>IFERROR(__xludf.DUMMYFUNCTION("""COMPUTED_VALUE"""),"2023 - 2024")</f>
        <v>2023 - 2024</v>
      </c>
      <c r="H755" s="13">
        <f>IFERROR(__xludf.DUMMYFUNCTION("""COMPUTED_VALUE"""),47.17)</f>
        <v>47.17</v>
      </c>
      <c r="I755" s="15">
        <f>IFERROR(__xludf.DUMMYFUNCTION("""COMPUTED_VALUE"""),52.83)</f>
        <v>52.83</v>
      </c>
    </row>
    <row r="756">
      <c r="A756" s="13" t="str">
        <f>IFERROR(__xludf.DUMMYFUNCTION("""COMPUTED_VALUE"""),"1195")</f>
        <v>1195</v>
      </c>
      <c r="B756" s="13" t="str">
        <f>IFERROR(__xludf.DUMMYFUNCTION("""COMPUTED_VALUE"""),"GARFIELD RE-2")</f>
        <v>GARFIELD RE-2</v>
      </c>
      <c r="C756" s="14" t="str">
        <f>IFERROR(__xludf.DUMMYFUNCTION("""COMPUTED_VALUE"""),"07360")</f>
        <v>07360</v>
      </c>
      <c r="D756" s="13" t="str">
        <f>IFERROR(__xludf.DUMMYFUNCTION("""COMPUTED_VALUE"""),"RIFLE HIGH SCHOOL")</f>
        <v>RIFLE HIGH SCHOOL</v>
      </c>
      <c r="E756" s="13" t="str">
        <f>IFERROR(__xludf.DUMMYFUNCTION("""COMPUTED_VALUE"""),"Group 5")</f>
        <v>Group 5</v>
      </c>
      <c r="F756" s="13" t="str">
        <f>IFERROR(__xludf.DUMMYFUNCTION("""COMPUTED_VALUE"""),"2024 - 2025")</f>
        <v>2024 - 2025</v>
      </c>
      <c r="G756" s="13" t="str">
        <f>IFERROR(__xludf.DUMMYFUNCTION("""COMPUTED_VALUE"""),"2023 - 2024")</f>
        <v>2023 - 2024</v>
      </c>
      <c r="H756" s="13">
        <f>IFERROR(__xludf.DUMMYFUNCTION("""COMPUTED_VALUE"""),47.17)</f>
        <v>47.17</v>
      </c>
      <c r="I756" s="15">
        <f>IFERROR(__xludf.DUMMYFUNCTION("""COMPUTED_VALUE"""),52.83)</f>
        <v>52.83</v>
      </c>
    </row>
    <row r="757">
      <c r="A757" s="13" t="str">
        <f>IFERROR(__xludf.DUMMYFUNCTION("""COMPUTED_VALUE"""),"1195")</f>
        <v>1195</v>
      </c>
      <c r="B757" s="13" t="str">
        <f>IFERROR(__xludf.DUMMYFUNCTION("""COMPUTED_VALUE"""),"GARFIELD RE-2")</f>
        <v>GARFIELD RE-2</v>
      </c>
      <c r="C757" s="14" t="str">
        <f>IFERROR(__xludf.DUMMYFUNCTION("""COMPUTED_VALUE"""),"07388")</f>
        <v>07388</v>
      </c>
      <c r="D757" s="13" t="str">
        <f>IFERROR(__xludf.DUMMYFUNCTION("""COMPUTED_VALUE"""),"RIVERSIDE SCHOOL")</f>
        <v>RIVERSIDE SCHOOL</v>
      </c>
      <c r="E757" s="13" t="str">
        <f>IFERROR(__xludf.DUMMYFUNCTION("""COMPUTED_VALUE"""),"Group 5")</f>
        <v>Group 5</v>
      </c>
      <c r="F757" s="13" t="str">
        <f>IFERROR(__xludf.DUMMYFUNCTION("""COMPUTED_VALUE"""),"2024 - 2025")</f>
        <v>2024 - 2025</v>
      </c>
      <c r="G757" s="13" t="str">
        <f>IFERROR(__xludf.DUMMYFUNCTION("""COMPUTED_VALUE"""),"2023 - 2024")</f>
        <v>2023 - 2024</v>
      </c>
      <c r="H757" s="13">
        <f>IFERROR(__xludf.DUMMYFUNCTION("""COMPUTED_VALUE"""),47.17)</f>
        <v>47.17</v>
      </c>
      <c r="I757" s="15">
        <f>IFERROR(__xludf.DUMMYFUNCTION("""COMPUTED_VALUE"""),52.83)</f>
        <v>52.83</v>
      </c>
    </row>
    <row r="758">
      <c r="A758" s="13" t="str">
        <f>IFERROR(__xludf.DUMMYFUNCTION("""COMPUTED_VALUE"""),"1220")</f>
        <v>1220</v>
      </c>
      <c r="B758" s="13" t="str">
        <f>IFERROR(__xludf.DUMMYFUNCTION("""COMPUTED_VALUE"""),"GARFIELD 16")</f>
        <v>GARFIELD 16</v>
      </c>
      <c r="C758" s="14" t="str">
        <f>IFERROR(__xludf.DUMMYFUNCTION("""COMPUTED_VALUE"""),"08274")</f>
        <v>08274</v>
      </c>
      <c r="D758" s="13" t="str">
        <f>IFERROR(__xludf.DUMMYFUNCTION("""COMPUTED_VALUE"""),"GRAND VALLEY MIDDLE SCHOOL")</f>
        <v>GRAND VALLEY MIDDLE SCHOOL</v>
      </c>
      <c r="E758" s="13" t="str">
        <f>IFERROR(__xludf.DUMMYFUNCTION("""COMPUTED_VALUE"""),"Group 1")</f>
        <v>Group 1</v>
      </c>
      <c r="F758" s="13" t="str">
        <f>IFERROR(__xludf.DUMMYFUNCTION("""COMPUTED_VALUE"""),"2024 - 2025")</f>
        <v>2024 - 2025</v>
      </c>
      <c r="G758" s="13" t="str">
        <f>IFERROR(__xludf.DUMMYFUNCTION("""COMPUTED_VALUE"""),"2023 - 2024")</f>
        <v>2023 - 2024</v>
      </c>
      <c r="H758" s="13">
        <f>IFERROR(__xludf.DUMMYFUNCTION("""COMPUTED_VALUE"""),62.43)</f>
        <v>62.43</v>
      </c>
      <c r="I758" s="15">
        <f>IFERROR(__xludf.DUMMYFUNCTION("""COMPUTED_VALUE"""),37.57)</f>
        <v>37.57</v>
      </c>
    </row>
    <row r="759">
      <c r="A759" s="13" t="str">
        <f>IFERROR(__xludf.DUMMYFUNCTION("""COMPUTED_VALUE"""),"1220")</f>
        <v>1220</v>
      </c>
      <c r="B759" s="13" t="str">
        <f>IFERROR(__xludf.DUMMYFUNCTION("""COMPUTED_VALUE"""),"GARFIELD 16")</f>
        <v>GARFIELD 16</v>
      </c>
      <c r="C759" s="14" t="str">
        <f>IFERROR(__xludf.DUMMYFUNCTION("""COMPUTED_VALUE"""),"03586")</f>
        <v>03586</v>
      </c>
      <c r="D759" s="13" t="str">
        <f>IFERROR(__xludf.DUMMYFUNCTION("""COMPUTED_VALUE"""),"GRAND VALLEY HIGH SCHOOL")</f>
        <v>GRAND VALLEY HIGH SCHOOL</v>
      </c>
      <c r="E759" s="13" t="str">
        <f>IFERROR(__xludf.DUMMYFUNCTION("""COMPUTED_VALUE"""),"Group 2")</f>
        <v>Group 2</v>
      </c>
      <c r="F759" s="13" t="str">
        <f>IFERROR(__xludf.DUMMYFUNCTION("""COMPUTED_VALUE"""),"2024 - 2025")</f>
        <v>2024 - 2025</v>
      </c>
      <c r="G759" s="13" t="str">
        <f>IFERROR(__xludf.DUMMYFUNCTION("""COMPUTED_VALUE"""),"2023 - 2024")</f>
        <v>2023 - 2024</v>
      </c>
      <c r="H759" s="13">
        <f>IFERROR(__xludf.DUMMYFUNCTION("""COMPUTED_VALUE"""),57.34)</f>
        <v>57.34</v>
      </c>
      <c r="I759" s="15">
        <f>IFERROR(__xludf.DUMMYFUNCTION("""COMPUTED_VALUE"""),42.66)</f>
        <v>42.66</v>
      </c>
    </row>
    <row r="760">
      <c r="A760" s="13" t="str">
        <f>IFERROR(__xludf.DUMMYFUNCTION("""COMPUTED_VALUE"""),"1220")</f>
        <v>1220</v>
      </c>
      <c r="B760" s="13" t="str">
        <f>IFERROR(__xludf.DUMMYFUNCTION("""COMPUTED_VALUE"""),"GARFIELD 16")</f>
        <v>GARFIELD 16</v>
      </c>
      <c r="C760" s="14" t="str">
        <f>IFERROR(__xludf.DUMMYFUNCTION("""COMPUTED_VALUE"""),"03578")</f>
        <v>03578</v>
      </c>
      <c r="D760" s="13" t="str">
        <f>IFERROR(__xludf.DUMMYFUNCTION("""COMPUTED_VALUE"""),"BEA UNDERWOOD ELEMENTARY SCHOOL")</f>
        <v>BEA UNDERWOOD ELEMENTARY SCHOOL</v>
      </c>
      <c r="E760" s="13" t="str">
        <f>IFERROR(__xludf.DUMMYFUNCTION("""COMPUTED_VALUE"""),"Group 3")</f>
        <v>Group 3</v>
      </c>
      <c r="F760" s="13" t="str">
        <f>IFERROR(__xludf.DUMMYFUNCTION("""COMPUTED_VALUE"""),"2024 - 2025")</f>
        <v>2024 - 2025</v>
      </c>
      <c r="G760" s="13" t="str">
        <f>IFERROR(__xludf.DUMMYFUNCTION("""COMPUTED_VALUE"""),"2023 - 2024")</f>
        <v>2023 - 2024</v>
      </c>
      <c r="H760" s="13">
        <f>IFERROR(__xludf.DUMMYFUNCTION("""COMPUTED_VALUE"""),74.02)</f>
        <v>74.02</v>
      </c>
      <c r="I760" s="15">
        <f>IFERROR(__xludf.DUMMYFUNCTION("""COMPUTED_VALUE"""),25.980000000000004)</f>
        <v>25.98</v>
      </c>
    </row>
    <row r="761">
      <c r="A761" s="13" t="str">
        <f>IFERROR(__xludf.DUMMYFUNCTION("""COMPUTED_VALUE"""),"1220")</f>
        <v>1220</v>
      </c>
      <c r="B761" s="13" t="str">
        <f>IFERROR(__xludf.DUMMYFUNCTION("""COMPUTED_VALUE"""),"GARFIELD 16")</f>
        <v>GARFIELD 16</v>
      </c>
      <c r="C761" s="14" t="str">
        <f>IFERROR(__xludf.DUMMYFUNCTION("""COMPUTED_VALUE"""),"03585")</f>
        <v>03585</v>
      </c>
      <c r="D761" s="13" t="str">
        <f>IFERROR(__xludf.DUMMYFUNCTION("""COMPUTED_VALUE"""),"GRAND VALLEY CENTER FOR FAMILY LEARNING")</f>
        <v>GRAND VALLEY CENTER FOR FAMILY LEARNING</v>
      </c>
      <c r="E761" s="13" t="str">
        <f>IFERROR(__xludf.DUMMYFUNCTION("""COMPUTED_VALUE"""),"Group 3")</f>
        <v>Group 3</v>
      </c>
      <c r="F761" s="13" t="str">
        <f>IFERROR(__xludf.DUMMYFUNCTION("""COMPUTED_VALUE"""),"2024 - 2025")</f>
        <v>2024 - 2025</v>
      </c>
      <c r="G761" s="13" t="str">
        <f>IFERROR(__xludf.DUMMYFUNCTION("""COMPUTED_VALUE"""),"2023 - 2024")</f>
        <v>2023 - 2024</v>
      </c>
      <c r="H761" s="13">
        <f>IFERROR(__xludf.DUMMYFUNCTION("""COMPUTED_VALUE"""),74.02)</f>
        <v>74.02</v>
      </c>
      <c r="I761" s="15">
        <f>IFERROR(__xludf.DUMMYFUNCTION("""COMPUTED_VALUE"""),25.980000000000004)</f>
        <v>25.98</v>
      </c>
    </row>
    <row r="762">
      <c r="A762" s="13" t="str">
        <f>IFERROR(__xludf.DUMMYFUNCTION("""COMPUTED_VALUE"""),"1325")</f>
        <v>1325</v>
      </c>
      <c r="B762" s="13" t="str">
        <f>IFERROR(__xludf.DUMMYFUNCTION("""COMPUTED_VALUE"""),"ANNUNCIATION CATHOLIC SCHOOL")</f>
        <v>ANNUNCIATION CATHOLIC SCHOOL</v>
      </c>
      <c r="C762" s="14" t="str">
        <f>IFERROR(__xludf.DUMMYFUNCTION("""COMPUTED_VALUE"""),"01325")</f>
        <v>01325</v>
      </c>
      <c r="D762" s="13" t="str">
        <f>IFERROR(__xludf.DUMMYFUNCTION("""COMPUTED_VALUE"""),"Annunciation")</f>
        <v>Annunciation</v>
      </c>
      <c r="E762" s="13" t="str">
        <f>IFERROR(__xludf.DUMMYFUNCTION("""COMPUTED_VALUE"""),"Individual")</f>
        <v>Individual</v>
      </c>
      <c r="F762" s="13" t="str">
        <f>IFERROR(__xludf.DUMMYFUNCTION("""COMPUTED_VALUE"""),"2024 - 2025")</f>
        <v>2024 - 2025</v>
      </c>
      <c r="G762" s="13" t="str">
        <f>IFERROR(__xludf.DUMMYFUNCTION("""COMPUTED_VALUE"""),"2023 - 2024")</f>
        <v>2023 - 2024</v>
      </c>
      <c r="H762" s="13">
        <f>IFERROR(__xludf.DUMMYFUNCTION("""COMPUTED_VALUE"""),80.45)</f>
        <v>80.45</v>
      </c>
      <c r="I762" s="15">
        <f>IFERROR(__xludf.DUMMYFUNCTION("""COMPUTED_VALUE"""),19.549999999999997)</f>
        <v>19.55</v>
      </c>
    </row>
    <row r="763">
      <c r="A763" s="13" t="str">
        <f>IFERROR(__xludf.DUMMYFUNCTION("""COMPUTED_VALUE"""),"1330")</f>
        <v>1330</v>
      </c>
      <c r="B763" s="13" t="str">
        <f>IFERROR(__xludf.DUMMYFUNCTION("""COMPUTED_VALUE"""),"GILPIN COUNTY RE-1")</f>
        <v>GILPIN COUNTY RE-1</v>
      </c>
      <c r="C763" s="14" t="str">
        <f>IFERROR(__xludf.DUMMYFUNCTION("""COMPUTED_VALUE"""),"01632")</f>
        <v>01632</v>
      </c>
      <c r="D763" s="13" t="str">
        <f>IFERROR(__xludf.DUMMYFUNCTION("""COMPUTED_VALUE"""),"GILPIN COUNTY ELEMENTARY SCHOOL")</f>
        <v>GILPIN COUNTY ELEMENTARY SCHOOL</v>
      </c>
      <c r="E763" s="13" t="str">
        <f>IFERROR(__xludf.DUMMYFUNCTION("""COMPUTED_VALUE"""),"Group 1")</f>
        <v>Group 1</v>
      </c>
      <c r="F763" s="13" t="str">
        <f>IFERROR(__xludf.DUMMYFUNCTION("""COMPUTED_VALUE"""),"2024 - 2025")</f>
        <v>2024 - 2025</v>
      </c>
      <c r="G763" s="13" t="str">
        <f>IFERROR(__xludf.DUMMYFUNCTION("""COMPUTED_VALUE"""),"2023 - 2024")</f>
        <v>2023 - 2024</v>
      </c>
      <c r="H763" s="13">
        <f>IFERROR(__xludf.DUMMYFUNCTION("""COMPUTED_VALUE"""),57.09)</f>
        <v>57.09</v>
      </c>
      <c r="I763" s="15">
        <f>IFERROR(__xludf.DUMMYFUNCTION("""COMPUTED_VALUE"""),42.91)</f>
        <v>42.91</v>
      </c>
    </row>
    <row r="764">
      <c r="A764" s="13" t="str">
        <f>IFERROR(__xludf.DUMMYFUNCTION("""COMPUTED_VALUE"""),"1330")</f>
        <v>1330</v>
      </c>
      <c r="B764" s="13" t="str">
        <f>IFERROR(__xludf.DUMMYFUNCTION("""COMPUTED_VALUE"""),"GILPIN COUNTY RE-1")</f>
        <v>GILPIN COUNTY RE-1</v>
      </c>
      <c r="C764" s="14" t="str">
        <f>IFERROR(__xludf.DUMMYFUNCTION("""COMPUTED_VALUE"""),"01634")</f>
        <v>01634</v>
      </c>
      <c r="D764" s="13" t="str">
        <f>IFERROR(__xludf.DUMMYFUNCTION("""COMPUTED_VALUE"""),"GILPIN COUNTY UNDIVIDED HIGH SCHOOL")</f>
        <v>GILPIN COUNTY UNDIVIDED HIGH SCHOOL</v>
      </c>
      <c r="E764" s="13" t="str">
        <f>IFERROR(__xludf.DUMMYFUNCTION("""COMPUTED_VALUE"""),"Group 2")</f>
        <v>Group 2</v>
      </c>
      <c r="F764" s="13" t="str">
        <f>IFERROR(__xludf.DUMMYFUNCTION("""COMPUTED_VALUE"""),"2024 - 2025")</f>
        <v>2024 - 2025</v>
      </c>
      <c r="G764" s="13" t="str">
        <f>IFERROR(__xludf.DUMMYFUNCTION("""COMPUTED_VALUE"""),"2023 - 2024")</f>
        <v>2023 - 2024</v>
      </c>
      <c r="H764" s="13">
        <f>IFERROR(__xludf.DUMMYFUNCTION("""COMPUTED_VALUE"""),43.42)</f>
        <v>43.42</v>
      </c>
      <c r="I764" s="15">
        <f>IFERROR(__xludf.DUMMYFUNCTION("""COMPUTED_VALUE"""),56.58)</f>
        <v>56.58</v>
      </c>
    </row>
    <row r="765">
      <c r="A765" s="13" t="str">
        <f>IFERROR(__xludf.DUMMYFUNCTION("""COMPUTED_VALUE"""),"1350")</f>
        <v>1350</v>
      </c>
      <c r="B765" s="13" t="str">
        <f>IFERROR(__xludf.DUMMYFUNCTION("""COMPUTED_VALUE"""),"EAST GRAND 2")</f>
        <v>EAST GRAND 2</v>
      </c>
      <c r="C765" s="14" t="str">
        <f>IFERROR(__xludf.DUMMYFUNCTION("""COMPUTED_VALUE"""),"03182")</f>
        <v>03182</v>
      </c>
      <c r="D765" s="13" t="str">
        <f>IFERROR(__xludf.DUMMYFUNCTION("""COMPUTED_VALUE"""),"FRASER VALLEY ELEMENTARY SCHOOL")</f>
        <v>FRASER VALLEY ELEMENTARY SCHOOL</v>
      </c>
      <c r="E765" s="13" t="str">
        <f>IFERROR(__xludf.DUMMYFUNCTION("""COMPUTED_VALUE"""),"Group 1")</f>
        <v>Group 1</v>
      </c>
      <c r="F765" s="13" t="str">
        <f>IFERROR(__xludf.DUMMYFUNCTION("""COMPUTED_VALUE"""),"2024 - 2025")</f>
        <v>2024 - 2025</v>
      </c>
      <c r="G765" s="13" t="str">
        <f>IFERROR(__xludf.DUMMYFUNCTION("""COMPUTED_VALUE"""),"2023 - 2024")</f>
        <v>2023 - 2024</v>
      </c>
      <c r="H765" s="13">
        <f>IFERROR(__xludf.DUMMYFUNCTION("""COMPUTED_VALUE"""),41.41)</f>
        <v>41.41</v>
      </c>
      <c r="I765" s="15">
        <f>IFERROR(__xludf.DUMMYFUNCTION("""COMPUTED_VALUE"""),58.59)</f>
        <v>58.59</v>
      </c>
    </row>
    <row r="766">
      <c r="A766" s="13" t="str">
        <f>IFERROR(__xludf.DUMMYFUNCTION("""COMPUTED_VALUE"""),"1350")</f>
        <v>1350</v>
      </c>
      <c r="B766" s="13" t="str">
        <f>IFERROR(__xludf.DUMMYFUNCTION("""COMPUTED_VALUE"""),"EAST GRAND 2")</f>
        <v>EAST GRAND 2</v>
      </c>
      <c r="C766" s="14" t="str">
        <f>IFERROR(__xludf.DUMMYFUNCTION("""COMPUTED_VALUE"""),"03556")</f>
        <v>03556</v>
      </c>
      <c r="D766" s="13" t="str">
        <f>IFERROR(__xludf.DUMMYFUNCTION("""COMPUTED_VALUE"""),"GRANBY ELEMENTARY SCHOOL")</f>
        <v>GRANBY ELEMENTARY SCHOOL</v>
      </c>
      <c r="E766" s="13" t="str">
        <f>IFERROR(__xludf.DUMMYFUNCTION("""COMPUTED_VALUE"""),"Group 1")</f>
        <v>Group 1</v>
      </c>
      <c r="F766" s="13" t="str">
        <f>IFERROR(__xludf.DUMMYFUNCTION("""COMPUTED_VALUE"""),"2024 - 2025")</f>
        <v>2024 - 2025</v>
      </c>
      <c r="G766" s="13" t="str">
        <f>IFERROR(__xludf.DUMMYFUNCTION("""COMPUTED_VALUE"""),"2023 - 2024")</f>
        <v>2023 - 2024</v>
      </c>
      <c r="H766" s="13">
        <f>IFERROR(__xludf.DUMMYFUNCTION("""COMPUTED_VALUE"""),41.41)</f>
        <v>41.41</v>
      </c>
      <c r="I766" s="15">
        <f>IFERROR(__xludf.DUMMYFUNCTION("""COMPUTED_VALUE"""),58.59)</f>
        <v>58.59</v>
      </c>
    </row>
    <row r="767">
      <c r="A767" s="13" t="str">
        <f>IFERROR(__xludf.DUMMYFUNCTION("""COMPUTED_VALUE"""),"1380")</f>
        <v>1380</v>
      </c>
      <c r="B767" s="13" t="str">
        <f>IFERROR(__xludf.DUMMYFUNCTION("""COMPUTED_VALUE"""),"HINSDALE COUNTY RE 1")</f>
        <v>HINSDALE COUNTY RE 1</v>
      </c>
      <c r="C767" s="14" t="str">
        <f>IFERROR(__xludf.DUMMYFUNCTION("""COMPUTED_VALUE"""),"04899")</f>
        <v>04899</v>
      </c>
      <c r="D767" s="13" t="str">
        <f>IFERROR(__xludf.DUMMYFUNCTION("""COMPUTED_VALUE"""),"LAKE CITY COMMUNITY SCHOOL")</f>
        <v>LAKE CITY COMMUNITY SCHOOL</v>
      </c>
      <c r="E767" s="13" t="str">
        <f>IFERROR(__xludf.DUMMYFUNCTION("""COMPUTED_VALUE"""),"Group 1")</f>
        <v>Group 1</v>
      </c>
      <c r="F767" s="13" t="str">
        <f>IFERROR(__xludf.DUMMYFUNCTION("""COMPUTED_VALUE"""),"2024 - 2025")</f>
        <v>2024 - 2025</v>
      </c>
      <c r="G767" s="13" t="str">
        <f>IFERROR(__xludf.DUMMYFUNCTION("""COMPUTED_VALUE"""),"2023 - 2024")</f>
        <v>2023 - 2024</v>
      </c>
      <c r="H767" s="13">
        <f>IFERROR(__xludf.DUMMYFUNCTION("""COMPUTED_VALUE"""),66.34)</f>
        <v>66.34</v>
      </c>
      <c r="I767" s="15">
        <f>IFERROR(__xludf.DUMMYFUNCTION("""COMPUTED_VALUE"""),33.66)</f>
        <v>33.66</v>
      </c>
    </row>
    <row r="768">
      <c r="A768" s="13" t="str">
        <f>IFERROR(__xludf.DUMMYFUNCTION("""COMPUTED_VALUE"""),"1390")</f>
        <v>1390</v>
      </c>
      <c r="B768" s="13" t="str">
        <f>IFERROR(__xludf.DUMMYFUNCTION("""COMPUTED_VALUE"""),"HUERFANO RE-1")</f>
        <v>HUERFANO RE-1</v>
      </c>
      <c r="C768" s="14" t="str">
        <f>IFERROR(__xludf.DUMMYFUNCTION("""COMPUTED_VALUE"""),"00063")</f>
        <v>00063</v>
      </c>
      <c r="D768" s="13" t="str">
        <f>IFERROR(__xludf.DUMMYFUNCTION("""COMPUTED_VALUE"""),"PEAKVIEW SCHOOL")</f>
        <v>PEAKVIEW SCHOOL</v>
      </c>
      <c r="E768" s="13" t="str">
        <f>IFERROR(__xludf.DUMMYFUNCTION("""COMPUTED_VALUE"""),"Group 1")</f>
        <v>Group 1</v>
      </c>
      <c r="F768" s="13" t="str">
        <f>IFERROR(__xludf.DUMMYFUNCTION("""COMPUTED_VALUE"""),"2024 - 2025")</f>
        <v>2024 - 2025</v>
      </c>
      <c r="G768" s="13" t="str">
        <f>IFERROR(__xludf.DUMMYFUNCTION("""COMPUTED_VALUE"""),"2023 - 2024")</f>
        <v>2023 - 2024</v>
      </c>
      <c r="H768" s="13">
        <f>IFERROR(__xludf.DUMMYFUNCTION("""COMPUTED_VALUE"""),100.0)</f>
        <v>100</v>
      </c>
      <c r="I768" s="15">
        <f>IFERROR(__xludf.DUMMYFUNCTION("""COMPUTED_VALUE"""),0.0)</f>
        <v>0</v>
      </c>
    </row>
    <row r="769">
      <c r="A769" s="13" t="str">
        <f>IFERROR(__xludf.DUMMYFUNCTION("""COMPUTED_VALUE"""),"1390")</f>
        <v>1390</v>
      </c>
      <c r="B769" s="13" t="str">
        <f>IFERROR(__xludf.DUMMYFUNCTION("""COMPUTED_VALUE"""),"HUERFANO RE-1")</f>
        <v>HUERFANO RE-1</v>
      </c>
      <c r="C769" s="14" t="str">
        <f>IFERROR(__xludf.DUMMYFUNCTION("""COMPUTED_VALUE"""),"03306")</f>
        <v>03306</v>
      </c>
      <c r="D769" s="13" t="str">
        <f>IFERROR(__xludf.DUMMYFUNCTION("""COMPUTED_VALUE"""),"GARDNER ELEMENTARY SCHOOL")</f>
        <v>GARDNER ELEMENTARY SCHOOL</v>
      </c>
      <c r="E769" s="13" t="str">
        <f>IFERROR(__xludf.DUMMYFUNCTION("""COMPUTED_VALUE"""),"Group 1")</f>
        <v>Group 1</v>
      </c>
      <c r="F769" s="13" t="str">
        <f>IFERROR(__xludf.DUMMYFUNCTION("""COMPUTED_VALUE"""),"2024 - 2025")</f>
        <v>2024 - 2025</v>
      </c>
      <c r="G769" s="13" t="str">
        <f>IFERROR(__xludf.DUMMYFUNCTION("""COMPUTED_VALUE"""),"2023 - 2024")</f>
        <v>2023 - 2024</v>
      </c>
      <c r="H769" s="13">
        <f>IFERROR(__xludf.DUMMYFUNCTION("""COMPUTED_VALUE"""),100.0)</f>
        <v>100</v>
      </c>
      <c r="I769" s="15">
        <f>IFERROR(__xludf.DUMMYFUNCTION("""COMPUTED_VALUE"""),0.0)</f>
        <v>0</v>
      </c>
    </row>
    <row r="770">
      <c r="A770" s="13" t="str">
        <f>IFERROR(__xludf.DUMMYFUNCTION("""COMPUTED_VALUE"""),"1390")</f>
        <v>1390</v>
      </c>
      <c r="B770" s="13" t="str">
        <f>IFERROR(__xludf.DUMMYFUNCTION("""COMPUTED_VALUE"""),"HUERFANO RE-1")</f>
        <v>HUERFANO RE-1</v>
      </c>
      <c r="C770" s="14" t="str">
        <f>IFERROR(__xludf.DUMMYFUNCTION("""COMPUTED_VALUE"""),"09212")</f>
        <v>09212</v>
      </c>
      <c r="D770" s="13" t="str">
        <f>IFERROR(__xludf.DUMMYFUNCTION("""COMPUTED_VALUE"""),"JOHN MALL HIGH SCHOOL")</f>
        <v>JOHN MALL HIGH SCHOOL</v>
      </c>
      <c r="E770" s="13" t="str">
        <f>IFERROR(__xludf.DUMMYFUNCTION("""COMPUTED_VALUE"""),"Group 1")</f>
        <v>Group 1</v>
      </c>
      <c r="F770" s="13" t="str">
        <f>IFERROR(__xludf.DUMMYFUNCTION("""COMPUTED_VALUE"""),"2024 - 2025")</f>
        <v>2024 - 2025</v>
      </c>
      <c r="G770" s="13" t="str">
        <f>IFERROR(__xludf.DUMMYFUNCTION("""COMPUTED_VALUE"""),"2023 - 2024")</f>
        <v>2023 - 2024</v>
      </c>
      <c r="H770" s="13">
        <f>IFERROR(__xludf.DUMMYFUNCTION("""COMPUTED_VALUE"""),100.0)</f>
        <v>100</v>
      </c>
      <c r="I770" s="15">
        <f>IFERROR(__xludf.DUMMYFUNCTION("""COMPUTED_VALUE"""),0.0)</f>
        <v>0</v>
      </c>
    </row>
    <row r="771">
      <c r="A771" s="13" t="str">
        <f>IFERROR(__xludf.DUMMYFUNCTION("""COMPUTED_VALUE"""),"1400")</f>
        <v>1400</v>
      </c>
      <c r="B771" s="13" t="str">
        <f>IFERROR(__xludf.DUMMYFUNCTION("""COMPUTED_VALUE"""),"LA VETA RE-2")</f>
        <v>LA VETA RE-2</v>
      </c>
      <c r="C771" s="14" t="str">
        <f>IFERROR(__xludf.DUMMYFUNCTION("""COMPUTED_VALUE"""),"04860")</f>
        <v>04860</v>
      </c>
      <c r="D771" s="13" t="str">
        <f>IFERROR(__xludf.DUMMYFUNCTION("""COMPUTED_VALUE"""),"LA VETA ELEMENTARY SCHOOL")</f>
        <v>LA VETA ELEMENTARY SCHOOL</v>
      </c>
      <c r="E771" s="13" t="str">
        <f>IFERROR(__xludf.DUMMYFUNCTION("""COMPUTED_VALUE"""),"Group 1")</f>
        <v>Group 1</v>
      </c>
      <c r="F771" s="13" t="str">
        <f>IFERROR(__xludf.DUMMYFUNCTION("""COMPUTED_VALUE"""),"2024 - 2025")</f>
        <v>2024 - 2025</v>
      </c>
      <c r="G771" s="13" t="str">
        <f>IFERROR(__xludf.DUMMYFUNCTION("""COMPUTED_VALUE"""),"2023 - 2024")</f>
        <v>2023 - 2024</v>
      </c>
      <c r="H771" s="13">
        <f>IFERROR(__xludf.DUMMYFUNCTION("""COMPUTED_VALUE"""),95.09)</f>
        <v>95.09</v>
      </c>
      <c r="I771" s="15">
        <f>IFERROR(__xludf.DUMMYFUNCTION("""COMPUTED_VALUE"""),4.909999999999997)</f>
        <v>4.91</v>
      </c>
    </row>
    <row r="772">
      <c r="A772" s="13" t="str">
        <f>IFERROR(__xludf.DUMMYFUNCTION("""COMPUTED_VALUE"""),"1400")</f>
        <v>1400</v>
      </c>
      <c r="B772" s="13" t="str">
        <f>IFERROR(__xludf.DUMMYFUNCTION("""COMPUTED_VALUE"""),"LA VETA RE-2")</f>
        <v>LA VETA RE-2</v>
      </c>
      <c r="C772" s="14" t="str">
        <f>IFERROR(__xludf.DUMMYFUNCTION("""COMPUTED_VALUE"""),"04864")</f>
        <v>04864</v>
      </c>
      <c r="D772" s="13" t="str">
        <f>IFERROR(__xludf.DUMMYFUNCTION("""COMPUTED_VALUE"""),"LA VETA JUNIOR-SENIOR HIGH SCHOOL")</f>
        <v>LA VETA JUNIOR-SENIOR HIGH SCHOOL</v>
      </c>
      <c r="E772" s="13" t="str">
        <f>IFERROR(__xludf.DUMMYFUNCTION("""COMPUTED_VALUE"""),"Group 2")</f>
        <v>Group 2</v>
      </c>
      <c r="F772" s="13" t="str">
        <f>IFERROR(__xludf.DUMMYFUNCTION("""COMPUTED_VALUE"""),"2024 - 2025")</f>
        <v>2024 - 2025</v>
      </c>
      <c r="G772" s="13" t="str">
        <f>IFERROR(__xludf.DUMMYFUNCTION("""COMPUTED_VALUE"""),"2023 - 2024")</f>
        <v>2023 - 2024</v>
      </c>
      <c r="H772" s="13">
        <f>IFERROR(__xludf.DUMMYFUNCTION("""COMPUTED_VALUE"""),88.0)</f>
        <v>88</v>
      </c>
      <c r="I772" s="15">
        <f>IFERROR(__xludf.DUMMYFUNCTION("""COMPUTED_VALUE"""),12.0)</f>
        <v>12</v>
      </c>
    </row>
    <row r="773">
      <c r="A773" s="13" t="str">
        <f>IFERROR(__xludf.DUMMYFUNCTION("""COMPUTED_VALUE"""),"1420")</f>
        <v>1420</v>
      </c>
      <c r="B773" s="13" t="str">
        <f>IFERROR(__xludf.DUMMYFUNCTION("""COMPUTED_VALUE"""),"JEFFERSON COUNTY R-1")</f>
        <v>JEFFERSON COUNTY R-1</v>
      </c>
      <c r="C773" s="14" t="str">
        <f>IFERROR(__xludf.DUMMYFUNCTION("""COMPUTED_VALUE"""),"00694")</f>
        <v>00694</v>
      </c>
      <c r="D773" s="13" t="str">
        <f>IFERROR(__xludf.DUMMYFUNCTION("""COMPUTED_VALUE"""),"BELL MIDDLE SCHOOL")</f>
        <v>BELL MIDDLE SCHOOL</v>
      </c>
      <c r="E773" s="13" t="str">
        <f>IFERROR(__xludf.DUMMYFUNCTION("""COMPUTED_VALUE"""),"Group 1")</f>
        <v>Group 1</v>
      </c>
      <c r="F773" s="13" t="str">
        <f>IFERROR(__xludf.DUMMYFUNCTION("""COMPUTED_VALUE"""),"2024 - 2025")</f>
        <v>2024 - 2025</v>
      </c>
      <c r="G773" s="13" t="str">
        <f>IFERROR(__xludf.DUMMYFUNCTION("""COMPUTED_VALUE"""),"2023 - 2024")</f>
        <v>2023 - 2024</v>
      </c>
      <c r="H773" s="13">
        <f>IFERROR(__xludf.DUMMYFUNCTION("""COMPUTED_VALUE"""),40.06)</f>
        <v>40.06</v>
      </c>
      <c r="I773" s="15">
        <f>IFERROR(__xludf.DUMMYFUNCTION("""COMPUTED_VALUE"""),59.94)</f>
        <v>59.94</v>
      </c>
    </row>
    <row r="774">
      <c r="A774" s="13" t="str">
        <f>IFERROR(__xludf.DUMMYFUNCTION("""COMPUTED_VALUE"""),"1420")</f>
        <v>1420</v>
      </c>
      <c r="B774" s="13" t="str">
        <f>IFERROR(__xludf.DUMMYFUNCTION("""COMPUTED_VALUE"""),"JEFFERSON COUNTY R-1")</f>
        <v>JEFFERSON COUNTY R-1</v>
      </c>
      <c r="C774" s="14" t="str">
        <f>IFERROR(__xludf.DUMMYFUNCTION("""COMPUTED_VALUE"""),"00965")</f>
        <v>00965</v>
      </c>
      <c r="D774" s="13" t="str">
        <f>IFERROR(__xludf.DUMMYFUNCTION("""COMPUTED_VALUE"""),"BRADY EXPLORATION SCHOOL")</f>
        <v>BRADY EXPLORATION SCHOOL</v>
      </c>
      <c r="E774" s="13" t="str">
        <f>IFERROR(__xludf.DUMMYFUNCTION("""COMPUTED_VALUE"""),"Group 1")</f>
        <v>Group 1</v>
      </c>
      <c r="F774" s="13" t="str">
        <f>IFERROR(__xludf.DUMMYFUNCTION("""COMPUTED_VALUE"""),"2024 - 2025")</f>
        <v>2024 - 2025</v>
      </c>
      <c r="G774" s="13" t="str">
        <f>IFERROR(__xludf.DUMMYFUNCTION("""COMPUTED_VALUE"""),"2023 - 2024")</f>
        <v>2023 - 2024</v>
      </c>
      <c r="H774" s="13">
        <f>IFERROR(__xludf.DUMMYFUNCTION("""COMPUTED_VALUE"""),40.06)</f>
        <v>40.06</v>
      </c>
      <c r="I774" s="15">
        <f>IFERROR(__xludf.DUMMYFUNCTION("""COMPUTED_VALUE"""),59.94)</f>
        <v>59.94</v>
      </c>
    </row>
    <row r="775">
      <c r="A775" s="13" t="str">
        <f>IFERROR(__xludf.DUMMYFUNCTION("""COMPUTED_VALUE"""),"1420")</f>
        <v>1420</v>
      </c>
      <c r="B775" s="13" t="str">
        <f>IFERROR(__xludf.DUMMYFUNCTION("""COMPUTED_VALUE"""),"JEFFERSON COUNTY R-1")</f>
        <v>JEFFERSON COUNTY R-1</v>
      </c>
      <c r="C775" s="14" t="str">
        <f>IFERROR(__xludf.DUMMYFUNCTION("""COMPUTED_VALUE"""),"01730")</f>
        <v>01730</v>
      </c>
      <c r="D775" s="13" t="str">
        <f>IFERROR(__xludf.DUMMYFUNCTION("""COMPUTED_VALUE"""),"JEFFERSON ACADEMY COAL CREEK CANYON")</f>
        <v>JEFFERSON ACADEMY COAL CREEK CANYON</v>
      </c>
      <c r="E775" s="13" t="str">
        <f>IFERROR(__xludf.DUMMYFUNCTION("""COMPUTED_VALUE"""),"Group 1")</f>
        <v>Group 1</v>
      </c>
      <c r="F775" s="13" t="str">
        <f>IFERROR(__xludf.DUMMYFUNCTION("""COMPUTED_VALUE"""),"2024 - 2025")</f>
        <v>2024 - 2025</v>
      </c>
      <c r="G775" s="13" t="str">
        <f>IFERROR(__xludf.DUMMYFUNCTION("""COMPUTED_VALUE"""),"2023 - 2024")</f>
        <v>2023 - 2024</v>
      </c>
      <c r="H775" s="13">
        <f>IFERROR(__xludf.DUMMYFUNCTION("""COMPUTED_VALUE"""),40.06)</f>
        <v>40.06</v>
      </c>
      <c r="I775" s="15">
        <f>IFERROR(__xludf.DUMMYFUNCTION("""COMPUTED_VALUE"""),59.94)</f>
        <v>59.94</v>
      </c>
    </row>
    <row r="776">
      <c r="A776" s="13" t="str">
        <f>IFERROR(__xludf.DUMMYFUNCTION("""COMPUTED_VALUE"""),"1420")</f>
        <v>1420</v>
      </c>
      <c r="B776" s="13" t="str">
        <f>IFERROR(__xludf.DUMMYFUNCTION("""COMPUTED_VALUE"""),"JEFFERSON COUNTY R-1")</f>
        <v>JEFFERSON COUNTY R-1</v>
      </c>
      <c r="C776" s="14" t="str">
        <f>IFERROR(__xludf.DUMMYFUNCTION("""COMPUTED_VALUE"""),"02288")</f>
        <v>02288</v>
      </c>
      <c r="D776" s="13" t="str">
        <f>IFERROR(__xludf.DUMMYFUNCTION("""COMPUTED_VALUE"""),"DRAKE JUNIOR HIGH SCHOOL")</f>
        <v>DRAKE JUNIOR HIGH SCHOOL</v>
      </c>
      <c r="E776" s="13" t="str">
        <f>IFERROR(__xludf.DUMMYFUNCTION("""COMPUTED_VALUE"""),"Group 1")</f>
        <v>Group 1</v>
      </c>
      <c r="F776" s="13" t="str">
        <f>IFERROR(__xludf.DUMMYFUNCTION("""COMPUTED_VALUE"""),"2024 - 2025")</f>
        <v>2024 - 2025</v>
      </c>
      <c r="G776" s="13" t="str">
        <f>IFERROR(__xludf.DUMMYFUNCTION("""COMPUTED_VALUE"""),"2023 - 2024")</f>
        <v>2023 - 2024</v>
      </c>
      <c r="H776" s="13">
        <f>IFERROR(__xludf.DUMMYFUNCTION("""COMPUTED_VALUE"""),40.06)</f>
        <v>40.06</v>
      </c>
      <c r="I776" s="15">
        <f>IFERROR(__xludf.DUMMYFUNCTION("""COMPUTED_VALUE"""),59.94)</f>
        <v>59.94</v>
      </c>
    </row>
    <row r="777">
      <c r="A777" s="13" t="str">
        <f>IFERROR(__xludf.DUMMYFUNCTION("""COMPUTED_VALUE"""),"1420")</f>
        <v>1420</v>
      </c>
      <c r="B777" s="13" t="str">
        <f>IFERROR(__xludf.DUMMYFUNCTION("""COMPUTED_VALUE"""),"JEFFERSON COUNTY R-1")</f>
        <v>JEFFERSON COUNTY R-1</v>
      </c>
      <c r="C777" s="14" t="str">
        <f>IFERROR(__xludf.DUMMYFUNCTION("""COMPUTED_VALUE"""),"04942")</f>
        <v>04942</v>
      </c>
      <c r="D777" s="13" t="str">
        <f>IFERROR(__xludf.DUMMYFUNCTION("""COMPUTED_VALUE"""),"LAKEWOOD HIGH SCHOOL")</f>
        <v>LAKEWOOD HIGH SCHOOL</v>
      </c>
      <c r="E777" s="13" t="str">
        <f>IFERROR(__xludf.DUMMYFUNCTION("""COMPUTED_VALUE"""),"Group 1")</f>
        <v>Group 1</v>
      </c>
      <c r="F777" s="13" t="str">
        <f>IFERROR(__xludf.DUMMYFUNCTION("""COMPUTED_VALUE"""),"2024 - 2025")</f>
        <v>2024 - 2025</v>
      </c>
      <c r="G777" s="13" t="str">
        <f>IFERROR(__xludf.DUMMYFUNCTION("""COMPUTED_VALUE"""),"2023 - 2024")</f>
        <v>2023 - 2024</v>
      </c>
      <c r="H777" s="13">
        <f>IFERROR(__xludf.DUMMYFUNCTION("""COMPUTED_VALUE"""),40.06)</f>
        <v>40.06</v>
      </c>
      <c r="I777" s="15">
        <f>IFERROR(__xludf.DUMMYFUNCTION("""COMPUTED_VALUE"""),59.94)</f>
        <v>59.94</v>
      </c>
    </row>
    <row r="778">
      <c r="A778" s="13" t="str">
        <f>IFERROR(__xludf.DUMMYFUNCTION("""COMPUTED_VALUE"""),"1420")</f>
        <v>1420</v>
      </c>
      <c r="B778" s="13" t="str">
        <f>IFERROR(__xludf.DUMMYFUNCTION("""COMPUTED_VALUE"""),"JEFFERSON COUNTY R-1")</f>
        <v>JEFFERSON COUNTY R-1</v>
      </c>
      <c r="C778" s="14" t="str">
        <f>IFERROR(__xludf.DUMMYFUNCTION("""COMPUTED_VALUE"""),"05145")</f>
        <v>05145</v>
      </c>
      <c r="D778" s="13" t="str">
        <f>IFERROR(__xludf.DUMMYFUNCTION("""COMPUTED_VALUE"""),"LINCOLN CHARTER ACADEMY")</f>
        <v>LINCOLN CHARTER ACADEMY</v>
      </c>
      <c r="E778" s="13" t="str">
        <f>IFERROR(__xludf.DUMMYFUNCTION("""COMPUTED_VALUE"""),"Group 1")</f>
        <v>Group 1</v>
      </c>
      <c r="F778" s="13" t="str">
        <f>IFERROR(__xludf.DUMMYFUNCTION("""COMPUTED_VALUE"""),"2024 - 2025")</f>
        <v>2024 - 2025</v>
      </c>
      <c r="G778" s="13" t="str">
        <f>IFERROR(__xludf.DUMMYFUNCTION("""COMPUTED_VALUE"""),"2023 - 2024")</f>
        <v>2023 - 2024</v>
      </c>
      <c r="H778" s="13">
        <f>IFERROR(__xludf.DUMMYFUNCTION("""COMPUTED_VALUE"""),40.06)</f>
        <v>40.06</v>
      </c>
      <c r="I778" s="15">
        <f>IFERROR(__xludf.DUMMYFUNCTION("""COMPUTED_VALUE"""),59.94)</f>
        <v>59.94</v>
      </c>
    </row>
    <row r="779">
      <c r="A779" s="13" t="str">
        <f>IFERROR(__xludf.DUMMYFUNCTION("""COMPUTED_VALUE"""),"1420")</f>
        <v>1420</v>
      </c>
      <c r="B779" s="13" t="str">
        <f>IFERROR(__xludf.DUMMYFUNCTION("""COMPUTED_VALUE"""),"JEFFERSON COUNTY R-1")</f>
        <v>JEFFERSON COUNTY R-1</v>
      </c>
      <c r="C779" s="14" t="str">
        <f>IFERROR(__xludf.DUMMYFUNCTION("""COMPUTED_VALUE"""),"06135")</f>
        <v>06135</v>
      </c>
      <c r="D779" s="13" t="str">
        <f>IFERROR(__xludf.DUMMYFUNCTION("""COMPUTED_VALUE"""),"MOUNT CARBON ELEMENTARY SCHOOL")</f>
        <v>MOUNT CARBON ELEMENTARY SCHOOL</v>
      </c>
      <c r="E779" s="13" t="str">
        <f>IFERROR(__xludf.DUMMYFUNCTION("""COMPUTED_VALUE"""),"Group 1")</f>
        <v>Group 1</v>
      </c>
      <c r="F779" s="13" t="str">
        <f>IFERROR(__xludf.DUMMYFUNCTION("""COMPUTED_VALUE"""),"2024 - 2025")</f>
        <v>2024 - 2025</v>
      </c>
      <c r="G779" s="13" t="str">
        <f>IFERROR(__xludf.DUMMYFUNCTION("""COMPUTED_VALUE"""),"2023 - 2024")</f>
        <v>2023 - 2024</v>
      </c>
      <c r="H779" s="13">
        <f>IFERROR(__xludf.DUMMYFUNCTION("""COMPUTED_VALUE"""),40.06)</f>
        <v>40.06</v>
      </c>
      <c r="I779" s="15">
        <f>IFERROR(__xludf.DUMMYFUNCTION("""COMPUTED_VALUE"""),59.94)</f>
        <v>59.94</v>
      </c>
    </row>
    <row r="780">
      <c r="A780" s="13" t="str">
        <f>IFERROR(__xludf.DUMMYFUNCTION("""COMPUTED_VALUE"""),"1420")</f>
        <v>1420</v>
      </c>
      <c r="B780" s="13" t="str">
        <f>IFERROR(__xludf.DUMMYFUNCTION("""COMPUTED_VALUE"""),"JEFFERSON COUNTY R-1")</f>
        <v>JEFFERSON COUNTY R-1</v>
      </c>
      <c r="C780" s="14" t="str">
        <f>IFERROR(__xludf.DUMMYFUNCTION("""COMPUTED_VALUE"""),"06237")</f>
        <v>06237</v>
      </c>
      <c r="D780" s="13" t="str">
        <f>IFERROR(__xludf.DUMMYFUNCTION("""COMPUTED_VALUE"""),"NEW AMERICA SCHOOL")</f>
        <v>NEW AMERICA SCHOOL</v>
      </c>
      <c r="E780" s="13" t="str">
        <f>IFERROR(__xludf.DUMMYFUNCTION("""COMPUTED_VALUE"""),"Group 1")</f>
        <v>Group 1</v>
      </c>
      <c r="F780" s="13" t="str">
        <f>IFERROR(__xludf.DUMMYFUNCTION("""COMPUTED_VALUE"""),"2024 - 2025")</f>
        <v>2024 - 2025</v>
      </c>
      <c r="G780" s="13" t="str">
        <f>IFERROR(__xludf.DUMMYFUNCTION("""COMPUTED_VALUE"""),"2023 - 2024")</f>
        <v>2023 - 2024</v>
      </c>
      <c r="H780" s="13">
        <f>IFERROR(__xludf.DUMMYFUNCTION("""COMPUTED_VALUE"""),40.06)</f>
        <v>40.06</v>
      </c>
      <c r="I780" s="15">
        <f>IFERROR(__xludf.DUMMYFUNCTION("""COMPUTED_VALUE"""),59.94)</f>
        <v>59.94</v>
      </c>
    </row>
    <row r="781">
      <c r="A781" s="13" t="str">
        <f>IFERROR(__xludf.DUMMYFUNCTION("""COMPUTED_VALUE"""),"1420")</f>
        <v>1420</v>
      </c>
      <c r="B781" s="13" t="str">
        <f>IFERROR(__xludf.DUMMYFUNCTION("""COMPUTED_VALUE"""),"JEFFERSON COUNTY R-1")</f>
        <v>JEFFERSON COUNTY R-1</v>
      </c>
      <c r="C781" s="14" t="str">
        <f>IFERROR(__xludf.DUMMYFUNCTION("""COMPUTED_VALUE"""),"06804")</f>
        <v>06804</v>
      </c>
      <c r="D781" s="13" t="str">
        <f>IFERROR(__xludf.DUMMYFUNCTION("""COMPUTED_VALUE"""),"PARMALEE ELEMENTARY SCHOOL")</f>
        <v>PARMALEE ELEMENTARY SCHOOL</v>
      </c>
      <c r="E781" s="13" t="str">
        <f>IFERROR(__xludf.DUMMYFUNCTION("""COMPUTED_VALUE"""),"Group 1")</f>
        <v>Group 1</v>
      </c>
      <c r="F781" s="13" t="str">
        <f>IFERROR(__xludf.DUMMYFUNCTION("""COMPUTED_VALUE"""),"2024 - 2025")</f>
        <v>2024 - 2025</v>
      </c>
      <c r="G781" s="13" t="str">
        <f>IFERROR(__xludf.DUMMYFUNCTION("""COMPUTED_VALUE"""),"2023 - 2024")</f>
        <v>2023 - 2024</v>
      </c>
      <c r="H781" s="13">
        <f>IFERROR(__xludf.DUMMYFUNCTION("""COMPUTED_VALUE"""),40.06)</f>
        <v>40.06</v>
      </c>
      <c r="I781" s="15">
        <f>IFERROR(__xludf.DUMMYFUNCTION("""COMPUTED_VALUE"""),59.94)</f>
        <v>59.94</v>
      </c>
    </row>
    <row r="782">
      <c r="A782" s="13" t="str">
        <f>IFERROR(__xludf.DUMMYFUNCTION("""COMPUTED_VALUE"""),"1420")</f>
        <v>1420</v>
      </c>
      <c r="B782" s="13" t="str">
        <f>IFERROR(__xludf.DUMMYFUNCTION("""COMPUTED_VALUE"""),"JEFFERSON COUNTY R-1")</f>
        <v>JEFFERSON COUNTY R-1</v>
      </c>
      <c r="C782" s="14" t="str">
        <f>IFERROR(__xludf.DUMMYFUNCTION("""COMPUTED_VALUE"""),"08209")</f>
        <v>08209</v>
      </c>
      <c r="D782" s="13" t="str">
        <f>IFERROR(__xludf.DUMMYFUNCTION("""COMPUTED_VALUE"""),"STANDLEY LAKE HIGH SCHOOL")</f>
        <v>STANDLEY LAKE HIGH SCHOOL</v>
      </c>
      <c r="E782" s="13" t="str">
        <f>IFERROR(__xludf.DUMMYFUNCTION("""COMPUTED_VALUE"""),"Group 1")</f>
        <v>Group 1</v>
      </c>
      <c r="F782" s="13" t="str">
        <f>IFERROR(__xludf.DUMMYFUNCTION("""COMPUTED_VALUE"""),"2024 - 2025")</f>
        <v>2024 - 2025</v>
      </c>
      <c r="G782" s="13" t="str">
        <f>IFERROR(__xludf.DUMMYFUNCTION("""COMPUTED_VALUE"""),"2023 - 2024")</f>
        <v>2023 - 2024</v>
      </c>
      <c r="H782" s="13">
        <f>IFERROR(__xludf.DUMMYFUNCTION("""COMPUTED_VALUE"""),40.06)</f>
        <v>40.06</v>
      </c>
      <c r="I782" s="15">
        <f>IFERROR(__xludf.DUMMYFUNCTION("""COMPUTED_VALUE"""),59.94)</f>
        <v>59.94</v>
      </c>
    </row>
    <row r="783">
      <c r="A783" s="13" t="str">
        <f>IFERROR(__xludf.DUMMYFUNCTION("""COMPUTED_VALUE"""),"1420")</f>
        <v>1420</v>
      </c>
      <c r="B783" s="13" t="str">
        <f>IFERROR(__xludf.DUMMYFUNCTION("""COMPUTED_VALUE"""),"JEFFERSON COUNTY R-1")</f>
        <v>JEFFERSON COUNTY R-1</v>
      </c>
      <c r="C783" s="14" t="str">
        <f>IFERROR(__xludf.DUMMYFUNCTION("""COMPUTED_VALUE"""),"09232")</f>
        <v>09232</v>
      </c>
      <c r="D783" s="13" t="str">
        <f>IFERROR(__xludf.DUMMYFUNCTION("""COMPUTED_VALUE"""),"WARDER ELEMENTARY SCHOOL")</f>
        <v>WARDER ELEMENTARY SCHOOL</v>
      </c>
      <c r="E783" s="13" t="str">
        <f>IFERROR(__xludf.DUMMYFUNCTION("""COMPUTED_VALUE"""),"Group 1")</f>
        <v>Group 1</v>
      </c>
      <c r="F783" s="13" t="str">
        <f>IFERROR(__xludf.DUMMYFUNCTION("""COMPUTED_VALUE"""),"2024 - 2025")</f>
        <v>2024 - 2025</v>
      </c>
      <c r="G783" s="13" t="str">
        <f>IFERROR(__xludf.DUMMYFUNCTION("""COMPUTED_VALUE"""),"2023 - 2024")</f>
        <v>2023 - 2024</v>
      </c>
      <c r="H783" s="13">
        <f>IFERROR(__xludf.DUMMYFUNCTION("""COMPUTED_VALUE"""),40.06)</f>
        <v>40.06</v>
      </c>
      <c r="I783" s="15">
        <f>IFERROR(__xludf.DUMMYFUNCTION("""COMPUTED_VALUE"""),59.94)</f>
        <v>59.94</v>
      </c>
    </row>
    <row r="784">
      <c r="A784" s="13" t="str">
        <f>IFERROR(__xludf.DUMMYFUNCTION("""COMPUTED_VALUE"""),"1420")</f>
        <v>1420</v>
      </c>
      <c r="B784" s="13" t="str">
        <f>IFERROR(__xludf.DUMMYFUNCTION("""COMPUTED_VALUE"""),"JEFFERSON COUNTY R-1")</f>
        <v>JEFFERSON COUNTY R-1</v>
      </c>
      <c r="C784" s="14" t="str">
        <f>IFERROR(__xludf.DUMMYFUNCTION("""COMPUTED_VALUE"""),"01244")</f>
        <v>01244</v>
      </c>
      <c r="D784" s="13" t="str">
        <f>IFERROR(__xludf.DUMMYFUNCTION("""COMPUTED_VALUE"""),"Campbell Early Learning Cener")</f>
        <v>Campbell Early Learning Cener</v>
      </c>
      <c r="E784" s="13" t="str">
        <f>IFERROR(__xludf.DUMMYFUNCTION("""COMPUTED_VALUE"""),"Group 1")</f>
        <v>Group 1</v>
      </c>
      <c r="F784" s="13" t="str">
        <f>IFERROR(__xludf.DUMMYFUNCTION("""COMPUTED_VALUE"""),"2024 - 2025")</f>
        <v>2024 - 2025</v>
      </c>
      <c r="G784" s="13" t="str">
        <f>IFERROR(__xludf.DUMMYFUNCTION("""COMPUTED_VALUE"""),"2023 - 2024")</f>
        <v>2023 - 2024</v>
      </c>
      <c r="H784" s="13">
        <f>IFERROR(__xludf.DUMMYFUNCTION("""COMPUTED_VALUE"""),40.06)</f>
        <v>40.06</v>
      </c>
      <c r="I784" s="15">
        <f>IFERROR(__xludf.DUMMYFUNCTION("""COMPUTED_VALUE"""),59.94)</f>
        <v>59.94</v>
      </c>
    </row>
    <row r="785">
      <c r="A785" s="13" t="str">
        <f>IFERROR(__xludf.DUMMYFUNCTION("""COMPUTED_VALUE"""),"1420")</f>
        <v>1420</v>
      </c>
      <c r="B785" s="13" t="str">
        <f>IFERROR(__xludf.DUMMYFUNCTION("""COMPUTED_VALUE"""),"JEFFERSON COUNTY R-1")</f>
        <v>JEFFERSON COUNTY R-1</v>
      </c>
      <c r="C785" s="14" t="str">
        <f>IFERROR(__xludf.DUMMYFUNCTION("""COMPUTED_VALUE"""),"00724")</f>
        <v>00724</v>
      </c>
      <c r="D785" s="13" t="str">
        <f>IFERROR(__xludf.DUMMYFUNCTION("""COMPUTED_VALUE"""),"BELMAR ELEMENTARY SCHOOL")</f>
        <v>BELMAR ELEMENTARY SCHOOL</v>
      </c>
      <c r="E785" s="13" t="str">
        <f>IFERROR(__xludf.DUMMYFUNCTION("""COMPUTED_VALUE"""),"Group 10")</f>
        <v>Group 10</v>
      </c>
      <c r="F785" s="13" t="str">
        <f>IFERROR(__xludf.DUMMYFUNCTION("""COMPUTED_VALUE"""),"2024 - 2025")</f>
        <v>2024 - 2025</v>
      </c>
      <c r="G785" s="13" t="str">
        <f>IFERROR(__xludf.DUMMYFUNCTION("""COMPUTED_VALUE"""),"2023 - 2024")</f>
        <v>2023 - 2024</v>
      </c>
      <c r="H785" s="13">
        <f>IFERROR(__xludf.DUMMYFUNCTION("""COMPUTED_VALUE"""),71.7)</f>
        <v>71.7</v>
      </c>
      <c r="I785" s="15">
        <f>IFERROR(__xludf.DUMMYFUNCTION("""COMPUTED_VALUE"""),28.299999999999997)</f>
        <v>28.3</v>
      </c>
    </row>
    <row r="786">
      <c r="A786" s="13" t="str">
        <f>IFERROR(__xludf.DUMMYFUNCTION("""COMPUTED_VALUE"""),"1420")</f>
        <v>1420</v>
      </c>
      <c r="B786" s="13" t="str">
        <f>IFERROR(__xludf.DUMMYFUNCTION("""COMPUTED_VALUE"""),"JEFFERSON COUNTY R-1")</f>
        <v>JEFFERSON COUNTY R-1</v>
      </c>
      <c r="C786" s="14" t="str">
        <f>IFERROR(__xludf.DUMMYFUNCTION("""COMPUTED_VALUE"""),"02820")</f>
        <v>02820</v>
      </c>
      <c r="D786" s="13" t="str">
        <f>IFERROR(__xludf.DUMMYFUNCTION("""COMPUTED_VALUE"""),"EVERITT MIDDLE SCHOOL")</f>
        <v>EVERITT MIDDLE SCHOOL</v>
      </c>
      <c r="E786" s="13" t="str">
        <f>IFERROR(__xludf.DUMMYFUNCTION("""COMPUTED_VALUE"""),"Group 10")</f>
        <v>Group 10</v>
      </c>
      <c r="F786" s="13" t="str">
        <f>IFERROR(__xludf.DUMMYFUNCTION("""COMPUTED_VALUE"""),"2024 - 2025")</f>
        <v>2024 - 2025</v>
      </c>
      <c r="G786" s="13" t="str">
        <f>IFERROR(__xludf.DUMMYFUNCTION("""COMPUTED_VALUE"""),"2023 - 2024")</f>
        <v>2023 - 2024</v>
      </c>
      <c r="H786" s="13">
        <f>IFERROR(__xludf.DUMMYFUNCTION("""COMPUTED_VALUE"""),71.7)</f>
        <v>71.7</v>
      </c>
      <c r="I786" s="15">
        <f>IFERROR(__xludf.DUMMYFUNCTION("""COMPUTED_VALUE"""),28.299999999999997)</f>
        <v>28.3</v>
      </c>
    </row>
    <row r="787">
      <c r="A787" s="13" t="str">
        <f>IFERROR(__xludf.DUMMYFUNCTION("""COMPUTED_VALUE"""),"1420")</f>
        <v>1420</v>
      </c>
      <c r="B787" s="13" t="str">
        <f>IFERROR(__xludf.DUMMYFUNCTION("""COMPUTED_VALUE"""),"JEFFERSON COUNTY R-1")</f>
        <v>JEFFERSON COUNTY R-1</v>
      </c>
      <c r="C787" s="14" t="str">
        <f>IFERROR(__xludf.DUMMYFUNCTION("""COMPUTED_VALUE"""),"00950")</f>
        <v>00950</v>
      </c>
      <c r="D787" s="13" t="str">
        <f>IFERROR(__xludf.DUMMYFUNCTION("""COMPUTED_VALUE"""),"BRADFORD K-8 SOUTH")</f>
        <v>BRADFORD K-8 SOUTH</v>
      </c>
      <c r="E787" s="13" t="str">
        <f>IFERROR(__xludf.DUMMYFUNCTION("""COMPUTED_VALUE"""),"Group 11")</f>
        <v>Group 11</v>
      </c>
      <c r="F787" s="13" t="str">
        <f>IFERROR(__xludf.DUMMYFUNCTION("""COMPUTED_VALUE"""),"2024 - 2025")</f>
        <v>2024 - 2025</v>
      </c>
      <c r="G787" s="13" t="str">
        <f>IFERROR(__xludf.DUMMYFUNCTION("""COMPUTED_VALUE"""),"2023 - 2024")</f>
        <v>2023 - 2024</v>
      </c>
      <c r="H787" s="13">
        <f>IFERROR(__xludf.DUMMYFUNCTION("""COMPUTED_VALUE"""),40.37)</f>
        <v>40.37</v>
      </c>
      <c r="I787" s="15">
        <f>IFERROR(__xludf.DUMMYFUNCTION("""COMPUTED_VALUE"""),59.63)</f>
        <v>59.63</v>
      </c>
    </row>
    <row r="788">
      <c r="A788" s="13" t="str">
        <f>IFERROR(__xludf.DUMMYFUNCTION("""COMPUTED_VALUE"""),"1420")</f>
        <v>1420</v>
      </c>
      <c r="B788" s="13" t="str">
        <f>IFERROR(__xludf.DUMMYFUNCTION("""COMPUTED_VALUE"""),"JEFFERSON COUNTY R-1")</f>
        <v>JEFFERSON COUNTY R-1</v>
      </c>
      <c r="C788" s="14" t="str">
        <f>IFERROR(__xludf.DUMMYFUNCTION("""COMPUTED_VALUE"""),"02832")</f>
        <v>02832</v>
      </c>
      <c r="D788" s="13" t="str">
        <f>IFERROR(__xludf.DUMMYFUNCTION("""COMPUTED_VALUE"""),"EVERGREEN MIDDLE SCHOOL")</f>
        <v>EVERGREEN MIDDLE SCHOOL</v>
      </c>
      <c r="E788" s="13" t="str">
        <f>IFERROR(__xludf.DUMMYFUNCTION("""COMPUTED_VALUE"""),"Group 11")</f>
        <v>Group 11</v>
      </c>
      <c r="F788" s="13" t="str">
        <f>IFERROR(__xludf.DUMMYFUNCTION("""COMPUTED_VALUE"""),"2024 - 2025")</f>
        <v>2024 - 2025</v>
      </c>
      <c r="G788" s="13" t="str">
        <f>IFERROR(__xludf.DUMMYFUNCTION("""COMPUTED_VALUE"""),"2023 - 2024")</f>
        <v>2023 - 2024</v>
      </c>
      <c r="H788" s="13">
        <f>IFERROR(__xludf.DUMMYFUNCTION("""COMPUTED_VALUE"""),40.37)</f>
        <v>40.37</v>
      </c>
      <c r="I788" s="15">
        <f>IFERROR(__xludf.DUMMYFUNCTION("""COMPUTED_VALUE"""),59.63)</f>
        <v>59.63</v>
      </c>
    </row>
    <row r="789">
      <c r="A789" s="13" t="str">
        <f>IFERROR(__xludf.DUMMYFUNCTION("""COMPUTED_VALUE"""),"1420")</f>
        <v>1420</v>
      </c>
      <c r="B789" s="13" t="str">
        <f>IFERROR(__xludf.DUMMYFUNCTION("""COMPUTED_VALUE"""),"JEFFERSON COUNTY R-1")</f>
        <v>JEFFERSON COUNTY R-1</v>
      </c>
      <c r="C789" s="14" t="str">
        <f>IFERROR(__xludf.DUMMYFUNCTION("""COMPUTED_VALUE"""),"04422")</f>
        <v>04422</v>
      </c>
      <c r="D789" s="13" t="str">
        <f>IFERROR(__xludf.DUMMYFUNCTION("""COMPUTED_VALUE"""),"JEFFERSON HIGH SCHOOL")</f>
        <v>JEFFERSON HIGH SCHOOL</v>
      </c>
      <c r="E789" s="13" t="str">
        <f>IFERROR(__xludf.DUMMYFUNCTION("""COMPUTED_VALUE"""),"Group 11")</f>
        <v>Group 11</v>
      </c>
      <c r="F789" s="13" t="str">
        <f>IFERROR(__xludf.DUMMYFUNCTION("""COMPUTED_VALUE"""),"2024 - 2025")</f>
        <v>2024 - 2025</v>
      </c>
      <c r="G789" s="13" t="str">
        <f>IFERROR(__xludf.DUMMYFUNCTION("""COMPUTED_VALUE"""),"2023 - 2024")</f>
        <v>2023 - 2024</v>
      </c>
      <c r="H789" s="13">
        <f>IFERROR(__xludf.DUMMYFUNCTION("""COMPUTED_VALUE"""),40.37)</f>
        <v>40.37</v>
      </c>
      <c r="I789" s="15">
        <f>IFERROR(__xludf.DUMMYFUNCTION("""COMPUTED_VALUE"""),59.63)</f>
        <v>59.63</v>
      </c>
    </row>
    <row r="790">
      <c r="A790" s="13" t="str">
        <f>IFERROR(__xludf.DUMMYFUNCTION("""COMPUTED_VALUE"""),"1420")</f>
        <v>1420</v>
      </c>
      <c r="B790" s="13" t="str">
        <f>IFERROR(__xludf.DUMMYFUNCTION("""COMPUTED_VALUE"""),"JEFFERSON COUNTY R-1")</f>
        <v>JEFFERSON COUNTY R-1</v>
      </c>
      <c r="C790" s="14" t="str">
        <f>IFERROR(__xludf.DUMMYFUNCTION("""COMPUTED_VALUE"""),"06470")</f>
        <v>06470</v>
      </c>
      <c r="D790" s="13" t="str">
        <f>IFERROR(__xludf.DUMMYFUNCTION("""COMPUTED_VALUE"""),"OBERON JUNIOR HIGH SCHOOL")</f>
        <v>OBERON JUNIOR HIGH SCHOOL</v>
      </c>
      <c r="E790" s="13" t="str">
        <f>IFERROR(__xludf.DUMMYFUNCTION("""COMPUTED_VALUE"""),"Group 11")</f>
        <v>Group 11</v>
      </c>
      <c r="F790" s="13" t="str">
        <f>IFERROR(__xludf.DUMMYFUNCTION("""COMPUTED_VALUE"""),"2024 - 2025")</f>
        <v>2024 - 2025</v>
      </c>
      <c r="G790" s="13" t="str">
        <f>IFERROR(__xludf.DUMMYFUNCTION("""COMPUTED_VALUE"""),"2023 - 2024")</f>
        <v>2023 - 2024</v>
      </c>
      <c r="H790" s="13">
        <f>IFERROR(__xludf.DUMMYFUNCTION("""COMPUTED_VALUE"""),40.37)</f>
        <v>40.37</v>
      </c>
      <c r="I790" s="15">
        <f>IFERROR(__xludf.DUMMYFUNCTION("""COMPUTED_VALUE"""),59.63)</f>
        <v>59.63</v>
      </c>
    </row>
    <row r="791">
      <c r="A791" s="13" t="str">
        <f>IFERROR(__xludf.DUMMYFUNCTION("""COMPUTED_VALUE"""),"1420")</f>
        <v>1420</v>
      </c>
      <c r="B791" s="13" t="str">
        <f>IFERROR(__xludf.DUMMYFUNCTION("""COMPUTED_VALUE"""),"JEFFERSON COUNTY R-1")</f>
        <v>JEFFERSON COUNTY R-1</v>
      </c>
      <c r="C791" s="14" t="str">
        <f>IFERROR(__xludf.DUMMYFUNCTION("""COMPUTED_VALUE"""),"00033")</f>
        <v>00033</v>
      </c>
      <c r="D791" s="13" t="str">
        <f>IFERROR(__xludf.DUMMYFUNCTION("""COMPUTED_VALUE"""),"MC LAIN COMMUNITY HIGH SCHOOL")</f>
        <v>MC LAIN COMMUNITY HIGH SCHOOL</v>
      </c>
      <c r="E791" s="13" t="str">
        <f>IFERROR(__xludf.DUMMYFUNCTION("""COMPUTED_VALUE"""),"Group 12")</f>
        <v>Group 12</v>
      </c>
      <c r="F791" s="13" t="str">
        <f>IFERROR(__xludf.DUMMYFUNCTION("""COMPUTED_VALUE"""),"2024 - 2025")</f>
        <v>2024 - 2025</v>
      </c>
      <c r="G791" s="13" t="str">
        <f>IFERROR(__xludf.DUMMYFUNCTION("""COMPUTED_VALUE"""),"2023 - 2024")</f>
        <v>2023 - 2024</v>
      </c>
      <c r="H791" s="13">
        <f>IFERROR(__xludf.DUMMYFUNCTION("""COMPUTED_VALUE"""),40.03)</f>
        <v>40.03</v>
      </c>
      <c r="I791" s="15">
        <f>IFERROR(__xludf.DUMMYFUNCTION("""COMPUTED_VALUE"""),59.97)</f>
        <v>59.97</v>
      </c>
    </row>
    <row r="792">
      <c r="A792" s="13" t="str">
        <f>IFERROR(__xludf.DUMMYFUNCTION("""COMPUTED_VALUE"""),"1420")</f>
        <v>1420</v>
      </c>
      <c r="B792" s="13" t="str">
        <f>IFERROR(__xludf.DUMMYFUNCTION("""COMPUTED_VALUE"""),"JEFFERSON COUNTY R-1")</f>
        <v>JEFFERSON COUNTY R-1</v>
      </c>
      <c r="C792" s="14" t="str">
        <f>IFERROR(__xludf.DUMMYFUNCTION("""COMPUTED_VALUE"""),"00378")</f>
        <v>00378</v>
      </c>
      <c r="D792" s="13" t="str">
        <f>IFERROR(__xludf.DUMMYFUNCTION("""COMPUTED_VALUE"""),"ARVADA WEST HIGH SCHOOL")</f>
        <v>ARVADA WEST HIGH SCHOOL</v>
      </c>
      <c r="E792" s="13" t="str">
        <f>IFERROR(__xludf.DUMMYFUNCTION("""COMPUTED_VALUE"""),"Group 12")</f>
        <v>Group 12</v>
      </c>
      <c r="F792" s="13" t="str">
        <f>IFERROR(__xludf.DUMMYFUNCTION("""COMPUTED_VALUE"""),"2024 - 2025")</f>
        <v>2024 - 2025</v>
      </c>
      <c r="G792" s="13" t="str">
        <f>IFERROR(__xludf.DUMMYFUNCTION("""COMPUTED_VALUE"""),"2023 - 2024")</f>
        <v>2023 - 2024</v>
      </c>
      <c r="H792" s="13">
        <f>IFERROR(__xludf.DUMMYFUNCTION("""COMPUTED_VALUE"""),40.03)</f>
        <v>40.03</v>
      </c>
      <c r="I792" s="15">
        <f>IFERROR(__xludf.DUMMYFUNCTION("""COMPUTED_VALUE"""),59.97)</f>
        <v>59.97</v>
      </c>
    </row>
    <row r="793">
      <c r="A793" s="13" t="str">
        <f>IFERROR(__xludf.DUMMYFUNCTION("""COMPUTED_VALUE"""),"1420")</f>
        <v>1420</v>
      </c>
      <c r="B793" s="13" t="str">
        <f>IFERROR(__xludf.DUMMYFUNCTION("""COMPUTED_VALUE"""),"JEFFERSON COUNTY R-1")</f>
        <v>JEFFERSON COUNTY R-1</v>
      </c>
      <c r="C793" s="14" t="str">
        <f>IFERROR(__xludf.DUMMYFUNCTION("""COMPUTED_VALUE"""),"00951")</f>
        <v>00951</v>
      </c>
      <c r="D793" s="13" t="str">
        <f>IFERROR(__xludf.DUMMYFUNCTION("""COMPUTED_VALUE"""),"BLUE HERON ELEMENTARY SCHOOL")</f>
        <v>BLUE HERON ELEMENTARY SCHOOL</v>
      </c>
      <c r="E793" s="13" t="str">
        <f>IFERROR(__xludf.DUMMYFUNCTION("""COMPUTED_VALUE"""),"Group 12")</f>
        <v>Group 12</v>
      </c>
      <c r="F793" s="13" t="str">
        <f>IFERROR(__xludf.DUMMYFUNCTION("""COMPUTED_VALUE"""),"2024 - 2025")</f>
        <v>2024 - 2025</v>
      </c>
      <c r="G793" s="13" t="str">
        <f>IFERROR(__xludf.DUMMYFUNCTION("""COMPUTED_VALUE"""),"2023 - 2024")</f>
        <v>2023 - 2024</v>
      </c>
      <c r="H793" s="13">
        <f>IFERROR(__xludf.DUMMYFUNCTION("""COMPUTED_VALUE"""),40.03)</f>
        <v>40.03</v>
      </c>
      <c r="I793" s="15">
        <f>IFERROR(__xludf.DUMMYFUNCTION("""COMPUTED_VALUE"""),59.97)</f>
        <v>59.97</v>
      </c>
    </row>
    <row r="794">
      <c r="A794" s="13" t="str">
        <f>IFERROR(__xludf.DUMMYFUNCTION("""COMPUTED_VALUE"""),"1420")</f>
        <v>1420</v>
      </c>
      <c r="B794" s="13" t="str">
        <f>IFERROR(__xludf.DUMMYFUNCTION("""COMPUTED_VALUE"""),"JEFFERSON COUNTY R-1")</f>
        <v>JEFFERSON COUNTY R-1</v>
      </c>
      <c r="C794" s="14" t="str">
        <f>IFERROR(__xludf.DUMMYFUNCTION("""COMPUTED_VALUE"""),"03628")</f>
        <v>03628</v>
      </c>
      <c r="D794" s="13" t="str">
        <f>IFERROR(__xludf.DUMMYFUNCTION("""COMPUTED_VALUE"""),"GREEN MOUNTAIN HIGH SCHOOL")</f>
        <v>GREEN MOUNTAIN HIGH SCHOOL</v>
      </c>
      <c r="E794" s="13" t="str">
        <f>IFERROR(__xludf.DUMMYFUNCTION("""COMPUTED_VALUE"""),"Group 12")</f>
        <v>Group 12</v>
      </c>
      <c r="F794" s="13" t="str">
        <f>IFERROR(__xludf.DUMMYFUNCTION("""COMPUTED_VALUE"""),"2024 - 2025")</f>
        <v>2024 - 2025</v>
      </c>
      <c r="G794" s="13" t="str">
        <f>IFERROR(__xludf.DUMMYFUNCTION("""COMPUTED_VALUE"""),"2023 - 2024")</f>
        <v>2023 - 2024</v>
      </c>
      <c r="H794" s="13">
        <f>IFERROR(__xludf.DUMMYFUNCTION("""COMPUTED_VALUE"""),40.03)</f>
        <v>40.03</v>
      </c>
      <c r="I794" s="15">
        <f>IFERROR(__xludf.DUMMYFUNCTION("""COMPUTED_VALUE"""),59.97)</f>
        <v>59.97</v>
      </c>
    </row>
    <row r="795">
      <c r="A795" s="13" t="str">
        <f>IFERROR(__xludf.DUMMYFUNCTION("""COMPUTED_VALUE"""),"1420")</f>
        <v>1420</v>
      </c>
      <c r="B795" s="13" t="str">
        <f>IFERROR(__xludf.DUMMYFUNCTION("""COMPUTED_VALUE"""),"JEFFERSON COUNTY R-1")</f>
        <v>JEFFERSON COUNTY R-1</v>
      </c>
      <c r="C795" s="14" t="str">
        <f>IFERROR(__xludf.DUMMYFUNCTION("""COMPUTED_VALUE"""),"04190")</f>
        <v>04190</v>
      </c>
      <c r="D795" s="13" t="str">
        <f>IFERROR(__xludf.DUMMYFUNCTION("""COMPUTED_VALUE"""),"HUTCHINSON ELEMENTARY SCHOOL")</f>
        <v>HUTCHINSON ELEMENTARY SCHOOL</v>
      </c>
      <c r="E795" s="13" t="str">
        <f>IFERROR(__xludf.DUMMYFUNCTION("""COMPUTED_VALUE"""),"Group 12")</f>
        <v>Group 12</v>
      </c>
      <c r="F795" s="13" t="str">
        <f>IFERROR(__xludf.DUMMYFUNCTION("""COMPUTED_VALUE"""),"2024 - 2025")</f>
        <v>2024 - 2025</v>
      </c>
      <c r="G795" s="13" t="str">
        <f>IFERROR(__xludf.DUMMYFUNCTION("""COMPUTED_VALUE"""),"2023 - 2024")</f>
        <v>2023 - 2024</v>
      </c>
      <c r="H795" s="13">
        <f>IFERROR(__xludf.DUMMYFUNCTION("""COMPUTED_VALUE"""),40.03)</f>
        <v>40.03</v>
      </c>
      <c r="I795" s="15">
        <f>IFERROR(__xludf.DUMMYFUNCTION("""COMPUTED_VALUE"""),59.97)</f>
        <v>59.97</v>
      </c>
    </row>
    <row r="796">
      <c r="A796" s="13" t="str">
        <f>IFERROR(__xludf.DUMMYFUNCTION("""COMPUTED_VALUE"""),"1420")</f>
        <v>1420</v>
      </c>
      <c r="B796" s="13" t="str">
        <f>IFERROR(__xludf.DUMMYFUNCTION("""COMPUTED_VALUE"""),"JEFFERSON COUNTY R-1")</f>
        <v>JEFFERSON COUNTY R-1</v>
      </c>
      <c r="C796" s="14" t="str">
        <f>IFERROR(__xludf.DUMMYFUNCTION("""COMPUTED_VALUE"""),"06539")</f>
        <v>06539</v>
      </c>
      <c r="D796" s="13" t="str">
        <f>IFERROR(__xludf.DUMMYFUNCTION("""COMPUTED_VALUE"""),"JEFFERSON COUNTY OPEN ELEMENTARY SCHOOL")</f>
        <v>JEFFERSON COUNTY OPEN ELEMENTARY SCHOOL</v>
      </c>
      <c r="E796" s="13" t="str">
        <f>IFERROR(__xludf.DUMMYFUNCTION("""COMPUTED_VALUE"""),"Group 12")</f>
        <v>Group 12</v>
      </c>
      <c r="F796" s="13" t="str">
        <f>IFERROR(__xludf.DUMMYFUNCTION("""COMPUTED_VALUE"""),"2024 - 2025")</f>
        <v>2024 - 2025</v>
      </c>
      <c r="G796" s="13" t="str">
        <f>IFERROR(__xludf.DUMMYFUNCTION("""COMPUTED_VALUE"""),"2023 - 2024")</f>
        <v>2023 - 2024</v>
      </c>
      <c r="H796" s="13">
        <f>IFERROR(__xludf.DUMMYFUNCTION("""COMPUTED_VALUE"""),40.03)</f>
        <v>40.03</v>
      </c>
      <c r="I796" s="15">
        <f>IFERROR(__xludf.DUMMYFUNCTION("""COMPUTED_VALUE"""),59.97)</f>
        <v>59.97</v>
      </c>
    </row>
    <row r="797">
      <c r="A797" s="13" t="str">
        <f>IFERROR(__xludf.DUMMYFUNCTION("""COMPUTED_VALUE"""),"1420")</f>
        <v>1420</v>
      </c>
      <c r="B797" s="13" t="str">
        <f>IFERROR(__xludf.DUMMYFUNCTION("""COMPUTED_VALUE"""),"JEFFERSON COUNTY R-1")</f>
        <v>JEFFERSON COUNTY R-1</v>
      </c>
      <c r="C797" s="14" t="str">
        <f>IFERROR(__xludf.DUMMYFUNCTION("""COMPUTED_VALUE"""),"07701")</f>
        <v>07701</v>
      </c>
      <c r="D797" s="13" t="str">
        <f>IFERROR(__xludf.DUMMYFUNCTION("""COMPUTED_VALUE"""),"COLLEGIATE ACADEMY OF COLORADO")</f>
        <v>COLLEGIATE ACADEMY OF COLORADO</v>
      </c>
      <c r="E797" s="13" t="str">
        <f>IFERROR(__xludf.DUMMYFUNCTION("""COMPUTED_VALUE"""),"Group 12")</f>
        <v>Group 12</v>
      </c>
      <c r="F797" s="13" t="str">
        <f>IFERROR(__xludf.DUMMYFUNCTION("""COMPUTED_VALUE"""),"2024 - 2025")</f>
        <v>2024 - 2025</v>
      </c>
      <c r="G797" s="13" t="str">
        <f>IFERROR(__xludf.DUMMYFUNCTION("""COMPUTED_VALUE"""),"2023 - 2024")</f>
        <v>2023 - 2024</v>
      </c>
      <c r="H797" s="13">
        <f>IFERROR(__xludf.DUMMYFUNCTION("""COMPUTED_VALUE"""),40.03)</f>
        <v>40.03</v>
      </c>
      <c r="I797" s="15">
        <f>IFERROR(__xludf.DUMMYFUNCTION("""COMPUTED_VALUE"""),59.97)</f>
        <v>59.97</v>
      </c>
    </row>
    <row r="798">
      <c r="A798" s="13" t="str">
        <f>IFERROR(__xludf.DUMMYFUNCTION("""COMPUTED_VALUE"""),"1420")</f>
        <v>1420</v>
      </c>
      <c r="B798" s="13" t="str">
        <f>IFERROR(__xludf.DUMMYFUNCTION("""COMPUTED_VALUE"""),"JEFFERSON COUNTY R-1")</f>
        <v>JEFFERSON COUNTY R-1</v>
      </c>
      <c r="C798" s="14" t="str">
        <f>IFERROR(__xludf.DUMMYFUNCTION("""COMPUTED_VALUE"""),"08276")</f>
        <v>08276</v>
      </c>
      <c r="D798" s="13" t="str">
        <f>IFERROR(__xludf.DUMMYFUNCTION("""COMPUTED_VALUE"""),"STOBER ELEMENTARY SCHOOL")</f>
        <v>STOBER ELEMENTARY SCHOOL</v>
      </c>
      <c r="E798" s="13" t="str">
        <f>IFERROR(__xludf.DUMMYFUNCTION("""COMPUTED_VALUE"""),"Group 12")</f>
        <v>Group 12</v>
      </c>
      <c r="F798" s="13" t="str">
        <f>IFERROR(__xludf.DUMMYFUNCTION("""COMPUTED_VALUE"""),"2024 - 2025")</f>
        <v>2024 - 2025</v>
      </c>
      <c r="G798" s="13" t="str">
        <f>IFERROR(__xludf.DUMMYFUNCTION("""COMPUTED_VALUE"""),"2023 - 2024")</f>
        <v>2023 - 2024</v>
      </c>
      <c r="H798" s="13">
        <f>IFERROR(__xludf.DUMMYFUNCTION("""COMPUTED_VALUE"""),40.03)</f>
        <v>40.03</v>
      </c>
      <c r="I798" s="15">
        <f>IFERROR(__xludf.DUMMYFUNCTION("""COMPUTED_VALUE"""),59.97)</f>
        <v>59.97</v>
      </c>
    </row>
    <row r="799">
      <c r="A799" s="13" t="str">
        <f>IFERROR(__xludf.DUMMYFUNCTION("""COMPUTED_VALUE"""),"1420")</f>
        <v>1420</v>
      </c>
      <c r="B799" s="13" t="str">
        <f>IFERROR(__xludf.DUMMYFUNCTION("""COMPUTED_VALUE"""),"JEFFERSON COUNTY R-1")</f>
        <v>JEFFERSON COUNTY R-1</v>
      </c>
      <c r="C799" s="14" t="str">
        <f>IFERROR(__xludf.DUMMYFUNCTION("""COMPUTED_VALUE"""),"06285")</f>
        <v>06285</v>
      </c>
      <c r="D799" s="13" t="str">
        <f>IFERROR(__xludf.DUMMYFUNCTION("""COMPUTED_VALUE"""),"Norma Anderson Early Learning Center")</f>
        <v>Norma Anderson Early Learning Center</v>
      </c>
      <c r="E799" s="13" t="str">
        <f>IFERROR(__xludf.DUMMYFUNCTION("""COMPUTED_VALUE"""),"Group 12")</f>
        <v>Group 12</v>
      </c>
      <c r="F799" s="13" t="str">
        <f>IFERROR(__xludf.DUMMYFUNCTION("""COMPUTED_VALUE"""),"2024 - 2025")</f>
        <v>2024 - 2025</v>
      </c>
      <c r="G799" s="13" t="str">
        <f>IFERROR(__xludf.DUMMYFUNCTION("""COMPUTED_VALUE"""),"2023 - 2024")</f>
        <v>2023 - 2024</v>
      </c>
      <c r="H799" s="13">
        <f>IFERROR(__xludf.DUMMYFUNCTION("""COMPUTED_VALUE"""),40.03)</f>
        <v>40.03</v>
      </c>
      <c r="I799" s="15">
        <f>IFERROR(__xludf.DUMMYFUNCTION("""COMPUTED_VALUE"""),59.97)</f>
        <v>59.97</v>
      </c>
    </row>
    <row r="800">
      <c r="A800" s="13" t="str">
        <f>IFERROR(__xludf.DUMMYFUNCTION("""COMPUTED_VALUE"""),"1420")</f>
        <v>1420</v>
      </c>
      <c r="B800" s="13" t="str">
        <f>IFERROR(__xludf.DUMMYFUNCTION("""COMPUTED_VALUE"""),"JEFFERSON COUNTY R-1")</f>
        <v>JEFFERSON COUNTY R-1</v>
      </c>
      <c r="C800" s="14" t="str">
        <f>IFERROR(__xludf.DUMMYFUNCTION("""COMPUTED_VALUE"""),"02300")</f>
        <v>02300</v>
      </c>
      <c r="D800" s="13" t="str">
        <f>IFERROR(__xludf.DUMMYFUNCTION("""COMPUTED_VALUE"""),"DUNSTAN MIDDLE SCHOOL")</f>
        <v>DUNSTAN MIDDLE SCHOOL</v>
      </c>
      <c r="E800" s="13" t="str">
        <f>IFERROR(__xludf.DUMMYFUNCTION("""COMPUTED_VALUE"""),"Group 13")</f>
        <v>Group 13</v>
      </c>
      <c r="F800" s="13" t="str">
        <f>IFERROR(__xludf.DUMMYFUNCTION("""COMPUTED_VALUE"""),"2024 - 2025")</f>
        <v>2024 - 2025</v>
      </c>
      <c r="G800" s="13" t="str">
        <f>IFERROR(__xludf.DUMMYFUNCTION("""COMPUTED_VALUE"""),"2023 - 2024")</f>
        <v>2023 - 2024</v>
      </c>
      <c r="H800" s="13">
        <f>IFERROR(__xludf.DUMMYFUNCTION("""COMPUTED_VALUE"""),40.54)</f>
        <v>40.54</v>
      </c>
      <c r="I800" s="15">
        <f>IFERROR(__xludf.DUMMYFUNCTION("""COMPUTED_VALUE"""),59.46)</f>
        <v>59.46</v>
      </c>
    </row>
    <row r="801">
      <c r="A801" s="13" t="str">
        <f>IFERROR(__xludf.DUMMYFUNCTION("""COMPUTED_VALUE"""),"1420")</f>
        <v>1420</v>
      </c>
      <c r="B801" s="13" t="str">
        <f>IFERROR(__xludf.DUMMYFUNCTION("""COMPUTED_VALUE"""),"JEFFERSON COUNTY R-1")</f>
        <v>JEFFERSON COUNTY R-1</v>
      </c>
      <c r="C801" s="14" t="str">
        <f>IFERROR(__xludf.DUMMYFUNCTION("""COMPUTED_VALUE"""),"07114")</f>
        <v>07114</v>
      </c>
      <c r="D801" s="13" t="str">
        <f>IFERROR(__xludf.DUMMYFUNCTION("""COMPUTED_VALUE"""),"POMONA JUNIOR/SENIOR HIGH SCHOOL")</f>
        <v>POMONA JUNIOR/SENIOR HIGH SCHOOL</v>
      </c>
      <c r="E801" s="13" t="str">
        <f>IFERROR(__xludf.DUMMYFUNCTION("""COMPUTED_VALUE"""),"Group 13")</f>
        <v>Group 13</v>
      </c>
      <c r="F801" s="13" t="str">
        <f>IFERROR(__xludf.DUMMYFUNCTION("""COMPUTED_VALUE"""),"2024 - 2025")</f>
        <v>2024 - 2025</v>
      </c>
      <c r="G801" s="13" t="str">
        <f>IFERROR(__xludf.DUMMYFUNCTION("""COMPUTED_VALUE"""),"2023 - 2024")</f>
        <v>2023 - 2024</v>
      </c>
      <c r="H801" s="13">
        <f>IFERROR(__xludf.DUMMYFUNCTION("""COMPUTED_VALUE"""),40.54)</f>
        <v>40.54</v>
      </c>
      <c r="I801" s="15">
        <f>IFERROR(__xludf.DUMMYFUNCTION("""COMPUTED_VALUE"""),59.46)</f>
        <v>59.46</v>
      </c>
    </row>
    <row r="802">
      <c r="A802" s="13" t="str">
        <f>IFERROR(__xludf.DUMMYFUNCTION("""COMPUTED_VALUE"""),"1420")</f>
        <v>1420</v>
      </c>
      <c r="B802" s="13" t="str">
        <f>IFERROR(__xludf.DUMMYFUNCTION("""COMPUTED_VALUE"""),"JEFFERSON COUNTY R-1")</f>
        <v>JEFFERSON COUNTY R-1</v>
      </c>
      <c r="C802" s="14" t="str">
        <f>IFERROR(__xludf.DUMMYFUNCTION("""COMPUTED_VALUE"""),"07128")</f>
        <v>07128</v>
      </c>
      <c r="D802" s="13" t="str">
        <f>IFERROR(__xludf.DUMMYFUNCTION("""COMPUTED_VALUE"""),"POWDERHORN ELEMENTARY SCHOOL")</f>
        <v>POWDERHORN ELEMENTARY SCHOOL</v>
      </c>
      <c r="E802" s="13" t="str">
        <f>IFERROR(__xludf.DUMMYFUNCTION("""COMPUTED_VALUE"""),"Group 13")</f>
        <v>Group 13</v>
      </c>
      <c r="F802" s="13" t="str">
        <f>IFERROR(__xludf.DUMMYFUNCTION("""COMPUTED_VALUE"""),"2024 - 2025")</f>
        <v>2024 - 2025</v>
      </c>
      <c r="G802" s="13" t="str">
        <f>IFERROR(__xludf.DUMMYFUNCTION("""COMPUTED_VALUE"""),"2023 - 2024")</f>
        <v>2023 - 2024</v>
      </c>
      <c r="H802" s="13">
        <f>IFERROR(__xludf.DUMMYFUNCTION("""COMPUTED_VALUE"""),40.54)</f>
        <v>40.54</v>
      </c>
      <c r="I802" s="15">
        <f>IFERROR(__xludf.DUMMYFUNCTION("""COMPUTED_VALUE"""),59.46)</f>
        <v>59.46</v>
      </c>
    </row>
    <row r="803">
      <c r="A803" s="13" t="str">
        <f>IFERROR(__xludf.DUMMYFUNCTION("""COMPUTED_VALUE"""),"1420")</f>
        <v>1420</v>
      </c>
      <c r="B803" s="13" t="str">
        <f>IFERROR(__xludf.DUMMYFUNCTION("""COMPUTED_VALUE"""),"JEFFERSON COUNTY R-1")</f>
        <v>JEFFERSON COUNTY R-1</v>
      </c>
      <c r="C803" s="14" t="str">
        <f>IFERROR(__xludf.DUMMYFUNCTION("""COMPUTED_VALUE"""),"08381")</f>
        <v>08381</v>
      </c>
      <c r="D803" s="13" t="str">
        <f>IFERROR(__xludf.DUMMYFUNCTION("""COMPUTED_VALUE"""),"SUMMIT RIDGE MIDDLE SCHOOL")</f>
        <v>SUMMIT RIDGE MIDDLE SCHOOL</v>
      </c>
      <c r="E803" s="13" t="str">
        <f>IFERROR(__xludf.DUMMYFUNCTION("""COMPUTED_VALUE"""),"Group 13")</f>
        <v>Group 13</v>
      </c>
      <c r="F803" s="13" t="str">
        <f>IFERROR(__xludf.DUMMYFUNCTION("""COMPUTED_VALUE"""),"2024 - 2025")</f>
        <v>2024 - 2025</v>
      </c>
      <c r="G803" s="13" t="str">
        <f>IFERROR(__xludf.DUMMYFUNCTION("""COMPUTED_VALUE"""),"2023 - 2024")</f>
        <v>2023 - 2024</v>
      </c>
      <c r="H803" s="13">
        <f>IFERROR(__xludf.DUMMYFUNCTION("""COMPUTED_VALUE"""),40.54)</f>
        <v>40.54</v>
      </c>
      <c r="I803" s="15">
        <f>IFERROR(__xludf.DUMMYFUNCTION("""COMPUTED_VALUE"""),59.46)</f>
        <v>59.46</v>
      </c>
    </row>
    <row r="804">
      <c r="A804" s="13" t="str">
        <f>IFERROR(__xludf.DUMMYFUNCTION("""COMPUTED_VALUE"""),"1420")</f>
        <v>1420</v>
      </c>
      <c r="B804" s="13" t="str">
        <f>IFERROR(__xludf.DUMMYFUNCTION("""COMPUTED_VALUE"""),"JEFFERSON COUNTY R-1")</f>
        <v>JEFFERSON COUNTY R-1</v>
      </c>
      <c r="C804" s="14" t="str">
        <f>IFERROR(__xludf.DUMMYFUNCTION("""COMPUTED_VALUE"""),"00030")</f>
        <v>00030</v>
      </c>
      <c r="D804" s="13" t="str">
        <f>IFERROR(__xludf.DUMMYFUNCTION("""COMPUTED_VALUE"""),"ADAMS ELEMENTARY SCHOOL")</f>
        <v>ADAMS ELEMENTARY SCHOOL</v>
      </c>
      <c r="E804" s="13" t="str">
        <f>IFERROR(__xludf.DUMMYFUNCTION("""COMPUTED_VALUE"""),"Group 14")</f>
        <v>Group 14</v>
      </c>
      <c r="F804" s="13" t="str">
        <f>IFERROR(__xludf.DUMMYFUNCTION("""COMPUTED_VALUE"""),"2024 - 2025")</f>
        <v>2024 - 2025</v>
      </c>
      <c r="G804" s="13" t="str">
        <f>IFERROR(__xludf.DUMMYFUNCTION("""COMPUTED_VALUE"""),"2023 - 2024")</f>
        <v>2023 - 2024</v>
      </c>
      <c r="H804" s="13">
        <f>IFERROR(__xludf.DUMMYFUNCTION("""COMPUTED_VALUE"""),46.56)</f>
        <v>46.56</v>
      </c>
      <c r="I804" s="15">
        <f>IFERROR(__xludf.DUMMYFUNCTION("""COMPUTED_VALUE"""),53.44)</f>
        <v>53.44</v>
      </c>
    </row>
    <row r="805">
      <c r="A805" s="13" t="str">
        <f>IFERROR(__xludf.DUMMYFUNCTION("""COMPUTED_VALUE"""),"1420")</f>
        <v>1420</v>
      </c>
      <c r="B805" s="13" t="str">
        <f>IFERROR(__xludf.DUMMYFUNCTION("""COMPUTED_VALUE"""),"JEFFERSON COUNTY R-1")</f>
        <v>JEFFERSON COUNTY R-1</v>
      </c>
      <c r="C805" s="14" t="str">
        <f>IFERROR(__xludf.DUMMYFUNCTION("""COMPUTED_VALUE"""),"02963")</f>
        <v>02963</v>
      </c>
      <c r="D805" s="13" t="str">
        <f>IFERROR(__xludf.DUMMYFUNCTION("""COMPUTED_VALUE"""),"FALCON BLUFFS MIDDLE SCHOOL")</f>
        <v>FALCON BLUFFS MIDDLE SCHOOL</v>
      </c>
      <c r="E805" s="13" t="str">
        <f>IFERROR(__xludf.DUMMYFUNCTION("""COMPUTED_VALUE"""),"Group 14")</f>
        <v>Group 14</v>
      </c>
      <c r="F805" s="13" t="str">
        <f>IFERROR(__xludf.DUMMYFUNCTION("""COMPUTED_VALUE"""),"2024 - 2025")</f>
        <v>2024 - 2025</v>
      </c>
      <c r="G805" s="13" t="str">
        <f>IFERROR(__xludf.DUMMYFUNCTION("""COMPUTED_VALUE"""),"2023 - 2024")</f>
        <v>2023 - 2024</v>
      </c>
      <c r="H805" s="13">
        <f>IFERROR(__xludf.DUMMYFUNCTION("""COMPUTED_VALUE"""),46.56)</f>
        <v>46.56</v>
      </c>
      <c r="I805" s="15">
        <f>IFERROR(__xludf.DUMMYFUNCTION("""COMPUTED_VALUE"""),53.44)</f>
        <v>53.44</v>
      </c>
    </row>
    <row r="806">
      <c r="A806" s="13" t="str">
        <f>IFERROR(__xludf.DUMMYFUNCTION("""COMPUTED_VALUE"""),"1420")</f>
        <v>1420</v>
      </c>
      <c r="B806" s="13" t="str">
        <f>IFERROR(__xludf.DUMMYFUNCTION("""COMPUTED_VALUE"""),"JEFFERSON COUNTY R-1")</f>
        <v>JEFFERSON COUNTY R-1</v>
      </c>
      <c r="C806" s="14" t="str">
        <f>IFERROR(__xludf.DUMMYFUNCTION("""COMPUTED_VALUE"""),"05580")</f>
        <v>05580</v>
      </c>
      <c r="D806" s="13" t="str">
        <f>IFERROR(__xludf.DUMMYFUNCTION("""COMPUTED_VALUE"""),"MARSHDALE ELEMENTARY SCHOOL")</f>
        <v>MARSHDALE ELEMENTARY SCHOOL</v>
      </c>
      <c r="E806" s="13" t="str">
        <f>IFERROR(__xludf.DUMMYFUNCTION("""COMPUTED_VALUE"""),"Group 14")</f>
        <v>Group 14</v>
      </c>
      <c r="F806" s="13" t="str">
        <f>IFERROR(__xludf.DUMMYFUNCTION("""COMPUTED_VALUE"""),"2024 - 2025")</f>
        <v>2024 - 2025</v>
      </c>
      <c r="G806" s="13" t="str">
        <f>IFERROR(__xludf.DUMMYFUNCTION("""COMPUTED_VALUE"""),"2023 - 2024")</f>
        <v>2023 - 2024</v>
      </c>
      <c r="H806" s="13">
        <f>IFERROR(__xludf.DUMMYFUNCTION("""COMPUTED_VALUE"""),46.56)</f>
        <v>46.56</v>
      </c>
      <c r="I806" s="15">
        <f>IFERROR(__xludf.DUMMYFUNCTION("""COMPUTED_VALUE"""),53.44)</f>
        <v>53.44</v>
      </c>
    </row>
    <row r="807">
      <c r="A807" s="13" t="str">
        <f>IFERROR(__xludf.DUMMYFUNCTION("""COMPUTED_VALUE"""),"1420")</f>
        <v>1420</v>
      </c>
      <c r="B807" s="13" t="str">
        <f>IFERROR(__xludf.DUMMYFUNCTION("""COMPUTED_VALUE"""),"JEFFERSON COUNTY R-1")</f>
        <v>JEFFERSON COUNTY R-1</v>
      </c>
      <c r="C807" s="14" t="str">
        <f>IFERROR(__xludf.DUMMYFUNCTION("""COMPUTED_VALUE"""),"07708")</f>
        <v>07708</v>
      </c>
      <c r="D807" s="13" t="str">
        <f>IFERROR(__xludf.DUMMYFUNCTION("""COMPUTED_VALUE"""),"SECREST ELEMENTARY SCHOOL")</f>
        <v>SECREST ELEMENTARY SCHOOL</v>
      </c>
      <c r="E807" s="13" t="str">
        <f>IFERROR(__xludf.DUMMYFUNCTION("""COMPUTED_VALUE"""),"Group 14")</f>
        <v>Group 14</v>
      </c>
      <c r="F807" s="13" t="str">
        <f>IFERROR(__xludf.DUMMYFUNCTION("""COMPUTED_VALUE"""),"2024 - 2025")</f>
        <v>2024 - 2025</v>
      </c>
      <c r="G807" s="13" t="str">
        <f>IFERROR(__xludf.DUMMYFUNCTION("""COMPUTED_VALUE"""),"2023 - 2024")</f>
        <v>2023 - 2024</v>
      </c>
      <c r="H807" s="13">
        <f>IFERROR(__xludf.DUMMYFUNCTION("""COMPUTED_VALUE"""),46.56)</f>
        <v>46.56</v>
      </c>
      <c r="I807" s="15">
        <f>IFERROR(__xludf.DUMMYFUNCTION("""COMPUTED_VALUE"""),53.44)</f>
        <v>53.44</v>
      </c>
    </row>
    <row r="808">
      <c r="A808" s="13" t="str">
        <f>IFERROR(__xludf.DUMMYFUNCTION("""COMPUTED_VALUE"""),"1420")</f>
        <v>1420</v>
      </c>
      <c r="B808" s="13" t="str">
        <f>IFERROR(__xludf.DUMMYFUNCTION("""COMPUTED_VALUE"""),"JEFFERSON COUNTY R-1")</f>
        <v>JEFFERSON COUNTY R-1</v>
      </c>
      <c r="C808" s="14" t="str">
        <f>IFERROR(__xludf.DUMMYFUNCTION("""COMPUTED_VALUE"""),"07753")</f>
        <v>07753</v>
      </c>
      <c r="D808" s="13" t="str">
        <f>IFERROR(__xludf.DUMMYFUNCTION("""COMPUTED_VALUE"""),"SEMPER ELEMENTARY SCHOOL")</f>
        <v>SEMPER ELEMENTARY SCHOOL</v>
      </c>
      <c r="E808" s="13" t="str">
        <f>IFERROR(__xludf.DUMMYFUNCTION("""COMPUTED_VALUE"""),"Group 14")</f>
        <v>Group 14</v>
      </c>
      <c r="F808" s="13" t="str">
        <f>IFERROR(__xludf.DUMMYFUNCTION("""COMPUTED_VALUE"""),"2024 - 2025")</f>
        <v>2024 - 2025</v>
      </c>
      <c r="G808" s="13" t="str">
        <f>IFERROR(__xludf.DUMMYFUNCTION("""COMPUTED_VALUE"""),"2023 - 2024")</f>
        <v>2023 - 2024</v>
      </c>
      <c r="H808" s="13">
        <f>IFERROR(__xludf.DUMMYFUNCTION("""COMPUTED_VALUE"""),46.56)</f>
        <v>46.56</v>
      </c>
      <c r="I808" s="15">
        <f>IFERROR(__xludf.DUMMYFUNCTION("""COMPUTED_VALUE"""),53.44)</f>
        <v>53.44</v>
      </c>
    </row>
    <row r="809">
      <c r="A809" s="13" t="str">
        <f>IFERROR(__xludf.DUMMYFUNCTION("""COMPUTED_VALUE"""),"1420")</f>
        <v>1420</v>
      </c>
      <c r="B809" s="13" t="str">
        <f>IFERROR(__xludf.DUMMYFUNCTION("""COMPUTED_VALUE"""),"JEFFERSON COUNTY R-1")</f>
        <v>JEFFERSON COUNTY R-1</v>
      </c>
      <c r="C809" s="14" t="str">
        <f>IFERROR(__xludf.DUMMYFUNCTION("""COMPUTED_VALUE"""),"07833")</f>
        <v>07833</v>
      </c>
      <c r="D809" s="13" t="str">
        <f>IFERROR(__xludf.DUMMYFUNCTION("""COMPUTED_VALUE"""),"SHELTON ELEMENTARY SCHOOL")</f>
        <v>SHELTON ELEMENTARY SCHOOL</v>
      </c>
      <c r="E809" s="13" t="str">
        <f>IFERROR(__xludf.DUMMYFUNCTION("""COMPUTED_VALUE"""),"Group 14")</f>
        <v>Group 14</v>
      </c>
      <c r="F809" s="13" t="str">
        <f>IFERROR(__xludf.DUMMYFUNCTION("""COMPUTED_VALUE"""),"2024 - 2025")</f>
        <v>2024 - 2025</v>
      </c>
      <c r="G809" s="13" t="str">
        <f>IFERROR(__xludf.DUMMYFUNCTION("""COMPUTED_VALUE"""),"2023 - 2024")</f>
        <v>2023 - 2024</v>
      </c>
      <c r="H809" s="13">
        <f>IFERROR(__xludf.DUMMYFUNCTION("""COMPUTED_VALUE"""),46.56)</f>
        <v>46.56</v>
      </c>
      <c r="I809" s="15">
        <f>IFERROR(__xludf.DUMMYFUNCTION("""COMPUTED_VALUE"""),53.44)</f>
        <v>53.44</v>
      </c>
    </row>
    <row r="810">
      <c r="A810" s="13" t="str">
        <f>IFERROR(__xludf.DUMMYFUNCTION("""COMPUTED_VALUE"""),"1420")</f>
        <v>1420</v>
      </c>
      <c r="B810" s="13" t="str">
        <f>IFERROR(__xludf.DUMMYFUNCTION("""COMPUTED_VALUE"""),"JEFFERSON COUNTY R-1")</f>
        <v>JEFFERSON COUNTY R-1</v>
      </c>
      <c r="C810" s="14" t="str">
        <f>IFERROR(__xludf.DUMMYFUNCTION("""COMPUTED_VALUE"""),"08432")</f>
        <v>08432</v>
      </c>
      <c r="D810" s="13" t="str">
        <f>IFERROR(__xludf.DUMMYFUNCTION("""COMPUTED_VALUE"""),"SWANSON ELEMENTARY SCHOOL")</f>
        <v>SWANSON ELEMENTARY SCHOOL</v>
      </c>
      <c r="E810" s="13" t="str">
        <f>IFERROR(__xludf.DUMMYFUNCTION("""COMPUTED_VALUE"""),"Group 15")</f>
        <v>Group 15</v>
      </c>
      <c r="F810" s="13" t="str">
        <f>IFERROR(__xludf.DUMMYFUNCTION("""COMPUTED_VALUE"""),"2024 - 2025")</f>
        <v>2024 - 2025</v>
      </c>
      <c r="G810" s="13" t="str">
        <f>IFERROR(__xludf.DUMMYFUNCTION("""COMPUTED_VALUE"""),"2023 - 2024")</f>
        <v>2023 - 2024</v>
      </c>
      <c r="H810" s="13">
        <f>IFERROR(__xludf.DUMMYFUNCTION("""COMPUTED_VALUE"""),97.78)</f>
        <v>97.78</v>
      </c>
      <c r="I810" s="15">
        <f>IFERROR(__xludf.DUMMYFUNCTION("""COMPUTED_VALUE"""),2.219999999999999)</f>
        <v>2.22</v>
      </c>
    </row>
    <row r="811">
      <c r="A811" s="13" t="str">
        <f>IFERROR(__xludf.DUMMYFUNCTION("""COMPUTED_VALUE"""),"1420")</f>
        <v>1420</v>
      </c>
      <c r="B811" s="13" t="str">
        <f>IFERROR(__xludf.DUMMYFUNCTION("""COMPUTED_VALUE"""),"JEFFERSON COUNTY R-1")</f>
        <v>JEFFERSON COUNTY R-1</v>
      </c>
      <c r="C811" s="14" t="str">
        <f>IFERROR(__xludf.DUMMYFUNCTION("""COMPUTED_VALUE"""),"05454")</f>
        <v>05454</v>
      </c>
      <c r="D811" s="13" t="str">
        <f>IFERROR(__xludf.DUMMYFUNCTION("""COMPUTED_VALUE"""),"MANDALAY MIDDLE SCHOOL")</f>
        <v>MANDALAY MIDDLE SCHOOL</v>
      </c>
      <c r="E811" s="13" t="str">
        <f>IFERROR(__xludf.DUMMYFUNCTION("""COMPUTED_VALUE"""),"Group 16")</f>
        <v>Group 16</v>
      </c>
      <c r="F811" s="13" t="str">
        <f>IFERROR(__xludf.DUMMYFUNCTION("""COMPUTED_VALUE"""),"2024 - 2025")</f>
        <v>2024 - 2025</v>
      </c>
      <c r="G811" s="13" t="str">
        <f>IFERROR(__xludf.DUMMYFUNCTION("""COMPUTED_VALUE"""),"2023 - 2024")</f>
        <v>2023 - 2024</v>
      </c>
      <c r="H811" s="13">
        <f>IFERROR(__xludf.DUMMYFUNCTION("""COMPUTED_VALUE"""),59.44)</f>
        <v>59.44</v>
      </c>
      <c r="I811" s="15">
        <f>IFERROR(__xludf.DUMMYFUNCTION("""COMPUTED_VALUE"""),40.56)</f>
        <v>40.56</v>
      </c>
    </row>
    <row r="812">
      <c r="A812" s="13" t="str">
        <f>IFERROR(__xludf.DUMMYFUNCTION("""COMPUTED_VALUE"""),"1420")</f>
        <v>1420</v>
      </c>
      <c r="B812" s="13" t="str">
        <f>IFERROR(__xludf.DUMMYFUNCTION("""COMPUTED_VALUE"""),"JEFFERSON COUNTY R-1")</f>
        <v>JEFFERSON COUNTY R-1</v>
      </c>
      <c r="C812" s="14" t="str">
        <f>IFERROR(__xludf.DUMMYFUNCTION("""COMPUTED_VALUE"""),"02189")</f>
        <v>02189</v>
      </c>
      <c r="D812" s="13" t="str">
        <f>IFERROR(__xludf.DUMMYFUNCTION("""COMPUTED_VALUE"""),"Doral Academy")</f>
        <v>Doral Academy</v>
      </c>
      <c r="E812" s="13" t="str">
        <f>IFERROR(__xludf.DUMMYFUNCTION("""COMPUTED_VALUE"""),"Group 16")</f>
        <v>Group 16</v>
      </c>
      <c r="F812" s="13" t="str">
        <f>IFERROR(__xludf.DUMMYFUNCTION("""COMPUTED_VALUE"""),"2024 - 2025")</f>
        <v>2024 - 2025</v>
      </c>
      <c r="G812" s="13" t="str">
        <f>IFERROR(__xludf.DUMMYFUNCTION("""COMPUTED_VALUE"""),"2023 - 2024")</f>
        <v>2023 - 2024</v>
      </c>
      <c r="H812" s="13">
        <f>IFERROR(__xludf.DUMMYFUNCTION("""COMPUTED_VALUE"""),59.44)</f>
        <v>59.44</v>
      </c>
      <c r="I812" s="15">
        <f>IFERROR(__xludf.DUMMYFUNCTION("""COMPUTED_VALUE"""),40.56)</f>
        <v>40.56</v>
      </c>
    </row>
    <row r="813">
      <c r="A813" s="13" t="str">
        <f>IFERROR(__xludf.DUMMYFUNCTION("""COMPUTED_VALUE"""),"1420")</f>
        <v>1420</v>
      </c>
      <c r="B813" s="13" t="str">
        <f>IFERROR(__xludf.DUMMYFUNCTION("""COMPUTED_VALUE"""),"JEFFERSON COUNTY R-1")</f>
        <v>JEFFERSON COUNTY R-1</v>
      </c>
      <c r="C813" s="14" t="str">
        <f>IFERROR(__xludf.DUMMYFUNCTION("""COMPUTED_VALUE"""),"06808")</f>
        <v>06808</v>
      </c>
      <c r="D813" s="13" t="str">
        <f>IFERROR(__xludf.DUMMYFUNCTION("""COMPUTED_VALUE"""),"PATTERSON INTERNATIONAL SCHOOL")</f>
        <v>PATTERSON INTERNATIONAL SCHOOL</v>
      </c>
      <c r="E813" s="13" t="str">
        <f>IFERROR(__xludf.DUMMYFUNCTION("""COMPUTED_VALUE"""),"Group 17")</f>
        <v>Group 17</v>
      </c>
      <c r="F813" s="13" t="str">
        <f>IFERROR(__xludf.DUMMYFUNCTION("""COMPUTED_VALUE"""),"2024 - 2025")</f>
        <v>2024 - 2025</v>
      </c>
      <c r="G813" s="13" t="str">
        <f>IFERROR(__xludf.DUMMYFUNCTION("""COMPUTED_VALUE"""),"2023 - 2024")</f>
        <v>2023 - 2024</v>
      </c>
      <c r="H813" s="13">
        <f>IFERROR(__xludf.DUMMYFUNCTION("""COMPUTED_VALUE"""),45.87)</f>
        <v>45.87</v>
      </c>
      <c r="I813" s="15">
        <f>IFERROR(__xludf.DUMMYFUNCTION("""COMPUTED_VALUE"""),54.13)</f>
        <v>54.13</v>
      </c>
    </row>
    <row r="814">
      <c r="A814" s="13" t="str">
        <f>IFERROR(__xludf.DUMMYFUNCTION("""COMPUTED_VALUE"""),"1420")</f>
        <v>1420</v>
      </c>
      <c r="B814" s="13" t="str">
        <f>IFERROR(__xludf.DUMMYFUNCTION("""COMPUTED_VALUE"""),"JEFFERSON COUNTY R-1")</f>
        <v>JEFFERSON COUNTY R-1</v>
      </c>
      <c r="C814" s="14" t="str">
        <f>IFERROR(__xludf.DUMMYFUNCTION("""COMPUTED_VALUE"""),"09490")</f>
        <v>09490</v>
      </c>
      <c r="D814" s="13" t="str">
        <f>IFERROR(__xludf.DUMMYFUNCTION("""COMPUTED_VALUE"""),"WESTRIDGE ELEMENTARY SCHOOL")</f>
        <v>WESTRIDGE ELEMENTARY SCHOOL</v>
      </c>
      <c r="E814" s="13" t="str">
        <f>IFERROR(__xludf.DUMMYFUNCTION("""COMPUTED_VALUE"""),"Group 17")</f>
        <v>Group 17</v>
      </c>
      <c r="F814" s="13" t="str">
        <f>IFERROR(__xludf.DUMMYFUNCTION("""COMPUTED_VALUE"""),"2024 - 2025")</f>
        <v>2024 - 2025</v>
      </c>
      <c r="G814" s="13" t="str">
        <f>IFERROR(__xludf.DUMMYFUNCTION("""COMPUTED_VALUE"""),"2023 - 2024")</f>
        <v>2023 - 2024</v>
      </c>
      <c r="H814" s="13">
        <f>IFERROR(__xludf.DUMMYFUNCTION("""COMPUTED_VALUE"""),45.87)</f>
        <v>45.87</v>
      </c>
      <c r="I814" s="15">
        <f>IFERROR(__xludf.DUMMYFUNCTION("""COMPUTED_VALUE"""),54.13)</f>
        <v>54.13</v>
      </c>
    </row>
    <row r="815">
      <c r="A815" s="13" t="str">
        <f>IFERROR(__xludf.DUMMYFUNCTION("""COMPUTED_VALUE"""),"1420")</f>
        <v>1420</v>
      </c>
      <c r="B815" s="13" t="str">
        <f>IFERROR(__xludf.DUMMYFUNCTION("""COMPUTED_VALUE"""),"JEFFERSON COUNTY R-1")</f>
        <v>JEFFERSON COUNTY R-1</v>
      </c>
      <c r="C815" s="14" t="str">
        <f>IFERROR(__xludf.DUMMYFUNCTION("""COMPUTED_VALUE"""),"08223")</f>
        <v>08223</v>
      </c>
      <c r="D815" s="13" t="str">
        <f>IFERROR(__xludf.DUMMYFUNCTION("""COMPUTED_VALUE"""),"STEVENS ELEMENTARY SCHOOL")</f>
        <v>STEVENS ELEMENTARY SCHOOL</v>
      </c>
      <c r="E815" s="13" t="str">
        <f>IFERROR(__xludf.DUMMYFUNCTION("""COMPUTED_VALUE"""),"Group 18")</f>
        <v>Group 18</v>
      </c>
      <c r="F815" s="13" t="str">
        <f>IFERROR(__xludf.DUMMYFUNCTION("""COMPUTED_VALUE"""),"2024 - 2025")</f>
        <v>2024 - 2025</v>
      </c>
      <c r="G815" s="13" t="str">
        <f>IFERROR(__xludf.DUMMYFUNCTION("""COMPUTED_VALUE"""),"2023 - 2024")</f>
        <v>2023 - 2024</v>
      </c>
      <c r="H815" s="13">
        <f>IFERROR(__xludf.DUMMYFUNCTION("""COMPUTED_VALUE"""),89.98)</f>
        <v>89.98</v>
      </c>
      <c r="I815" s="15">
        <f>IFERROR(__xludf.DUMMYFUNCTION("""COMPUTED_VALUE"""),10.019999999999996)</f>
        <v>10.02</v>
      </c>
    </row>
    <row r="816">
      <c r="A816" s="13" t="str">
        <f>IFERROR(__xludf.DUMMYFUNCTION("""COMPUTED_VALUE"""),"1420")</f>
        <v>1420</v>
      </c>
      <c r="B816" s="13" t="str">
        <f>IFERROR(__xludf.DUMMYFUNCTION("""COMPUTED_VALUE"""),"JEFFERSON COUNTY R-1")</f>
        <v>JEFFERSON COUNTY R-1</v>
      </c>
      <c r="C816" s="14" t="str">
        <f>IFERROR(__xludf.DUMMYFUNCTION("""COMPUTED_VALUE"""),"02322")</f>
        <v>02322</v>
      </c>
      <c r="D816" s="13" t="str">
        <f>IFERROR(__xludf.DUMMYFUNCTION("""COMPUTED_VALUE"""),"DUTCH CREEK ELEMENTARY SCHOOL")</f>
        <v>DUTCH CREEK ELEMENTARY SCHOOL</v>
      </c>
      <c r="E816" s="13" t="str">
        <f>IFERROR(__xludf.DUMMYFUNCTION("""COMPUTED_VALUE"""),"Group 19")</f>
        <v>Group 19</v>
      </c>
      <c r="F816" s="13" t="str">
        <f>IFERROR(__xludf.DUMMYFUNCTION("""COMPUTED_VALUE"""),"2024 - 2025")</f>
        <v>2024 - 2025</v>
      </c>
      <c r="G816" s="13" t="str">
        <f>IFERROR(__xludf.DUMMYFUNCTION("""COMPUTED_VALUE"""),"2023 - 2024")</f>
        <v>2023 - 2024</v>
      </c>
      <c r="H816" s="13">
        <f>IFERROR(__xludf.DUMMYFUNCTION("""COMPUTED_VALUE"""),68.69)</f>
        <v>68.69</v>
      </c>
      <c r="I816" s="15">
        <f>IFERROR(__xludf.DUMMYFUNCTION("""COMPUTED_VALUE"""),31.310000000000002)</f>
        <v>31.31</v>
      </c>
    </row>
    <row r="817">
      <c r="A817" s="13" t="str">
        <f>IFERROR(__xludf.DUMMYFUNCTION("""COMPUTED_VALUE"""),"1420")</f>
        <v>1420</v>
      </c>
      <c r="B817" s="13" t="str">
        <f>IFERROR(__xludf.DUMMYFUNCTION("""COMPUTED_VALUE"""),"JEFFERSON COUNTY R-1")</f>
        <v>JEFFERSON COUNTY R-1</v>
      </c>
      <c r="C817" s="14" t="str">
        <f>IFERROR(__xludf.DUMMYFUNCTION("""COMPUTED_VALUE"""),"03025")</f>
        <v>03025</v>
      </c>
      <c r="D817" s="13" t="str">
        <f>IFERROR(__xludf.DUMMYFUNCTION("""COMPUTED_VALUE"""),"FOOTHILLS ELEMENTARY SCHOOL")</f>
        <v>FOOTHILLS ELEMENTARY SCHOOL</v>
      </c>
      <c r="E817" s="13" t="str">
        <f>IFERROR(__xludf.DUMMYFUNCTION("""COMPUTED_VALUE"""),"Group 19")</f>
        <v>Group 19</v>
      </c>
      <c r="F817" s="13" t="str">
        <f>IFERROR(__xludf.DUMMYFUNCTION("""COMPUTED_VALUE"""),"2024 - 2025")</f>
        <v>2024 - 2025</v>
      </c>
      <c r="G817" s="13" t="str">
        <f>IFERROR(__xludf.DUMMYFUNCTION("""COMPUTED_VALUE"""),"2023 - 2024")</f>
        <v>2023 - 2024</v>
      </c>
      <c r="H817" s="13">
        <f>IFERROR(__xludf.DUMMYFUNCTION("""COMPUTED_VALUE"""),68.69)</f>
        <v>68.69</v>
      </c>
      <c r="I817" s="15">
        <f>IFERROR(__xludf.DUMMYFUNCTION("""COMPUTED_VALUE"""),31.310000000000002)</f>
        <v>31.31</v>
      </c>
    </row>
    <row r="818">
      <c r="A818" s="13" t="str">
        <f>IFERROR(__xludf.DUMMYFUNCTION("""COMPUTED_VALUE"""),"1420")</f>
        <v>1420</v>
      </c>
      <c r="B818" s="13" t="str">
        <f>IFERROR(__xludf.DUMMYFUNCTION("""COMPUTED_VALUE"""),"JEFFERSON COUNTY R-1")</f>
        <v>JEFFERSON COUNTY R-1</v>
      </c>
      <c r="C818" s="14" t="str">
        <f>IFERROR(__xludf.DUMMYFUNCTION("""COMPUTED_VALUE"""),"03088")</f>
        <v>03088</v>
      </c>
      <c r="D818" s="13" t="str">
        <f>IFERROR(__xludf.DUMMYFUNCTION("""COMPUTED_VALUE"""),"FOSTER DUAL LANGUAGE PK-8")</f>
        <v>FOSTER DUAL LANGUAGE PK-8</v>
      </c>
      <c r="E818" s="13" t="str">
        <f>IFERROR(__xludf.DUMMYFUNCTION("""COMPUTED_VALUE"""),"Group 19")</f>
        <v>Group 19</v>
      </c>
      <c r="F818" s="13" t="str">
        <f>IFERROR(__xludf.DUMMYFUNCTION("""COMPUTED_VALUE"""),"2024 - 2025")</f>
        <v>2024 - 2025</v>
      </c>
      <c r="G818" s="13" t="str">
        <f>IFERROR(__xludf.DUMMYFUNCTION("""COMPUTED_VALUE"""),"2023 - 2024")</f>
        <v>2023 - 2024</v>
      </c>
      <c r="H818" s="13">
        <f>IFERROR(__xludf.DUMMYFUNCTION("""COMPUTED_VALUE"""),68.69)</f>
        <v>68.69</v>
      </c>
      <c r="I818" s="15">
        <f>IFERROR(__xludf.DUMMYFUNCTION("""COMPUTED_VALUE"""),31.310000000000002)</f>
        <v>31.31</v>
      </c>
    </row>
    <row r="819">
      <c r="A819" s="13" t="str">
        <f>IFERROR(__xludf.DUMMYFUNCTION("""COMPUTED_VALUE"""),"1420")</f>
        <v>1420</v>
      </c>
      <c r="B819" s="13" t="str">
        <f>IFERROR(__xludf.DUMMYFUNCTION("""COMPUTED_VALUE"""),"JEFFERSON COUNTY R-1")</f>
        <v>JEFFERSON COUNTY R-1</v>
      </c>
      <c r="C819" s="14" t="str">
        <f>IFERROR(__xludf.DUMMYFUNCTION("""COMPUTED_VALUE"""),"06330")</f>
        <v>06330</v>
      </c>
      <c r="D819" s="13" t="str">
        <f>IFERROR(__xludf.DUMMYFUNCTION("""COMPUTED_VALUE"""),"NORTH ARVADA MIDDLE SCHOOL")</f>
        <v>NORTH ARVADA MIDDLE SCHOOL</v>
      </c>
      <c r="E819" s="13" t="str">
        <f>IFERROR(__xludf.DUMMYFUNCTION("""COMPUTED_VALUE"""),"Group 19")</f>
        <v>Group 19</v>
      </c>
      <c r="F819" s="13" t="str">
        <f>IFERROR(__xludf.DUMMYFUNCTION("""COMPUTED_VALUE"""),"2024 - 2025")</f>
        <v>2024 - 2025</v>
      </c>
      <c r="G819" s="13" t="str">
        <f>IFERROR(__xludf.DUMMYFUNCTION("""COMPUTED_VALUE"""),"2023 - 2024")</f>
        <v>2023 - 2024</v>
      </c>
      <c r="H819" s="13">
        <f>IFERROR(__xludf.DUMMYFUNCTION("""COMPUTED_VALUE"""),68.69)</f>
        <v>68.69</v>
      </c>
      <c r="I819" s="15">
        <f>IFERROR(__xludf.DUMMYFUNCTION("""COMPUTED_VALUE"""),31.310000000000002)</f>
        <v>31.31</v>
      </c>
    </row>
    <row r="820">
      <c r="A820" s="13" t="str">
        <f>IFERROR(__xludf.DUMMYFUNCTION("""COMPUTED_VALUE"""),"1420")</f>
        <v>1420</v>
      </c>
      <c r="B820" s="13" t="str">
        <f>IFERROR(__xludf.DUMMYFUNCTION("""COMPUTED_VALUE"""),"JEFFERSON COUNTY R-1")</f>
        <v>JEFFERSON COUNTY R-1</v>
      </c>
      <c r="C820" s="14" t="str">
        <f>IFERROR(__xludf.DUMMYFUNCTION("""COMPUTED_VALUE"""),"00499")</f>
        <v>00499</v>
      </c>
      <c r="D820" s="13" t="str">
        <f>IFERROR(__xludf.DUMMYFUNCTION("""COMPUTED_VALUE"""),"Jeffco Transition Services School")</f>
        <v>Jeffco Transition Services School</v>
      </c>
      <c r="E820" s="13" t="str">
        <f>IFERROR(__xludf.DUMMYFUNCTION("""COMPUTED_VALUE"""),"Group 2")</f>
        <v>Group 2</v>
      </c>
      <c r="F820" s="13" t="str">
        <f>IFERROR(__xludf.DUMMYFUNCTION("""COMPUTED_VALUE"""),"2024 - 2025")</f>
        <v>2024 - 2025</v>
      </c>
      <c r="G820" s="13" t="str">
        <f>IFERROR(__xludf.DUMMYFUNCTION("""COMPUTED_VALUE"""),"2023 - 2024")</f>
        <v>2023 - 2024</v>
      </c>
      <c r="H820" s="13">
        <f>IFERROR(__xludf.DUMMYFUNCTION("""COMPUTED_VALUE"""),59.1)</f>
        <v>59.1</v>
      </c>
      <c r="I820" s="15">
        <f>IFERROR(__xludf.DUMMYFUNCTION("""COMPUTED_VALUE"""),40.9)</f>
        <v>40.9</v>
      </c>
    </row>
    <row r="821">
      <c r="A821" s="13" t="str">
        <f>IFERROR(__xludf.DUMMYFUNCTION("""COMPUTED_VALUE"""),"1420")</f>
        <v>1420</v>
      </c>
      <c r="B821" s="13" t="str">
        <f>IFERROR(__xludf.DUMMYFUNCTION("""COMPUTED_VALUE"""),"JEFFERSON COUNTY R-1")</f>
        <v>JEFFERSON COUNTY R-1</v>
      </c>
      <c r="C821" s="14" t="str">
        <f>IFERROR(__xludf.DUMMYFUNCTION("""COMPUTED_VALUE"""),"05024")</f>
        <v>05024</v>
      </c>
      <c r="D821" s="13" t="str">
        <f>IFERROR(__xludf.DUMMYFUNCTION("""COMPUTED_VALUE"""),"LAWRENCE ELEMENTARY SCHOOL")</f>
        <v>LAWRENCE ELEMENTARY SCHOOL</v>
      </c>
      <c r="E821" s="13" t="str">
        <f>IFERROR(__xludf.DUMMYFUNCTION("""COMPUTED_VALUE"""),"Group 20")</f>
        <v>Group 20</v>
      </c>
      <c r="F821" s="13" t="str">
        <f>IFERROR(__xludf.DUMMYFUNCTION("""COMPUTED_VALUE"""),"2024 - 2025")</f>
        <v>2024 - 2025</v>
      </c>
      <c r="G821" s="13" t="str">
        <f>IFERROR(__xludf.DUMMYFUNCTION("""COMPUTED_VALUE"""),"2023 - 2024")</f>
        <v>2023 - 2024</v>
      </c>
      <c r="H821" s="13">
        <f>IFERROR(__xludf.DUMMYFUNCTION("""COMPUTED_VALUE"""),85.04)</f>
        <v>85.04</v>
      </c>
      <c r="I821" s="15">
        <f>IFERROR(__xludf.DUMMYFUNCTION("""COMPUTED_VALUE"""),14.959999999999994)</f>
        <v>14.96</v>
      </c>
    </row>
    <row r="822">
      <c r="A822" s="13" t="str">
        <f>IFERROR(__xludf.DUMMYFUNCTION("""COMPUTED_VALUE"""),"1420")</f>
        <v>1420</v>
      </c>
      <c r="B822" s="13" t="str">
        <f>IFERROR(__xludf.DUMMYFUNCTION("""COMPUTED_VALUE"""),"JEFFERSON COUNTY R-1")</f>
        <v>JEFFERSON COUNTY R-1</v>
      </c>
      <c r="C822" s="14" t="str">
        <f>IFERROR(__xludf.DUMMYFUNCTION("""COMPUTED_VALUE"""),"09058")</f>
        <v>09058</v>
      </c>
      <c r="D822" s="13" t="str">
        <f>IFERROR(__xludf.DUMMYFUNCTION("""COMPUTED_VALUE"""),"VANDERHOOF ELEMENTARY SCHOOL")</f>
        <v>VANDERHOOF ELEMENTARY SCHOOL</v>
      </c>
      <c r="E822" s="13" t="str">
        <f>IFERROR(__xludf.DUMMYFUNCTION("""COMPUTED_VALUE"""),"Group 21")</f>
        <v>Group 21</v>
      </c>
      <c r="F822" s="13" t="str">
        <f>IFERROR(__xludf.DUMMYFUNCTION("""COMPUTED_VALUE"""),"2024 - 2025")</f>
        <v>2024 - 2025</v>
      </c>
      <c r="G822" s="13" t="str">
        <f>IFERROR(__xludf.DUMMYFUNCTION("""COMPUTED_VALUE"""),"2023 - 2024")</f>
        <v>2023 - 2024</v>
      </c>
      <c r="H822" s="13">
        <f>IFERROR(__xludf.DUMMYFUNCTION("""COMPUTED_VALUE"""),52.62)</f>
        <v>52.62</v>
      </c>
      <c r="I822" s="15">
        <f>IFERROR(__xludf.DUMMYFUNCTION("""COMPUTED_VALUE"""),47.38)</f>
        <v>47.38</v>
      </c>
    </row>
    <row r="823">
      <c r="A823" s="13" t="str">
        <f>IFERROR(__xludf.DUMMYFUNCTION("""COMPUTED_VALUE"""),"1420")</f>
        <v>1420</v>
      </c>
      <c r="B823" s="13" t="str">
        <f>IFERROR(__xludf.DUMMYFUNCTION("""COMPUTED_VALUE"""),"JEFFERSON COUNTY R-1")</f>
        <v>JEFFERSON COUNTY R-1</v>
      </c>
      <c r="C823" s="14" t="str">
        <f>IFERROR(__xludf.DUMMYFUNCTION("""COMPUTED_VALUE"""),"05222")</f>
        <v>05222</v>
      </c>
      <c r="D823" s="13" t="str">
        <f>IFERROR(__xludf.DUMMYFUNCTION("""COMPUTED_VALUE"""),"LITTLE ELEMENTARY SCHOOL")</f>
        <v>LITTLE ELEMENTARY SCHOOL</v>
      </c>
      <c r="E823" s="13" t="str">
        <f>IFERROR(__xludf.DUMMYFUNCTION("""COMPUTED_VALUE"""),"Group 22")</f>
        <v>Group 22</v>
      </c>
      <c r="F823" s="13" t="str">
        <f>IFERROR(__xludf.DUMMYFUNCTION("""COMPUTED_VALUE"""),"2024 - 2025")</f>
        <v>2024 - 2025</v>
      </c>
      <c r="G823" s="13" t="str">
        <f>IFERROR(__xludf.DUMMYFUNCTION("""COMPUTED_VALUE"""),"2023 - 2024")</f>
        <v>2023 - 2024</v>
      </c>
      <c r="H823" s="13">
        <f>IFERROR(__xludf.DUMMYFUNCTION("""COMPUTED_VALUE"""),85.23)</f>
        <v>85.23</v>
      </c>
      <c r="I823" s="15">
        <f>IFERROR(__xludf.DUMMYFUNCTION("""COMPUTED_VALUE"""),14.769999999999996)</f>
        <v>14.77</v>
      </c>
    </row>
    <row r="824">
      <c r="A824" s="13" t="str">
        <f>IFERROR(__xludf.DUMMYFUNCTION("""COMPUTED_VALUE"""),"1420")</f>
        <v>1420</v>
      </c>
      <c r="B824" s="13" t="str">
        <f>IFERROR(__xludf.DUMMYFUNCTION("""COMPUTED_VALUE"""),"JEFFERSON COUNTY R-1")</f>
        <v>JEFFERSON COUNTY R-1</v>
      </c>
      <c r="C824" s="14" t="str">
        <f>IFERROR(__xludf.DUMMYFUNCTION("""COMPUTED_VALUE"""),"02550")</f>
        <v>02550</v>
      </c>
      <c r="D824" s="13" t="str">
        <f>IFERROR(__xludf.DUMMYFUNCTION("""COMPUTED_VALUE"""),"EIBER ELEMENTARY SCHOOL")</f>
        <v>EIBER ELEMENTARY SCHOOL</v>
      </c>
      <c r="E824" s="13" t="str">
        <f>IFERROR(__xludf.DUMMYFUNCTION("""COMPUTED_VALUE"""),"Group 23")</f>
        <v>Group 23</v>
      </c>
      <c r="F824" s="13" t="str">
        <f>IFERROR(__xludf.DUMMYFUNCTION("""COMPUTED_VALUE"""),"2024 - 2025")</f>
        <v>2024 - 2025</v>
      </c>
      <c r="G824" s="13" t="str">
        <f>IFERROR(__xludf.DUMMYFUNCTION("""COMPUTED_VALUE"""),"2023 - 2024")</f>
        <v>2023 - 2024</v>
      </c>
      <c r="H824" s="13">
        <f>IFERROR(__xludf.DUMMYFUNCTION("""COMPUTED_VALUE"""),97.95)</f>
        <v>97.95</v>
      </c>
      <c r="I824" s="15">
        <f>IFERROR(__xludf.DUMMYFUNCTION("""COMPUTED_VALUE"""),2.049999999999997)</f>
        <v>2.05</v>
      </c>
    </row>
    <row r="825">
      <c r="A825" s="13" t="str">
        <f>IFERROR(__xludf.DUMMYFUNCTION("""COMPUTED_VALUE"""),"1420")</f>
        <v>1420</v>
      </c>
      <c r="B825" s="13" t="str">
        <f>IFERROR(__xludf.DUMMYFUNCTION("""COMPUTED_VALUE"""),"JEFFERSON COUNTY R-1")</f>
        <v>JEFFERSON COUNTY R-1</v>
      </c>
      <c r="C825" s="14" t="str">
        <f>IFERROR(__xludf.DUMMYFUNCTION("""COMPUTED_VALUE"""),"04798")</f>
        <v>04798</v>
      </c>
      <c r="D825" s="13" t="str">
        <f>IFERROR(__xludf.DUMMYFUNCTION("""COMPUTED_VALUE"""),"CONNECTIONS LEARNING CENTER ON THE EARLE JOHNSON CAMPUS")</f>
        <v>CONNECTIONS LEARNING CENTER ON THE EARLE JOHNSON CAMPUS</v>
      </c>
      <c r="E825" s="13" t="str">
        <f>IFERROR(__xludf.DUMMYFUNCTION("""COMPUTED_VALUE"""),"Group 23")</f>
        <v>Group 23</v>
      </c>
      <c r="F825" s="13" t="str">
        <f>IFERROR(__xludf.DUMMYFUNCTION("""COMPUTED_VALUE"""),"2024 - 2025")</f>
        <v>2024 - 2025</v>
      </c>
      <c r="G825" s="13" t="str">
        <f>IFERROR(__xludf.DUMMYFUNCTION("""COMPUTED_VALUE"""),"2023 - 2024")</f>
        <v>2023 - 2024</v>
      </c>
      <c r="H825" s="13">
        <f>IFERROR(__xludf.DUMMYFUNCTION("""COMPUTED_VALUE"""),97.95)</f>
        <v>97.95</v>
      </c>
      <c r="I825" s="15">
        <f>IFERROR(__xludf.DUMMYFUNCTION("""COMPUTED_VALUE"""),2.049999999999997)</f>
        <v>2.05</v>
      </c>
    </row>
    <row r="826">
      <c r="A826" s="13" t="str">
        <f>IFERROR(__xludf.DUMMYFUNCTION("""COMPUTED_VALUE"""),"1420")</f>
        <v>1420</v>
      </c>
      <c r="B826" s="13" t="str">
        <f>IFERROR(__xludf.DUMMYFUNCTION("""COMPUTED_VALUE"""),"JEFFERSON COUNTY R-1")</f>
        <v>JEFFERSON COUNTY R-1</v>
      </c>
      <c r="C826" s="14" t="str">
        <f>IFERROR(__xludf.DUMMYFUNCTION("""COMPUTED_VALUE"""),"05354")</f>
        <v>05354</v>
      </c>
      <c r="D826" s="13" t="str">
        <f>IFERROR(__xludf.DUMMYFUNCTION("""COMPUTED_VALUE"""),"LUMBERG ELEMENTARY SCHOOL")</f>
        <v>LUMBERG ELEMENTARY SCHOOL</v>
      </c>
      <c r="E826" s="13" t="str">
        <f>IFERROR(__xludf.DUMMYFUNCTION("""COMPUTED_VALUE"""),"Group 23")</f>
        <v>Group 23</v>
      </c>
      <c r="F826" s="13" t="str">
        <f>IFERROR(__xludf.DUMMYFUNCTION("""COMPUTED_VALUE"""),"2024 - 2025")</f>
        <v>2024 - 2025</v>
      </c>
      <c r="G826" s="13" t="str">
        <f>IFERROR(__xludf.DUMMYFUNCTION("""COMPUTED_VALUE"""),"2023 - 2024")</f>
        <v>2023 - 2024</v>
      </c>
      <c r="H826" s="13">
        <f>IFERROR(__xludf.DUMMYFUNCTION("""COMPUTED_VALUE"""),97.95)</f>
        <v>97.95</v>
      </c>
      <c r="I826" s="15">
        <f>IFERROR(__xludf.DUMMYFUNCTION("""COMPUTED_VALUE"""),2.049999999999997)</f>
        <v>2.05</v>
      </c>
    </row>
    <row r="827">
      <c r="A827" s="13" t="str">
        <f>IFERROR(__xludf.DUMMYFUNCTION("""COMPUTED_VALUE"""),"1420")</f>
        <v>1420</v>
      </c>
      <c r="B827" s="13" t="str">
        <f>IFERROR(__xludf.DUMMYFUNCTION("""COMPUTED_VALUE"""),"JEFFERSON COUNTY R-1")</f>
        <v>JEFFERSON COUNTY R-1</v>
      </c>
      <c r="C827" s="14" t="str">
        <f>IFERROR(__xludf.DUMMYFUNCTION("""COMPUTED_VALUE"""),"07962")</f>
        <v>07962</v>
      </c>
      <c r="D827" s="13" t="str">
        <f>IFERROR(__xludf.DUMMYFUNCTION("""COMPUTED_VALUE"""),"SLATER ELEMENTARY SCHOOL")</f>
        <v>SLATER ELEMENTARY SCHOOL</v>
      </c>
      <c r="E827" s="13" t="str">
        <f>IFERROR(__xludf.DUMMYFUNCTION("""COMPUTED_VALUE"""),"Group 23")</f>
        <v>Group 23</v>
      </c>
      <c r="F827" s="13" t="str">
        <f>IFERROR(__xludf.DUMMYFUNCTION("""COMPUTED_VALUE"""),"2024 - 2025")</f>
        <v>2024 - 2025</v>
      </c>
      <c r="G827" s="13" t="str">
        <f>IFERROR(__xludf.DUMMYFUNCTION("""COMPUTED_VALUE"""),"2023 - 2024")</f>
        <v>2023 - 2024</v>
      </c>
      <c r="H827" s="13">
        <f>IFERROR(__xludf.DUMMYFUNCTION("""COMPUTED_VALUE"""),97.95)</f>
        <v>97.95</v>
      </c>
      <c r="I827" s="15">
        <f>IFERROR(__xludf.DUMMYFUNCTION("""COMPUTED_VALUE"""),2.049999999999997)</f>
        <v>2.05</v>
      </c>
    </row>
    <row r="828">
      <c r="A828" s="13" t="str">
        <f>IFERROR(__xludf.DUMMYFUNCTION("""COMPUTED_VALUE"""),"1420")</f>
        <v>1420</v>
      </c>
      <c r="B828" s="13" t="str">
        <f>IFERROR(__xludf.DUMMYFUNCTION("""COMPUTED_VALUE"""),"JEFFERSON COUNTY R-1")</f>
        <v>JEFFERSON COUNTY R-1</v>
      </c>
      <c r="C828" s="14" t="str">
        <f>IFERROR(__xludf.DUMMYFUNCTION("""COMPUTED_VALUE"""),"08036")</f>
        <v>08036</v>
      </c>
      <c r="D828" s="13" t="str">
        <f>IFERROR(__xludf.DUMMYFUNCTION("""COMPUTED_VALUE"""),"SOBESKY ACADEMY")</f>
        <v>SOBESKY ACADEMY</v>
      </c>
      <c r="E828" s="13" t="str">
        <f>IFERROR(__xludf.DUMMYFUNCTION("""COMPUTED_VALUE"""),"Group 23")</f>
        <v>Group 23</v>
      </c>
      <c r="F828" s="13" t="str">
        <f>IFERROR(__xludf.DUMMYFUNCTION("""COMPUTED_VALUE"""),"2024 - 2025")</f>
        <v>2024 - 2025</v>
      </c>
      <c r="G828" s="13" t="str">
        <f>IFERROR(__xludf.DUMMYFUNCTION("""COMPUTED_VALUE"""),"2023 - 2024")</f>
        <v>2023 - 2024</v>
      </c>
      <c r="H828" s="13">
        <f>IFERROR(__xludf.DUMMYFUNCTION("""COMPUTED_VALUE"""),97.95)</f>
        <v>97.95</v>
      </c>
      <c r="I828" s="15">
        <f>IFERROR(__xludf.DUMMYFUNCTION("""COMPUTED_VALUE"""),2.049999999999997)</f>
        <v>2.05</v>
      </c>
    </row>
    <row r="829">
      <c r="A829" s="13" t="str">
        <f>IFERROR(__xludf.DUMMYFUNCTION("""COMPUTED_VALUE"""),"1420")</f>
        <v>1420</v>
      </c>
      <c r="B829" s="13" t="str">
        <f>IFERROR(__xludf.DUMMYFUNCTION("""COMPUTED_VALUE"""),"JEFFERSON COUNTY R-1")</f>
        <v>JEFFERSON COUNTY R-1</v>
      </c>
      <c r="C829" s="14" t="str">
        <f>IFERROR(__xludf.DUMMYFUNCTION("""COMPUTED_VALUE"""),"08090")</f>
        <v>08090</v>
      </c>
      <c r="D829" s="13" t="str">
        <f>IFERROR(__xludf.DUMMYFUNCTION("""COMPUTED_VALUE"""),"DEANE ELEMENTARY SCHOOL")</f>
        <v>DEANE ELEMENTARY SCHOOL</v>
      </c>
      <c r="E829" s="13" t="str">
        <f>IFERROR(__xludf.DUMMYFUNCTION("""COMPUTED_VALUE"""),"Group 23")</f>
        <v>Group 23</v>
      </c>
      <c r="F829" s="13" t="str">
        <f>IFERROR(__xludf.DUMMYFUNCTION("""COMPUTED_VALUE"""),"2024 - 2025")</f>
        <v>2024 - 2025</v>
      </c>
      <c r="G829" s="13" t="str">
        <f>IFERROR(__xludf.DUMMYFUNCTION("""COMPUTED_VALUE"""),"2023 - 2024")</f>
        <v>2023 - 2024</v>
      </c>
      <c r="H829" s="13">
        <f>IFERROR(__xludf.DUMMYFUNCTION("""COMPUTED_VALUE"""),97.95)</f>
        <v>97.95</v>
      </c>
      <c r="I829" s="15">
        <f>IFERROR(__xludf.DUMMYFUNCTION("""COMPUTED_VALUE"""),2.049999999999997)</f>
        <v>2.05</v>
      </c>
    </row>
    <row r="830">
      <c r="A830" s="13" t="str">
        <f>IFERROR(__xludf.DUMMYFUNCTION("""COMPUTED_VALUE"""),"1420")</f>
        <v>1420</v>
      </c>
      <c r="B830" s="13" t="str">
        <f>IFERROR(__xludf.DUMMYFUNCTION("""COMPUTED_VALUE"""),"JEFFERSON COUNTY R-1")</f>
        <v>JEFFERSON COUNTY R-1</v>
      </c>
      <c r="C830" s="14" t="str">
        <f>IFERROR(__xludf.DUMMYFUNCTION("""COMPUTED_VALUE"""),"08102")</f>
        <v>08102</v>
      </c>
      <c r="D830" s="13" t="str">
        <f>IFERROR(__xludf.DUMMYFUNCTION("""COMPUTED_VALUE"""),"SOUTH LAKEWOOD ELEMENTARY SCHOOL")</f>
        <v>SOUTH LAKEWOOD ELEMENTARY SCHOOL</v>
      </c>
      <c r="E830" s="13" t="str">
        <f>IFERROR(__xludf.DUMMYFUNCTION("""COMPUTED_VALUE"""),"Group 23")</f>
        <v>Group 23</v>
      </c>
      <c r="F830" s="13" t="str">
        <f>IFERROR(__xludf.DUMMYFUNCTION("""COMPUTED_VALUE"""),"2024 - 2025")</f>
        <v>2024 - 2025</v>
      </c>
      <c r="G830" s="13" t="str">
        <f>IFERROR(__xludf.DUMMYFUNCTION("""COMPUTED_VALUE"""),"2023 - 2024")</f>
        <v>2023 - 2024</v>
      </c>
      <c r="H830" s="13">
        <f>IFERROR(__xludf.DUMMYFUNCTION("""COMPUTED_VALUE"""),97.95)</f>
        <v>97.95</v>
      </c>
      <c r="I830" s="15">
        <f>IFERROR(__xludf.DUMMYFUNCTION("""COMPUTED_VALUE"""),2.049999999999997)</f>
        <v>2.05</v>
      </c>
    </row>
    <row r="831">
      <c r="A831" s="13" t="str">
        <f>IFERROR(__xludf.DUMMYFUNCTION("""COMPUTED_VALUE"""),"1420")</f>
        <v>1420</v>
      </c>
      <c r="B831" s="13" t="str">
        <f>IFERROR(__xludf.DUMMYFUNCTION("""COMPUTED_VALUE"""),"JEFFERSON COUNTY R-1")</f>
        <v>JEFFERSON COUNTY R-1</v>
      </c>
      <c r="C831" s="14" t="str">
        <f>IFERROR(__xludf.DUMMYFUNCTION("""COMPUTED_VALUE"""),"09342")</f>
        <v>09342</v>
      </c>
      <c r="D831" s="13" t="str">
        <f>IFERROR(__xludf.DUMMYFUNCTION("""COMPUTED_VALUE"""),"WELCHESTER ELEMENTARY SCHOOL")</f>
        <v>WELCHESTER ELEMENTARY SCHOOL</v>
      </c>
      <c r="E831" s="13" t="str">
        <f>IFERROR(__xludf.DUMMYFUNCTION("""COMPUTED_VALUE"""),"Group 23")</f>
        <v>Group 23</v>
      </c>
      <c r="F831" s="13" t="str">
        <f>IFERROR(__xludf.DUMMYFUNCTION("""COMPUTED_VALUE"""),"2024 - 2025")</f>
        <v>2024 - 2025</v>
      </c>
      <c r="G831" s="13" t="str">
        <f>IFERROR(__xludf.DUMMYFUNCTION("""COMPUTED_VALUE"""),"2023 - 2024")</f>
        <v>2023 - 2024</v>
      </c>
      <c r="H831" s="13">
        <f>IFERROR(__xludf.DUMMYFUNCTION("""COMPUTED_VALUE"""),97.95)</f>
        <v>97.95</v>
      </c>
      <c r="I831" s="15">
        <f>IFERROR(__xludf.DUMMYFUNCTION("""COMPUTED_VALUE"""),2.049999999999997)</f>
        <v>2.05</v>
      </c>
    </row>
    <row r="832">
      <c r="A832" s="13" t="str">
        <f>IFERROR(__xludf.DUMMYFUNCTION("""COMPUTED_VALUE"""),"1420")</f>
        <v>1420</v>
      </c>
      <c r="B832" s="13" t="str">
        <f>IFERROR(__xludf.DUMMYFUNCTION("""COMPUTED_VALUE"""),"JEFFERSON COUNTY R-1")</f>
        <v>JEFFERSON COUNTY R-1</v>
      </c>
      <c r="C832" s="14" t="str">
        <f>IFERROR(__xludf.DUMMYFUNCTION("""COMPUTED_VALUE"""),"00660")</f>
        <v>00660</v>
      </c>
      <c r="D832" s="13" t="str">
        <f>IFERROR(__xludf.DUMMYFUNCTION("""COMPUTED_VALUE"""),"BEAR CREEK K-8 SCHOOL")</f>
        <v>BEAR CREEK K-8 SCHOOL</v>
      </c>
      <c r="E832" s="13" t="str">
        <f>IFERROR(__xludf.DUMMYFUNCTION("""COMPUTED_VALUE"""),"Group 3")</f>
        <v>Group 3</v>
      </c>
      <c r="F832" s="13" t="str">
        <f>IFERROR(__xludf.DUMMYFUNCTION("""COMPUTED_VALUE"""),"2024 - 2025")</f>
        <v>2024 - 2025</v>
      </c>
      <c r="G832" s="13" t="str">
        <f>IFERROR(__xludf.DUMMYFUNCTION("""COMPUTED_VALUE"""),"2023 - 2024")</f>
        <v>2023 - 2024</v>
      </c>
      <c r="H832" s="13">
        <f>IFERROR(__xludf.DUMMYFUNCTION("""COMPUTED_VALUE"""),75.6)</f>
        <v>75.6</v>
      </c>
      <c r="I832" s="15">
        <f>IFERROR(__xludf.DUMMYFUNCTION("""COMPUTED_VALUE"""),24.400000000000006)</f>
        <v>24.4</v>
      </c>
    </row>
    <row r="833">
      <c r="A833" s="13" t="str">
        <f>IFERROR(__xludf.DUMMYFUNCTION("""COMPUTED_VALUE"""),"1420")</f>
        <v>1420</v>
      </c>
      <c r="B833" s="13" t="str">
        <f>IFERROR(__xludf.DUMMYFUNCTION("""COMPUTED_VALUE"""),"JEFFERSON COUNTY R-1")</f>
        <v>JEFFERSON COUNTY R-1</v>
      </c>
      <c r="C833" s="14" t="str">
        <f>IFERROR(__xludf.DUMMYFUNCTION("""COMPUTED_VALUE"""),"02496")</f>
        <v>02496</v>
      </c>
      <c r="D833" s="13" t="str">
        <f>IFERROR(__xludf.DUMMYFUNCTION("""COMPUTED_VALUE"""),"EDGEWATER ELEMENTARY SCHOOL")</f>
        <v>EDGEWATER ELEMENTARY SCHOOL</v>
      </c>
      <c r="E833" s="13" t="str">
        <f>IFERROR(__xludf.DUMMYFUNCTION("""COMPUTED_VALUE"""),"Group 3")</f>
        <v>Group 3</v>
      </c>
      <c r="F833" s="13" t="str">
        <f>IFERROR(__xludf.DUMMYFUNCTION("""COMPUTED_VALUE"""),"2024 - 2025")</f>
        <v>2024 - 2025</v>
      </c>
      <c r="G833" s="13" t="str">
        <f>IFERROR(__xludf.DUMMYFUNCTION("""COMPUTED_VALUE"""),"2023 - 2024")</f>
        <v>2023 - 2024</v>
      </c>
      <c r="H833" s="13">
        <f>IFERROR(__xludf.DUMMYFUNCTION("""COMPUTED_VALUE"""),75.6)</f>
        <v>75.6</v>
      </c>
      <c r="I833" s="15">
        <f>IFERROR(__xludf.DUMMYFUNCTION("""COMPUTED_VALUE"""),24.400000000000006)</f>
        <v>24.4</v>
      </c>
    </row>
    <row r="834">
      <c r="A834" s="13" t="str">
        <f>IFERROR(__xludf.DUMMYFUNCTION("""COMPUTED_VALUE"""),"1420")</f>
        <v>1420</v>
      </c>
      <c r="B834" s="13" t="str">
        <f>IFERROR(__xludf.DUMMYFUNCTION("""COMPUTED_VALUE"""),"JEFFERSON COUNTY R-1")</f>
        <v>JEFFERSON COUNTY R-1</v>
      </c>
      <c r="C834" s="14" t="str">
        <f>IFERROR(__xludf.DUMMYFUNCTION("""COMPUTED_VALUE"""),"05004")</f>
        <v>05004</v>
      </c>
      <c r="D834" s="13" t="str">
        <f>IFERROR(__xludf.DUMMYFUNCTION("""COMPUTED_VALUE"""),"LASLEY ELEMENTARY SCHOOL")</f>
        <v>LASLEY ELEMENTARY SCHOOL</v>
      </c>
      <c r="E834" s="13" t="str">
        <f>IFERROR(__xludf.DUMMYFUNCTION("""COMPUTED_VALUE"""),"Group 3")</f>
        <v>Group 3</v>
      </c>
      <c r="F834" s="13" t="str">
        <f>IFERROR(__xludf.DUMMYFUNCTION("""COMPUTED_VALUE"""),"2024 - 2025")</f>
        <v>2024 - 2025</v>
      </c>
      <c r="G834" s="13" t="str">
        <f>IFERROR(__xludf.DUMMYFUNCTION("""COMPUTED_VALUE"""),"2023 - 2024")</f>
        <v>2023 - 2024</v>
      </c>
      <c r="H834" s="13">
        <f>IFERROR(__xludf.DUMMYFUNCTION("""COMPUTED_VALUE"""),75.6)</f>
        <v>75.6</v>
      </c>
      <c r="I834" s="15">
        <f>IFERROR(__xludf.DUMMYFUNCTION("""COMPUTED_VALUE"""),24.400000000000006)</f>
        <v>24.4</v>
      </c>
    </row>
    <row r="835">
      <c r="A835" s="13" t="str">
        <f>IFERROR(__xludf.DUMMYFUNCTION("""COMPUTED_VALUE"""),"1420")</f>
        <v>1420</v>
      </c>
      <c r="B835" s="13" t="str">
        <f>IFERROR(__xludf.DUMMYFUNCTION("""COMPUTED_VALUE"""),"JEFFERSON COUNTY R-1")</f>
        <v>JEFFERSON COUNTY R-1</v>
      </c>
      <c r="C835" s="14" t="str">
        <f>IFERROR(__xludf.DUMMYFUNCTION("""COMPUTED_VALUE"""),"04550")</f>
        <v>04550</v>
      </c>
      <c r="D835" s="13" t="str">
        <f>IFERROR(__xludf.DUMMYFUNCTION("""COMPUTED_VALUE"""),"KENDRICK LAKES ELEMENTARY SCHOOL")</f>
        <v>KENDRICK LAKES ELEMENTARY SCHOOL</v>
      </c>
      <c r="E835" s="13" t="str">
        <f>IFERROR(__xludf.DUMMYFUNCTION("""COMPUTED_VALUE"""),"Group 4")</f>
        <v>Group 4</v>
      </c>
      <c r="F835" s="13" t="str">
        <f>IFERROR(__xludf.DUMMYFUNCTION("""COMPUTED_VALUE"""),"2024 - 2025")</f>
        <v>2024 - 2025</v>
      </c>
      <c r="G835" s="13" t="str">
        <f>IFERROR(__xludf.DUMMYFUNCTION("""COMPUTED_VALUE"""),"2023 - 2024")</f>
        <v>2023 - 2024</v>
      </c>
      <c r="H835" s="13">
        <f>IFERROR(__xludf.DUMMYFUNCTION("""COMPUTED_VALUE"""),40.98)</f>
        <v>40.98</v>
      </c>
      <c r="I835" s="15">
        <f>IFERROR(__xludf.DUMMYFUNCTION("""COMPUTED_VALUE"""),59.02)</f>
        <v>59.02</v>
      </c>
    </row>
    <row r="836">
      <c r="A836" s="13" t="str">
        <f>IFERROR(__xludf.DUMMYFUNCTION("""COMPUTED_VALUE"""),"1420")</f>
        <v>1420</v>
      </c>
      <c r="B836" s="13" t="str">
        <f>IFERROR(__xludf.DUMMYFUNCTION("""COMPUTED_VALUE"""),"JEFFERSON COUNTY R-1")</f>
        <v>JEFFERSON COUNTY R-1</v>
      </c>
      <c r="C836" s="14" t="str">
        <f>IFERROR(__xludf.DUMMYFUNCTION("""COMPUTED_VALUE"""),"05415")</f>
        <v>05415</v>
      </c>
      <c r="D836" s="13" t="str">
        <f>IFERROR(__xludf.DUMMYFUNCTION("""COMPUTED_VALUE"""),"ROCKY MOUNTAIN DEAF SCHOOL")</f>
        <v>ROCKY MOUNTAIN DEAF SCHOOL</v>
      </c>
      <c r="E836" s="13" t="str">
        <f>IFERROR(__xludf.DUMMYFUNCTION("""COMPUTED_VALUE"""),"Group 4")</f>
        <v>Group 4</v>
      </c>
      <c r="F836" s="13" t="str">
        <f>IFERROR(__xludf.DUMMYFUNCTION("""COMPUTED_VALUE"""),"2024 - 2025")</f>
        <v>2024 - 2025</v>
      </c>
      <c r="G836" s="13" t="str">
        <f>IFERROR(__xludf.DUMMYFUNCTION("""COMPUTED_VALUE"""),"2023 - 2024")</f>
        <v>2023 - 2024</v>
      </c>
      <c r="H836" s="13">
        <f>IFERROR(__xludf.DUMMYFUNCTION("""COMPUTED_VALUE"""),40.98)</f>
        <v>40.98</v>
      </c>
      <c r="I836" s="15">
        <f>IFERROR(__xludf.DUMMYFUNCTION("""COMPUTED_VALUE"""),59.02)</f>
        <v>59.02</v>
      </c>
    </row>
    <row r="837">
      <c r="A837" s="13" t="str">
        <f>IFERROR(__xludf.DUMMYFUNCTION("""COMPUTED_VALUE"""),"1420")</f>
        <v>1420</v>
      </c>
      <c r="B837" s="13" t="str">
        <f>IFERROR(__xludf.DUMMYFUNCTION("""COMPUTED_VALUE"""),"JEFFERSON COUNTY R-1")</f>
        <v>JEFFERSON COUNTY R-1</v>
      </c>
      <c r="C837" s="14" t="str">
        <f>IFERROR(__xludf.DUMMYFUNCTION("""COMPUTED_VALUE"""),"07780")</f>
        <v>07780</v>
      </c>
      <c r="D837" s="13" t="str">
        <f>IFERROR(__xludf.DUMMYFUNCTION("""COMPUTED_VALUE"""),"SHAFFER ELEMENTARY SCHOOL")</f>
        <v>SHAFFER ELEMENTARY SCHOOL</v>
      </c>
      <c r="E837" s="13" t="str">
        <f>IFERROR(__xludf.DUMMYFUNCTION("""COMPUTED_VALUE"""),"Group 4")</f>
        <v>Group 4</v>
      </c>
      <c r="F837" s="13" t="str">
        <f>IFERROR(__xludf.DUMMYFUNCTION("""COMPUTED_VALUE"""),"2024 - 2025")</f>
        <v>2024 - 2025</v>
      </c>
      <c r="G837" s="13" t="str">
        <f>IFERROR(__xludf.DUMMYFUNCTION("""COMPUTED_VALUE"""),"2023 - 2024")</f>
        <v>2023 - 2024</v>
      </c>
      <c r="H837" s="13">
        <f>IFERROR(__xludf.DUMMYFUNCTION("""COMPUTED_VALUE"""),40.98)</f>
        <v>40.98</v>
      </c>
      <c r="I837" s="15">
        <f>IFERROR(__xludf.DUMMYFUNCTION("""COMPUTED_VALUE"""),59.02)</f>
        <v>59.02</v>
      </c>
    </row>
    <row r="838">
      <c r="A838" s="13" t="str">
        <f>IFERROR(__xludf.DUMMYFUNCTION("""COMPUTED_VALUE"""),"1420")</f>
        <v>1420</v>
      </c>
      <c r="B838" s="13" t="str">
        <f>IFERROR(__xludf.DUMMYFUNCTION("""COMPUTED_VALUE"""),"JEFFERSON COUNTY R-1")</f>
        <v>JEFFERSON COUNTY R-1</v>
      </c>
      <c r="C838" s="14" t="str">
        <f>IFERROR(__xludf.DUMMYFUNCTION("""COMPUTED_VALUE"""),"07870")</f>
        <v>07870</v>
      </c>
      <c r="D838" s="13" t="str">
        <f>IFERROR(__xludf.DUMMYFUNCTION("""COMPUTED_VALUE"""),"SIERRA ELEMENTARY SCHOOL")</f>
        <v>SIERRA ELEMENTARY SCHOOL</v>
      </c>
      <c r="E838" s="13" t="str">
        <f>IFERROR(__xludf.DUMMYFUNCTION("""COMPUTED_VALUE"""),"Group 4")</f>
        <v>Group 4</v>
      </c>
      <c r="F838" s="13" t="str">
        <f>IFERROR(__xludf.DUMMYFUNCTION("""COMPUTED_VALUE"""),"2024 - 2025")</f>
        <v>2024 - 2025</v>
      </c>
      <c r="G838" s="13" t="str">
        <f>IFERROR(__xludf.DUMMYFUNCTION("""COMPUTED_VALUE"""),"2023 - 2024")</f>
        <v>2023 - 2024</v>
      </c>
      <c r="H838" s="13">
        <f>IFERROR(__xludf.DUMMYFUNCTION("""COMPUTED_VALUE"""),40.98)</f>
        <v>40.98</v>
      </c>
      <c r="I838" s="15">
        <f>IFERROR(__xludf.DUMMYFUNCTION("""COMPUTED_VALUE"""),59.02)</f>
        <v>59.02</v>
      </c>
    </row>
    <row r="839">
      <c r="A839" s="13" t="str">
        <f>IFERROR(__xludf.DUMMYFUNCTION("""COMPUTED_VALUE"""),"1420")</f>
        <v>1420</v>
      </c>
      <c r="B839" s="13" t="str">
        <f>IFERROR(__xludf.DUMMYFUNCTION("""COMPUTED_VALUE"""),"JEFFERSON COUNTY R-1")</f>
        <v>JEFFERSON COUNTY R-1</v>
      </c>
      <c r="C839" s="14" t="str">
        <f>IFERROR(__xludf.DUMMYFUNCTION("""COMPUTED_VALUE"""),"09299")</f>
        <v>09299</v>
      </c>
      <c r="D839" s="13" t="str">
        <f>IFERROR(__xludf.DUMMYFUNCTION("""COMPUTED_VALUE"""),"WAYNE CARLE MIDDLE SCHOOL")</f>
        <v>WAYNE CARLE MIDDLE SCHOOL</v>
      </c>
      <c r="E839" s="13" t="str">
        <f>IFERROR(__xludf.DUMMYFUNCTION("""COMPUTED_VALUE"""),"Group 4")</f>
        <v>Group 4</v>
      </c>
      <c r="F839" s="13" t="str">
        <f>IFERROR(__xludf.DUMMYFUNCTION("""COMPUTED_VALUE"""),"2024 - 2025")</f>
        <v>2024 - 2025</v>
      </c>
      <c r="G839" s="13" t="str">
        <f>IFERROR(__xludf.DUMMYFUNCTION("""COMPUTED_VALUE"""),"2023 - 2024")</f>
        <v>2023 - 2024</v>
      </c>
      <c r="H839" s="13">
        <f>IFERROR(__xludf.DUMMYFUNCTION("""COMPUTED_VALUE"""),40.98)</f>
        <v>40.98</v>
      </c>
      <c r="I839" s="15">
        <f>IFERROR(__xludf.DUMMYFUNCTION("""COMPUTED_VALUE"""),59.02)</f>
        <v>59.02</v>
      </c>
    </row>
    <row r="840">
      <c r="A840" s="13" t="str">
        <f>IFERROR(__xludf.DUMMYFUNCTION("""COMPUTED_VALUE"""),"1420")</f>
        <v>1420</v>
      </c>
      <c r="B840" s="13" t="str">
        <f>IFERROR(__xludf.DUMMYFUNCTION("""COMPUTED_VALUE"""),"JEFFERSON COUNTY R-1")</f>
        <v>JEFFERSON COUNTY R-1</v>
      </c>
      <c r="C840" s="14" t="str">
        <f>IFERROR(__xludf.DUMMYFUNCTION("""COMPUTED_VALUE"""),"09328")</f>
        <v>09328</v>
      </c>
      <c r="D840" s="13" t="str">
        <f>IFERROR(__xludf.DUMMYFUNCTION("""COMPUTED_VALUE"""),"WEBER ELEMENTARY SCHOOL")</f>
        <v>WEBER ELEMENTARY SCHOOL</v>
      </c>
      <c r="E840" s="13" t="str">
        <f>IFERROR(__xludf.DUMMYFUNCTION("""COMPUTED_VALUE"""),"Group 4")</f>
        <v>Group 4</v>
      </c>
      <c r="F840" s="13" t="str">
        <f>IFERROR(__xludf.DUMMYFUNCTION("""COMPUTED_VALUE"""),"2024 - 2025")</f>
        <v>2024 - 2025</v>
      </c>
      <c r="G840" s="13" t="str">
        <f>IFERROR(__xludf.DUMMYFUNCTION("""COMPUTED_VALUE"""),"2023 - 2024")</f>
        <v>2023 - 2024</v>
      </c>
      <c r="H840" s="13">
        <f>IFERROR(__xludf.DUMMYFUNCTION("""COMPUTED_VALUE"""),40.98)</f>
        <v>40.98</v>
      </c>
      <c r="I840" s="15">
        <f>IFERROR(__xludf.DUMMYFUNCTION("""COMPUTED_VALUE"""),59.02)</f>
        <v>59.02</v>
      </c>
    </row>
    <row r="841">
      <c r="A841" s="13" t="str">
        <f>IFERROR(__xludf.DUMMYFUNCTION("""COMPUTED_VALUE"""),"1420")</f>
        <v>1420</v>
      </c>
      <c r="B841" s="13" t="str">
        <f>IFERROR(__xludf.DUMMYFUNCTION("""COMPUTED_VALUE"""),"JEFFERSON COUNTY R-1")</f>
        <v>JEFFERSON COUNTY R-1</v>
      </c>
      <c r="C841" s="14" t="str">
        <f>IFERROR(__xludf.DUMMYFUNCTION("""COMPUTED_VALUE"""),"09412")</f>
        <v>09412</v>
      </c>
      <c r="D841" s="13" t="str">
        <f>IFERROR(__xludf.DUMMYFUNCTION("""COMPUTED_VALUE"""),"WESTGATE ELEMENTARY SCHOOL")</f>
        <v>WESTGATE ELEMENTARY SCHOOL</v>
      </c>
      <c r="E841" s="13" t="str">
        <f>IFERROR(__xludf.DUMMYFUNCTION("""COMPUTED_VALUE"""),"Group 4")</f>
        <v>Group 4</v>
      </c>
      <c r="F841" s="13" t="str">
        <f>IFERROR(__xludf.DUMMYFUNCTION("""COMPUTED_VALUE"""),"2024 - 2025")</f>
        <v>2024 - 2025</v>
      </c>
      <c r="G841" s="13" t="str">
        <f>IFERROR(__xludf.DUMMYFUNCTION("""COMPUTED_VALUE"""),"2023 - 2024")</f>
        <v>2023 - 2024</v>
      </c>
      <c r="H841" s="13">
        <f>IFERROR(__xludf.DUMMYFUNCTION("""COMPUTED_VALUE"""),40.98)</f>
        <v>40.98</v>
      </c>
      <c r="I841" s="15">
        <f>IFERROR(__xludf.DUMMYFUNCTION("""COMPUTED_VALUE"""),59.02)</f>
        <v>59.02</v>
      </c>
    </row>
    <row r="842">
      <c r="A842" s="13" t="str">
        <f>IFERROR(__xludf.DUMMYFUNCTION("""COMPUTED_VALUE"""),"1420")</f>
        <v>1420</v>
      </c>
      <c r="B842" s="13" t="str">
        <f>IFERROR(__xludf.DUMMYFUNCTION("""COMPUTED_VALUE"""),"JEFFERSON COUNTY R-1")</f>
        <v>JEFFERSON COUNTY R-1</v>
      </c>
      <c r="C842" s="14" t="str">
        <f>IFERROR(__xludf.DUMMYFUNCTION("""COMPUTED_VALUE"""),"09510")</f>
        <v>09510</v>
      </c>
      <c r="D842" s="13" t="str">
        <f>IFERROR(__xludf.DUMMYFUNCTION("""COMPUTED_VALUE"""),"WHEAT RIDGE HIGH SCHOOL")</f>
        <v>WHEAT RIDGE HIGH SCHOOL</v>
      </c>
      <c r="E842" s="13" t="str">
        <f>IFERROR(__xludf.DUMMYFUNCTION("""COMPUTED_VALUE"""),"Group 4")</f>
        <v>Group 4</v>
      </c>
      <c r="F842" s="13" t="str">
        <f>IFERROR(__xludf.DUMMYFUNCTION("""COMPUTED_VALUE"""),"2024 - 2025")</f>
        <v>2024 - 2025</v>
      </c>
      <c r="G842" s="13" t="str">
        <f>IFERROR(__xludf.DUMMYFUNCTION("""COMPUTED_VALUE"""),"2023 - 2024")</f>
        <v>2023 - 2024</v>
      </c>
      <c r="H842" s="13">
        <f>IFERROR(__xludf.DUMMYFUNCTION("""COMPUTED_VALUE"""),40.98)</f>
        <v>40.98</v>
      </c>
      <c r="I842" s="15">
        <f>IFERROR(__xludf.DUMMYFUNCTION("""COMPUTED_VALUE"""),59.02)</f>
        <v>59.02</v>
      </c>
    </row>
    <row r="843">
      <c r="A843" s="13" t="str">
        <f>IFERROR(__xludf.DUMMYFUNCTION("""COMPUTED_VALUE"""),"1420")</f>
        <v>1420</v>
      </c>
      <c r="B843" s="13" t="str">
        <f>IFERROR(__xludf.DUMMYFUNCTION("""COMPUTED_VALUE"""),"JEFFERSON COUNTY R-1")</f>
        <v>JEFFERSON COUNTY R-1</v>
      </c>
      <c r="C843" s="14" t="str">
        <f>IFERROR(__xludf.DUMMYFUNCTION("""COMPUTED_VALUE"""),"09648")</f>
        <v>09648</v>
      </c>
      <c r="D843" s="13" t="str">
        <f>IFERROR(__xludf.DUMMYFUNCTION("""COMPUTED_VALUE"""),"WILMOT ELEMENTARY SCHOOL")</f>
        <v>WILMOT ELEMENTARY SCHOOL</v>
      </c>
      <c r="E843" s="13" t="str">
        <f>IFERROR(__xludf.DUMMYFUNCTION("""COMPUTED_VALUE"""),"Group 4")</f>
        <v>Group 4</v>
      </c>
      <c r="F843" s="13" t="str">
        <f>IFERROR(__xludf.DUMMYFUNCTION("""COMPUTED_VALUE"""),"2024 - 2025")</f>
        <v>2024 - 2025</v>
      </c>
      <c r="G843" s="13" t="str">
        <f>IFERROR(__xludf.DUMMYFUNCTION("""COMPUTED_VALUE"""),"2023 - 2024")</f>
        <v>2023 - 2024</v>
      </c>
      <c r="H843" s="13">
        <f>IFERROR(__xludf.DUMMYFUNCTION("""COMPUTED_VALUE"""),40.98)</f>
        <v>40.98</v>
      </c>
      <c r="I843" s="15">
        <f>IFERROR(__xludf.DUMMYFUNCTION("""COMPUTED_VALUE"""),59.02)</f>
        <v>59.02</v>
      </c>
    </row>
    <row r="844">
      <c r="A844" s="13" t="str">
        <f>IFERROR(__xludf.DUMMYFUNCTION("""COMPUTED_VALUE"""),"1420")</f>
        <v>1420</v>
      </c>
      <c r="B844" s="13" t="str">
        <f>IFERROR(__xludf.DUMMYFUNCTION("""COMPUTED_VALUE"""),"JEFFERSON COUNTY R-1")</f>
        <v>JEFFERSON COUNTY R-1</v>
      </c>
      <c r="C844" s="14" t="str">
        <f>IFERROR(__xludf.DUMMYFUNCTION("""COMPUTED_VALUE"""),"08300")</f>
        <v>08300</v>
      </c>
      <c r="D844" s="13" t="str">
        <f>IFERROR(__xludf.DUMMYFUNCTION("""COMPUTED_VALUE"""),"STOTT ELEMENTARY SCHOOL")</f>
        <v>STOTT ELEMENTARY SCHOOL</v>
      </c>
      <c r="E844" s="13" t="str">
        <f>IFERROR(__xludf.DUMMYFUNCTION("""COMPUTED_VALUE"""),"Group 5")</f>
        <v>Group 5</v>
      </c>
      <c r="F844" s="13" t="str">
        <f>IFERROR(__xludf.DUMMYFUNCTION("""COMPUTED_VALUE"""),"2024 - 2025")</f>
        <v>2024 - 2025</v>
      </c>
      <c r="G844" s="13" t="str">
        <f>IFERROR(__xludf.DUMMYFUNCTION("""COMPUTED_VALUE"""),"2023 - 2024")</f>
        <v>2023 - 2024</v>
      </c>
      <c r="H844" s="13">
        <f>IFERROR(__xludf.DUMMYFUNCTION("""COMPUTED_VALUE"""),47.47)</f>
        <v>47.47</v>
      </c>
      <c r="I844" s="15">
        <f>IFERROR(__xludf.DUMMYFUNCTION("""COMPUTED_VALUE"""),52.53)</f>
        <v>52.53</v>
      </c>
    </row>
    <row r="845">
      <c r="A845" s="13" t="str">
        <f>IFERROR(__xludf.DUMMYFUNCTION("""COMPUTED_VALUE"""),"1420")</f>
        <v>1420</v>
      </c>
      <c r="B845" s="13" t="str">
        <f>IFERROR(__xludf.DUMMYFUNCTION("""COMPUTED_VALUE"""),"JEFFERSON COUNTY R-1")</f>
        <v>JEFFERSON COUNTY R-1</v>
      </c>
      <c r="C845" s="14" t="str">
        <f>IFERROR(__xludf.DUMMYFUNCTION("""COMPUTED_VALUE"""),"00370")</f>
        <v>00370</v>
      </c>
      <c r="D845" s="13" t="str">
        <f>IFERROR(__xludf.DUMMYFUNCTION("""COMPUTED_VALUE"""),"ARVADA HIGH SCHOOL")</f>
        <v>ARVADA HIGH SCHOOL</v>
      </c>
      <c r="E845" s="13" t="str">
        <f>IFERROR(__xludf.DUMMYFUNCTION("""COMPUTED_VALUE"""),"Group 7")</f>
        <v>Group 7</v>
      </c>
      <c r="F845" s="13" t="str">
        <f>IFERROR(__xludf.DUMMYFUNCTION("""COMPUTED_VALUE"""),"2024 - 2025")</f>
        <v>2024 - 2025</v>
      </c>
      <c r="G845" s="13" t="str">
        <f>IFERROR(__xludf.DUMMYFUNCTION("""COMPUTED_VALUE"""),"2023 - 2024")</f>
        <v>2023 - 2024</v>
      </c>
      <c r="H845" s="13">
        <f>IFERROR(__xludf.DUMMYFUNCTION("""COMPUTED_VALUE"""),40.42)</f>
        <v>40.42</v>
      </c>
      <c r="I845" s="15">
        <f>IFERROR(__xludf.DUMMYFUNCTION("""COMPUTED_VALUE"""),59.58)</f>
        <v>59.58</v>
      </c>
    </row>
    <row r="846">
      <c r="A846" s="13" t="str">
        <f>IFERROR(__xludf.DUMMYFUNCTION("""COMPUTED_VALUE"""),"1420")</f>
        <v>1420</v>
      </c>
      <c r="B846" s="13" t="str">
        <f>IFERROR(__xludf.DUMMYFUNCTION("""COMPUTED_VALUE"""),"JEFFERSON COUNTY R-1")</f>
        <v>JEFFERSON COUNTY R-1</v>
      </c>
      <c r="C846" s="14" t="str">
        <f>IFERROR(__xludf.DUMMYFUNCTION("""COMPUTED_VALUE"""),"02130")</f>
        <v>02130</v>
      </c>
      <c r="D846" s="13" t="str">
        <f>IFERROR(__xludf.DUMMYFUNCTION("""COMPUTED_VALUE"""),"DEER CREEK MIDDLE SCHOOL")</f>
        <v>DEER CREEK MIDDLE SCHOOL</v>
      </c>
      <c r="E846" s="13" t="str">
        <f>IFERROR(__xludf.DUMMYFUNCTION("""COMPUTED_VALUE"""),"Group 7")</f>
        <v>Group 7</v>
      </c>
      <c r="F846" s="13" t="str">
        <f>IFERROR(__xludf.DUMMYFUNCTION("""COMPUTED_VALUE"""),"2024 - 2025")</f>
        <v>2024 - 2025</v>
      </c>
      <c r="G846" s="13" t="str">
        <f>IFERROR(__xludf.DUMMYFUNCTION("""COMPUTED_VALUE"""),"2023 - 2024")</f>
        <v>2023 - 2024</v>
      </c>
      <c r="H846" s="13">
        <f>IFERROR(__xludf.DUMMYFUNCTION("""COMPUTED_VALUE"""),40.42)</f>
        <v>40.42</v>
      </c>
      <c r="I846" s="15">
        <f>IFERROR(__xludf.DUMMYFUNCTION("""COMPUTED_VALUE"""),59.58)</f>
        <v>59.58</v>
      </c>
    </row>
    <row r="847">
      <c r="A847" s="13" t="str">
        <f>IFERROR(__xludf.DUMMYFUNCTION("""COMPUTED_VALUE"""),"1420")</f>
        <v>1420</v>
      </c>
      <c r="B847" s="13" t="str">
        <f>IFERROR(__xludf.DUMMYFUNCTION("""COMPUTED_VALUE"""),"JEFFERSON COUNTY R-1")</f>
        <v>JEFFERSON COUNTY R-1</v>
      </c>
      <c r="C847" s="14" t="str">
        <f>IFERROR(__xludf.DUMMYFUNCTION("""COMPUTED_VALUE"""),"04548")</f>
        <v>04548</v>
      </c>
      <c r="D847" s="13" t="str">
        <f>IFERROR(__xludf.DUMMYFUNCTION("""COMPUTED_VALUE"""),"KEN CARYL MIDDLE SCHOOL")</f>
        <v>KEN CARYL MIDDLE SCHOOL</v>
      </c>
      <c r="E847" s="13" t="str">
        <f>IFERROR(__xludf.DUMMYFUNCTION("""COMPUTED_VALUE"""),"Group 7")</f>
        <v>Group 7</v>
      </c>
      <c r="F847" s="13" t="str">
        <f>IFERROR(__xludf.DUMMYFUNCTION("""COMPUTED_VALUE"""),"2024 - 2025")</f>
        <v>2024 - 2025</v>
      </c>
      <c r="G847" s="13" t="str">
        <f>IFERROR(__xludf.DUMMYFUNCTION("""COMPUTED_VALUE"""),"2023 - 2024")</f>
        <v>2023 - 2024</v>
      </c>
      <c r="H847" s="13">
        <f>IFERROR(__xludf.DUMMYFUNCTION("""COMPUTED_VALUE"""),40.42)</f>
        <v>40.42</v>
      </c>
      <c r="I847" s="15">
        <f>IFERROR(__xludf.DUMMYFUNCTION("""COMPUTED_VALUE"""),59.58)</f>
        <v>59.58</v>
      </c>
    </row>
    <row r="848">
      <c r="A848" s="13" t="str">
        <f>IFERROR(__xludf.DUMMYFUNCTION("""COMPUTED_VALUE"""),"1420")</f>
        <v>1420</v>
      </c>
      <c r="B848" s="13" t="str">
        <f>IFERROR(__xludf.DUMMYFUNCTION("""COMPUTED_VALUE"""),"JEFFERSON COUNTY R-1")</f>
        <v>JEFFERSON COUNTY R-1</v>
      </c>
      <c r="C848" s="14" t="str">
        <f>IFERROR(__xludf.DUMMYFUNCTION("""COMPUTED_VALUE"""),"08280")</f>
        <v>08280</v>
      </c>
      <c r="D848" s="13" t="str">
        <f>IFERROR(__xludf.DUMMYFUNCTION("""COMPUTED_VALUE"""),"STONY CREEK ELEMENTARY SCHOOL")</f>
        <v>STONY CREEK ELEMENTARY SCHOOL</v>
      </c>
      <c r="E848" s="13" t="str">
        <f>IFERROR(__xludf.DUMMYFUNCTION("""COMPUTED_VALUE"""),"Group 7")</f>
        <v>Group 7</v>
      </c>
      <c r="F848" s="13" t="str">
        <f>IFERROR(__xludf.DUMMYFUNCTION("""COMPUTED_VALUE"""),"2024 - 2025")</f>
        <v>2024 - 2025</v>
      </c>
      <c r="G848" s="13" t="str">
        <f>IFERROR(__xludf.DUMMYFUNCTION("""COMPUTED_VALUE"""),"2023 - 2024")</f>
        <v>2023 - 2024</v>
      </c>
      <c r="H848" s="13">
        <f>IFERROR(__xludf.DUMMYFUNCTION("""COMPUTED_VALUE"""),40.42)</f>
        <v>40.42</v>
      </c>
      <c r="I848" s="15">
        <f>IFERROR(__xludf.DUMMYFUNCTION("""COMPUTED_VALUE"""),59.58)</f>
        <v>59.58</v>
      </c>
    </row>
    <row r="849">
      <c r="A849" s="13" t="str">
        <f>IFERROR(__xludf.DUMMYFUNCTION("""COMPUTED_VALUE"""),"1420")</f>
        <v>1420</v>
      </c>
      <c r="B849" s="13" t="str">
        <f>IFERROR(__xludf.DUMMYFUNCTION("""COMPUTED_VALUE"""),"JEFFERSON COUNTY R-1")</f>
        <v>JEFFERSON COUNTY R-1</v>
      </c>
      <c r="C849" s="14" t="str">
        <f>IFERROR(__xludf.DUMMYFUNCTION("""COMPUTED_VALUE"""),"09432")</f>
        <v>09432</v>
      </c>
      <c r="D849" s="13" t="str">
        <f>IFERROR(__xludf.DUMMYFUNCTION("""COMPUTED_VALUE"""),"DENNISON ELEMENTARY SCHOOL")</f>
        <v>DENNISON ELEMENTARY SCHOOL</v>
      </c>
      <c r="E849" s="13" t="str">
        <f>IFERROR(__xludf.DUMMYFUNCTION("""COMPUTED_VALUE"""),"Group 7")</f>
        <v>Group 7</v>
      </c>
      <c r="F849" s="13" t="str">
        <f>IFERROR(__xludf.DUMMYFUNCTION("""COMPUTED_VALUE"""),"2024 - 2025")</f>
        <v>2024 - 2025</v>
      </c>
      <c r="G849" s="13" t="str">
        <f>IFERROR(__xludf.DUMMYFUNCTION("""COMPUTED_VALUE"""),"2023 - 2024")</f>
        <v>2023 - 2024</v>
      </c>
      <c r="H849" s="13">
        <f>IFERROR(__xludf.DUMMYFUNCTION("""COMPUTED_VALUE"""),40.42)</f>
        <v>40.42</v>
      </c>
      <c r="I849" s="15">
        <f>IFERROR(__xludf.DUMMYFUNCTION("""COMPUTED_VALUE"""),59.58)</f>
        <v>59.58</v>
      </c>
    </row>
    <row r="850">
      <c r="A850" s="13" t="str">
        <f>IFERROR(__xludf.DUMMYFUNCTION("""COMPUTED_VALUE"""),"1420")</f>
        <v>1420</v>
      </c>
      <c r="B850" s="13" t="str">
        <f>IFERROR(__xludf.DUMMYFUNCTION("""COMPUTED_VALUE"""),"JEFFERSON COUNTY R-1")</f>
        <v>JEFFERSON COUNTY R-1</v>
      </c>
      <c r="C850" s="14" t="str">
        <f>IFERROR(__xludf.DUMMYFUNCTION("""COMPUTED_VALUE"""),"01318")</f>
        <v>01318</v>
      </c>
      <c r="D850" s="13" t="str">
        <f>IFERROR(__xludf.DUMMYFUNCTION("""COMPUTED_VALUE"""),"CARMODY MIDDLE SCHOOL")</f>
        <v>CARMODY MIDDLE SCHOOL</v>
      </c>
      <c r="E850" s="13" t="str">
        <f>IFERROR(__xludf.DUMMYFUNCTION("""COMPUTED_VALUE"""),"Group 8")</f>
        <v>Group 8</v>
      </c>
      <c r="F850" s="13" t="str">
        <f>IFERROR(__xludf.DUMMYFUNCTION("""COMPUTED_VALUE"""),"2024 - 2025")</f>
        <v>2024 - 2025</v>
      </c>
      <c r="G850" s="13" t="str">
        <f>IFERROR(__xludf.DUMMYFUNCTION("""COMPUTED_VALUE"""),"2023 - 2024")</f>
        <v>2023 - 2024</v>
      </c>
      <c r="H850" s="13">
        <f>IFERROR(__xludf.DUMMYFUNCTION("""COMPUTED_VALUE"""),71.57)</f>
        <v>71.57</v>
      </c>
      <c r="I850" s="15">
        <f>IFERROR(__xludf.DUMMYFUNCTION("""COMPUTED_VALUE"""),28.430000000000007)</f>
        <v>28.43</v>
      </c>
    </row>
    <row r="851">
      <c r="A851" s="13" t="str">
        <f>IFERROR(__xludf.DUMMYFUNCTION("""COMPUTED_VALUE"""),"1420")</f>
        <v>1420</v>
      </c>
      <c r="B851" s="13" t="str">
        <f>IFERROR(__xludf.DUMMYFUNCTION("""COMPUTED_VALUE"""),"JEFFERSON COUNTY R-1")</f>
        <v>JEFFERSON COUNTY R-1</v>
      </c>
      <c r="C851" s="14" t="str">
        <f>IFERROR(__xludf.DUMMYFUNCTION("""COMPUTED_VALUE"""),"01861")</f>
        <v>01861</v>
      </c>
      <c r="D851" s="13" t="str">
        <f>IFERROR(__xludf.DUMMYFUNCTION("""COMPUTED_VALUE"""),"COLUMBINE HILLS ELEMENTARY SCHOOL")</f>
        <v>COLUMBINE HILLS ELEMENTARY SCHOOL</v>
      </c>
      <c r="E851" s="13" t="str">
        <f>IFERROR(__xludf.DUMMYFUNCTION("""COMPUTED_VALUE"""),"Group 8")</f>
        <v>Group 8</v>
      </c>
      <c r="F851" s="13" t="str">
        <f>IFERROR(__xludf.DUMMYFUNCTION("""COMPUTED_VALUE"""),"2024 - 2025")</f>
        <v>2024 - 2025</v>
      </c>
      <c r="G851" s="13" t="str">
        <f>IFERROR(__xludf.DUMMYFUNCTION("""COMPUTED_VALUE"""),"2023 - 2024")</f>
        <v>2023 - 2024</v>
      </c>
      <c r="H851" s="13">
        <f>IFERROR(__xludf.DUMMYFUNCTION("""COMPUTED_VALUE"""),71.57)</f>
        <v>71.57</v>
      </c>
      <c r="I851" s="15">
        <f>IFERROR(__xludf.DUMMYFUNCTION("""COMPUTED_VALUE"""),28.430000000000007)</f>
        <v>28.43</v>
      </c>
    </row>
    <row r="852">
      <c r="A852" s="13" t="str">
        <f>IFERROR(__xludf.DUMMYFUNCTION("""COMPUTED_VALUE"""),"1420")</f>
        <v>1420</v>
      </c>
      <c r="B852" s="13" t="str">
        <f>IFERROR(__xludf.DUMMYFUNCTION("""COMPUTED_VALUE"""),"JEFFERSON COUNTY R-1")</f>
        <v>JEFFERSON COUNTY R-1</v>
      </c>
      <c r="C852" s="14" t="str">
        <f>IFERROR(__xludf.DUMMYFUNCTION("""COMPUTED_VALUE"""),"05623")</f>
        <v>05623</v>
      </c>
      <c r="D852" s="13" t="str">
        <f>IFERROR(__xludf.DUMMYFUNCTION("""COMPUTED_VALUE"""),"LONGVIEW HIGH SCHOOL")</f>
        <v>LONGVIEW HIGH SCHOOL</v>
      </c>
      <c r="E852" s="13" t="str">
        <f>IFERROR(__xludf.DUMMYFUNCTION("""COMPUTED_VALUE"""),"Group 8")</f>
        <v>Group 8</v>
      </c>
      <c r="F852" s="13" t="str">
        <f>IFERROR(__xludf.DUMMYFUNCTION("""COMPUTED_VALUE"""),"2024 - 2025")</f>
        <v>2024 - 2025</v>
      </c>
      <c r="G852" s="13" t="str">
        <f>IFERROR(__xludf.DUMMYFUNCTION("""COMPUTED_VALUE"""),"2023 - 2024")</f>
        <v>2023 - 2024</v>
      </c>
      <c r="H852" s="13">
        <f>IFERROR(__xludf.DUMMYFUNCTION("""COMPUTED_VALUE"""),71.57)</f>
        <v>71.57</v>
      </c>
      <c r="I852" s="15">
        <f>IFERROR(__xludf.DUMMYFUNCTION("""COMPUTED_VALUE"""),28.430000000000007)</f>
        <v>28.43</v>
      </c>
    </row>
    <row r="853">
      <c r="A853" s="13" t="str">
        <f>IFERROR(__xludf.DUMMYFUNCTION("""COMPUTED_VALUE"""),"1420")</f>
        <v>1420</v>
      </c>
      <c r="B853" s="13" t="str">
        <f>IFERROR(__xludf.DUMMYFUNCTION("""COMPUTED_VALUE"""),"JEFFERSON COUNTY R-1")</f>
        <v>JEFFERSON COUNTY R-1</v>
      </c>
      <c r="C853" s="14" t="str">
        <f>IFERROR(__xludf.DUMMYFUNCTION("""COMPUTED_VALUE"""),"07468")</f>
        <v>07468</v>
      </c>
      <c r="D853" s="13" t="str">
        <f>IFERROR(__xludf.DUMMYFUNCTION("""COMPUTED_VALUE"""),"Rose Stein International Elementary")</f>
        <v>Rose Stein International Elementary</v>
      </c>
      <c r="E853" s="13" t="str">
        <f>IFERROR(__xludf.DUMMYFUNCTION("""COMPUTED_VALUE"""),"Group 8")</f>
        <v>Group 8</v>
      </c>
      <c r="F853" s="13" t="str">
        <f>IFERROR(__xludf.DUMMYFUNCTION("""COMPUTED_VALUE"""),"2024 - 2025")</f>
        <v>2024 - 2025</v>
      </c>
      <c r="G853" s="13" t="str">
        <f>IFERROR(__xludf.DUMMYFUNCTION("""COMPUTED_VALUE"""),"2023 - 2024")</f>
        <v>2023 - 2024</v>
      </c>
      <c r="H853" s="13">
        <f>IFERROR(__xludf.DUMMYFUNCTION("""COMPUTED_VALUE"""),71.57)</f>
        <v>71.57</v>
      </c>
      <c r="I853" s="15">
        <f>IFERROR(__xludf.DUMMYFUNCTION("""COMPUTED_VALUE"""),28.430000000000007)</f>
        <v>28.43</v>
      </c>
    </row>
    <row r="854">
      <c r="A854" s="13" t="str">
        <f>IFERROR(__xludf.DUMMYFUNCTION("""COMPUTED_VALUE"""),"1420")</f>
        <v>1420</v>
      </c>
      <c r="B854" s="13" t="str">
        <f>IFERROR(__xludf.DUMMYFUNCTION("""COMPUTED_VALUE"""),"JEFFERSON COUNTY R-1")</f>
        <v>JEFFERSON COUNTY R-1</v>
      </c>
      <c r="C854" s="14" t="str">
        <f>IFERROR(__xludf.DUMMYFUNCTION("""COMPUTED_VALUE"""),"00108")</f>
        <v>00108</v>
      </c>
      <c r="D854" s="13" t="str">
        <f>IFERROR(__xludf.DUMMYFUNCTION("""COMPUTED_VALUE"""),"ALAMEDA INTERNATIONAL HIGH SCHOOL")</f>
        <v>ALAMEDA INTERNATIONAL HIGH SCHOOL</v>
      </c>
      <c r="E854" s="13" t="str">
        <f>IFERROR(__xludf.DUMMYFUNCTION("""COMPUTED_VALUE"""),"Group 9")</f>
        <v>Group 9</v>
      </c>
      <c r="F854" s="13" t="str">
        <f>IFERROR(__xludf.DUMMYFUNCTION("""COMPUTED_VALUE"""),"2024 - 2025")</f>
        <v>2024 - 2025</v>
      </c>
      <c r="G854" s="13" t="str">
        <f>IFERROR(__xludf.DUMMYFUNCTION("""COMPUTED_VALUE"""),"2023 - 2024")</f>
        <v>2023 - 2024</v>
      </c>
      <c r="H854" s="13">
        <f>IFERROR(__xludf.DUMMYFUNCTION("""COMPUTED_VALUE"""),45.09)</f>
        <v>45.09</v>
      </c>
      <c r="I854" s="15">
        <f>IFERROR(__xludf.DUMMYFUNCTION("""COMPUTED_VALUE"""),54.91)</f>
        <v>54.91</v>
      </c>
    </row>
    <row r="855">
      <c r="A855" s="13" t="str">
        <f>IFERROR(__xludf.DUMMYFUNCTION("""COMPUTED_VALUE"""),"1420")</f>
        <v>1420</v>
      </c>
      <c r="B855" s="13" t="str">
        <f>IFERROR(__xludf.DUMMYFUNCTION("""COMPUTED_VALUE"""),"JEFFERSON COUNTY R-1")</f>
        <v>JEFFERSON COUNTY R-1</v>
      </c>
      <c r="C855" s="14" t="str">
        <f>IFERROR(__xludf.DUMMYFUNCTION("""COMPUTED_VALUE"""),"01976")</f>
        <v>01976</v>
      </c>
      <c r="D855" s="13" t="str">
        <f>IFERROR(__xludf.DUMMYFUNCTION("""COMPUTED_VALUE"""),"CREIGHTON MIDDLE SCHOOL")</f>
        <v>CREIGHTON MIDDLE SCHOOL</v>
      </c>
      <c r="E855" s="13" t="str">
        <f>IFERROR(__xludf.DUMMYFUNCTION("""COMPUTED_VALUE"""),"Group 9")</f>
        <v>Group 9</v>
      </c>
      <c r="F855" s="13" t="str">
        <f>IFERROR(__xludf.DUMMYFUNCTION("""COMPUTED_VALUE"""),"2024 - 2025")</f>
        <v>2024 - 2025</v>
      </c>
      <c r="G855" s="13" t="str">
        <f>IFERROR(__xludf.DUMMYFUNCTION("""COMPUTED_VALUE"""),"2023 - 2024")</f>
        <v>2023 - 2024</v>
      </c>
      <c r="H855" s="13">
        <f>IFERROR(__xludf.DUMMYFUNCTION("""COMPUTED_VALUE"""),45.09)</f>
        <v>45.09</v>
      </c>
      <c r="I855" s="15">
        <f>IFERROR(__xludf.DUMMYFUNCTION("""COMPUTED_VALUE"""),54.91)</f>
        <v>54.91</v>
      </c>
    </row>
    <row r="856">
      <c r="A856" s="13" t="str">
        <f>IFERROR(__xludf.DUMMYFUNCTION("""COMPUTED_VALUE"""),"1420")</f>
        <v>1420</v>
      </c>
      <c r="B856" s="13" t="str">
        <f>IFERROR(__xludf.DUMMYFUNCTION("""COMPUTED_VALUE"""),"JEFFERSON COUNTY R-1")</f>
        <v>JEFFERSON COUNTY R-1</v>
      </c>
      <c r="C856" s="14" t="str">
        <f>IFERROR(__xludf.DUMMYFUNCTION("""COMPUTED_VALUE"""),"03726")</f>
        <v>03726</v>
      </c>
      <c r="D856" s="13" t="str">
        <f>IFERROR(__xludf.DUMMYFUNCTION("""COMPUTED_VALUE"""),"HACKBERRY HILL ELEMENTARY SCHOOL")</f>
        <v>HACKBERRY HILL ELEMENTARY SCHOOL</v>
      </c>
      <c r="E856" s="13" t="str">
        <f>IFERROR(__xludf.DUMMYFUNCTION("""COMPUTED_VALUE"""),"Group 9")</f>
        <v>Group 9</v>
      </c>
      <c r="F856" s="13" t="str">
        <f>IFERROR(__xludf.DUMMYFUNCTION("""COMPUTED_VALUE"""),"2024 - 2025")</f>
        <v>2024 - 2025</v>
      </c>
      <c r="G856" s="13" t="str">
        <f>IFERROR(__xludf.DUMMYFUNCTION("""COMPUTED_VALUE"""),"2023 - 2024")</f>
        <v>2023 - 2024</v>
      </c>
      <c r="H856" s="13">
        <f>IFERROR(__xludf.DUMMYFUNCTION("""COMPUTED_VALUE"""),45.09)</f>
        <v>45.09</v>
      </c>
      <c r="I856" s="15">
        <f>IFERROR(__xludf.DUMMYFUNCTION("""COMPUTED_VALUE"""),54.91)</f>
        <v>54.91</v>
      </c>
    </row>
    <row r="857">
      <c r="A857" s="13" t="str">
        <f>IFERROR(__xludf.DUMMYFUNCTION("""COMPUTED_VALUE"""),"1420")</f>
        <v>1420</v>
      </c>
      <c r="B857" s="13" t="str">
        <f>IFERROR(__xludf.DUMMYFUNCTION("""COMPUTED_VALUE"""),"JEFFERSON COUNTY R-1")</f>
        <v>JEFFERSON COUNTY R-1</v>
      </c>
      <c r="C857" s="14" t="str">
        <f>IFERROR(__xludf.DUMMYFUNCTION("""COMPUTED_VALUE"""),"04549")</f>
        <v>04549</v>
      </c>
      <c r="D857" s="13" t="str">
        <f>IFERROR(__xludf.DUMMYFUNCTION("""COMPUTED_VALUE"""),"KENDALLVUE ELEMENTARY SCHOOL")</f>
        <v>KENDALLVUE ELEMENTARY SCHOOL</v>
      </c>
      <c r="E857" s="13" t="str">
        <f>IFERROR(__xludf.DUMMYFUNCTION("""COMPUTED_VALUE"""),"Group 9")</f>
        <v>Group 9</v>
      </c>
      <c r="F857" s="13" t="str">
        <f>IFERROR(__xludf.DUMMYFUNCTION("""COMPUTED_VALUE"""),"2024 - 2025")</f>
        <v>2024 - 2025</v>
      </c>
      <c r="G857" s="13" t="str">
        <f>IFERROR(__xludf.DUMMYFUNCTION("""COMPUTED_VALUE"""),"2023 - 2024")</f>
        <v>2023 - 2024</v>
      </c>
      <c r="H857" s="13">
        <f>IFERROR(__xludf.DUMMYFUNCTION("""COMPUTED_VALUE"""),45.09)</f>
        <v>45.09</v>
      </c>
      <c r="I857" s="15">
        <f>IFERROR(__xludf.DUMMYFUNCTION("""COMPUTED_VALUE"""),54.91)</f>
        <v>54.91</v>
      </c>
    </row>
    <row r="858">
      <c r="A858" s="13" t="str">
        <f>IFERROR(__xludf.DUMMYFUNCTION("""COMPUTED_VALUE"""),"1420")</f>
        <v>1420</v>
      </c>
      <c r="B858" s="13" t="str">
        <f>IFERROR(__xludf.DUMMYFUNCTION("""COMPUTED_VALUE"""),"JEFFERSON COUNTY R-1")</f>
        <v>JEFFERSON COUNTY R-1</v>
      </c>
      <c r="C858" s="14" t="str">
        <f>IFERROR(__xludf.DUMMYFUNCTION("""COMPUTED_VALUE"""),"05350")</f>
        <v>05350</v>
      </c>
      <c r="D858" s="13" t="str">
        <f>IFERROR(__xludf.DUMMYFUNCTION("""COMPUTED_VALUE"""),"LUKAS ELEMENTARY SCHOOL")</f>
        <v>LUKAS ELEMENTARY SCHOOL</v>
      </c>
      <c r="E858" s="13" t="str">
        <f>IFERROR(__xludf.DUMMYFUNCTION("""COMPUTED_VALUE"""),"Group 9")</f>
        <v>Group 9</v>
      </c>
      <c r="F858" s="13" t="str">
        <f>IFERROR(__xludf.DUMMYFUNCTION("""COMPUTED_VALUE"""),"2024 - 2025")</f>
        <v>2024 - 2025</v>
      </c>
      <c r="G858" s="13" t="str">
        <f>IFERROR(__xludf.DUMMYFUNCTION("""COMPUTED_VALUE"""),"2023 - 2024")</f>
        <v>2023 - 2024</v>
      </c>
      <c r="H858" s="13">
        <f>IFERROR(__xludf.DUMMYFUNCTION("""COMPUTED_VALUE"""),45.09)</f>
        <v>45.09</v>
      </c>
      <c r="I858" s="15">
        <f>IFERROR(__xludf.DUMMYFUNCTION("""COMPUTED_VALUE"""),54.91)</f>
        <v>54.91</v>
      </c>
    </row>
    <row r="859">
      <c r="A859" s="13" t="str">
        <f>IFERROR(__xludf.DUMMYFUNCTION("""COMPUTED_VALUE"""),"1420")</f>
        <v>1420</v>
      </c>
      <c r="B859" s="13" t="str">
        <f>IFERROR(__xludf.DUMMYFUNCTION("""COMPUTED_VALUE"""),"JEFFERSON COUNTY R-1")</f>
        <v>JEFFERSON COUNTY R-1</v>
      </c>
      <c r="C859" s="14" t="str">
        <f>IFERROR(__xludf.DUMMYFUNCTION("""COMPUTED_VALUE"""),"05944")</f>
        <v>05944</v>
      </c>
      <c r="D859" s="13" t="str">
        <f>IFERROR(__xludf.DUMMYFUNCTION("""COMPUTED_VALUE"""),"MITCHELL ELEMENTARY SCHOOL")</f>
        <v>MITCHELL ELEMENTARY SCHOOL</v>
      </c>
      <c r="E859" s="13" t="str">
        <f>IFERROR(__xludf.DUMMYFUNCTION("""COMPUTED_VALUE"""),"Group 9")</f>
        <v>Group 9</v>
      </c>
      <c r="F859" s="13" t="str">
        <f>IFERROR(__xludf.DUMMYFUNCTION("""COMPUTED_VALUE"""),"2024 - 2025")</f>
        <v>2024 - 2025</v>
      </c>
      <c r="G859" s="13" t="str">
        <f>IFERROR(__xludf.DUMMYFUNCTION("""COMPUTED_VALUE"""),"2023 - 2024")</f>
        <v>2023 - 2024</v>
      </c>
      <c r="H859" s="13">
        <f>IFERROR(__xludf.DUMMYFUNCTION("""COMPUTED_VALUE"""),45.09)</f>
        <v>45.09</v>
      </c>
      <c r="I859" s="15">
        <f>IFERROR(__xludf.DUMMYFUNCTION("""COMPUTED_VALUE"""),54.91)</f>
        <v>54.91</v>
      </c>
    </row>
    <row r="860">
      <c r="A860" s="13" t="str">
        <f>IFERROR(__xludf.DUMMYFUNCTION("""COMPUTED_VALUE"""),"1420")</f>
        <v>1420</v>
      </c>
      <c r="B860" s="13" t="str">
        <f>IFERROR(__xludf.DUMMYFUNCTION("""COMPUTED_VALUE"""),"JEFFERSON COUNTY R-1")</f>
        <v>JEFFERSON COUNTY R-1</v>
      </c>
      <c r="C860" s="14" t="str">
        <f>IFERROR(__xludf.DUMMYFUNCTION("""COMPUTED_VALUE"""),"06133")</f>
        <v>06133</v>
      </c>
      <c r="D860" s="13" t="str">
        <f>IFERROR(__xludf.DUMMYFUNCTION("""COMPUTED_VALUE"""),"MORTENSEN ELEMENTARY SCHOOL")</f>
        <v>MORTENSEN ELEMENTARY SCHOOL</v>
      </c>
      <c r="E860" s="13" t="str">
        <f>IFERROR(__xludf.DUMMYFUNCTION("""COMPUTED_VALUE"""),"Group 9")</f>
        <v>Group 9</v>
      </c>
      <c r="F860" s="13" t="str">
        <f>IFERROR(__xludf.DUMMYFUNCTION("""COMPUTED_VALUE"""),"2024 - 2025")</f>
        <v>2024 - 2025</v>
      </c>
      <c r="G860" s="13" t="str">
        <f>IFERROR(__xludf.DUMMYFUNCTION("""COMPUTED_VALUE"""),"2023 - 2024")</f>
        <v>2023 - 2024</v>
      </c>
      <c r="H860" s="13">
        <f>IFERROR(__xludf.DUMMYFUNCTION("""COMPUTED_VALUE"""),45.09)</f>
        <v>45.09</v>
      </c>
      <c r="I860" s="15">
        <f>IFERROR(__xludf.DUMMYFUNCTION("""COMPUTED_VALUE"""),54.91)</f>
        <v>54.91</v>
      </c>
    </row>
    <row r="861">
      <c r="A861" s="13" t="str">
        <f>IFERROR(__xludf.DUMMYFUNCTION("""COMPUTED_VALUE"""),"1420")</f>
        <v>1420</v>
      </c>
      <c r="B861" s="13" t="str">
        <f>IFERROR(__xludf.DUMMYFUNCTION("""COMPUTED_VALUE"""),"JEFFERSON COUNTY R-1")</f>
        <v>JEFFERSON COUNTY R-1</v>
      </c>
      <c r="C861" s="14" t="str">
        <f>IFERROR(__xludf.DUMMYFUNCTION("""COMPUTED_VALUE"""),"06286")</f>
        <v>06286</v>
      </c>
      <c r="D861" s="13" t="str">
        <f>IFERROR(__xludf.DUMMYFUNCTION("""COMPUTED_VALUE"""),"NORMANDY ELEMENTARY SCHOOL")</f>
        <v>NORMANDY ELEMENTARY SCHOOL</v>
      </c>
      <c r="E861" s="13" t="str">
        <f>IFERROR(__xludf.DUMMYFUNCTION("""COMPUTED_VALUE"""),"Group 9")</f>
        <v>Group 9</v>
      </c>
      <c r="F861" s="13" t="str">
        <f>IFERROR(__xludf.DUMMYFUNCTION("""COMPUTED_VALUE"""),"2024 - 2025")</f>
        <v>2024 - 2025</v>
      </c>
      <c r="G861" s="13" t="str">
        <f>IFERROR(__xludf.DUMMYFUNCTION("""COMPUTED_VALUE"""),"2023 - 2024")</f>
        <v>2023 - 2024</v>
      </c>
      <c r="H861" s="13">
        <f>IFERROR(__xludf.DUMMYFUNCTION("""COMPUTED_VALUE"""),45.09)</f>
        <v>45.09</v>
      </c>
      <c r="I861" s="15">
        <f>IFERROR(__xludf.DUMMYFUNCTION("""COMPUTED_VALUE"""),54.91)</f>
        <v>54.91</v>
      </c>
    </row>
    <row r="862">
      <c r="A862" s="13" t="str">
        <f>IFERROR(__xludf.DUMMYFUNCTION("""COMPUTED_VALUE"""),"1420")</f>
        <v>1420</v>
      </c>
      <c r="B862" s="13" t="str">
        <f>IFERROR(__xludf.DUMMYFUNCTION("""COMPUTED_VALUE"""),"JEFFERSON COUNTY R-1")</f>
        <v>JEFFERSON COUNTY R-1</v>
      </c>
      <c r="C862" s="14" t="str">
        <f>IFERROR(__xludf.DUMMYFUNCTION("""COMPUTED_VALUE"""),"06848")</f>
        <v>06848</v>
      </c>
      <c r="D862" s="13" t="str">
        <f>IFERROR(__xludf.DUMMYFUNCTION("""COMPUTED_VALUE"""),"PENNINGTON ELEMENTARY SCHOOL")</f>
        <v>PENNINGTON ELEMENTARY SCHOOL</v>
      </c>
      <c r="E862" s="13" t="str">
        <f>IFERROR(__xludf.DUMMYFUNCTION("""COMPUTED_VALUE"""),"Group 9")</f>
        <v>Group 9</v>
      </c>
      <c r="F862" s="13" t="str">
        <f>IFERROR(__xludf.DUMMYFUNCTION("""COMPUTED_VALUE"""),"2024 - 2025")</f>
        <v>2024 - 2025</v>
      </c>
      <c r="G862" s="13" t="str">
        <f>IFERROR(__xludf.DUMMYFUNCTION("""COMPUTED_VALUE"""),"2023 - 2024")</f>
        <v>2023 - 2024</v>
      </c>
      <c r="H862" s="13">
        <f>IFERROR(__xludf.DUMMYFUNCTION("""COMPUTED_VALUE"""),45.09)</f>
        <v>45.09</v>
      </c>
      <c r="I862" s="15">
        <f>IFERROR(__xludf.DUMMYFUNCTION("""COMPUTED_VALUE"""),54.91)</f>
        <v>54.91</v>
      </c>
    </row>
    <row r="863">
      <c r="A863" s="13" t="str">
        <f>IFERROR(__xludf.DUMMYFUNCTION("""COMPUTED_VALUE"""),"1420")</f>
        <v>1420</v>
      </c>
      <c r="B863" s="13" t="str">
        <f>IFERROR(__xludf.DUMMYFUNCTION("""COMPUTED_VALUE"""),"JEFFERSON COUNTY R-1")</f>
        <v>JEFFERSON COUNTY R-1</v>
      </c>
      <c r="C863" s="14" t="str">
        <f>IFERROR(__xludf.DUMMYFUNCTION("""COMPUTED_VALUE"""),"07282")</f>
        <v>07282</v>
      </c>
      <c r="D863" s="13" t="str">
        <f>IFERROR(__xludf.DUMMYFUNCTION("""COMPUTED_VALUE"""),"RED ROCKS ELEMENTARY SCHOOL")</f>
        <v>RED ROCKS ELEMENTARY SCHOOL</v>
      </c>
      <c r="E863" s="13" t="str">
        <f>IFERROR(__xludf.DUMMYFUNCTION("""COMPUTED_VALUE"""),"Group 9")</f>
        <v>Group 9</v>
      </c>
      <c r="F863" s="13" t="str">
        <f>IFERROR(__xludf.DUMMYFUNCTION("""COMPUTED_VALUE"""),"2024 - 2025")</f>
        <v>2024 - 2025</v>
      </c>
      <c r="G863" s="13" t="str">
        <f>IFERROR(__xludf.DUMMYFUNCTION("""COMPUTED_VALUE"""),"2023 - 2024")</f>
        <v>2023 - 2024</v>
      </c>
      <c r="H863" s="13">
        <f>IFERROR(__xludf.DUMMYFUNCTION("""COMPUTED_VALUE"""),45.09)</f>
        <v>45.09</v>
      </c>
      <c r="I863" s="15">
        <f>IFERROR(__xludf.DUMMYFUNCTION("""COMPUTED_VALUE"""),54.91)</f>
        <v>54.91</v>
      </c>
    </row>
    <row r="864">
      <c r="A864" s="13" t="str">
        <f>IFERROR(__xludf.DUMMYFUNCTION("""COMPUTED_VALUE"""),"1420")</f>
        <v>1420</v>
      </c>
      <c r="B864" s="13" t="str">
        <f>IFERROR(__xludf.DUMMYFUNCTION("""COMPUTED_VALUE"""),"JEFFERSON COUNTY R-1")</f>
        <v>JEFFERSON COUNTY R-1</v>
      </c>
      <c r="C864" s="14" t="str">
        <f>IFERROR(__xludf.DUMMYFUNCTION("""COMPUTED_VALUE"""),"07529")</f>
        <v>07529</v>
      </c>
      <c r="D864" s="13" t="str">
        <f>IFERROR(__xludf.DUMMYFUNCTION("""COMPUTED_VALUE"""),"RYAN ELEMENTARY SCHOOL")</f>
        <v>RYAN ELEMENTARY SCHOOL</v>
      </c>
      <c r="E864" s="13" t="str">
        <f>IFERROR(__xludf.DUMMYFUNCTION("""COMPUTED_VALUE"""),"Group 9")</f>
        <v>Group 9</v>
      </c>
      <c r="F864" s="13" t="str">
        <f>IFERROR(__xludf.DUMMYFUNCTION("""COMPUTED_VALUE"""),"2024 - 2025")</f>
        <v>2024 - 2025</v>
      </c>
      <c r="G864" s="13" t="str">
        <f>IFERROR(__xludf.DUMMYFUNCTION("""COMPUTED_VALUE"""),"2023 - 2024")</f>
        <v>2023 - 2024</v>
      </c>
      <c r="H864" s="13">
        <f>IFERROR(__xludf.DUMMYFUNCTION("""COMPUTED_VALUE"""),45.09)</f>
        <v>45.09</v>
      </c>
      <c r="I864" s="15">
        <f>IFERROR(__xludf.DUMMYFUNCTION("""COMPUTED_VALUE"""),54.91)</f>
        <v>54.91</v>
      </c>
    </row>
    <row r="865">
      <c r="A865" s="13" t="str">
        <f>IFERROR(__xludf.DUMMYFUNCTION("""COMPUTED_VALUE"""),"1420")</f>
        <v>1420</v>
      </c>
      <c r="B865" s="13" t="str">
        <f>IFERROR(__xludf.DUMMYFUNCTION("""COMPUTED_VALUE"""),"JEFFERSON COUNTY R-1")</f>
        <v>JEFFERSON COUNTY R-1</v>
      </c>
      <c r="C865" s="14" t="str">
        <f>IFERROR(__xludf.DUMMYFUNCTION("""COMPUTED_VALUE"""),"09052")</f>
        <v>09052</v>
      </c>
      <c r="D865" s="13" t="str">
        <f>IFERROR(__xludf.DUMMYFUNCTION("""COMPUTED_VALUE"""),"VAN ARSDALE ELEMENTARY SCHOOL")</f>
        <v>VAN ARSDALE ELEMENTARY SCHOOL</v>
      </c>
      <c r="E865" s="13" t="str">
        <f>IFERROR(__xludf.DUMMYFUNCTION("""COMPUTED_VALUE"""),"Group 9")</f>
        <v>Group 9</v>
      </c>
      <c r="F865" s="13" t="str">
        <f>IFERROR(__xludf.DUMMYFUNCTION("""COMPUTED_VALUE"""),"2024 - 2025")</f>
        <v>2024 - 2025</v>
      </c>
      <c r="G865" s="13" t="str">
        <f>IFERROR(__xludf.DUMMYFUNCTION("""COMPUTED_VALUE"""),"2023 - 2024")</f>
        <v>2023 - 2024</v>
      </c>
      <c r="H865" s="13">
        <f>IFERROR(__xludf.DUMMYFUNCTION("""COMPUTED_VALUE"""),45.09)</f>
        <v>45.09</v>
      </c>
      <c r="I865" s="15">
        <f>IFERROR(__xludf.DUMMYFUNCTION("""COMPUTED_VALUE"""),54.91)</f>
        <v>54.91</v>
      </c>
    </row>
    <row r="866">
      <c r="A866" s="13" t="str">
        <f>IFERROR(__xludf.DUMMYFUNCTION("""COMPUTED_VALUE"""),"1420")</f>
        <v>1420</v>
      </c>
      <c r="B866" s="13" t="str">
        <f>IFERROR(__xludf.DUMMYFUNCTION("""COMPUTED_VALUE"""),"JEFFERSON COUNTY R-1")</f>
        <v>JEFFERSON COUNTY R-1</v>
      </c>
      <c r="C866" s="14" t="str">
        <f>IFERROR(__xludf.DUMMYFUNCTION("""COMPUTED_VALUE"""),"09429")</f>
        <v>09429</v>
      </c>
      <c r="D866" s="13" t="str">
        <f>IFERROR(__xludf.DUMMYFUNCTION("""COMPUTED_VALUE"""),"WEST WOODS ELEMENTARY SCHOOL")</f>
        <v>WEST WOODS ELEMENTARY SCHOOL</v>
      </c>
      <c r="E866" s="13" t="str">
        <f>IFERROR(__xludf.DUMMYFUNCTION("""COMPUTED_VALUE"""),"Group 9")</f>
        <v>Group 9</v>
      </c>
      <c r="F866" s="13" t="str">
        <f>IFERROR(__xludf.DUMMYFUNCTION("""COMPUTED_VALUE"""),"2024 - 2025")</f>
        <v>2024 - 2025</v>
      </c>
      <c r="G866" s="13" t="str">
        <f>IFERROR(__xludf.DUMMYFUNCTION("""COMPUTED_VALUE"""),"2023 - 2024")</f>
        <v>2023 - 2024</v>
      </c>
      <c r="H866" s="13">
        <f>IFERROR(__xludf.DUMMYFUNCTION("""COMPUTED_VALUE"""),45.09)</f>
        <v>45.09</v>
      </c>
      <c r="I866" s="15">
        <f>IFERROR(__xludf.DUMMYFUNCTION("""COMPUTED_VALUE"""),54.91)</f>
        <v>54.91</v>
      </c>
    </row>
    <row r="867">
      <c r="A867" s="13" t="str">
        <f>IFERROR(__xludf.DUMMYFUNCTION("""COMPUTED_VALUE"""),"1430")</f>
        <v>1430</v>
      </c>
      <c r="B867" s="13" t="str">
        <f>IFERROR(__xludf.DUMMYFUNCTION("""COMPUTED_VALUE"""),"EADS RE-1")</f>
        <v>EADS RE-1</v>
      </c>
      <c r="C867" s="14" t="str">
        <f>IFERROR(__xludf.DUMMYFUNCTION("""COMPUTED_VALUE"""),"02332")</f>
        <v>02332</v>
      </c>
      <c r="D867" s="13" t="str">
        <f>IFERROR(__xludf.DUMMYFUNCTION("""COMPUTED_VALUE"""),"EADS MIDDLE SCHOOL")</f>
        <v>EADS MIDDLE SCHOOL</v>
      </c>
      <c r="E867" s="13" t="str">
        <f>IFERROR(__xludf.DUMMYFUNCTION("""COMPUTED_VALUE"""),"Group 1")</f>
        <v>Group 1</v>
      </c>
      <c r="F867" s="13" t="str">
        <f>IFERROR(__xludf.DUMMYFUNCTION("""COMPUTED_VALUE"""),"2024 - 2025")</f>
        <v>2024 - 2025</v>
      </c>
      <c r="G867" s="13" t="str">
        <f>IFERROR(__xludf.DUMMYFUNCTION("""COMPUTED_VALUE"""),"2023 - 2024")</f>
        <v>2023 - 2024</v>
      </c>
      <c r="H867" s="13">
        <f>IFERROR(__xludf.DUMMYFUNCTION("""COMPUTED_VALUE"""),72.08)</f>
        <v>72.08</v>
      </c>
      <c r="I867" s="15">
        <f>IFERROR(__xludf.DUMMYFUNCTION("""COMPUTED_VALUE"""),27.92)</f>
        <v>27.92</v>
      </c>
    </row>
    <row r="868">
      <c r="A868" s="13" t="str">
        <f>IFERROR(__xludf.DUMMYFUNCTION("""COMPUTED_VALUE"""),"1430")</f>
        <v>1430</v>
      </c>
      <c r="B868" s="13" t="str">
        <f>IFERROR(__xludf.DUMMYFUNCTION("""COMPUTED_VALUE"""),"EADS RE-1")</f>
        <v>EADS RE-1</v>
      </c>
      <c r="C868" s="14" t="str">
        <f>IFERROR(__xludf.DUMMYFUNCTION("""COMPUTED_VALUE"""),"02336")</f>
        <v>02336</v>
      </c>
      <c r="D868" s="13" t="str">
        <f>IFERROR(__xludf.DUMMYFUNCTION("""COMPUTED_VALUE"""),"EADS HIGH SCHOOL")</f>
        <v>EADS HIGH SCHOOL</v>
      </c>
      <c r="E868" s="13" t="str">
        <f>IFERROR(__xludf.DUMMYFUNCTION("""COMPUTED_VALUE"""),"Group 1")</f>
        <v>Group 1</v>
      </c>
      <c r="F868" s="13" t="str">
        <f>IFERROR(__xludf.DUMMYFUNCTION("""COMPUTED_VALUE"""),"2024 - 2025")</f>
        <v>2024 - 2025</v>
      </c>
      <c r="G868" s="13" t="str">
        <f>IFERROR(__xludf.DUMMYFUNCTION("""COMPUTED_VALUE"""),"2023 - 2024")</f>
        <v>2023 - 2024</v>
      </c>
      <c r="H868" s="13">
        <f>IFERROR(__xludf.DUMMYFUNCTION("""COMPUTED_VALUE"""),72.08)</f>
        <v>72.08</v>
      </c>
      <c r="I868" s="15">
        <f>IFERROR(__xludf.DUMMYFUNCTION("""COMPUTED_VALUE"""),27.92)</f>
        <v>27.92</v>
      </c>
    </row>
    <row r="869">
      <c r="A869" s="13" t="str">
        <f>IFERROR(__xludf.DUMMYFUNCTION("""COMPUTED_VALUE"""),"1430")</f>
        <v>1430</v>
      </c>
      <c r="B869" s="13" t="str">
        <f>IFERROR(__xludf.DUMMYFUNCTION("""COMPUTED_VALUE"""),"EADS RE-1")</f>
        <v>EADS RE-1</v>
      </c>
      <c r="C869" s="14" t="str">
        <f>IFERROR(__xludf.DUMMYFUNCTION("""COMPUTED_VALUE"""),"02328")</f>
        <v>02328</v>
      </c>
      <c r="D869" s="13" t="str">
        <f>IFERROR(__xludf.DUMMYFUNCTION("""COMPUTED_VALUE"""),"EADS ELEMENTARY SCHOOL")</f>
        <v>EADS ELEMENTARY SCHOOL</v>
      </c>
      <c r="E869" s="13" t="str">
        <f>IFERROR(__xludf.DUMMYFUNCTION("""COMPUTED_VALUE"""),"Group 2")</f>
        <v>Group 2</v>
      </c>
      <c r="F869" s="13" t="str">
        <f>IFERROR(__xludf.DUMMYFUNCTION("""COMPUTED_VALUE"""),"2024 - 2025")</f>
        <v>2024 - 2025</v>
      </c>
      <c r="G869" s="13" t="str">
        <f>IFERROR(__xludf.DUMMYFUNCTION("""COMPUTED_VALUE"""),"2023 - 2024")</f>
        <v>2023 - 2024</v>
      </c>
      <c r="H869" s="13">
        <f>IFERROR(__xludf.DUMMYFUNCTION("""COMPUTED_VALUE"""),94.11)</f>
        <v>94.11</v>
      </c>
      <c r="I869" s="15">
        <f>IFERROR(__xludf.DUMMYFUNCTION("""COMPUTED_VALUE"""),5.890000000000001)</f>
        <v>5.89</v>
      </c>
    </row>
    <row r="870">
      <c r="A870" s="13" t="str">
        <f>IFERROR(__xludf.DUMMYFUNCTION("""COMPUTED_VALUE"""),"1450")</f>
        <v>1450</v>
      </c>
      <c r="B870" s="13" t="str">
        <f>IFERROR(__xludf.DUMMYFUNCTION("""COMPUTED_VALUE"""),"ARRIBA-FLAGLER C-20")</f>
        <v>ARRIBA-FLAGLER C-20</v>
      </c>
      <c r="C870" s="14" t="str">
        <f>IFERROR(__xludf.DUMMYFUNCTION("""COMPUTED_VALUE"""),"02960")</f>
        <v>02960</v>
      </c>
      <c r="D870" s="13" t="str">
        <f>IFERROR(__xludf.DUMMYFUNCTION("""COMPUTED_VALUE"""),"FLAGLER PUBLIC SCHOOL")</f>
        <v>FLAGLER PUBLIC SCHOOL</v>
      </c>
      <c r="E870" s="13" t="str">
        <f>IFERROR(__xludf.DUMMYFUNCTION("""COMPUTED_VALUE"""),"Group 1")</f>
        <v>Group 1</v>
      </c>
      <c r="F870" s="13" t="str">
        <f>IFERROR(__xludf.DUMMYFUNCTION("""COMPUTED_VALUE"""),"2024 - 2025")</f>
        <v>2024 - 2025</v>
      </c>
      <c r="G870" s="13" t="str">
        <f>IFERROR(__xludf.DUMMYFUNCTION("""COMPUTED_VALUE"""),"2023 - 2024")</f>
        <v>2023 - 2024</v>
      </c>
      <c r="H870" s="13">
        <f>IFERROR(__xludf.DUMMYFUNCTION("""COMPUTED_VALUE"""),64.91)</f>
        <v>64.91</v>
      </c>
      <c r="I870" s="15">
        <f>IFERROR(__xludf.DUMMYFUNCTION("""COMPUTED_VALUE"""),35.09)</f>
        <v>35.09</v>
      </c>
    </row>
    <row r="871">
      <c r="A871" s="13" t="str">
        <f>IFERROR(__xludf.DUMMYFUNCTION("""COMPUTED_VALUE"""),"1460")</f>
        <v>1460</v>
      </c>
      <c r="B871" s="13" t="str">
        <f>IFERROR(__xludf.DUMMYFUNCTION("""COMPUTED_VALUE"""),"HI-PLAINS R-23")</f>
        <v>HI-PLAINS R-23</v>
      </c>
      <c r="C871" s="14" t="str">
        <f>IFERROR(__xludf.DUMMYFUNCTION("""COMPUTED_VALUE"""),"07746")</f>
        <v>07746</v>
      </c>
      <c r="D871" s="13" t="str">
        <f>IFERROR(__xludf.DUMMYFUNCTION("""COMPUTED_VALUE"""),"HI-PLAINS SCHOOL DISTRICT R-23")</f>
        <v>HI-PLAINS SCHOOL DISTRICT R-23</v>
      </c>
      <c r="E871" s="13" t="str">
        <f>IFERROR(__xludf.DUMMYFUNCTION("""COMPUTED_VALUE"""),"Group 1")</f>
        <v>Group 1</v>
      </c>
      <c r="F871" s="13" t="str">
        <f>IFERROR(__xludf.DUMMYFUNCTION("""COMPUTED_VALUE"""),"2024 - 2025")</f>
        <v>2024 - 2025</v>
      </c>
      <c r="G871" s="13" t="str">
        <f>IFERROR(__xludf.DUMMYFUNCTION("""COMPUTED_VALUE"""),"2023 - 2024")</f>
        <v>2023 - 2024</v>
      </c>
      <c r="H871" s="13">
        <f>IFERROR(__xludf.DUMMYFUNCTION("""COMPUTED_VALUE"""),61.22)</f>
        <v>61.22</v>
      </c>
      <c r="I871" s="15">
        <f>IFERROR(__xludf.DUMMYFUNCTION("""COMPUTED_VALUE"""),38.78)</f>
        <v>38.78</v>
      </c>
    </row>
    <row r="872">
      <c r="A872" s="13" t="str">
        <f>IFERROR(__xludf.DUMMYFUNCTION("""COMPUTED_VALUE"""),"1480")</f>
        <v>1480</v>
      </c>
      <c r="B872" s="13" t="str">
        <f>IFERROR(__xludf.DUMMYFUNCTION("""COMPUTED_VALUE"""),"STRATTON R-4")</f>
        <v>STRATTON R-4</v>
      </c>
      <c r="C872" s="14" t="str">
        <f>IFERROR(__xludf.DUMMYFUNCTION("""COMPUTED_VALUE"""),"08351")</f>
        <v>08351</v>
      </c>
      <c r="D872" s="13" t="str">
        <f>IFERROR(__xludf.DUMMYFUNCTION("""COMPUTED_VALUE"""),"STRATTON MIDDLE SCHOOL")</f>
        <v>STRATTON MIDDLE SCHOOL</v>
      </c>
      <c r="E872" s="13" t="str">
        <f>IFERROR(__xludf.DUMMYFUNCTION("""COMPUTED_VALUE"""),"Group 1")</f>
        <v>Group 1</v>
      </c>
      <c r="F872" s="13" t="str">
        <f>IFERROR(__xludf.DUMMYFUNCTION("""COMPUTED_VALUE"""),"2024 - 2025")</f>
        <v>2024 - 2025</v>
      </c>
      <c r="G872" s="13" t="str">
        <f>IFERROR(__xludf.DUMMYFUNCTION("""COMPUTED_VALUE"""),"2023 - 2024")</f>
        <v>2023 - 2024</v>
      </c>
      <c r="H872" s="13">
        <f>IFERROR(__xludf.DUMMYFUNCTION("""COMPUTED_VALUE"""),49.33)</f>
        <v>49.33</v>
      </c>
      <c r="I872" s="15">
        <f>IFERROR(__xludf.DUMMYFUNCTION("""COMPUTED_VALUE"""),50.67)</f>
        <v>50.67</v>
      </c>
    </row>
    <row r="873">
      <c r="A873" s="13" t="str">
        <f>IFERROR(__xludf.DUMMYFUNCTION("""COMPUTED_VALUE"""),"1480")</f>
        <v>1480</v>
      </c>
      <c r="B873" s="13" t="str">
        <f>IFERROR(__xludf.DUMMYFUNCTION("""COMPUTED_VALUE"""),"STRATTON R-4")</f>
        <v>STRATTON R-4</v>
      </c>
      <c r="C873" s="14" t="str">
        <f>IFERROR(__xludf.DUMMYFUNCTION("""COMPUTED_VALUE"""),"08354")</f>
        <v>08354</v>
      </c>
      <c r="D873" s="13" t="str">
        <f>IFERROR(__xludf.DUMMYFUNCTION("""COMPUTED_VALUE"""),"STRATTON SENIOR HIGH SCHOOL")</f>
        <v>STRATTON SENIOR HIGH SCHOOL</v>
      </c>
      <c r="E873" s="13" t="str">
        <f>IFERROR(__xludf.DUMMYFUNCTION("""COMPUTED_VALUE"""),"Group 1")</f>
        <v>Group 1</v>
      </c>
      <c r="F873" s="13" t="str">
        <f>IFERROR(__xludf.DUMMYFUNCTION("""COMPUTED_VALUE"""),"2024 - 2025")</f>
        <v>2024 - 2025</v>
      </c>
      <c r="G873" s="13" t="str">
        <f>IFERROR(__xludf.DUMMYFUNCTION("""COMPUTED_VALUE"""),"2023 - 2024")</f>
        <v>2023 - 2024</v>
      </c>
      <c r="H873" s="13">
        <f>IFERROR(__xludf.DUMMYFUNCTION("""COMPUTED_VALUE"""),49.33)</f>
        <v>49.33</v>
      </c>
      <c r="I873" s="15">
        <f>IFERROR(__xludf.DUMMYFUNCTION("""COMPUTED_VALUE"""),50.67)</f>
        <v>50.67</v>
      </c>
    </row>
    <row r="874">
      <c r="A874" s="13" t="str">
        <f>IFERROR(__xludf.DUMMYFUNCTION("""COMPUTED_VALUE"""),"1480")</f>
        <v>1480</v>
      </c>
      <c r="B874" s="13" t="str">
        <f>IFERROR(__xludf.DUMMYFUNCTION("""COMPUTED_VALUE"""),"STRATTON R-4")</f>
        <v>STRATTON R-4</v>
      </c>
      <c r="C874" s="14" t="str">
        <f>IFERROR(__xludf.DUMMYFUNCTION("""COMPUTED_VALUE"""),"08342")</f>
        <v>08342</v>
      </c>
      <c r="D874" s="13" t="str">
        <f>IFERROR(__xludf.DUMMYFUNCTION("""COMPUTED_VALUE"""),"STRATTON ELEMENTARY SCHOOL")</f>
        <v>STRATTON ELEMENTARY SCHOOL</v>
      </c>
      <c r="E874" s="13" t="str">
        <f>IFERROR(__xludf.DUMMYFUNCTION("""COMPUTED_VALUE"""),"Group 2")</f>
        <v>Group 2</v>
      </c>
      <c r="F874" s="13" t="str">
        <f>IFERROR(__xludf.DUMMYFUNCTION("""COMPUTED_VALUE"""),"2024 - 2025")</f>
        <v>2024 - 2025</v>
      </c>
      <c r="G874" s="13" t="str">
        <f>IFERROR(__xludf.DUMMYFUNCTION("""COMPUTED_VALUE"""),"2023 - 2024")</f>
        <v>2023 - 2024</v>
      </c>
      <c r="H874" s="13">
        <f>IFERROR(__xludf.DUMMYFUNCTION("""COMPUTED_VALUE"""),81.82)</f>
        <v>81.82</v>
      </c>
      <c r="I874" s="15">
        <f>IFERROR(__xludf.DUMMYFUNCTION("""COMPUTED_VALUE"""),18.180000000000007)</f>
        <v>18.18</v>
      </c>
    </row>
    <row r="875">
      <c r="A875" s="13" t="str">
        <f>IFERROR(__xludf.DUMMYFUNCTION("""COMPUTED_VALUE"""),"1490")</f>
        <v>1490</v>
      </c>
      <c r="B875" s="13" t="str">
        <f>IFERROR(__xludf.DUMMYFUNCTION("""COMPUTED_VALUE"""),"BETHUNE R-5")</f>
        <v>BETHUNE R-5</v>
      </c>
      <c r="C875" s="14" t="str">
        <f>IFERROR(__xludf.DUMMYFUNCTION("""COMPUTED_VALUE"""),"00842")</f>
        <v>00842</v>
      </c>
      <c r="D875" s="13" t="str">
        <f>IFERROR(__xludf.DUMMYFUNCTION("""COMPUTED_VALUE"""),"BETHUNE PUBLIC SCHOOL")</f>
        <v>BETHUNE PUBLIC SCHOOL</v>
      </c>
      <c r="E875" s="13" t="str">
        <f>IFERROR(__xludf.DUMMYFUNCTION("""COMPUTED_VALUE"""),"Group 1")</f>
        <v>Group 1</v>
      </c>
      <c r="F875" s="13" t="str">
        <f>IFERROR(__xludf.DUMMYFUNCTION("""COMPUTED_VALUE"""),"2024 - 2025")</f>
        <v>2024 - 2025</v>
      </c>
      <c r="G875" s="13" t="str">
        <f>IFERROR(__xludf.DUMMYFUNCTION("""COMPUTED_VALUE"""),"2023 - 2024")</f>
        <v>2023 - 2024</v>
      </c>
      <c r="H875" s="13">
        <f>IFERROR(__xludf.DUMMYFUNCTION("""COMPUTED_VALUE"""),100.0)</f>
        <v>100</v>
      </c>
      <c r="I875" s="15">
        <f>IFERROR(__xludf.DUMMYFUNCTION("""COMPUTED_VALUE"""),0.0)</f>
        <v>0</v>
      </c>
    </row>
    <row r="876">
      <c r="A876" s="13" t="str">
        <f>IFERROR(__xludf.DUMMYFUNCTION("""COMPUTED_VALUE"""),"1500")</f>
        <v>1500</v>
      </c>
      <c r="B876" s="13" t="str">
        <f>IFERROR(__xludf.DUMMYFUNCTION("""COMPUTED_VALUE"""),"BURLINGTON RE-6J")</f>
        <v>BURLINGTON RE-6J</v>
      </c>
      <c r="C876" s="14" t="str">
        <f>IFERROR(__xludf.DUMMYFUNCTION("""COMPUTED_VALUE"""),"01144")</f>
        <v>01144</v>
      </c>
      <c r="D876" s="13" t="str">
        <f>IFERROR(__xludf.DUMMYFUNCTION("""COMPUTED_VALUE"""),"BURLINGTON ELEMENTARY SCHOOL")</f>
        <v>BURLINGTON ELEMENTARY SCHOOL</v>
      </c>
      <c r="E876" s="13" t="str">
        <f>IFERROR(__xludf.DUMMYFUNCTION("""COMPUTED_VALUE"""),"Group 1")</f>
        <v>Group 1</v>
      </c>
      <c r="F876" s="13" t="str">
        <f>IFERROR(__xludf.DUMMYFUNCTION("""COMPUTED_VALUE"""),"2024 - 2025")</f>
        <v>2024 - 2025</v>
      </c>
      <c r="G876" s="13" t="str">
        <f>IFERROR(__xludf.DUMMYFUNCTION("""COMPUTED_VALUE"""),"2023 - 2024")</f>
        <v>2023 - 2024</v>
      </c>
      <c r="H876" s="13">
        <f>IFERROR(__xludf.DUMMYFUNCTION("""COMPUTED_VALUE"""),83.04)</f>
        <v>83.04</v>
      </c>
      <c r="I876" s="15">
        <f>IFERROR(__xludf.DUMMYFUNCTION("""COMPUTED_VALUE"""),16.959999999999994)</f>
        <v>16.96</v>
      </c>
    </row>
    <row r="877">
      <c r="A877" s="13" t="str">
        <f>IFERROR(__xludf.DUMMYFUNCTION("""COMPUTED_VALUE"""),"1500")</f>
        <v>1500</v>
      </c>
      <c r="B877" s="13" t="str">
        <f>IFERROR(__xludf.DUMMYFUNCTION("""COMPUTED_VALUE"""),"BURLINGTON RE-6J")</f>
        <v>BURLINGTON RE-6J</v>
      </c>
      <c r="C877" s="14" t="str">
        <f>IFERROR(__xludf.DUMMYFUNCTION("""COMPUTED_VALUE"""),"01150")</f>
        <v>01150</v>
      </c>
      <c r="D877" s="13" t="str">
        <f>IFERROR(__xludf.DUMMYFUNCTION("""COMPUTED_VALUE"""),"BURLINGTON MIDDLE SCHOOL")</f>
        <v>BURLINGTON MIDDLE SCHOOL</v>
      </c>
      <c r="E877" s="13" t="str">
        <f>IFERROR(__xludf.DUMMYFUNCTION("""COMPUTED_VALUE"""),"Group 1")</f>
        <v>Group 1</v>
      </c>
      <c r="F877" s="13" t="str">
        <f>IFERROR(__xludf.DUMMYFUNCTION("""COMPUTED_VALUE"""),"2024 - 2025")</f>
        <v>2024 - 2025</v>
      </c>
      <c r="G877" s="13" t="str">
        <f>IFERROR(__xludf.DUMMYFUNCTION("""COMPUTED_VALUE"""),"2023 - 2024")</f>
        <v>2023 - 2024</v>
      </c>
      <c r="H877" s="13">
        <f>IFERROR(__xludf.DUMMYFUNCTION("""COMPUTED_VALUE"""),83.04)</f>
        <v>83.04</v>
      </c>
      <c r="I877" s="15">
        <f>IFERROR(__xludf.DUMMYFUNCTION("""COMPUTED_VALUE"""),16.959999999999994)</f>
        <v>16.96</v>
      </c>
    </row>
    <row r="878">
      <c r="A878" s="13" t="str">
        <f>IFERROR(__xludf.DUMMYFUNCTION("""COMPUTED_VALUE"""),"1500")</f>
        <v>1500</v>
      </c>
      <c r="B878" s="13" t="str">
        <f>IFERROR(__xludf.DUMMYFUNCTION("""COMPUTED_VALUE"""),"BURLINGTON RE-6J")</f>
        <v>BURLINGTON RE-6J</v>
      </c>
      <c r="C878" s="14" t="str">
        <f>IFERROR(__xludf.DUMMYFUNCTION("""COMPUTED_VALUE"""),"01152")</f>
        <v>01152</v>
      </c>
      <c r="D878" s="13" t="str">
        <f>IFERROR(__xludf.DUMMYFUNCTION("""COMPUTED_VALUE"""),"BURLINGTON HIGH SCHOOL")</f>
        <v>BURLINGTON HIGH SCHOOL</v>
      </c>
      <c r="E878" s="13" t="str">
        <f>IFERROR(__xludf.DUMMYFUNCTION("""COMPUTED_VALUE"""),"Group 1")</f>
        <v>Group 1</v>
      </c>
      <c r="F878" s="13" t="str">
        <f>IFERROR(__xludf.DUMMYFUNCTION("""COMPUTED_VALUE"""),"2024 - 2025")</f>
        <v>2024 - 2025</v>
      </c>
      <c r="G878" s="13" t="str">
        <f>IFERROR(__xludf.DUMMYFUNCTION("""COMPUTED_VALUE"""),"2023 - 2024")</f>
        <v>2023 - 2024</v>
      </c>
      <c r="H878" s="13">
        <f>IFERROR(__xludf.DUMMYFUNCTION("""COMPUTED_VALUE"""),83.04)</f>
        <v>83.04</v>
      </c>
      <c r="I878" s="15">
        <f>IFERROR(__xludf.DUMMYFUNCTION("""COMPUTED_VALUE"""),16.959999999999994)</f>
        <v>16.96</v>
      </c>
    </row>
    <row r="879">
      <c r="A879" s="13" t="str">
        <f>IFERROR(__xludf.DUMMYFUNCTION("""COMPUTED_VALUE"""),"1510")</f>
        <v>1510</v>
      </c>
      <c r="B879" s="13" t="str">
        <f>IFERROR(__xludf.DUMMYFUNCTION("""COMPUTED_VALUE"""),"LAKE COUNTY R-1")</f>
        <v>LAKE COUNTY R-1</v>
      </c>
      <c r="C879" s="14" t="str">
        <f>IFERROR(__xludf.DUMMYFUNCTION("""COMPUTED_VALUE"""),"09486")</f>
        <v>09486</v>
      </c>
      <c r="D879" s="13" t="str">
        <f>IFERROR(__xludf.DUMMYFUNCTION("""COMPUTED_VALUE"""),"Lake County Elementary School")</f>
        <v>Lake County Elementary School</v>
      </c>
      <c r="E879" s="13" t="str">
        <f>IFERROR(__xludf.DUMMYFUNCTION("""COMPUTED_VALUE"""),"Group 1")</f>
        <v>Group 1</v>
      </c>
      <c r="F879" s="13" t="str">
        <f>IFERROR(__xludf.DUMMYFUNCTION("""COMPUTED_VALUE"""),"2024 - 2025")</f>
        <v>2024 - 2025</v>
      </c>
      <c r="G879" s="13" t="str">
        <f>IFERROR(__xludf.DUMMYFUNCTION("""COMPUTED_VALUE"""),"2023 - 2024")</f>
        <v>2023 - 2024</v>
      </c>
      <c r="H879" s="13">
        <f>IFERROR(__xludf.DUMMYFUNCTION("""COMPUTED_VALUE"""),66.74)</f>
        <v>66.74</v>
      </c>
      <c r="I879" s="15">
        <f>IFERROR(__xludf.DUMMYFUNCTION("""COMPUTED_VALUE"""),33.260000000000005)</f>
        <v>33.26</v>
      </c>
    </row>
    <row r="880">
      <c r="A880" s="13" t="str">
        <f>IFERROR(__xludf.DUMMYFUNCTION("""COMPUTED_VALUE"""),"1510")</f>
        <v>1510</v>
      </c>
      <c r="B880" s="13" t="str">
        <f>IFERROR(__xludf.DUMMYFUNCTION("""COMPUTED_VALUE"""),"LAKE COUNTY R-1")</f>
        <v>LAKE COUNTY R-1</v>
      </c>
      <c r="C880" s="14" t="str">
        <f>IFERROR(__xludf.DUMMYFUNCTION("""COMPUTED_VALUE"""),"01700")</f>
        <v>01700</v>
      </c>
      <c r="D880" s="13" t="str">
        <f>IFERROR(__xludf.DUMMYFUNCTION("""COMPUTED_VALUE"""),"Cloud City High School")</f>
        <v>Cloud City High School</v>
      </c>
      <c r="E880" s="13" t="str">
        <f>IFERROR(__xludf.DUMMYFUNCTION("""COMPUTED_VALUE"""),"Group 1")</f>
        <v>Group 1</v>
      </c>
      <c r="F880" s="13" t="str">
        <f>IFERROR(__xludf.DUMMYFUNCTION("""COMPUTED_VALUE"""),"2024 - 2025")</f>
        <v>2024 - 2025</v>
      </c>
      <c r="G880" s="13" t="str">
        <f>IFERROR(__xludf.DUMMYFUNCTION("""COMPUTED_VALUE"""),"2023 - 2024")</f>
        <v>2023 - 2024</v>
      </c>
      <c r="H880" s="13">
        <f>IFERROR(__xludf.DUMMYFUNCTION("""COMPUTED_VALUE"""),66.74)</f>
        <v>66.74</v>
      </c>
      <c r="I880" s="15">
        <f>IFERROR(__xludf.DUMMYFUNCTION("""COMPUTED_VALUE"""),33.260000000000005)</f>
        <v>33.26</v>
      </c>
    </row>
    <row r="881">
      <c r="A881" s="13" t="str">
        <f>IFERROR(__xludf.DUMMYFUNCTION("""COMPUTED_VALUE"""),"1510")</f>
        <v>1510</v>
      </c>
      <c r="B881" s="13" t="str">
        <f>IFERROR(__xludf.DUMMYFUNCTION("""COMPUTED_VALUE"""),"LAKE COUNTY R-1")</f>
        <v>LAKE COUNTY R-1</v>
      </c>
      <c r="C881" s="14" t="str">
        <f>IFERROR(__xludf.DUMMYFUNCTION("""COMPUTED_VALUE"""),"04901")</f>
        <v>04901</v>
      </c>
      <c r="D881" s="13" t="str">
        <f>IFERROR(__xludf.DUMMYFUNCTION("""COMPUTED_VALUE"""),"LAKE COUNTY INTERMEDIATE SCHOOL")</f>
        <v>LAKE COUNTY INTERMEDIATE SCHOOL</v>
      </c>
      <c r="E881" s="13" t="str">
        <f>IFERROR(__xludf.DUMMYFUNCTION("""COMPUTED_VALUE"""),"Group 2")</f>
        <v>Group 2</v>
      </c>
      <c r="F881" s="13" t="str">
        <f>IFERROR(__xludf.DUMMYFUNCTION("""COMPUTED_VALUE"""),"2024 - 2025")</f>
        <v>2024 - 2025</v>
      </c>
      <c r="G881" s="13" t="str">
        <f>IFERROR(__xludf.DUMMYFUNCTION("""COMPUTED_VALUE"""),"2023 - 2024")</f>
        <v>2023 - 2024</v>
      </c>
      <c r="H881" s="13">
        <f>IFERROR(__xludf.DUMMYFUNCTION("""COMPUTED_VALUE"""),65.86)</f>
        <v>65.86</v>
      </c>
      <c r="I881" s="15">
        <f>IFERROR(__xludf.DUMMYFUNCTION("""COMPUTED_VALUE"""),34.14)</f>
        <v>34.14</v>
      </c>
    </row>
    <row r="882">
      <c r="A882" s="13" t="str">
        <f>IFERROR(__xludf.DUMMYFUNCTION("""COMPUTED_VALUE"""),"1510")</f>
        <v>1510</v>
      </c>
      <c r="B882" s="13" t="str">
        <f>IFERROR(__xludf.DUMMYFUNCTION("""COMPUTED_VALUE"""),"LAKE COUNTY R-1")</f>
        <v>LAKE COUNTY R-1</v>
      </c>
      <c r="C882" s="14" t="str">
        <f>IFERROR(__xludf.DUMMYFUNCTION("""COMPUTED_VALUE"""),"04904")</f>
        <v>04904</v>
      </c>
      <c r="D882" s="13" t="str">
        <f>IFERROR(__xludf.DUMMYFUNCTION("""COMPUTED_VALUE"""),"LAKE COUNTY HIGH SCHOOL")</f>
        <v>LAKE COUNTY HIGH SCHOOL</v>
      </c>
      <c r="E882" s="13" t="str">
        <f>IFERROR(__xludf.DUMMYFUNCTION("""COMPUTED_VALUE"""),"Group 3")</f>
        <v>Group 3</v>
      </c>
      <c r="F882" s="13" t="str">
        <f>IFERROR(__xludf.DUMMYFUNCTION("""COMPUTED_VALUE"""),"2024 - 2025")</f>
        <v>2024 - 2025</v>
      </c>
      <c r="G882" s="13" t="str">
        <f>IFERROR(__xludf.DUMMYFUNCTION("""COMPUTED_VALUE"""),"2023 - 2024")</f>
        <v>2023 - 2024</v>
      </c>
      <c r="H882" s="13">
        <f>IFERROR(__xludf.DUMMYFUNCTION("""COMPUTED_VALUE"""),51.71)</f>
        <v>51.71</v>
      </c>
      <c r="I882" s="15">
        <f>IFERROR(__xludf.DUMMYFUNCTION("""COMPUTED_VALUE"""),48.29)</f>
        <v>48.29</v>
      </c>
    </row>
    <row r="883">
      <c r="A883" s="13" t="str">
        <f>IFERROR(__xludf.DUMMYFUNCTION("""COMPUTED_VALUE"""),"1520")</f>
        <v>1520</v>
      </c>
      <c r="B883" s="13" t="str">
        <f>IFERROR(__xludf.DUMMYFUNCTION("""COMPUTED_VALUE"""),"DURANGO 9-R")</f>
        <v>DURANGO 9-R</v>
      </c>
      <c r="C883" s="14" t="str">
        <f>IFERROR(__xludf.DUMMYFUNCTION("""COMPUTED_VALUE"""),"03012")</f>
        <v>03012</v>
      </c>
      <c r="D883" s="13" t="str">
        <f>IFERROR(__xludf.DUMMYFUNCTION("""COMPUTED_VALUE"""),"FLORIDA MESA ELEMENTARY SCHOOL")</f>
        <v>FLORIDA MESA ELEMENTARY SCHOOL</v>
      </c>
      <c r="E883" s="13" t="str">
        <f>IFERROR(__xludf.DUMMYFUNCTION("""COMPUTED_VALUE"""),"Group 1")</f>
        <v>Group 1</v>
      </c>
      <c r="F883" s="13" t="str">
        <f>IFERROR(__xludf.DUMMYFUNCTION("""COMPUTED_VALUE"""),"2024 - 2025")</f>
        <v>2024 - 2025</v>
      </c>
      <c r="G883" s="13" t="str">
        <f>IFERROR(__xludf.DUMMYFUNCTION("""COMPUTED_VALUE"""),"2023 - 2024")</f>
        <v>2023 - 2024</v>
      </c>
      <c r="H883" s="13">
        <f>IFERROR(__xludf.DUMMYFUNCTION("""COMPUTED_VALUE"""),76.58)</f>
        <v>76.58</v>
      </c>
      <c r="I883" s="15">
        <f>IFERROR(__xludf.DUMMYFUNCTION("""COMPUTED_VALUE"""),23.42)</f>
        <v>23.42</v>
      </c>
    </row>
    <row r="884">
      <c r="A884" s="13" t="str">
        <f>IFERROR(__xludf.DUMMYFUNCTION("""COMPUTED_VALUE"""),"1520")</f>
        <v>1520</v>
      </c>
      <c r="B884" s="13" t="str">
        <f>IFERROR(__xludf.DUMMYFUNCTION("""COMPUTED_VALUE"""),"DURANGO 9-R")</f>
        <v>DURANGO 9-R</v>
      </c>
      <c r="C884" s="14" t="str">
        <f>IFERROR(__xludf.DUMMYFUNCTION("""COMPUTED_VALUE"""),"06738")</f>
        <v>06738</v>
      </c>
      <c r="D884" s="13" t="str">
        <f>IFERROR(__xludf.DUMMYFUNCTION("""COMPUTED_VALUE"""),"PARK ELEMENTARY SCHOOL")</f>
        <v>PARK ELEMENTARY SCHOOL</v>
      </c>
      <c r="E884" s="13" t="str">
        <f>IFERROR(__xludf.DUMMYFUNCTION("""COMPUTED_VALUE"""),"Group 2")</f>
        <v>Group 2</v>
      </c>
      <c r="F884" s="13" t="str">
        <f>IFERROR(__xludf.DUMMYFUNCTION("""COMPUTED_VALUE"""),"2024 - 2025")</f>
        <v>2024 - 2025</v>
      </c>
      <c r="G884" s="13" t="str">
        <f>IFERROR(__xludf.DUMMYFUNCTION("""COMPUTED_VALUE"""),"2023 - 2024")</f>
        <v>2023 - 2024</v>
      </c>
      <c r="H884" s="13">
        <f>IFERROR(__xludf.DUMMYFUNCTION("""COMPUTED_VALUE"""),57.36)</f>
        <v>57.36</v>
      </c>
      <c r="I884" s="15">
        <f>IFERROR(__xludf.DUMMYFUNCTION("""COMPUTED_VALUE"""),42.64)</f>
        <v>42.64</v>
      </c>
    </row>
    <row r="885">
      <c r="A885" s="13" t="str">
        <f>IFERROR(__xludf.DUMMYFUNCTION("""COMPUTED_VALUE"""),"1520")</f>
        <v>1520</v>
      </c>
      <c r="B885" s="13" t="str">
        <f>IFERROR(__xludf.DUMMYFUNCTION("""COMPUTED_VALUE"""),"DURANGO 9-R")</f>
        <v>DURANGO 9-R</v>
      </c>
      <c r="C885" s="14" t="str">
        <f>IFERROR(__xludf.DUMMYFUNCTION("""COMPUTED_VALUE"""),"03571")</f>
        <v>03571</v>
      </c>
      <c r="D885" s="13" t="str">
        <f>IFERROR(__xludf.DUMMYFUNCTION("""COMPUTED_VALUE"""),"DURANGO BIG PICTURE HIGH SCHOOL")</f>
        <v>DURANGO BIG PICTURE HIGH SCHOOL</v>
      </c>
      <c r="E885" s="13" t="str">
        <f>IFERROR(__xludf.DUMMYFUNCTION("""COMPUTED_VALUE"""),"Group 2")</f>
        <v>Group 2</v>
      </c>
      <c r="F885" s="13" t="str">
        <f>IFERROR(__xludf.DUMMYFUNCTION("""COMPUTED_VALUE"""),"2024 - 2025")</f>
        <v>2024 - 2025</v>
      </c>
      <c r="G885" s="13" t="str">
        <f>IFERROR(__xludf.DUMMYFUNCTION("""COMPUTED_VALUE"""),"2023 - 2024")</f>
        <v>2023 - 2024</v>
      </c>
      <c r="H885" s="13">
        <f>IFERROR(__xludf.DUMMYFUNCTION("""COMPUTED_VALUE"""),57.36)</f>
        <v>57.36</v>
      </c>
      <c r="I885" s="15">
        <f>IFERROR(__xludf.DUMMYFUNCTION("""COMPUTED_VALUE"""),42.64)</f>
        <v>42.64</v>
      </c>
    </row>
    <row r="886">
      <c r="A886" s="13" t="str">
        <f>IFERROR(__xludf.DUMMYFUNCTION("""COMPUTED_VALUE"""),"1520")</f>
        <v>1520</v>
      </c>
      <c r="B886" s="13" t="str">
        <f>IFERROR(__xludf.DUMMYFUNCTION("""COMPUTED_VALUE"""),"DURANGO 9-R")</f>
        <v>DURANGO 9-R</v>
      </c>
      <c r="C886" s="14" t="str">
        <f>IFERROR(__xludf.DUMMYFUNCTION("""COMPUTED_VALUE"""),"06222")</f>
        <v>06222</v>
      </c>
      <c r="D886" s="13" t="str">
        <f>IFERROR(__xludf.DUMMYFUNCTION("""COMPUTED_VALUE"""),"NEEDHAM ELEMENTARY SCHOOL")</f>
        <v>NEEDHAM ELEMENTARY SCHOOL</v>
      </c>
      <c r="E886" s="13" t="str">
        <f>IFERROR(__xludf.DUMMYFUNCTION("""COMPUTED_VALUE"""),"Group 3")</f>
        <v>Group 3</v>
      </c>
      <c r="F886" s="13" t="str">
        <f>IFERROR(__xludf.DUMMYFUNCTION("""COMPUTED_VALUE"""),"2024 - 2025")</f>
        <v>2024 - 2025</v>
      </c>
      <c r="G886" s="13" t="str">
        <f>IFERROR(__xludf.DUMMYFUNCTION("""COMPUTED_VALUE"""),"2023 - 2024")</f>
        <v>2023 - 2024</v>
      </c>
      <c r="H886" s="13">
        <f>IFERROR(__xludf.DUMMYFUNCTION("""COMPUTED_VALUE"""),61.42)</f>
        <v>61.42</v>
      </c>
      <c r="I886" s="15">
        <f>IFERROR(__xludf.DUMMYFUNCTION("""COMPUTED_VALUE"""),38.58)</f>
        <v>38.58</v>
      </c>
    </row>
    <row r="887">
      <c r="A887" s="13" t="str">
        <f>IFERROR(__xludf.DUMMYFUNCTION("""COMPUTED_VALUE"""),"1520")</f>
        <v>1520</v>
      </c>
      <c r="B887" s="13" t="str">
        <f>IFERROR(__xludf.DUMMYFUNCTION("""COMPUTED_VALUE"""),"DURANGO 9-R")</f>
        <v>DURANGO 9-R</v>
      </c>
      <c r="C887" s="14" t="str">
        <f>IFERROR(__xludf.DUMMYFUNCTION("""COMPUTED_VALUE"""),"08388")</f>
        <v>08388</v>
      </c>
      <c r="D887" s="13" t="str">
        <f>IFERROR(__xludf.DUMMYFUNCTION("""COMPUTED_VALUE"""),"SUNNYSIDE ELEMENTARY SCHOOL")</f>
        <v>SUNNYSIDE ELEMENTARY SCHOOL</v>
      </c>
      <c r="E887" s="13" t="str">
        <f>IFERROR(__xludf.DUMMYFUNCTION("""COMPUTED_VALUE"""),"Group 3")</f>
        <v>Group 3</v>
      </c>
      <c r="F887" s="13" t="str">
        <f>IFERROR(__xludf.DUMMYFUNCTION("""COMPUTED_VALUE"""),"2024 - 2025")</f>
        <v>2024 - 2025</v>
      </c>
      <c r="G887" s="13" t="str">
        <f>IFERROR(__xludf.DUMMYFUNCTION("""COMPUTED_VALUE"""),"2023 - 2024")</f>
        <v>2023 - 2024</v>
      </c>
      <c r="H887" s="13">
        <f>IFERROR(__xludf.DUMMYFUNCTION("""COMPUTED_VALUE"""),61.42)</f>
        <v>61.42</v>
      </c>
      <c r="I887" s="15">
        <f>IFERROR(__xludf.DUMMYFUNCTION("""COMPUTED_VALUE"""),38.58)</f>
        <v>38.58</v>
      </c>
    </row>
    <row r="888">
      <c r="A888" s="13" t="str">
        <f>IFERROR(__xludf.DUMMYFUNCTION("""COMPUTED_VALUE"""),"1520")</f>
        <v>1520</v>
      </c>
      <c r="B888" s="13" t="str">
        <f>IFERROR(__xludf.DUMMYFUNCTION("""COMPUTED_VALUE"""),"DURANGO 9-R")</f>
        <v>DURANGO 9-R</v>
      </c>
      <c r="C888" s="14" t="str">
        <f>IFERROR(__xludf.DUMMYFUNCTION("""COMPUTED_VALUE"""),"00225")</f>
        <v>00225</v>
      </c>
      <c r="D888" s="13" t="str">
        <f>IFERROR(__xludf.DUMMYFUNCTION("""COMPUTED_VALUE"""),"ANIMAS VALLEY ELEMENTARY SCHOOL")</f>
        <v>ANIMAS VALLEY ELEMENTARY SCHOOL</v>
      </c>
      <c r="E888" s="13" t="str">
        <f>IFERROR(__xludf.DUMMYFUNCTION("""COMPUTED_VALUE"""),"Group 4")</f>
        <v>Group 4</v>
      </c>
      <c r="F888" s="13" t="str">
        <f>IFERROR(__xludf.DUMMYFUNCTION("""COMPUTED_VALUE"""),"2024 - 2025")</f>
        <v>2024 - 2025</v>
      </c>
      <c r="G888" s="13" t="str">
        <f>IFERROR(__xludf.DUMMYFUNCTION("""COMPUTED_VALUE"""),"2023 - 2024")</f>
        <v>2023 - 2024</v>
      </c>
      <c r="H888" s="13">
        <f>IFERROR(__xludf.DUMMYFUNCTION("""COMPUTED_VALUE"""),56.02)</f>
        <v>56.02</v>
      </c>
      <c r="I888" s="15">
        <f>IFERROR(__xludf.DUMMYFUNCTION("""COMPUTED_VALUE"""),43.98)</f>
        <v>43.98</v>
      </c>
    </row>
    <row r="889">
      <c r="A889" s="13" t="str">
        <f>IFERROR(__xludf.DUMMYFUNCTION("""COMPUTED_VALUE"""),"1520")</f>
        <v>1520</v>
      </c>
      <c r="B889" s="13" t="str">
        <f>IFERROR(__xludf.DUMMYFUNCTION("""COMPUTED_VALUE"""),"DURANGO 9-R")</f>
        <v>DURANGO 9-R</v>
      </c>
      <c r="C889" s="14" t="str">
        <f>IFERROR(__xludf.DUMMYFUNCTION("""COMPUTED_VALUE"""),"07994")</f>
        <v>07994</v>
      </c>
      <c r="D889" s="13" t="str">
        <f>IFERROR(__xludf.DUMMYFUNCTION("""COMPUTED_VALUE"""),"ESCALANTE MIDDLE SCHOOL")</f>
        <v>ESCALANTE MIDDLE SCHOOL</v>
      </c>
      <c r="E889" s="13" t="str">
        <f>IFERROR(__xludf.DUMMYFUNCTION("""COMPUTED_VALUE"""),"Group 4")</f>
        <v>Group 4</v>
      </c>
      <c r="F889" s="13" t="str">
        <f>IFERROR(__xludf.DUMMYFUNCTION("""COMPUTED_VALUE"""),"2024 - 2025")</f>
        <v>2024 - 2025</v>
      </c>
      <c r="G889" s="13" t="str">
        <f>IFERROR(__xludf.DUMMYFUNCTION("""COMPUTED_VALUE"""),"2023 - 2024")</f>
        <v>2023 - 2024</v>
      </c>
      <c r="H889" s="13">
        <f>IFERROR(__xludf.DUMMYFUNCTION("""COMPUTED_VALUE"""),56.02)</f>
        <v>56.02</v>
      </c>
      <c r="I889" s="15">
        <f>IFERROR(__xludf.DUMMYFUNCTION("""COMPUTED_VALUE"""),43.98)</f>
        <v>43.98</v>
      </c>
    </row>
    <row r="890">
      <c r="A890" s="13" t="str">
        <f>IFERROR(__xludf.DUMMYFUNCTION("""COMPUTED_VALUE"""),"1520")</f>
        <v>1520</v>
      </c>
      <c r="B890" s="13" t="str">
        <f>IFERROR(__xludf.DUMMYFUNCTION("""COMPUTED_VALUE"""),"DURANGO 9-R")</f>
        <v>DURANGO 9-R</v>
      </c>
      <c r="C890" s="14" t="str">
        <f>IFERROR(__xludf.DUMMYFUNCTION("""COMPUTED_VALUE"""),"03050")</f>
        <v>03050</v>
      </c>
      <c r="D890" s="13" t="str">
        <f>IFERROR(__xludf.DUMMYFUNCTION("""COMPUTED_VALUE"""),"FORT LEWIS MESA ELEMENTARY SCHOOL")</f>
        <v>FORT LEWIS MESA ELEMENTARY SCHOOL</v>
      </c>
      <c r="E890" s="13" t="str">
        <f>IFERROR(__xludf.DUMMYFUNCTION("""COMPUTED_VALUE"""),"Group 5")</f>
        <v>Group 5</v>
      </c>
      <c r="F890" s="13" t="str">
        <f>IFERROR(__xludf.DUMMYFUNCTION("""COMPUTED_VALUE"""),"2024 - 2025")</f>
        <v>2024 - 2025</v>
      </c>
      <c r="G890" s="13" t="str">
        <f>IFERROR(__xludf.DUMMYFUNCTION("""COMPUTED_VALUE"""),"2023 - 2024")</f>
        <v>2023 - 2024</v>
      </c>
      <c r="H890" s="13">
        <f>IFERROR(__xludf.DUMMYFUNCTION("""COMPUTED_VALUE"""),70.27)</f>
        <v>70.27</v>
      </c>
      <c r="I890" s="15">
        <f>IFERROR(__xludf.DUMMYFUNCTION("""COMPUTED_VALUE"""),29.730000000000004)</f>
        <v>29.73</v>
      </c>
    </row>
    <row r="891">
      <c r="A891" s="13" t="str">
        <f>IFERROR(__xludf.DUMMYFUNCTION("""COMPUTED_VALUE"""),"1520")</f>
        <v>1520</v>
      </c>
      <c r="B891" s="13" t="str">
        <f>IFERROR(__xludf.DUMMYFUNCTION("""COMPUTED_VALUE"""),"DURANGO 9-R")</f>
        <v>DURANGO 9-R</v>
      </c>
      <c r="C891" s="14" t="str">
        <f>IFERROR(__xludf.DUMMYFUNCTION("""COMPUTED_VALUE"""),"05486")</f>
        <v>05486</v>
      </c>
      <c r="D891" s="13" t="str">
        <f>IFERROR(__xludf.DUMMYFUNCTION("""COMPUTED_VALUE"""),"NEEDHAM PRESCHOOL")</f>
        <v>NEEDHAM PRESCHOOL</v>
      </c>
      <c r="E891" s="13" t="str">
        <f>IFERROR(__xludf.DUMMYFUNCTION("""COMPUTED_VALUE"""),"Group 5")</f>
        <v>Group 5</v>
      </c>
      <c r="F891" s="13" t="str">
        <f>IFERROR(__xludf.DUMMYFUNCTION("""COMPUTED_VALUE"""),"2024 - 2025")</f>
        <v>2024 - 2025</v>
      </c>
      <c r="G891" s="13" t="str">
        <f>IFERROR(__xludf.DUMMYFUNCTION("""COMPUTED_VALUE"""),"2023 - 2024")</f>
        <v>2023 - 2024</v>
      </c>
      <c r="H891" s="13">
        <f>IFERROR(__xludf.DUMMYFUNCTION("""COMPUTED_VALUE"""),70.27)</f>
        <v>70.27</v>
      </c>
      <c r="I891" s="15">
        <f>IFERROR(__xludf.DUMMYFUNCTION("""COMPUTED_VALUE"""),29.730000000000004)</f>
        <v>29.73</v>
      </c>
    </row>
    <row r="892">
      <c r="A892" s="13" t="str">
        <f>IFERROR(__xludf.DUMMYFUNCTION("""COMPUTED_VALUE"""),"1520")</f>
        <v>1520</v>
      </c>
      <c r="B892" s="13" t="str">
        <f>IFERROR(__xludf.DUMMYFUNCTION("""COMPUTED_VALUE"""),"DURANGO 9-R")</f>
        <v>DURANGO 9-R</v>
      </c>
      <c r="C892" s="14" t="str">
        <f>IFERROR(__xludf.DUMMYFUNCTION("""COMPUTED_VALUE"""),"05888")</f>
        <v>05888</v>
      </c>
      <c r="D892" s="13" t="str">
        <f>IFERROR(__xludf.DUMMYFUNCTION("""COMPUTED_VALUE"""),"MILLER MIDDLE SCHOOL")</f>
        <v>MILLER MIDDLE SCHOOL</v>
      </c>
      <c r="E892" s="13" t="str">
        <f>IFERROR(__xludf.DUMMYFUNCTION("""COMPUTED_VALUE"""),"Group 6")</f>
        <v>Group 6</v>
      </c>
      <c r="F892" s="13" t="str">
        <f>IFERROR(__xludf.DUMMYFUNCTION("""COMPUTED_VALUE"""),"2024 - 2025")</f>
        <v>2024 - 2025</v>
      </c>
      <c r="G892" s="13" t="str">
        <f>IFERROR(__xludf.DUMMYFUNCTION("""COMPUTED_VALUE"""),"2023 - 2024")</f>
        <v>2023 - 2024</v>
      </c>
      <c r="H892" s="13">
        <f>IFERROR(__xludf.DUMMYFUNCTION("""COMPUTED_VALUE"""),43.31)</f>
        <v>43.31</v>
      </c>
      <c r="I892" s="15">
        <f>IFERROR(__xludf.DUMMYFUNCTION("""COMPUTED_VALUE"""),56.69)</f>
        <v>56.69</v>
      </c>
    </row>
    <row r="893">
      <c r="A893" s="13" t="str">
        <f>IFERROR(__xludf.DUMMYFUNCTION("""COMPUTED_VALUE"""),"1520")</f>
        <v>1520</v>
      </c>
      <c r="B893" s="13" t="str">
        <f>IFERROR(__xludf.DUMMYFUNCTION("""COMPUTED_VALUE"""),"DURANGO 9-R")</f>
        <v>DURANGO 9-R</v>
      </c>
      <c r="C893" s="14" t="str">
        <f>IFERROR(__xludf.DUMMYFUNCTION("""COMPUTED_VALUE"""),"07402")</f>
        <v>07402</v>
      </c>
      <c r="D893" s="13" t="str">
        <f>IFERROR(__xludf.DUMMYFUNCTION("""COMPUTED_VALUE"""),"RIVERVIEW ELEMENTARY SCHOOL")</f>
        <v>RIVERVIEW ELEMENTARY SCHOOL</v>
      </c>
      <c r="E893" s="13" t="str">
        <f>IFERROR(__xludf.DUMMYFUNCTION("""COMPUTED_VALUE"""),"Group 6")</f>
        <v>Group 6</v>
      </c>
      <c r="F893" s="13" t="str">
        <f>IFERROR(__xludf.DUMMYFUNCTION("""COMPUTED_VALUE"""),"2024 - 2025")</f>
        <v>2024 - 2025</v>
      </c>
      <c r="G893" s="13" t="str">
        <f>IFERROR(__xludf.DUMMYFUNCTION("""COMPUTED_VALUE"""),"2023 - 2024")</f>
        <v>2023 - 2024</v>
      </c>
      <c r="H893" s="13">
        <f>IFERROR(__xludf.DUMMYFUNCTION("""COMPUTED_VALUE"""),43.31)</f>
        <v>43.31</v>
      </c>
      <c r="I893" s="15">
        <f>IFERROR(__xludf.DUMMYFUNCTION("""COMPUTED_VALUE"""),56.69)</f>
        <v>56.69</v>
      </c>
    </row>
    <row r="894">
      <c r="A894" s="13" t="str">
        <f>IFERROR(__xludf.DUMMYFUNCTION("""COMPUTED_VALUE"""),"1520")</f>
        <v>1520</v>
      </c>
      <c r="B894" s="13" t="str">
        <f>IFERROR(__xludf.DUMMYFUNCTION("""COMPUTED_VALUE"""),"DURANGO 9-R")</f>
        <v>DURANGO 9-R</v>
      </c>
      <c r="C894" s="14" t="str">
        <f>IFERROR(__xludf.DUMMYFUNCTION("""COMPUTED_VALUE"""),"04384")</f>
        <v>04384</v>
      </c>
      <c r="D894" s="13" t="str">
        <f>IFERROR(__xludf.DUMMYFUNCTION("""COMPUTED_VALUE"""),"The Juniper School")</f>
        <v>The Juniper School</v>
      </c>
      <c r="E894" s="13" t="str">
        <f>IFERROR(__xludf.DUMMYFUNCTION("""COMPUTED_VALUE"""),"Group 6")</f>
        <v>Group 6</v>
      </c>
      <c r="F894" s="13" t="str">
        <f>IFERROR(__xludf.DUMMYFUNCTION("""COMPUTED_VALUE"""),"2024 - 2025")</f>
        <v>2024 - 2025</v>
      </c>
      <c r="G894" s="13" t="str">
        <f>IFERROR(__xludf.DUMMYFUNCTION("""COMPUTED_VALUE"""),"2023 - 2024")</f>
        <v>2023 - 2024</v>
      </c>
      <c r="H894" s="13">
        <f>IFERROR(__xludf.DUMMYFUNCTION("""COMPUTED_VALUE"""),43.31)</f>
        <v>43.31</v>
      </c>
      <c r="I894" s="15">
        <f>IFERROR(__xludf.DUMMYFUNCTION("""COMPUTED_VALUE"""),56.69)</f>
        <v>56.69</v>
      </c>
    </row>
    <row r="895">
      <c r="A895" s="13" t="str">
        <f>IFERROR(__xludf.DUMMYFUNCTION("""COMPUTED_VALUE"""),"1530")</f>
        <v>1530</v>
      </c>
      <c r="B895" s="13" t="str">
        <f>IFERROR(__xludf.DUMMYFUNCTION("""COMPUTED_VALUE"""),"BAYFIELD 10 JT-R")</f>
        <v>BAYFIELD 10 JT-R</v>
      </c>
      <c r="C895" s="14" t="str">
        <f>IFERROR(__xludf.DUMMYFUNCTION("""COMPUTED_VALUE"""),"00636")</f>
        <v>00636</v>
      </c>
      <c r="D895" s="13" t="str">
        <f>IFERROR(__xludf.DUMMYFUNCTION("""COMPUTED_VALUE"""),"BAYFIELD MIDDLE SCHOOL")</f>
        <v>BAYFIELD MIDDLE SCHOOL</v>
      </c>
      <c r="E895" s="13" t="str">
        <f>IFERROR(__xludf.DUMMYFUNCTION("""COMPUTED_VALUE"""),"Group 1")</f>
        <v>Group 1</v>
      </c>
      <c r="F895" s="13" t="str">
        <f>IFERROR(__xludf.DUMMYFUNCTION("""COMPUTED_VALUE"""),"2024 - 2025")</f>
        <v>2024 - 2025</v>
      </c>
      <c r="G895" s="13" t="str">
        <f>IFERROR(__xludf.DUMMYFUNCTION("""COMPUTED_VALUE"""),"2023 - 2024")</f>
        <v>2023 - 2024</v>
      </c>
      <c r="H895" s="13">
        <f>IFERROR(__xludf.DUMMYFUNCTION("""COMPUTED_VALUE"""),46.29)</f>
        <v>46.29</v>
      </c>
      <c r="I895" s="15">
        <f>IFERROR(__xludf.DUMMYFUNCTION("""COMPUTED_VALUE"""),53.71)</f>
        <v>53.71</v>
      </c>
    </row>
    <row r="896">
      <c r="A896" s="13" t="str">
        <f>IFERROR(__xludf.DUMMYFUNCTION("""COMPUTED_VALUE"""),"1530")</f>
        <v>1530</v>
      </c>
      <c r="B896" s="13" t="str">
        <f>IFERROR(__xludf.DUMMYFUNCTION("""COMPUTED_VALUE"""),"BAYFIELD 10 JT-R")</f>
        <v>BAYFIELD 10 JT-R</v>
      </c>
      <c r="C896" s="14" t="str">
        <f>IFERROR(__xludf.DUMMYFUNCTION("""COMPUTED_VALUE"""),"00640")</f>
        <v>00640</v>
      </c>
      <c r="D896" s="13" t="str">
        <f>IFERROR(__xludf.DUMMYFUNCTION("""COMPUTED_VALUE"""),"BAYFIELD HIGH SCHOOL")</f>
        <v>BAYFIELD HIGH SCHOOL</v>
      </c>
      <c r="E896" s="13" t="str">
        <f>IFERROR(__xludf.DUMMYFUNCTION("""COMPUTED_VALUE"""),"Group 2")</f>
        <v>Group 2</v>
      </c>
      <c r="F896" s="13" t="str">
        <f>IFERROR(__xludf.DUMMYFUNCTION("""COMPUTED_VALUE"""),"2024 - 2025")</f>
        <v>2024 - 2025</v>
      </c>
      <c r="G896" s="13" t="str">
        <f>IFERROR(__xludf.DUMMYFUNCTION("""COMPUTED_VALUE"""),"2023 - 2024")</f>
        <v>2023 - 2024</v>
      </c>
      <c r="H896" s="13">
        <f>IFERROR(__xludf.DUMMYFUNCTION("""COMPUTED_VALUE"""),40.96)</f>
        <v>40.96</v>
      </c>
      <c r="I896" s="15">
        <f>IFERROR(__xludf.DUMMYFUNCTION("""COMPUTED_VALUE"""),59.04)</f>
        <v>59.04</v>
      </c>
    </row>
    <row r="897">
      <c r="A897" s="13" t="str">
        <f>IFERROR(__xludf.DUMMYFUNCTION("""COMPUTED_VALUE"""),"1530")</f>
        <v>1530</v>
      </c>
      <c r="B897" s="13" t="str">
        <f>IFERROR(__xludf.DUMMYFUNCTION("""COMPUTED_VALUE"""),"BAYFIELD 10 JT-R")</f>
        <v>BAYFIELD 10 JT-R</v>
      </c>
      <c r="C897" s="14" t="str">
        <f>IFERROR(__xludf.DUMMYFUNCTION("""COMPUTED_VALUE"""),"00642")</f>
        <v>00642</v>
      </c>
      <c r="D897" s="13" t="str">
        <f>IFERROR(__xludf.DUMMYFUNCTION("""COMPUTED_VALUE"""),"BAYFIELD PRIMARY SCHOOL")</f>
        <v>BAYFIELD PRIMARY SCHOOL</v>
      </c>
      <c r="E897" s="13" t="str">
        <f>IFERROR(__xludf.DUMMYFUNCTION("""COMPUTED_VALUE"""),"Group 3")</f>
        <v>Group 3</v>
      </c>
      <c r="F897" s="13" t="str">
        <f>IFERROR(__xludf.DUMMYFUNCTION("""COMPUTED_VALUE"""),"2024 - 2025")</f>
        <v>2024 - 2025</v>
      </c>
      <c r="G897" s="13" t="str">
        <f>IFERROR(__xludf.DUMMYFUNCTION("""COMPUTED_VALUE"""),"2023 - 2024")</f>
        <v>2023 - 2024</v>
      </c>
      <c r="H897" s="13">
        <f>IFERROR(__xludf.DUMMYFUNCTION("""COMPUTED_VALUE"""),57.97)</f>
        <v>57.97</v>
      </c>
      <c r="I897" s="15">
        <f>IFERROR(__xludf.DUMMYFUNCTION("""COMPUTED_VALUE"""),42.03)</f>
        <v>42.03</v>
      </c>
    </row>
    <row r="898">
      <c r="A898" s="13" t="str">
        <f>IFERROR(__xludf.DUMMYFUNCTION("""COMPUTED_VALUE"""),"1530")</f>
        <v>1530</v>
      </c>
      <c r="B898" s="13" t="str">
        <f>IFERROR(__xludf.DUMMYFUNCTION("""COMPUTED_VALUE"""),"BAYFIELD 10 JT-R")</f>
        <v>BAYFIELD 10 JT-R</v>
      </c>
      <c r="C898" s="14" t="str">
        <f>IFERROR(__xludf.DUMMYFUNCTION("""COMPUTED_VALUE"""),"00632")</f>
        <v>00632</v>
      </c>
      <c r="D898" s="13" t="str">
        <f>IFERROR(__xludf.DUMMYFUNCTION("""COMPUTED_VALUE"""),"BAYFIELD INTERMEDIATE SCHOOL")</f>
        <v>BAYFIELD INTERMEDIATE SCHOOL</v>
      </c>
      <c r="E898" s="13" t="str">
        <f>IFERROR(__xludf.DUMMYFUNCTION("""COMPUTED_VALUE"""),"Group 3")</f>
        <v>Group 3</v>
      </c>
      <c r="F898" s="13" t="str">
        <f>IFERROR(__xludf.DUMMYFUNCTION("""COMPUTED_VALUE"""),"2024 - 2025")</f>
        <v>2024 - 2025</v>
      </c>
      <c r="G898" s="13" t="str">
        <f>IFERROR(__xludf.DUMMYFUNCTION("""COMPUTED_VALUE"""),"2023 - 2024")</f>
        <v>2023 - 2024</v>
      </c>
      <c r="H898" s="13">
        <f>IFERROR(__xludf.DUMMYFUNCTION("""COMPUTED_VALUE"""),57.97)</f>
        <v>57.97</v>
      </c>
      <c r="I898" s="15">
        <f>IFERROR(__xludf.DUMMYFUNCTION("""COMPUTED_VALUE"""),42.03)</f>
        <v>42.03</v>
      </c>
    </row>
    <row r="899">
      <c r="A899" s="13" t="str">
        <f>IFERROR(__xludf.DUMMYFUNCTION("""COMPUTED_VALUE"""),"1540")</f>
        <v>1540</v>
      </c>
      <c r="B899" s="13" t="str">
        <f>IFERROR(__xludf.DUMMYFUNCTION("""COMPUTED_VALUE"""),"IGNACIO 11 JT")</f>
        <v>IGNACIO 11 JT</v>
      </c>
      <c r="C899" s="14" t="str">
        <f>IFERROR(__xludf.DUMMYFUNCTION("""COMPUTED_VALUE"""),"04252")</f>
        <v>04252</v>
      </c>
      <c r="D899" s="13" t="str">
        <f>IFERROR(__xludf.DUMMYFUNCTION("""COMPUTED_VALUE"""),"IGNACIO ELEMENTARY SCHOOL")</f>
        <v>IGNACIO ELEMENTARY SCHOOL</v>
      </c>
      <c r="E899" s="13" t="str">
        <f>IFERROR(__xludf.DUMMYFUNCTION("""COMPUTED_VALUE"""),"Group 1")</f>
        <v>Group 1</v>
      </c>
      <c r="F899" s="13" t="str">
        <f>IFERROR(__xludf.DUMMYFUNCTION("""COMPUTED_VALUE"""),"2024 - 2025")</f>
        <v>2024 - 2025</v>
      </c>
      <c r="G899" s="13" t="str">
        <f>IFERROR(__xludf.DUMMYFUNCTION("""COMPUTED_VALUE"""),"2023 - 2024")</f>
        <v>2023 - 2024</v>
      </c>
      <c r="H899" s="13">
        <f>IFERROR(__xludf.DUMMYFUNCTION("""COMPUTED_VALUE"""),98.59)</f>
        <v>98.59</v>
      </c>
      <c r="I899" s="15">
        <f>IFERROR(__xludf.DUMMYFUNCTION("""COMPUTED_VALUE"""),1.4099999999999966)</f>
        <v>1.41</v>
      </c>
    </row>
    <row r="900">
      <c r="A900" s="13" t="str">
        <f>IFERROR(__xludf.DUMMYFUNCTION("""COMPUTED_VALUE"""),"1540")</f>
        <v>1540</v>
      </c>
      <c r="B900" s="13" t="str">
        <f>IFERROR(__xludf.DUMMYFUNCTION("""COMPUTED_VALUE"""),"IGNACIO 11 JT")</f>
        <v>IGNACIO 11 JT</v>
      </c>
      <c r="C900" s="14" t="str">
        <f>IFERROR(__xludf.DUMMYFUNCTION("""COMPUTED_VALUE"""),"04254")</f>
        <v>04254</v>
      </c>
      <c r="D900" s="13" t="str">
        <f>IFERROR(__xludf.DUMMYFUNCTION("""COMPUTED_VALUE"""),"IGNACIO MIDDLE SCHOOL")</f>
        <v>IGNACIO MIDDLE SCHOOL</v>
      </c>
      <c r="E900" s="13" t="str">
        <f>IFERROR(__xludf.DUMMYFUNCTION("""COMPUTED_VALUE"""),"Group 1")</f>
        <v>Group 1</v>
      </c>
      <c r="F900" s="13" t="str">
        <f>IFERROR(__xludf.DUMMYFUNCTION("""COMPUTED_VALUE"""),"2024 - 2025")</f>
        <v>2024 - 2025</v>
      </c>
      <c r="G900" s="13" t="str">
        <f>IFERROR(__xludf.DUMMYFUNCTION("""COMPUTED_VALUE"""),"2023 - 2024")</f>
        <v>2023 - 2024</v>
      </c>
      <c r="H900" s="13">
        <f>IFERROR(__xludf.DUMMYFUNCTION("""COMPUTED_VALUE"""),98.59)</f>
        <v>98.59</v>
      </c>
      <c r="I900" s="15">
        <f>IFERROR(__xludf.DUMMYFUNCTION("""COMPUTED_VALUE"""),1.4099999999999966)</f>
        <v>1.41</v>
      </c>
    </row>
    <row r="901">
      <c r="A901" s="13" t="str">
        <f>IFERROR(__xludf.DUMMYFUNCTION("""COMPUTED_VALUE"""),"1540")</f>
        <v>1540</v>
      </c>
      <c r="B901" s="13" t="str">
        <f>IFERROR(__xludf.DUMMYFUNCTION("""COMPUTED_VALUE"""),"IGNACIO 11 JT")</f>
        <v>IGNACIO 11 JT</v>
      </c>
      <c r="C901" s="14" t="str">
        <f>IFERROR(__xludf.DUMMYFUNCTION("""COMPUTED_VALUE"""),"04255")</f>
        <v>04255</v>
      </c>
      <c r="D901" s="13" t="str">
        <f>IFERROR(__xludf.DUMMYFUNCTION("""COMPUTED_VALUE"""),"Ignacio Early Learning Program")</f>
        <v>Ignacio Early Learning Program</v>
      </c>
      <c r="E901" s="13" t="str">
        <f>IFERROR(__xludf.DUMMYFUNCTION("""COMPUTED_VALUE"""),"Group 1")</f>
        <v>Group 1</v>
      </c>
      <c r="F901" s="13" t="str">
        <f>IFERROR(__xludf.DUMMYFUNCTION("""COMPUTED_VALUE"""),"2024 - 2025")</f>
        <v>2024 - 2025</v>
      </c>
      <c r="G901" s="13" t="str">
        <f>IFERROR(__xludf.DUMMYFUNCTION("""COMPUTED_VALUE"""),"2023 - 2024")</f>
        <v>2023 - 2024</v>
      </c>
      <c r="H901" s="13">
        <f>IFERROR(__xludf.DUMMYFUNCTION("""COMPUTED_VALUE"""),98.59)</f>
        <v>98.59</v>
      </c>
      <c r="I901" s="15">
        <f>IFERROR(__xludf.DUMMYFUNCTION("""COMPUTED_VALUE"""),1.4099999999999966)</f>
        <v>1.41</v>
      </c>
    </row>
    <row r="902">
      <c r="A902" s="13" t="str">
        <f>IFERROR(__xludf.DUMMYFUNCTION("""COMPUTED_VALUE"""),"1540")</f>
        <v>1540</v>
      </c>
      <c r="B902" s="13" t="str">
        <f>IFERROR(__xludf.DUMMYFUNCTION("""COMPUTED_VALUE"""),"IGNACIO 11 JT")</f>
        <v>IGNACIO 11 JT</v>
      </c>
      <c r="C902" s="14" t="str">
        <f>IFERROR(__xludf.DUMMYFUNCTION("""COMPUTED_VALUE"""),"04258")</f>
        <v>04258</v>
      </c>
      <c r="D902" s="13" t="str">
        <f>IFERROR(__xludf.DUMMYFUNCTION("""COMPUTED_VALUE"""),"IGNACIO HIGH SCHOOL")</f>
        <v>IGNACIO HIGH SCHOOL</v>
      </c>
      <c r="E902" s="13" t="str">
        <f>IFERROR(__xludf.DUMMYFUNCTION("""COMPUTED_VALUE"""),"Group 2")</f>
        <v>Group 2</v>
      </c>
      <c r="F902" s="13" t="str">
        <f>IFERROR(__xludf.DUMMYFUNCTION("""COMPUTED_VALUE"""),"2024 - 2025")</f>
        <v>2024 - 2025</v>
      </c>
      <c r="G902" s="13" t="str">
        <f>IFERROR(__xludf.DUMMYFUNCTION("""COMPUTED_VALUE"""),"2023 - 2024")</f>
        <v>2023 - 2024</v>
      </c>
      <c r="H902" s="13">
        <f>IFERROR(__xludf.DUMMYFUNCTION("""COMPUTED_VALUE"""),58.99)</f>
        <v>58.99</v>
      </c>
      <c r="I902" s="15">
        <f>IFERROR(__xludf.DUMMYFUNCTION("""COMPUTED_VALUE"""),41.01)</f>
        <v>41.01</v>
      </c>
    </row>
    <row r="903">
      <c r="A903" s="13" t="str">
        <f>IFERROR(__xludf.DUMMYFUNCTION("""COMPUTED_VALUE"""),"1550")</f>
        <v>1550</v>
      </c>
      <c r="B903" s="13" t="str">
        <f>IFERROR(__xludf.DUMMYFUNCTION("""COMPUTED_VALUE"""),"POUDRE R-1")</f>
        <v>POUDRE R-1</v>
      </c>
      <c r="C903" s="14" t="str">
        <f>IFERROR(__xludf.DUMMYFUNCTION("""COMPUTED_VALUE"""),"00498")</f>
        <v>00498</v>
      </c>
      <c r="D903" s="13" t="str">
        <f>IFERROR(__xludf.DUMMYFUNCTION("""COMPUTED_VALUE"""),"BETHKE ELEMENTARY SCHOOL")</f>
        <v>BETHKE ELEMENTARY SCHOOL</v>
      </c>
      <c r="E903" s="13" t="str">
        <f>IFERROR(__xludf.DUMMYFUNCTION("""COMPUTED_VALUE"""),"Group 1")</f>
        <v>Group 1</v>
      </c>
      <c r="F903" s="13" t="str">
        <f>IFERROR(__xludf.DUMMYFUNCTION("""COMPUTED_VALUE"""),"2024 - 2025")</f>
        <v>2024 - 2025</v>
      </c>
      <c r="G903" s="13" t="str">
        <f>IFERROR(__xludf.DUMMYFUNCTION("""COMPUTED_VALUE"""),"2023 - 2024")</f>
        <v>2023 - 2024</v>
      </c>
      <c r="H903" s="13">
        <f>IFERROR(__xludf.DUMMYFUNCTION("""COMPUTED_VALUE"""),40.38)</f>
        <v>40.38</v>
      </c>
      <c r="I903" s="15">
        <f>IFERROR(__xludf.DUMMYFUNCTION("""COMPUTED_VALUE"""),59.62)</f>
        <v>59.62</v>
      </c>
    </row>
    <row r="904">
      <c r="A904" s="13" t="str">
        <f>IFERROR(__xludf.DUMMYFUNCTION("""COMPUTED_VALUE"""),"1550")</f>
        <v>1550</v>
      </c>
      <c r="B904" s="13" t="str">
        <f>IFERROR(__xludf.DUMMYFUNCTION("""COMPUTED_VALUE"""),"POUDRE R-1")</f>
        <v>POUDRE R-1</v>
      </c>
      <c r="C904" s="14" t="str">
        <f>IFERROR(__xludf.DUMMYFUNCTION("""COMPUTED_VALUE"""),"03760")</f>
        <v>03760</v>
      </c>
      <c r="D904" s="13" t="str">
        <f>IFERROR(__xludf.DUMMYFUNCTION("""COMPUTED_VALUE"""),"CENTENNIAL HIGH SCHOOL")</f>
        <v>CENTENNIAL HIGH SCHOOL</v>
      </c>
      <c r="E904" s="13" t="str">
        <f>IFERROR(__xludf.DUMMYFUNCTION("""COMPUTED_VALUE"""),"Group 1")</f>
        <v>Group 1</v>
      </c>
      <c r="F904" s="13" t="str">
        <f>IFERROR(__xludf.DUMMYFUNCTION("""COMPUTED_VALUE"""),"2024 - 2025")</f>
        <v>2024 - 2025</v>
      </c>
      <c r="G904" s="13" t="str">
        <f>IFERROR(__xludf.DUMMYFUNCTION("""COMPUTED_VALUE"""),"2023 - 2024")</f>
        <v>2023 - 2024</v>
      </c>
      <c r="H904" s="13">
        <f>IFERROR(__xludf.DUMMYFUNCTION("""COMPUTED_VALUE"""),40.38)</f>
        <v>40.38</v>
      </c>
      <c r="I904" s="15">
        <f>IFERROR(__xludf.DUMMYFUNCTION("""COMPUTED_VALUE"""),59.62)</f>
        <v>59.62</v>
      </c>
    </row>
    <row r="905">
      <c r="A905" s="13" t="str">
        <f>IFERROR(__xludf.DUMMYFUNCTION("""COMPUTED_VALUE"""),"1550")</f>
        <v>1550</v>
      </c>
      <c r="B905" s="13" t="str">
        <f>IFERROR(__xludf.DUMMYFUNCTION("""COMPUTED_VALUE"""),"POUDRE R-1")</f>
        <v>POUDRE R-1</v>
      </c>
      <c r="C905" s="14" t="str">
        <f>IFERROR(__xludf.DUMMYFUNCTION("""COMPUTED_VALUE"""),"04698")</f>
        <v>04698</v>
      </c>
      <c r="D905" s="13" t="str">
        <f>IFERROR(__xludf.DUMMYFUNCTION("""COMPUTED_VALUE"""),"KINARD CORE KNOWLEDGE MIDDLE SCHOOL")</f>
        <v>KINARD CORE KNOWLEDGE MIDDLE SCHOOL</v>
      </c>
      <c r="E905" s="13" t="str">
        <f>IFERROR(__xludf.DUMMYFUNCTION("""COMPUTED_VALUE"""),"Group 1")</f>
        <v>Group 1</v>
      </c>
      <c r="F905" s="13" t="str">
        <f>IFERROR(__xludf.DUMMYFUNCTION("""COMPUTED_VALUE"""),"2024 - 2025")</f>
        <v>2024 - 2025</v>
      </c>
      <c r="G905" s="13" t="str">
        <f>IFERROR(__xludf.DUMMYFUNCTION("""COMPUTED_VALUE"""),"2023 - 2024")</f>
        <v>2023 - 2024</v>
      </c>
      <c r="H905" s="13">
        <f>IFERROR(__xludf.DUMMYFUNCTION("""COMPUTED_VALUE"""),40.38)</f>
        <v>40.38</v>
      </c>
      <c r="I905" s="15">
        <f>IFERROR(__xludf.DUMMYFUNCTION("""COMPUTED_VALUE"""),59.62)</f>
        <v>59.62</v>
      </c>
    </row>
    <row r="906">
      <c r="A906" s="13" t="str">
        <f>IFERROR(__xludf.DUMMYFUNCTION("""COMPUTED_VALUE"""),"1550")</f>
        <v>1550</v>
      </c>
      <c r="B906" s="13" t="str">
        <f>IFERROR(__xludf.DUMMYFUNCTION("""COMPUTED_VALUE"""),"POUDRE R-1")</f>
        <v>POUDRE R-1</v>
      </c>
      <c r="C906" s="14" t="str">
        <f>IFERROR(__xludf.DUMMYFUNCTION("""COMPUTED_VALUE"""),"07127")</f>
        <v>07127</v>
      </c>
      <c r="D906" s="13" t="str">
        <f>IFERROR(__xludf.DUMMYFUNCTION("""COMPUTED_VALUE"""),"POUDRE COMMUNITY ACADEMY")</f>
        <v>POUDRE COMMUNITY ACADEMY</v>
      </c>
      <c r="E906" s="13" t="str">
        <f>IFERROR(__xludf.DUMMYFUNCTION("""COMPUTED_VALUE"""),"Group 1")</f>
        <v>Group 1</v>
      </c>
      <c r="F906" s="13" t="str">
        <f>IFERROR(__xludf.DUMMYFUNCTION("""COMPUTED_VALUE"""),"2024 - 2025")</f>
        <v>2024 - 2025</v>
      </c>
      <c r="G906" s="13" t="str">
        <f>IFERROR(__xludf.DUMMYFUNCTION("""COMPUTED_VALUE"""),"2023 - 2024")</f>
        <v>2023 - 2024</v>
      </c>
      <c r="H906" s="13">
        <f>IFERROR(__xludf.DUMMYFUNCTION("""COMPUTED_VALUE"""),40.38)</f>
        <v>40.38</v>
      </c>
      <c r="I906" s="15">
        <f>IFERROR(__xludf.DUMMYFUNCTION("""COMPUTED_VALUE"""),59.62)</f>
        <v>59.62</v>
      </c>
    </row>
    <row r="907">
      <c r="A907" s="13" t="str">
        <f>IFERROR(__xludf.DUMMYFUNCTION("""COMPUTED_VALUE"""),"1550")</f>
        <v>1550</v>
      </c>
      <c r="B907" s="13" t="str">
        <f>IFERROR(__xludf.DUMMYFUNCTION("""COMPUTED_VALUE"""),"POUDRE R-1")</f>
        <v>POUDRE R-1</v>
      </c>
      <c r="C907" s="14" t="str">
        <f>IFERROR(__xludf.DUMMYFUNCTION("""COMPUTED_VALUE"""),"09330")</f>
        <v>09330</v>
      </c>
      <c r="D907" s="13" t="str">
        <f>IFERROR(__xludf.DUMMYFUNCTION("""COMPUTED_VALUE"""),"WEBBER MIDDLE SCHOOL")</f>
        <v>WEBBER MIDDLE SCHOOL</v>
      </c>
      <c r="E907" s="13" t="str">
        <f>IFERROR(__xludf.DUMMYFUNCTION("""COMPUTED_VALUE"""),"Group 1")</f>
        <v>Group 1</v>
      </c>
      <c r="F907" s="13" t="str">
        <f>IFERROR(__xludf.DUMMYFUNCTION("""COMPUTED_VALUE"""),"2024 - 2025")</f>
        <v>2024 - 2025</v>
      </c>
      <c r="G907" s="13" t="str">
        <f>IFERROR(__xludf.DUMMYFUNCTION("""COMPUTED_VALUE"""),"2023 - 2024")</f>
        <v>2023 - 2024</v>
      </c>
      <c r="H907" s="13">
        <f>IFERROR(__xludf.DUMMYFUNCTION("""COMPUTED_VALUE"""),40.38)</f>
        <v>40.38</v>
      </c>
      <c r="I907" s="15">
        <f>IFERROR(__xludf.DUMMYFUNCTION("""COMPUTED_VALUE"""),59.62)</f>
        <v>59.62</v>
      </c>
    </row>
    <row r="908">
      <c r="A908" s="13" t="str">
        <f>IFERROR(__xludf.DUMMYFUNCTION("""COMPUTED_VALUE"""),"1550")</f>
        <v>1550</v>
      </c>
      <c r="B908" s="13" t="str">
        <f>IFERROR(__xludf.DUMMYFUNCTION("""COMPUTED_VALUE"""),"POUDRE R-1")</f>
        <v>POUDRE R-1</v>
      </c>
      <c r="C908" s="14" t="str">
        <f>IFERROR(__xludf.DUMMYFUNCTION("""COMPUTED_VALUE"""),"07198")</f>
        <v>07198</v>
      </c>
      <c r="D908" s="13" t="str">
        <f>IFERROR(__xludf.DUMMYFUNCTION("""COMPUTED_VALUE"""),"PSD GLOBAL ACADEMY")</f>
        <v>PSD GLOBAL ACADEMY</v>
      </c>
      <c r="E908" s="13" t="str">
        <f>IFERROR(__xludf.DUMMYFUNCTION("""COMPUTED_VALUE"""),"Group 1")</f>
        <v>Group 1</v>
      </c>
      <c r="F908" s="13" t="str">
        <f>IFERROR(__xludf.DUMMYFUNCTION("""COMPUTED_VALUE"""),"2024 - 2025")</f>
        <v>2024 - 2025</v>
      </c>
      <c r="G908" s="13" t="str">
        <f>IFERROR(__xludf.DUMMYFUNCTION("""COMPUTED_VALUE"""),"2023 - 2024")</f>
        <v>2023 - 2024</v>
      </c>
      <c r="H908" s="13">
        <f>IFERROR(__xludf.DUMMYFUNCTION("""COMPUTED_VALUE"""),40.38)</f>
        <v>40.38</v>
      </c>
      <c r="I908" s="15">
        <f>IFERROR(__xludf.DUMMYFUNCTION("""COMPUTED_VALUE"""),59.62)</f>
        <v>59.62</v>
      </c>
    </row>
    <row r="909">
      <c r="A909" s="13" t="str">
        <f>IFERROR(__xludf.DUMMYFUNCTION("""COMPUTED_VALUE"""),"1550")</f>
        <v>1550</v>
      </c>
      <c r="B909" s="13" t="str">
        <f>IFERROR(__xludf.DUMMYFUNCTION("""COMPUTED_VALUE"""),"POUDRE R-1")</f>
        <v>POUDRE R-1</v>
      </c>
      <c r="C909" s="14" t="str">
        <f>IFERROR(__xludf.DUMMYFUNCTION("""COMPUTED_VALUE"""),"05068")</f>
        <v>05068</v>
      </c>
      <c r="D909" s="13" t="str">
        <f>IFERROR(__xludf.DUMMYFUNCTION("""COMPUTED_VALUE"""),"LESHER JUNIOR HIGH SCHOOL")</f>
        <v>LESHER JUNIOR HIGH SCHOOL</v>
      </c>
      <c r="E909" s="13" t="str">
        <f>IFERROR(__xludf.DUMMYFUNCTION("""COMPUTED_VALUE"""),"Group 10")</f>
        <v>Group 10</v>
      </c>
      <c r="F909" s="13" t="str">
        <f>IFERROR(__xludf.DUMMYFUNCTION("""COMPUTED_VALUE"""),"2024 - 2025")</f>
        <v>2024 - 2025</v>
      </c>
      <c r="G909" s="13" t="str">
        <f>IFERROR(__xludf.DUMMYFUNCTION("""COMPUTED_VALUE"""),"2023 - 2024")</f>
        <v>2023 - 2024</v>
      </c>
      <c r="H909" s="13">
        <f>IFERROR(__xludf.DUMMYFUNCTION("""COMPUTED_VALUE"""),41.1)</f>
        <v>41.1</v>
      </c>
      <c r="I909" s="15">
        <f>IFERROR(__xludf.DUMMYFUNCTION("""COMPUTED_VALUE"""),58.9)</f>
        <v>58.9</v>
      </c>
    </row>
    <row r="910">
      <c r="A910" s="13" t="str">
        <f>IFERROR(__xludf.DUMMYFUNCTION("""COMPUTED_VALUE"""),"1550")</f>
        <v>1550</v>
      </c>
      <c r="B910" s="13" t="str">
        <f>IFERROR(__xludf.DUMMYFUNCTION("""COMPUTED_VALUE"""),"POUDRE R-1")</f>
        <v>POUDRE R-1</v>
      </c>
      <c r="C910" s="14" t="str">
        <f>IFERROR(__xludf.DUMMYFUNCTION("""COMPUTED_VALUE"""),"01190")</f>
        <v>01190</v>
      </c>
      <c r="D910" s="13" t="str">
        <f>IFERROR(__xludf.DUMMYFUNCTION("""COMPUTED_VALUE"""),"CACHE LA POUDRE MIDDLE SCHOOL")</f>
        <v>CACHE LA POUDRE MIDDLE SCHOOL</v>
      </c>
      <c r="E910" s="13" t="str">
        <f>IFERROR(__xludf.DUMMYFUNCTION("""COMPUTED_VALUE"""),"Group 11")</f>
        <v>Group 11</v>
      </c>
      <c r="F910" s="13" t="str">
        <f>IFERROR(__xludf.DUMMYFUNCTION("""COMPUTED_VALUE"""),"2024 - 2025")</f>
        <v>2024 - 2025</v>
      </c>
      <c r="G910" s="13" t="str">
        <f>IFERROR(__xludf.DUMMYFUNCTION("""COMPUTED_VALUE"""),"2023 - 2024")</f>
        <v>2023 - 2024</v>
      </c>
      <c r="H910" s="13">
        <f>IFERROR(__xludf.DUMMYFUNCTION("""COMPUTED_VALUE"""),45.1)</f>
        <v>45.1</v>
      </c>
      <c r="I910" s="15">
        <f>IFERROR(__xludf.DUMMYFUNCTION("""COMPUTED_VALUE"""),54.9)</f>
        <v>54.9</v>
      </c>
    </row>
    <row r="911">
      <c r="A911" s="13" t="str">
        <f>IFERROR(__xludf.DUMMYFUNCTION("""COMPUTED_VALUE"""),"1550")</f>
        <v>1550</v>
      </c>
      <c r="B911" s="13" t="str">
        <f>IFERROR(__xludf.DUMMYFUNCTION("""COMPUTED_VALUE"""),"POUDRE R-1")</f>
        <v>POUDRE R-1</v>
      </c>
      <c r="C911" s="14" t="str">
        <f>IFERROR(__xludf.DUMMYFUNCTION("""COMPUTED_VALUE"""),"05688")</f>
        <v>05688</v>
      </c>
      <c r="D911" s="13" t="str">
        <f>IFERROR(__xludf.DUMMYFUNCTION("""COMPUTED_VALUE"""),"MCGRAW ELEMENTARY SCHOOL")</f>
        <v>MCGRAW ELEMENTARY SCHOOL</v>
      </c>
      <c r="E911" s="13" t="str">
        <f>IFERROR(__xludf.DUMMYFUNCTION("""COMPUTED_VALUE"""),"Group 11")</f>
        <v>Group 11</v>
      </c>
      <c r="F911" s="13" t="str">
        <f>IFERROR(__xludf.DUMMYFUNCTION("""COMPUTED_VALUE"""),"2024 - 2025")</f>
        <v>2024 - 2025</v>
      </c>
      <c r="G911" s="13" t="str">
        <f>IFERROR(__xludf.DUMMYFUNCTION("""COMPUTED_VALUE"""),"2023 - 2024")</f>
        <v>2023 - 2024</v>
      </c>
      <c r="H911" s="13">
        <f>IFERROR(__xludf.DUMMYFUNCTION("""COMPUTED_VALUE"""),45.1)</f>
        <v>45.1</v>
      </c>
      <c r="I911" s="15">
        <f>IFERROR(__xludf.DUMMYFUNCTION("""COMPUTED_VALUE"""),54.9)</f>
        <v>54.9</v>
      </c>
    </row>
    <row r="912">
      <c r="A912" s="13" t="str">
        <f>IFERROR(__xludf.DUMMYFUNCTION("""COMPUTED_VALUE"""),"1550")</f>
        <v>1550</v>
      </c>
      <c r="B912" s="13" t="str">
        <f>IFERROR(__xludf.DUMMYFUNCTION("""COMPUTED_VALUE"""),"POUDRE R-1")</f>
        <v>POUDRE R-1</v>
      </c>
      <c r="C912" s="14" t="str">
        <f>IFERROR(__xludf.DUMMYFUNCTION("""COMPUTED_VALUE"""),"03787")</f>
        <v>03787</v>
      </c>
      <c r="D912" s="13" t="str">
        <f>IFERROR(__xludf.DUMMYFUNCTION("""COMPUTED_VALUE"""),"HARRIS BILINGUAL ELEMENTARY SCHOOL")</f>
        <v>HARRIS BILINGUAL ELEMENTARY SCHOOL</v>
      </c>
      <c r="E912" s="13" t="str">
        <f>IFERROR(__xludf.DUMMYFUNCTION("""COMPUTED_VALUE"""),"Group 12")</f>
        <v>Group 12</v>
      </c>
      <c r="F912" s="13" t="str">
        <f>IFERROR(__xludf.DUMMYFUNCTION("""COMPUTED_VALUE"""),"2024 - 2025")</f>
        <v>2024 - 2025</v>
      </c>
      <c r="G912" s="13" t="str">
        <f>IFERROR(__xludf.DUMMYFUNCTION("""COMPUTED_VALUE"""),"2023 - 2024")</f>
        <v>2023 - 2024</v>
      </c>
      <c r="H912" s="13">
        <f>IFERROR(__xludf.DUMMYFUNCTION("""COMPUTED_VALUE"""),93.28)</f>
        <v>93.28</v>
      </c>
      <c r="I912" s="15">
        <f>IFERROR(__xludf.DUMMYFUNCTION("""COMPUTED_VALUE"""),6.719999999999999)</f>
        <v>6.72</v>
      </c>
    </row>
    <row r="913">
      <c r="A913" s="13" t="str">
        <f>IFERROR(__xludf.DUMMYFUNCTION("""COMPUTED_VALUE"""),"1550")</f>
        <v>1550</v>
      </c>
      <c r="B913" s="13" t="str">
        <f>IFERROR(__xludf.DUMMYFUNCTION("""COMPUTED_VALUE"""),"POUDRE R-1")</f>
        <v>POUDRE R-1</v>
      </c>
      <c r="C913" s="14" t="str">
        <f>IFERROR(__xludf.DUMMYFUNCTION("""COMPUTED_VALUE"""),"04282")</f>
        <v>04282</v>
      </c>
      <c r="D913" s="13" t="str">
        <f>IFERROR(__xludf.DUMMYFUNCTION("""COMPUTED_VALUE"""),"IRISH ELEMENTARY SCHOOL")</f>
        <v>IRISH ELEMENTARY SCHOOL</v>
      </c>
      <c r="E913" s="13" t="str">
        <f>IFERROR(__xludf.DUMMYFUNCTION("""COMPUTED_VALUE"""),"Group 12")</f>
        <v>Group 12</v>
      </c>
      <c r="F913" s="13" t="str">
        <f>IFERROR(__xludf.DUMMYFUNCTION("""COMPUTED_VALUE"""),"2024 - 2025")</f>
        <v>2024 - 2025</v>
      </c>
      <c r="G913" s="13" t="str">
        <f>IFERROR(__xludf.DUMMYFUNCTION("""COMPUTED_VALUE"""),"2023 - 2024")</f>
        <v>2023 - 2024</v>
      </c>
      <c r="H913" s="13">
        <f>IFERROR(__xludf.DUMMYFUNCTION("""COMPUTED_VALUE"""),93.28)</f>
        <v>93.28</v>
      </c>
      <c r="I913" s="15">
        <f>IFERROR(__xludf.DUMMYFUNCTION("""COMPUTED_VALUE"""),6.719999999999999)</f>
        <v>6.72</v>
      </c>
    </row>
    <row r="914">
      <c r="A914" s="13" t="str">
        <f>IFERROR(__xludf.DUMMYFUNCTION("""COMPUTED_VALUE"""),"1550")</f>
        <v>1550</v>
      </c>
      <c r="B914" s="13" t="str">
        <f>IFERROR(__xludf.DUMMYFUNCTION("""COMPUTED_VALUE"""),"POUDRE R-1")</f>
        <v>POUDRE R-1</v>
      </c>
      <c r="C914" s="14" t="str">
        <f>IFERROR(__xludf.DUMMYFUNCTION("""COMPUTED_VALUE"""),"00612")</f>
        <v>00612</v>
      </c>
      <c r="D914" s="13" t="str">
        <f>IFERROR(__xludf.DUMMYFUNCTION("""COMPUTED_VALUE"""),"BAUDER ELEMENTARY SCHOOL")</f>
        <v>BAUDER ELEMENTARY SCHOOL</v>
      </c>
      <c r="E914" s="13" t="str">
        <f>IFERROR(__xludf.DUMMYFUNCTION("""COMPUTED_VALUE"""),"Group 13")</f>
        <v>Group 13</v>
      </c>
      <c r="F914" s="13" t="str">
        <f>IFERROR(__xludf.DUMMYFUNCTION("""COMPUTED_VALUE"""),"2024 - 2025")</f>
        <v>2024 - 2025</v>
      </c>
      <c r="G914" s="13" t="str">
        <f>IFERROR(__xludf.DUMMYFUNCTION("""COMPUTED_VALUE"""),"2023 - 2024")</f>
        <v>2023 - 2024</v>
      </c>
      <c r="H914" s="13">
        <f>IFERROR(__xludf.DUMMYFUNCTION("""COMPUTED_VALUE"""),71.98)</f>
        <v>71.98</v>
      </c>
      <c r="I914" s="15">
        <f>IFERROR(__xludf.DUMMYFUNCTION("""COMPUTED_VALUE"""),28.019999999999996)</f>
        <v>28.02</v>
      </c>
    </row>
    <row r="915">
      <c r="A915" s="13" t="str">
        <f>IFERROR(__xludf.DUMMYFUNCTION("""COMPUTED_VALUE"""),"1550")</f>
        <v>1550</v>
      </c>
      <c r="B915" s="13" t="str">
        <f>IFERROR(__xludf.DUMMYFUNCTION("""COMPUTED_VALUE"""),"POUDRE R-1")</f>
        <v>POUDRE R-1</v>
      </c>
      <c r="C915" s="14" t="str">
        <f>IFERROR(__xludf.DUMMYFUNCTION("""COMPUTED_VALUE"""),"00678")</f>
        <v>00678</v>
      </c>
      <c r="D915" s="13" t="str">
        <f>IFERROR(__xludf.DUMMYFUNCTION("""COMPUTED_VALUE"""),"BEATTIE ELEMENTARY SCHOOL")</f>
        <v>BEATTIE ELEMENTARY SCHOOL</v>
      </c>
      <c r="E915" s="13" t="str">
        <f>IFERROR(__xludf.DUMMYFUNCTION("""COMPUTED_VALUE"""),"Group 13")</f>
        <v>Group 13</v>
      </c>
      <c r="F915" s="13" t="str">
        <f>IFERROR(__xludf.DUMMYFUNCTION("""COMPUTED_VALUE"""),"2024 - 2025")</f>
        <v>2024 - 2025</v>
      </c>
      <c r="G915" s="13" t="str">
        <f>IFERROR(__xludf.DUMMYFUNCTION("""COMPUTED_VALUE"""),"2023 - 2024")</f>
        <v>2023 - 2024</v>
      </c>
      <c r="H915" s="13">
        <f>IFERROR(__xludf.DUMMYFUNCTION("""COMPUTED_VALUE"""),71.98)</f>
        <v>71.98</v>
      </c>
      <c r="I915" s="15">
        <f>IFERROR(__xludf.DUMMYFUNCTION("""COMPUTED_VALUE"""),28.019999999999996)</f>
        <v>28.02</v>
      </c>
    </row>
    <row r="916">
      <c r="A916" s="13" t="str">
        <f>IFERROR(__xludf.DUMMYFUNCTION("""COMPUTED_VALUE"""),"1550")</f>
        <v>1550</v>
      </c>
      <c r="B916" s="13" t="str">
        <f>IFERROR(__xludf.DUMMYFUNCTION("""COMPUTED_VALUE"""),"POUDRE R-1")</f>
        <v>POUDRE R-1</v>
      </c>
      <c r="C916" s="14" t="str">
        <f>IFERROR(__xludf.DUMMYFUNCTION("""COMPUTED_VALUE"""),"01186")</f>
        <v>01186</v>
      </c>
      <c r="D916" s="13" t="str">
        <f>IFERROR(__xludf.DUMMYFUNCTION("""COMPUTED_VALUE"""),"CACHE LA POUDRE ELEMENTARY SCHOOL")</f>
        <v>CACHE LA POUDRE ELEMENTARY SCHOOL</v>
      </c>
      <c r="E916" s="13" t="str">
        <f>IFERROR(__xludf.DUMMYFUNCTION("""COMPUTED_VALUE"""),"Group 13")</f>
        <v>Group 13</v>
      </c>
      <c r="F916" s="13" t="str">
        <f>IFERROR(__xludf.DUMMYFUNCTION("""COMPUTED_VALUE"""),"2024 - 2025")</f>
        <v>2024 - 2025</v>
      </c>
      <c r="G916" s="13" t="str">
        <f>IFERROR(__xludf.DUMMYFUNCTION("""COMPUTED_VALUE"""),"2023 - 2024")</f>
        <v>2023 - 2024</v>
      </c>
      <c r="H916" s="13">
        <f>IFERROR(__xludf.DUMMYFUNCTION("""COMPUTED_VALUE"""),71.98)</f>
        <v>71.98</v>
      </c>
      <c r="I916" s="15">
        <f>IFERROR(__xludf.DUMMYFUNCTION("""COMPUTED_VALUE"""),28.019999999999996)</f>
        <v>28.02</v>
      </c>
    </row>
    <row r="917">
      <c r="A917" s="13" t="str">
        <f>IFERROR(__xludf.DUMMYFUNCTION("""COMPUTED_VALUE"""),"1550")</f>
        <v>1550</v>
      </c>
      <c r="B917" s="13" t="str">
        <f>IFERROR(__xludf.DUMMYFUNCTION("""COMPUTED_VALUE"""),"POUDRE R-1")</f>
        <v>POUDRE R-1</v>
      </c>
      <c r="C917" s="14" t="str">
        <f>IFERROR(__xludf.DUMMYFUNCTION("""COMPUTED_VALUE"""),"05168")</f>
        <v>05168</v>
      </c>
      <c r="D917" s="13" t="str">
        <f>IFERROR(__xludf.DUMMYFUNCTION("""COMPUTED_VALUE"""),"LINCOLN JUNIOR HIGH SCHOOL")</f>
        <v>LINCOLN JUNIOR HIGH SCHOOL</v>
      </c>
      <c r="E917" s="13" t="str">
        <f>IFERROR(__xludf.DUMMYFUNCTION("""COMPUTED_VALUE"""),"Group 13")</f>
        <v>Group 13</v>
      </c>
      <c r="F917" s="13" t="str">
        <f>IFERROR(__xludf.DUMMYFUNCTION("""COMPUTED_VALUE"""),"2024 - 2025")</f>
        <v>2024 - 2025</v>
      </c>
      <c r="G917" s="13" t="str">
        <f>IFERROR(__xludf.DUMMYFUNCTION("""COMPUTED_VALUE"""),"2023 - 2024")</f>
        <v>2023 - 2024</v>
      </c>
      <c r="H917" s="13">
        <f>IFERROR(__xludf.DUMMYFUNCTION("""COMPUTED_VALUE"""),71.98)</f>
        <v>71.98</v>
      </c>
      <c r="I917" s="15">
        <f>IFERROR(__xludf.DUMMYFUNCTION("""COMPUTED_VALUE"""),28.019999999999996)</f>
        <v>28.02</v>
      </c>
    </row>
    <row r="918">
      <c r="A918" s="13" t="str">
        <f>IFERROR(__xludf.DUMMYFUNCTION("""COMPUTED_VALUE"""),"1550")</f>
        <v>1550</v>
      </c>
      <c r="B918" s="13" t="str">
        <f>IFERROR(__xludf.DUMMYFUNCTION("""COMPUTED_VALUE"""),"POUDRE R-1")</f>
        <v>POUDRE R-1</v>
      </c>
      <c r="C918" s="14" t="str">
        <f>IFERROR(__xludf.DUMMYFUNCTION("""COMPUTED_VALUE"""),"09370")</f>
        <v>09370</v>
      </c>
      <c r="D918" s="13" t="str">
        <f>IFERROR(__xludf.DUMMYFUNCTION("""COMPUTED_VALUE"""),"EYESTONE ELEMENTARY SCHOOL")</f>
        <v>EYESTONE ELEMENTARY SCHOOL</v>
      </c>
      <c r="E918" s="13" t="str">
        <f>IFERROR(__xludf.DUMMYFUNCTION("""COMPUTED_VALUE"""),"Group 13")</f>
        <v>Group 13</v>
      </c>
      <c r="F918" s="13" t="str">
        <f>IFERROR(__xludf.DUMMYFUNCTION("""COMPUTED_VALUE"""),"2024 - 2025")</f>
        <v>2024 - 2025</v>
      </c>
      <c r="G918" s="13" t="str">
        <f>IFERROR(__xludf.DUMMYFUNCTION("""COMPUTED_VALUE"""),"2023 - 2024")</f>
        <v>2023 - 2024</v>
      </c>
      <c r="H918" s="13">
        <f>IFERROR(__xludf.DUMMYFUNCTION("""COMPUTED_VALUE"""),71.98)</f>
        <v>71.98</v>
      </c>
      <c r="I918" s="15">
        <f>IFERROR(__xludf.DUMMYFUNCTION("""COMPUTED_VALUE"""),28.019999999999996)</f>
        <v>28.02</v>
      </c>
    </row>
    <row r="919">
      <c r="A919" s="13" t="str">
        <f>IFERROR(__xludf.DUMMYFUNCTION("""COMPUTED_VALUE"""),"1550")</f>
        <v>1550</v>
      </c>
      <c r="B919" s="13" t="str">
        <f>IFERROR(__xludf.DUMMYFUNCTION("""COMPUTED_VALUE"""),"POUDRE R-1")</f>
        <v>POUDRE R-1</v>
      </c>
      <c r="C919" s="14" t="str">
        <f>IFERROR(__xludf.DUMMYFUNCTION("""COMPUTED_VALUE"""),"00477")</f>
        <v>00477</v>
      </c>
      <c r="D919" s="13" t="str">
        <f>IFERROR(__xludf.DUMMYFUNCTION("""COMPUTED_VALUE"""),"ZACH ELEMENTARY SCHOOL")</f>
        <v>ZACH ELEMENTARY SCHOOL</v>
      </c>
      <c r="E919" s="13" t="str">
        <f>IFERROR(__xludf.DUMMYFUNCTION("""COMPUTED_VALUE"""),"Group 14")</f>
        <v>Group 14</v>
      </c>
      <c r="F919" s="13" t="str">
        <f>IFERROR(__xludf.DUMMYFUNCTION("""COMPUTED_VALUE"""),"2024 - 2025")</f>
        <v>2024 - 2025</v>
      </c>
      <c r="G919" s="13" t="str">
        <f>IFERROR(__xludf.DUMMYFUNCTION("""COMPUTED_VALUE"""),"2023 - 2024")</f>
        <v>2023 - 2024</v>
      </c>
      <c r="H919" s="13">
        <f>IFERROR(__xludf.DUMMYFUNCTION("""COMPUTED_VALUE"""),40.03)</f>
        <v>40.03</v>
      </c>
      <c r="I919" s="15">
        <f>IFERROR(__xludf.DUMMYFUNCTION("""COMPUTED_VALUE"""),59.97)</f>
        <v>59.97</v>
      </c>
    </row>
    <row r="920">
      <c r="A920" s="13" t="str">
        <f>IFERROR(__xludf.DUMMYFUNCTION("""COMPUTED_VALUE"""),"1550")</f>
        <v>1550</v>
      </c>
      <c r="B920" s="13" t="str">
        <f>IFERROR(__xludf.DUMMYFUNCTION("""COMPUTED_VALUE"""),"POUDRE R-1")</f>
        <v>POUDRE R-1</v>
      </c>
      <c r="C920" s="14" t="str">
        <f>IFERROR(__xludf.DUMMYFUNCTION("""COMPUTED_VALUE"""),"00490")</f>
        <v>00490</v>
      </c>
      <c r="D920" s="13" t="str">
        <f>IFERROR(__xludf.DUMMYFUNCTION("""COMPUTED_VALUE"""),"BACON ELEMENTARY")</f>
        <v>BACON ELEMENTARY</v>
      </c>
      <c r="E920" s="13" t="str">
        <f>IFERROR(__xludf.DUMMYFUNCTION("""COMPUTED_VALUE"""),"Group 14")</f>
        <v>Group 14</v>
      </c>
      <c r="F920" s="13" t="str">
        <f>IFERROR(__xludf.DUMMYFUNCTION("""COMPUTED_VALUE"""),"2024 - 2025")</f>
        <v>2024 - 2025</v>
      </c>
      <c r="G920" s="13" t="str">
        <f>IFERROR(__xludf.DUMMYFUNCTION("""COMPUTED_VALUE"""),"2023 - 2024")</f>
        <v>2023 - 2024</v>
      </c>
      <c r="H920" s="13">
        <f>IFERROR(__xludf.DUMMYFUNCTION("""COMPUTED_VALUE"""),40.03)</f>
        <v>40.03</v>
      </c>
      <c r="I920" s="15">
        <f>IFERROR(__xludf.DUMMYFUNCTION("""COMPUTED_VALUE"""),59.97)</f>
        <v>59.97</v>
      </c>
    </row>
    <row r="921">
      <c r="A921" s="13" t="str">
        <f>IFERROR(__xludf.DUMMYFUNCTION("""COMPUTED_VALUE"""),"1550")</f>
        <v>1550</v>
      </c>
      <c r="B921" s="13" t="str">
        <f>IFERROR(__xludf.DUMMYFUNCTION("""COMPUTED_VALUE"""),"POUDRE R-1")</f>
        <v>POUDRE R-1</v>
      </c>
      <c r="C921" s="14" t="str">
        <f>IFERROR(__xludf.DUMMYFUNCTION("""COMPUTED_VALUE"""),"02298")</f>
        <v>02298</v>
      </c>
      <c r="D921" s="13" t="str">
        <f>IFERROR(__xludf.DUMMYFUNCTION("""COMPUTED_VALUE"""),"DUNN ELEMENTARY SCHOOL")</f>
        <v>DUNN ELEMENTARY SCHOOL</v>
      </c>
      <c r="E921" s="13" t="str">
        <f>IFERROR(__xludf.DUMMYFUNCTION("""COMPUTED_VALUE"""),"Group 14")</f>
        <v>Group 14</v>
      </c>
      <c r="F921" s="13" t="str">
        <f>IFERROR(__xludf.DUMMYFUNCTION("""COMPUTED_VALUE"""),"2024 - 2025")</f>
        <v>2024 - 2025</v>
      </c>
      <c r="G921" s="13" t="str">
        <f>IFERROR(__xludf.DUMMYFUNCTION("""COMPUTED_VALUE"""),"2023 - 2024")</f>
        <v>2023 - 2024</v>
      </c>
      <c r="H921" s="13">
        <f>IFERROR(__xludf.DUMMYFUNCTION("""COMPUTED_VALUE"""),40.03)</f>
        <v>40.03</v>
      </c>
      <c r="I921" s="15">
        <f>IFERROR(__xludf.DUMMYFUNCTION("""COMPUTED_VALUE"""),59.97)</f>
        <v>59.97</v>
      </c>
    </row>
    <row r="922">
      <c r="A922" s="13" t="str">
        <f>IFERROR(__xludf.DUMMYFUNCTION("""COMPUTED_VALUE"""),"1550")</f>
        <v>1550</v>
      </c>
      <c r="B922" s="13" t="str">
        <f>IFERROR(__xludf.DUMMYFUNCTION("""COMPUTED_VALUE"""),"POUDRE R-1")</f>
        <v>POUDRE R-1</v>
      </c>
      <c r="C922" s="14" t="str">
        <f>IFERROR(__xludf.DUMMYFUNCTION("""COMPUTED_VALUE"""),"03046")</f>
        <v>03046</v>
      </c>
      <c r="D922" s="13" t="str">
        <f>IFERROR(__xludf.DUMMYFUNCTION("""COMPUTED_VALUE"""),"FORT COLLINS HIGH SCHOOL")</f>
        <v>FORT COLLINS HIGH SCHOOL</v>
      </c>
      <c r="E922" s="13" t="str">
        <f>IFERROR(__xludf.DUMMYFUNCTION("""COMPUTED_VALUE"""),"Group 14")</f>
        <v>Group 14</v>
      </c>
      <c r="F922" s="13" t="str">
        <f>IFERROR(__xludf.DUMMYFUNCTION("""COMPUTED_VALUE"""),"2024 - 2025")</f>
        <v>2024 - 2025</v>
      </c>
      <c r="G922" s="13" t="str">
        <f>IFERROR(__xludf.DUMMYFUNCTION("""COMPUTED_VALUE"""),"2023 - 2024")</f>
        <v>2023 - 2024</v>
      </c>
      <c r="H922" s="13">
        <f>IFERROR(__xludf.DUMMYFUNCTION("""COMPUTED_VALUE"""),40.03)</f>
        <v>40.03</v>
      </c>
      <c r="I922" s="15">
        <f>IFERROR(__xludf.DUMMYFUNCTION("""COMPUTED_VALUE"""),59.97)</f>
        <v>59.97</v>
      </c>
    </row>
    <row r="923">
      <c r="A923" s="13" t="str">
        <f>IFERROR(__xludf.DUMMYFUNCTION("""COMPUTED_VALUE"""),"1550")</f>
        <v>1550</v>
      </c>
      <c r="B923" s="13" t="str">
        <f>IFERROR(__xludf.DUMMYFUNCTION("""COMPUTED_VALUE"""),"POUDRE R-1")</f>
        <v>POUDRE R-1</v>
      </c>
      <c r="C923" s="14" t="str">
        <f>IFERROR(__xludf.DUMMYFUNCTION("""COMPUTED_VALUE"""),"07104")</f>
        <v>07104</v>
      </c>
      <c r="D923" s="13" t="str">
        <f>IFERROR(__xludf.DUMMYFUNCTION("""COMPUTED_VALUE"""),"POLARIS EXPEDITIONARY LEARNING SCHOOL")</f>
        <v>POLARIS EXPEDITIONARY LEARNING SCHOOL</v>
      </c>
      <c r="E923" s="13" t="str">
        <f>IFERROR(__xludf.DUMMYFUNCTION("""COMPUTED_VALUE"""),"Group 14")</f>
        <v>Group 14</v>
      </c>
      <c r="F923" s="13" t="str">
        <f>IFERROR(__xludf.DUMMYFUNCTION("""COMPUTED_VALUE"""),"2024 - 2025")</f>
        <v>2024 - 2025</v>
      </c>
      <c r="G923" s="13" t="str">
        <f>IFERROR(__xludf.DUMMYFUNCTION("""COMPUTED_VALUE"""),"2023 - 2024")</f>
        <v>2023 - 2024</v>
      </c>
      <c r="H923" s="13">
        <f>IFERROR(__xludf.DUMMYFUNCTION("""COMPUTED_VALUE"""),40.03)</f>
        <v>40.03</v>
      </c>
      <c r="I923" s="15">
        <f>IFERROR(__xludf.DUMMYFUNCTION("""COMPUTED_VALUE"""),59.97)</f>
        <v>59.97</v>
      </c>
    </row>
    <row r="924">
      <c r="A924" s="13" t="str">
        <f>IFERROR(__xludf.DUMMYFUNCTION("""COMPUTED_VALUE"""),"1550")</f>
        <v>1550</v>
      </c>
      <c r="B924" s="13" t="str">
        <f>IFERROR(__xludf.DUMMYFUNCTION("""COMPUTED_VALUE"""),"POUDRE R-1")</f>
        <v>POUDRE R-1</v>
      </c>
      <c r="C924" s="14" t="str">
        <f>IFERROR(__xludf.DUMMYFUNCTION("""COMPUTED_VALUE"""),"07124")</f>
        <v>07124</v>
      </c>
      <c r="D924" s="13" t="str">
        <f>IFERROR(__xludf.DUMMYFUNCTION("""COMPUTED_VALUE"""),"POUDRE HIGH SCHOOL")</f>
        <v>POUDRE HIGH SCHOOL</v>
      </c>
      <c r="E924" s="13" t="str">
        <f>IFERROR(__xludf.DUMMYFUNCTION("""COMPUTED_VALUE"""),"Group 14")</f>
        <v>Group 14</v>
      </c>
      <c r="F924" s="13" t="str">
        <f>IFERROR(__xludf.DUMMYFUNCTION("""COMPUTED_VALUE"""),"2024 - 2025")</f>
        <v>2024 - 2025</v>
      </c>
      <c r="G924" s="13" t="str">
        <f>IFERROR(__xludf.DUMMYFUNCTION("""COMPUTED_VALUE"""),"2023 - 2024")</f>
        <v>2023 - 2024</v>
      </c>
      <c r="H924" s="13">
        <f>IFERROR(__xludf.DUMMYFUNCTION("""COMPUTED_VALUE"""),40.03)</f>
        <v>40.03</v>
      </c>
      <c r="I924" s="15">
        <f>IFERROR(__xludf.DUMMYFUNCTION("""COMPUTED_VALUE"""),59.97)</f>
        <v>59.97</v>
      </c>
    </row>
    <row r="925">
      <c r="A925" s="13" t="str">
        <f>IFERROR(__xludf.DUMMYFUNCTION("""COMPUTED_VALUE"""),"1550")</f>
        <v>1550</v>
      </c>
      <c r="B925" s="13" t="str">
        <f>IFERROR(__xludf.DUMMYFUNCTION("""COMPUTED_VALUE"""),"POUDRE R-1")</f>
        <v>POUDRE R-1</v>
      </c>
      <c r="C925" s="14" t="str">
        <f>IFERROR(__xludf.DUMMYFUNCTION("""COMPUTED_VALUE"""),"07161")</f>
        <v>07161</v>
      </c>
      <c r="D925" s="13" t="str">
        <f>IFERROR(__xludf.DUMMYFUNCTION("""COMPUTED_VALUE"""),"PRESTON MIDDLE SCHOOL")</f>
        <v>PRESTON MIDDLE SCHOOL</v>
      </c>
      <c r="E925" s="13" t="str">
        <f>IFERROR(__xludf.DUMMYFUNCTION("""COMPUTED_VALUE"""),"Group 14")</f>
        <v>Group 14</v>
      </c>
      <c r="F925" s="13" t="str">
        <f>IFERROR(__xludf.DUMMYFUNCTION("""COMPUTED_VALUE"""),"2024 - 2025")</f>
        <v>2024 - 2025</v>
      </c>
      <c r="G925" s="13" t="str">
        <f>IFERROR(__xludf.DUMMYFUNCTION("""COMPUTED_VALUE"""),"2023 - 2024")</f>
        <v>2023 - 2024</v>
      </c>
      <c r="H925" s="13">
        <f>IFERROR(__xludf.DUMMYFUNCTION("""COMPUTED_VALUE"""),40.03)</f>
        <v>40.03</v>
      </c>
      <c r="I925" s="15">
        <f>IFERROR(__xludf.DUMMYFUNCTION("""COMPUTED_VALUE"""),59.97)</f>
        <v>59.97</v>
      </c>
    </row>
    <row r="926">
      <c r="A926" s="13" t="str">
        <f>IFERROR(__xludf.DUMMYFUNCTION("""COMPUTED_VALUE"""),"1550")</f>
        <v>1550</v>
      </c>
      <c r="B926" s="13" t="str">
        <f>IFERROR(__xludf.DUMMYFUNCTION("""COMPUTED_VALUE"""),"POUDRE R-1")</f>
        <v>POUDRE R-1</v>
      </c>
      <c r="C926" s="14" t="str">
        <f>IFERROR(__xludf.DUMMYFUNCTION("""COMPUTED_VALUE"""),"07470")</f>
        <v>07470</v>
      </c>
      <c r="D926" s="13" t="str">
        <f>IFERROR(__xludf.DUMMYFUNCTION("""COMPUTED_VALUE"""),"ROCKY MOUNTAIN HIGH SCHOOL")</f>
        <v>ROCKY MOUNTAIN HIGH SCHOOL</v>
      </c>
      <c r="E926" s="13" t="str">
        <f>IFERROR(__xludf.DUMMYFUNCTION("""COMPUTED_VALUE"""),"Group 14")</f>
        <v>Group 14</v>
      </c>
      <c r="F926" s="13" t="str">
        <f>IFERROR(__xludf.DUMMYFUNCTION("""COMPUTED_VALUE"""),"2024 - 2025")</f>
        <v>2024 - 2025</v>
      </c>
      <c r="G926" s="13" t="str">
        <f>IFERROR(__xludf.DUMMYFUNCTION("""COMPUTED_VALUE"""),"2023 - 2024")</f>
        <v>2023 - 2024</v>
      </c>
      <c r="H926" s="13">
        <f>IFERROR(__xludf.DUMMYFUNCTION("""COMPUTED_VALUE"""),40.03)</f>
        <v>40.03</v>
      </c>
      <c r="I926" s="15">
        <f>IFERROR(__xludf.DUMMYFUNCTION("""COMPUTED_VALUE"""),59.97)</f>
        <v>59.97</v>
      </c>
    </row>
    <row r="927">
      <c r="A927" s="13" t="str">
        <f>IFERROR(__xludf.DUMMYFUNCTION("""COMPUTED_VALUE"""),"1550")</f>
        <v>1550</v>
      </c>
      <c r="B927" s="13" t="str">
        <f>IFERROR(__xludf.DUMMYFUNCTION("""COMPUTED_VALUE"""),"POUDRE R-1")</f>
        <v>POUDRE R-1</v>
      </c>
      <c r="C927" s="14" t="str">
        <f>IFERROR(__xludf.DUMMYFUNCTION("""COMPUTED_VALUE"""),"07834")</f>
        <v>07834</v>
      </c>
      <c r="D927" s="13" t="str">
        <f>IFERROR(__xludf.DUMMYFUNCTION("""COMPUTED_VALUE"""),"SHEPARDSON ELEMENTARY SCHOOL")</f>
        <v>SHEPARDSON ELEMENTARY SCHOOL</v>
      </c>
      <c r="E927" s="13" t="str">
        <f>IFERROR(__xludf.DUMMYFUNCTION("""COMPUTED_VALUE"""),"Group 14")</f>
        <v>Group 14</v>
      </c>
      <c r="F927" s="13" t="str">
        <f>IFERROR(__xludf.DUMMYFUNCTION("""COMPUTED_VALUE"""),"2024 - 2025")</f>
        <v>2024 - 2025</v>
      </c>
      <c r="G927" s="13" t="str">
        <f>IFERROR(__xludf.DUMMYFUNCTION("""COMPUTED_VALUE"""),"2023 - 2024")</f>
        <v>2023 - 2024</v>
      </c>
      <c r="H927" s="13">
        <f>IFERROR(__xludf.DUMMYFUNCTION("""COMPUTED_VALUE"""),40.03)</f>
        <v>40.03</v>
      </c>
      <c r="I927" s="15">
        <f>IFERROR(__xludf.DUMMYFUNCTION("""COMPUTED_VALUE"""),59.97)</f>
        <v>59.97</v>
      </c>
    </row>
    <row r="928">
      <c r="A928" s="13" t="str">
        <f>IFERROR(__xludf.DUMMYFUNCTION("""COMPUTED_VALUE"""),"1550")</f>
        <v>1550</v>
      </c>
      <c r="B928" s="13" t="str">
        <f>IFERROR(__xludf.DUMMYFUNCTION("""COMPUTED_VALUE"""),"POUDRE R-1")</f>
        <v>POUDRE R-1</v>
      </c>
      <c r="C928" s="14" t="str">
        <f>IFERROR(__xludf.DUMMYFUNCTION("""COMPUTED_VALUE"""),"08852")</f>
        <v>08852</v>
      </c>
      <c r="D928" s="13" t="str">
        <f>IFERROR(__xludf.DUMMYFUNCTION("""COMPUTED_VALUE"""),"TIMNATH ELEMENTARY SCHOOL")</f>
        <v>TIMNATH ELEMENTARY SCHOOL</v>
      </c>
      <c r="E928" s="13" t="str">
        <f>IFERROR(__xludf.DUMMYFUNCTION("""COMPUTED_VALUE"""),"Group 14")</f>
        <v>Group 14</v>
      </c>
      <c r="F928" s="13" t="str">
        <f>IFERROR(__xludf.DUMMYFUNCTION("""COMPUTED_VALUE"""),"2024 - 2025")</f>
        <v>2024 - 2025</v>
      </c>
      <c r="G928" s="13" t="str">
        <f>IFERROR(__xludf.DUMMYFUNCTION("""COMPUTED_VALUE"""),"2023 - 2024")</f>
        <v>2023 - 2024</v>
      </c>
      <c r="H928" s="13">
        <f>IFERROR(__xludf.DUMMYFUNCTION("""COMPUTED_VALUE"""),40.03)</f>
        <v>40.03</v>
      </c>
      <c r="I928" s="15">
        <f>IFERROR(__xludf.DUMMYFUNCTION("""COMPUTED_VALUE"""),59.97)</f>
        <v>59.97</v>
      </c>
    </row>
    <row r="929">
      <c r="A929" s="13" t="str">
        <f>IFERROR(__xludf.DUMMYFUNCTION("""COMPUTED_VALUE"""),"1550")</f>
        <v>1550</v>
      </c>
      <c r="B929" s="13" t="str">
        <f>IFERROR(__xludf.DUMMYFUNCTION("""COMPUTED_VALUE"""),"POUDRE R-1")</f>
        <v>POUDRE R-1</v>
      </c>
      <c r="C929" s="14" t="str">
        <f>IFERROR(__xludf.DUMMYFUNCTION("""COMPUTED_VALUE"""),"04359")</f>
        <v>04359</v>
      </c>
      <c r="D929" s="13" t="str">
        <f>IFERROR(__xludf.DUMMYFUNCTION("""COMPUTED_VALUE"""),"Bamford Elementary")</f>
        <v>Bamford Elementary</v>
      </c>
      <c r="E929" s="13" t="str">
        <f>IFERROR(__xludf.DUMMYFUNCTION("""COMPUTED_VALUE"""),"Group 14")</f>
        <v>Group 14</v>
      </c>
      <c r="F929" s="13" t="str">
        <f>IFERROR(__xludf.DUMMYFUNCTION("""COMPUTED_VALUE"""),"2024 - 2025")</f>
        <v>2024 - 2025</v>
      </c>
      <c r="G929" s="13" t="str">
        <f>IFERROR(__xludf.DUMMYFUNCTION("""COMPUTED_VALUE"""),"2023 - 2024")</f>
        <v>2023 - 2024</v>
      </c>
      <c r="H929" s="13">
        <f>IFERROR(__xludf.DUMMYFUNCTION("""COMPUTED_VALUE"""),40.03)</f>
        <v>40.03</v>
      </c>
      <c r="I929" s="15">
        <f>IFERROR(__xludf.DUMMYFUNCTION("""COMPUTED_VALUE"""),59.97)</f>
        <v>59.97</v>
      </c>
    </row>
    <row r="930">
      <c r="A930" s="13" t="str">
        <f>IFERROR(__xludf.DUMMYFUNCTION("""COMPUTED_VALUE"""),"1550")</f>
        <v>1550</v>
      </c>
      <c r="B930" s="13" t="str">
        <f>IFERROR(__xludf.DUMMYFUNCTION("""COMPUTED_VALUE"""),"POUDRE R-1")</f>
        <v>POUDRE R-1</v>
      </c>
      <c r="C930" s="14" t="str">
        <f>IFERROR(__xludf.DUMMYFUNCTION("""COMPUTED_VALUE"""),"07877")</f>
        <v>07877</v>
      </c>
      <c r="D930" s="13" t="str">
        <f>IFERROR(__xludf.DUMMYFUNCTION("""COMPUTED_VALUE"""),"Timnath Middle-High School")</f>
        <v>Timnath Middle-High School</v>
      </c>
      <c r="E930" s="13" t="str">
        <f>IFERROR(__xludf.DUMMYFUNCTION("""COMPUTED_VALUE"""),"Group 14")</f>
        <v>Group 14</v>
      </c>
      <c r="F930" s="13" t="str">
        <f>IFERROR(__xludf.DUMMYFUNCTION("""COMPUTED_VALUE"""),"2024 - 2025")</f>
        <v>2024 - 2025</v>
      </c>
      <c r="G930" s="13" t="str">
        <f>IFERROR(__xludf.DUMMYFUNCTION("""COMPUTED_VALUE"""),"2023 - 2024")</f>
        <v>2023 - 2024</v>
      </c>
      <c r="H930" s="13">
        <f>IFERROR(__xludf.DUMMYFUNCTION("""COMPUTED_VALUE"""),40.03)</f>
        <v>40.03</v>
      </c>
      <c r="I930" s="15">
        <f>IFERROR(__xludf.DUMMYFUNCTION("""COMPUTED_VALUE"""),59.97)</f>
        <v>59.97</v>
      </c>
    </row>
    <row r="931">
      <c r="A931" s="13" t="str">
        <f>IFERROR(__xludf.DUMMYFUNCTION("""COMPUTED_VALUE"""),"1550")</f>
        <v>1550</v>
      </c>
      <c r="B931" s="13" t="str">
        <f>IFERROR(__xludf.DUMMYFUNCTION("""COMPUTED_VALUE"""),"POUDRE R-1")</f>
        <v>POUDRE R-1</v>
      </c>
      <c r="C931" s="14" t="str">
        <f>IFERROR(__xludf.DUMMYFUNCTION("""COMPUTED_VALUE"""),"06482")</f>
        <v>06482</v>
      </c>
      <c r="D931" s="13" t="str">
        <f>IFERROR(__xludf.DUMMYFUNCTION("""COMPUTED_VALUE"""),"OLANDER ELEMENTARY SCHOOL")</f>
        <v>OLANDER ELEMENTARY SCHOOL</v>
      </c>
      <c r="E931" s="13" t="str">
        <f>IFERROR(__xludf.DUMMYFUNCTION("""COMPUTED_VALUE"""),"Group 2")</f>
        <v>Group 2</v>
      </c>
      <c r="F931" s="13" t="str">
        <f>IFERROR(__xludf.DUMMYFUNCTION("""COMPUTED_VALUE"""),"2024 - 2025")</f>
        <v>2024 - 2025</v>
      </c>
      <c r="G931" s="13" t="str">
        <f>IFERROR(__xludf.DUMMYFUNCTION("""COMPUTED_VALUE"""),"2023 - 2024")</f>
        <v>2023 - 2024</v>
      </c>
      <c r="H931" s="13">
        <f>IFERROR(__xludf.DUMMYFUNCTION("""COMPUTED_VALUE"""),47.79)</f>
        <v>47.79</v>
      </c>
      <c r="I931" s="15">
        <f>IFERROR(__xludf.DUMMYFUNCTION("""COMPUTED_VALUE"""),52.21)</f>
        <v>52.21</v>
      </c>
    </row>
    <row r="932">
      <c r="A932" s="13" t="str">
        <f>IFERROR(__xludf.DUMMYFUNCTION("""COMPUTED_VALUE"""),"1550")</f>
        <v>1550</v>
      </c>
      <c r="B932" s="13" t="str">
        <f>IFERROR(__xludf.DUMMYFUNCTION("""COMPUTED_VALUE"""),"POUDRE R-1")</f>
        <v>POUDRE R-1</v>
      </c>
      <c r="C932" s="14" t="str">
        <f>IFERROR(__xludf.DUMMYFUNCTION("""COMPUTED_VALUE"""),"07350")</f>
        <v>07350</v>
      </c>
      <c r="D932" s="13" t="str">
        <f>IFERROR(__xludf.DUMMYFUNCTION("""COMPUTED_VALUE"""),"RIFFENBURGH ELEMENTARY SCHOOL")</f>
        <v>RIFFENBURGH ELEMENTARY SCHOOL</v>
      </c>
      <c r="E932" s="13" t="str">
        <f>IFERROR(__xludf.DUMMYFUNCTION("""COMPUTED_VALUE"""),"Group 2")</f>
        <v>Group 2</v>
      </c>
      <c r="F932" s="13" t="str">
        <f>IFERROR(__xludf.DUMMYFUNCTION("""COMPUTED_VALUE"""),"2024 - 2025")</f>
        <v>2024 - 2025</v>
      </c>
      <c r="G932" s="13" t="str">
        <f>IFERROR(__xludf.DUMMYFUNCTION("""COMPUTED_VALUE"""),"2023 - 2024")</f>
        <v>2023 - 2024</v>
      </c>
      <c r="H932" s="13">
        <f>IFERROR(__xludf.DUMMYFUNCTION("""COMPUTED_VALUE"""),47.79)</f>
        <v>47.79</v>
      </c>
      <c r="I932" s="15">
        <f>IFERROR(__xludf.DUMMYFUNCTION("""COMPUTED_VALUE"""),52.21)</f>
        <v>52.21</v>
      </c>
    </row>
    <row r="933">
      <c r="A933" s="13" t="str">
        <f>IFERROR(__xludf.DUMMYFUNCTION("""COMPUTED_VALUE"""),"1550")</f>
        <v>1550</v>
      </c>
      <c r="B933" s="13" t="str">
        <f>IFERROR(__xludf.DUMMYFUNCTION("""COMPUTED_VALUE"""),"POUDRE R-1")</f>
        <v>POUDRE R-1</v>
      </c>
      <c r="C933" s="14" t="str">
        <f>IFERROR(__xludf.DUMMYFUNCTION("""COMPUTED_VALUE"""),"00892")</f>
        <v>00892</v>
      </c>
      <c r="D933" s="13" t="str">
        <f>IFERROR(__xludf.DUMMYFUNCTION("""COMPUTED_VALUE"""),"BLEVINS JUNIOR HIGH SCHOOL")</f>
        <v>BLEVINS JUNIOR HIGH SCHOOL</v>
      </c>
      <c r="E933" s="13" t="str">
        <f>IFERROR(__xludf.DUMMYFUNCTION("""COMPUTED_VALUE"""),"Group 3")</f>
        <v>Group 3</v>
      </c>
      <c r="F933" s="13" t="str">
        <f>IFERROR(__xludf.DUMMYFUNCTION("""COMPUTED_VALUE"""),"2024 - 2025")</f>
        <v>2024 - 2025</v>
      </c>
      <c r="G933" s="13" t="str">
        <f>IFERROR(__xludf.DUMMYFUNCTION("""COMPUTED_VALUE"""),"2023 - 2024")</f>
        <v>2023 - 2024</v>
      </c>
      <c r="H933" s="13">
        <f>IFERROR(__xludf.DUMMYFUNCTION("""COMPUTED_VALUE"""),69.09)</f>
        <v>69.09</v>
      </c>
      <c r="I933" s="15">
        <f>IFERROR(__xludf.DUMMYFUNCTION("""COMPUTED_VALUE"""),30.909999999999997)</f>
        <v>30.91</v>
      </c>
    </row>
    <row r="934">
      <c r="A934" s="13" t="str">
        <f>IFERROR(__xludf.DUMMYFUNCTION("""COMPUTED_VALUE"""),"1550")</f>
        <v>1550</v>
      </c>
      <c r="B934" s="13" t="str">
        <f>IFERROR(__xludf.DUMMYFUNCTION("""COMPUTED_VALUE"""),"POUDRE R-1")</f>
        <v>POUDRE R-1</v>
      </c>
      <c r="C934" s="14" t="str">
        <f>IFERROR(__xludf.DUMMYFUNCTION("""COMPUTED_VALUE"""),"04793")</f>
        <v>04793</v>
      </c>
      <c r="D934" s="13" t="str">
        <f>IFERROR(__xludf.DUMMYFUNCTION("""COMPUTED_VALUE"""),"KRUSE ELEMENTARY SCHOOL")</f>
        <v>KRUSE ELEMENTARY SCHOOL</v>
      </c>
      <c r="E934" s="13" t="str">
        <f>IFERROR(__xludf.DUMMYFUNCTION("""COMPUTED_VALUE"""),"Group 3")</f>
        <v>Group 3</v>
      </c>
      <c r="F934" s="13" t="str">
        <f>IFERROR(__xludf.DUMMYFUNCTION("""COMPUTED_VALUE"""),"2024 - 2025")</f>
        <v>2024 - 2025</v>
      </c>
      <c r="G934" s="13" t="str">
        <f>IFERROR(__xludf.DUMMYFUNCTION("""COMPUTED_VALUE"""),"2023 - 2024")</f>
        <v>2023 - 2024</v>
      </c>
      <c r="H934" s="13">
        <f>IFERROR(__xludf.DUMMYFUNCTION("""COMPUTED_VALUE"""),69.09)</f>
        <v>69.09</v>
      </c>
      <c r="I934" s="15">
        <f>IFERROR(__xludf.DUMMYFUNCTION("""COMPUTED_VALUE"""),30.909999999999997)</f>
        <v>30.91</v>
      </c>
    </row>
    <row r="935">
      <c r="A935" s="13" t="str">
        <f>IFERROR(__xludf.DUMMYFUNCTION("""COMPUTED_VALUE"""),"1550")</f>
        <v>1550</v>
      </c>
      <c r="B935" s="13" t="str">
        <f>IFERROR(__xludf.DUMMYFUNCTION("""COMPUTED_VALUE"""),"POUDRE R-1")</f>
        <v>POUDRE R-1</v>
      </c>
      <c r="C935" s="14" t="str">
        <f>IFERROR(__xludf.DUMMYFUNCTION("""COMPUTED_VALUE"""),"05014")</f>
        <v>05014</v>
      </c>
      <c r="D935" s="13" t="str">
        <f>IFERROR(__xludf.DUMMYFUNCTION("""COMPUTED_VALUE"""),"LAUREL ELEMENTARY SCHOOL")</f>
        <v>LAUREL ELEMENTARY SCHOOL</v>
      </c>
      <c r="E935" s="13" t="str">
        <f>IFERROR(__xludf.DUMMYFUNCTION("""COMPUTED_VALUE"""),"Group 3")</f>
        <v>Group 3</v>
      </c>
      <c r="F935" s="13" t="str">
        <f>IFERROR(__xludf.DUMMYFUNCTION("""COMPUTED_VALUE"""),"2024 - 2025")</f>
        <v>2024 - 2025</v>
      </c>
      <c r="G935" s="13" t="str">
        <f>IFERROR(__xludf.DUMMYFUNCTION("""COMPUTED_VALUE"""),"2023 - 2024")</f>
        <v>2023 - 2024</v>
      </c>
      <c r="H935" s="13">
        <f>IFERROR(__xludf.DUMMYFUNCTION("""COMPUTED_VALUE"""),69.09)</f>
        <v>69.09</v>
      </c>
      <c r="I935" s="15">
        <f>IFERROR(__xludf.DUMMYFUNCTION("""COMPUTED_VALUE"""),30.909999999999997)</f>
        <v>30.91</v>
      </c>
    </row>
    <row r="936">
      <c r="A936" s="13" t="str">
        <f>IFERROR(__xludf.DUMMYFUNCTION("""COMPUTED_VALUE"""),"1550")</f>
        <v>1550</v>
      </c>
      <c r="B936" s="13" t="str">
        <f>IFERROR(__xludf.DUMMYFUNCTION("""COMPUTED_VALUE"""),"POUDRE R-1")</f>
        <v>POUDRE R-1</v>
      </c>
      <c r="C936" s="14" t="str">
        <f>IFERROR(__xludf.DUMMYFUNCTION("""COMPUTED_VALUE"""),"00766")</f>
        <v>00766</v>
      </c>
      <c r="D936" s="13" t="str">
        <f>IFERROR(__xludf.DUMMYFUNCTION("""COMPUTED_VALUE"""),"BENNETT ELEMENTARY SCHOOL")</f>
        <v>BENNETT ELEMENTARY SCHOOL</v>
      </c>
      <c r="E936" s="13" t="str">
        <f>IFERROR(__xludf.DUMMYFUNCTION("""COMPUTED_VALUE"""),"Group 4")</f>
        <v>Group 4</v>
      </c>
      <c r="F936" s="13" t="str">
        <f>IFERROR(__xludf.DUMMYFUNCTION("""COMPUTED_VALUE"""),"2024 - 2025")</f>
        <v>2024 - 2025</v>
      </c>
      <c r="G936" s="13" t="str">
        <f>IFERROR(__xludf.DUMMYFUNCTION("""COMPUTED_VALUE"""),"2023 - 2024")</f>
        <v>2023 - 2024</v>
      </c>
      <c r="H936" s="13">
        <f>IFERROR(__xludf.DUMMYFUNCTION("""COMPUTED_VALUE"""),79.33)</f>
        <v>79.33</v>
      </c>
      <c r="I936" s="15">
        <f>IFERROR(__xludf.DUMMYFUNCTION("""COMPUTED_VALUE"""),20.67)</f>
        <v>20.67</v>
      </c>
    </row>
    <row r="937">
      <c r="A937" s="13" t="str">
        <f>IFERROR(__xludf.DUMMYFUNCTION("""COMPUTED_VALUE"""),"1550")</f>
        <v>1550</v>
      </c>
      <c r="B937" s="13" t="str">
        <f>IFERROR(__xludf.DUMMYFUNCTION("""COMPUTED_VALUE"""),"POUDRE R-1")</f>
        <v>POUDRE R-1</v>
      </c>
      <c r="C937" s="14" t="str">
        <f>IFERROR(__xludf.DUMMYFUNCTION("""COMPUTED_VALUE"""),"05196")</f>
        <v>05196</v>
      </c>
      <c r="D937" s="13" t="str">
        <f>IFERROR(__xludf.DUMMYFUNCTION("""COMPUTED_VALUE"""),"LINTON ELEMENTARY SCHOOL")</f>
        <v>LINTON ELEMENTARY SCHOOL</v>
      </c>
      <c r="E937" s="13" t="str">
        <f>IFERROR(__xludf.DUMMYFUNCTION("""COMPUTED_VALUE"""),"Group 4")</f>
        <v>Group 4</v>
      </c>
      <c r="F937" s="13" t="str">
        <f>IFERROR(__xludf.DUMMYFUNCTION("""COMPUTED_VALUE"""),"2024 - 2025")</f>
        <v>2024 - 2025</v>
      </c>
      <c r="G937" s="13" t="str">
        <f>IFERROR(__xludf.DUMMYFUNCTION("""COMPUTED_VALUE"""),"2023 - 2024")</f>
        <v>2023 - 2024</v>
      </c>
      <c r="H937" s="13">
        <f>IFERROR(__xludf.DUMMYFUNCTION("""COMPUTED_VALUE"""),79.33)</f>
        <v>79.33</v>
      </c>
      <c r="I937" s="15">
        <f>IFERROR(__xludf.DUMMYFUNCTION("""COMPUTED_VALUE"""),20.67)</f>
        <v>20.67</v>
      </c>
    </row>
    <row r="938">
      <c r="A938" s="13" t="str">
        <f>IFERROR(__xludf.DUMMYFUNCTION("""COMPUTED_VALUE"""),"1550")</f>
        <v>1550</v>
      </c>
      <c r="B938" s="13" t="str">
        <f>IFERROR(__xludf.DUMMYFUNCTION("""COMPUTED_VALUE"""),"POUDRE R-1")</f>
        <v>POUDRE R-1</v>
      </c>
      <c r="C938" s="14" t="str">
        <f>IFERROR(__xludf.DUMMYFUNCTION("""COMPUTED_VALUE"""),"00898")</f>
        <v>00898</v>
      </c>
      <c r="D938" s="13" t="str">
        <f>IFERROR(__xludf.DUMMYFUNCTION("""COMPUTED_VALUE"""),"BOLTZ JUNIOR HIGH SCHOOL")</f>
        <v>BOLTZ JUNIOR HIGH SCHOOL</v>
      </c>
      <c r="E938" s="13" t="str">
        <f>IFERROR(__xludf.DUMMYFUNCTION("""COMPUTED_VALUE"""),"Group 5")</f>
        <v>Group 5</v>
      </c>
      <c r="F938" s="13" t="str">
        <f>IFERROR(__xludf.DUMMYFUNCTION("""COMPUTED_VALUE"""),"2024 - 2025")</f>
        <v>2024 - 2025</v>
      </c>
      <c r="G938" s="13" t="str">
        <f>IFERROR(__xludf.DUMMYFUNCTION("""COMPUTED_VALUE"""),"2023 - 2024")</f>
        <v>2023 - 2024</v>
      </c>
      <c r="H938" s="13">
        <f>IFERROR(__xludf.DUMMYFUNCTION("""COMPUTED_VALUE"""),56.9)</f>
        <v>56.9</v>
      </c>
      <c r="I938" s="15">
        <f>IFERROR(__xludf.DUMMYFUNCTION("""COMPUTED_VALUE"""),43.1)</f>
        <v>43.1</v>
      </c>
    </row>
    <row r="939">
      <c r="A939" s="13" t="str">
        <f>IFERROR(__xludf.DUMMYFUNCTION("""COMPUTED_VALUE"""),"1550")</f>
        <v>1550</v>
      </c>
      <c r="B939" s="13" t="str">
        <f>IFERROR(__xludf.DUMMYFUNCTION("""COMPUTED_VALUE"""),"POUDRE R-1")</f>
        <v>POUDRE R-1</v>
      </c>
      <c r="C939" s="14" t="str">
        <f>IFERROR(__xludf.DUMMYFUNCTION("""COMPUTED_VALUE"""),"04456")</f>
        <v>04456</v>
      </c>
      <c r="D939" s="13" t="str">
        <f>IFERROR(__xludf.DUMMYFUNCTION("""COMPUTED_VALUE"""),"JOHNSON ELEMENTARY SCHOOL")</f>
        <v>JOHNSON ELEMENTARY SCHOOL</v>
      </c>
      <c r="E939" s="13" t="str">
        <f>IFERROR(__xludf.DUMMYFUNCTION("""COMPUTED_VALUE"""),"Group 5")</f>
        <v>Group 5</v>
      </c>
      <c r="F939" s="13" t="str">
        <f>IFERROR(__xludf.DUMMYFUNCTION("""COMPUTED_VALUE"""),"2024 - 2025")</f>
        <v>2024 - 2025</v>
      </c>
      <c r="G939" s="13" t="str">
        <f>IFERROR(__xludf.DUMMYFUNCTION("""COMPUTED_VALUE"""),"2023 - 2024")</f>
        <v>2023 - 2024</v>
      </c>
      <c r="H939" s="13">
        <f>IFERROR(__xludf.DUMMYFUNCTION("""COMPUTED_VALUE"""),56.9)</f>
        <v>56.9</v>
      </c>
      <c r="I939" s="15">
        <f>IFERROR(__xludf.DUMMYFUNCTION("""COMPUTED_VALUE"""),43.1)</f>
        <v>43.1</v>
      </c>
    </row>
    <row r="940">
      <c r="A940" s="13" t="str">
        <f>IFERROR(__xludf.DUMMYFUNCTION("""COMPUTED_VALUE"""),"1550")</f>
        <v>1550</v>
      </c>
      <c r="B940" s="13" t="str">
        <f>IFERROR(__xludf.DUMMYFUNCTION("""COMPUTED_VALUE"""),"POUDRE R-1")</f>
        <v>POUDRE R-1</v>
      </c>
      <c r="C940" s="14" t="str">
        <f>IFERROR(__xludf.DUMMYFUNCTION("""COMPUTED_VALUE"""),"07325")</f>
        <v>07325</v>
      </c>
      <c r="D940" s="13" t="str">
        <f>IFERROR(__xludf.DUMMYFUNCTION("""COMPUTED_VALUE"""),"RICE ELEMENTARY SCHOOL")</f>
        <v>RICE ELEMENTARY SCHOOL</v>
      </c>
      <c r="E940" s="13" t="str">
        <f>IFERROR(__xludf.DUMMYFUNCTION("""COMPUTED_VALUE"""),"Group 5")</f>
        <v>Group 5</v>
      </c>
      <c r="F940" s="13" t="str">
        <f>IFERROR(__xludf.DUMMYFUNCTION("""COMPUTED_VALUE"""),"2024 - 2025")</f>
        <v>2024 - 2025</v>
      </c>
      <c r="G940" s="13" t="str">
        <f>IFERROR(__xludf.DUMMYFUNCTION("""COMPUTED_VALUE"""),"2023 - 2024")</f>
        <v>2023 - 2024</v>
      </c>
      <c r="H940" s="13">
        <f>IFERROR(__xludf.DUMMYFUNCTION("""COMPUTED_VALUE"""),56.9)</f>
        <v>56.9</v>
      </c>
      <c r="I940" s="15">
        <f>IFERROR(__xludf.DUMMYFUNCTION("""COMPUTED_VALUE"""),43.1)</f>
        <v>43.1</v>
      </c>
    </row>
    <row r="941">
      <c r="A941" s="13" t="str">
        <f>IFERROR(__xludf.DUMMYFUNCTION("""COMPUTED_VALUE"""),"1550")</f>
        <v>1550</v>
      </c>
      <c r="B941" s="13" t="str">
        <f>IFERROR(__xludf.DUMMYFUNCTION("""COMPUTED_VALUE"""),"POUDRE R-1")</f>
        <v>POUDRE R-1</v>
      </c>
      <c r="C941" s="14" t="str">
        <f>IFERROR(__xludf.DUMMYFUNCTION("""COMPUTED_VALUE"""),"06476")</f>
        <v>06476</v>
      </c>
      <c r="D941" s="13" t="str">
        <f>IFERROR(__xludf.DUMMYFUNCTION("""COMPUTED_VALUE"""),"O'DEA ELEMENTARY SCHOOL")</f>
        <v>O'DEA ELEMENTARY SCHOOL</v>
      </c>
      <c r="E941" s="13" t="str">
        <f>IFERROR(__xludf.DUMMYFUNCTION("""COMPUTED_VALUE"""),"Group 6")</f>
        <v>Group 6</v>
      </c>
      <c r="F941" s="13" t="str">
        <f>IFERROR(__xludf.DUMMYFUNCTION("""COMPUTED_VALUE"""),"2024 - 2025")</f>
        <v>2024 - 2025</v>
      </c>
      <c r="G941" s="13" t="str">
        <f>IFERROR(__xludf.DUMMYFUNCTION("""COMPUTED_VALUE"""),"2023 - 2024")</f>
        <v>2023 - 2024</v>
      </c>
      <c r="H941" s="13">
        <f>IFERROR(__xludf.DUMMYFUNCTION("""COMPUTED_VALUE"""),60.26)</f>
        <v>60.26</v>
      </c>
      <c r="I941" s="15">
        <f>IFERROR(__xludf.DUMMYFUNCTION("""COMPUTED_VALUE"""),39.74)</f>
        <v>39.74</v>
      </c>
    </row>
    <row r="942">
      <c r="A942" s="13" t="str">
        <f>IFERROR(__xludf.DUMMYFUNCTION("""COMPUTED_VALUE"""),"1550")</f>
        <v>1550</v>
      </c>
      <c r="B942" s="13" t="str">
        <f>IFERROR(__xludf.DUMMYFUNCTION("""COMPUTED_VALUE"""),"POUDRE R-1")</f>
        <v>POUDRE R-1</v>
      </c>
      <c r="C942" s="14" t="str">
        <f>IFERROR(__xludf.DUMMYFUNCTION("""COMPUTED_VALUE"""),"08460")</f>
        <v>08460</v>
      </c>
      <c r="D942" s="13" t="str">
        <f>IFERROR(__xludf.DUMMYFUNCTION("""COMPUTED_VALUE"""),"TAVELLI ELEMENTARY SCHOOL")</f>
        <v>TAVELLI ELEMENTARY SCHOOL</v>
      </c>
      <c r="E942" s="13" t="str">
        <f>IFERROR(__xludf.DUMMYFUNCTION("""COMPUTED_VALUE"""),"Group 6")</f>
        <v>Group 6</v>
      </c>
      <c r="F942" s="13" t="str">
        <f>IFERROR(__xludf.DUMMYFUNCTION("""COMPUTED_VALUE"""),"2024 - 2025")</f>
        <v>2024 - 2025</v>
      </c>
      <c r="G942" s="13" t="str">
        <f>IFERROR(__xludf.DUMMYFUNCTION("""COMPUTED_VALUE"""),"2023 - 2024")</f>
        <v>2023 - 2024</v>
      </c>
      <c r="H942" s="13">
        <f>IFERROR(__xludf.DUMMYFUNCTION("""COMPUTED_VALUE"""),60.26)</f>
        <v>60.26</v>
      </c>
      <c r="I942" s="15">
        <f>IFERROR(__xludf.DUMMYFUNCTION("""COMPUTED_VALUE"""),39.74)</f>
        <v>39.74</v>
      </c>
    </row>
    <row r="943">
      <c r="A943" s="13" t="str">
        <f>IFERROR(__xludf.DUMMYFUNCTION("""COMPUTED_VALUE"""),"1550")</f>
        <v>1550</v>
      </c>
      <c r="B943" s="13" t="str">
        <f>IFERROR(__xludf.DUMMYFUNCTION("""COMPUTED_VALUE"""),"POUDRE R-1")</f>
        <v>POUDRE R-1</v>
      </c>
      <c r="C943" s="14" t="str">
        <f>IFERROR(__xludf.DUMMYFUNCTION("""COMPUTED_VALUE"""),"09374")</f>
        <v>09374</v>
      </c>
      <c r="D943" s="13" t="str">
        <f>IFERROR(__xludf.DUMMYFUNCTION("""COMPUTED_VALUE"""),"WELLINGTON MIDDLE SCHOOL")</f>
        <v>WELLINGTON MIDDLE SCHOOL</v>
      </c>
      <c r="E943" s="13" t="str">
        <f>IFERROR(__xludf.DUMMYFUNCTION("""COMPUTED_VALUE"""),"Group 7")</f>
        <v>Group 7</v>
      </c>
      <c r="F943" s="13" t="str">
        <f>IFERROR(__xludf.DUMMYFUNCTION("""COMPUTED_VALUE"""),"2024 - 2025")</f>
        <v>2024 - 2025</v>
      </c>
      <c r="G943" s="13" t="str">
        <f>IFERROR(__xludf.DUMMYFUNCTION("""COMPUTED_VALUE"""),"2023 - 2024")</f>
        <v>2023 - 2024</v>
      </c>
      <c r="H943" s="13">
        <f>IFERROR(__xludf.DUMMYFUNCTION("""COMPUTED_VALUE"""),41.82)</f>
        <v>41.82</v>
      </c>
      <c r="I943" s="15">
        <f>IFERROR(__xludf.DUMMYFUNCTION("""COMPUTED_VALUE"""),58.18)</f>
        <v>58.18</v>
      </c>
    </row>
    <row r="944">
      <c r="A944" s="13" t="str">
        <f>IFERROR(__xludf.DUMMYFUNCTION("""COMPUTED_VALUE"""),"1550")</f>
        <v>1550</v>
      </c>
      <c r="B944" s="13" t="str">
        <f>IFERROR(__xludf.DUMMYFUNCTION("""COMPUTED_VALUE"""),"POUDRE R-1")</f>
        <v>POUDRE R-1</v>
      </c>
      <c r="C944" s="14" t="str">
        <f>IFERROR(__xludf.DUMMYFUNCTION("""COMPUTED_VALUE"""),"09380")</f>
        <v>09380</v>
      </c>
      <c r="D944" s="13" t="str">
        <f>IFERROR(__xludf.DUMMYFUNCTION("""COMPUTED_VALUE"""),"WERNER ELEMENTARY SCHOOL")</f>
        <v>WERNER ELEMENTARY SCHOOL</v>
      </c>
      <c r="E944" s="13" t="str">
        <f>IFERROR(__xludf.DUMMYFUNCTION("""COMPUTED_VALUE"""),"Group 7")</f>
        <v>Group 7</v>
      </c>
      <c r="F944" s="13" t="str">
        <f>IFERROR(__xludf.DUMMYFUNCTION("""COMPUTED_VALUE"""),"2024 - 2025")</f>
        <v>2024 - 2025</v>
      </c>
      <c r="G944" s="13" t="str">
        <f>IFERROR(__xludf.DUMMYFUNCTION("""COMPUTED_VALUE"""),"2023 - 2024")</f>
        <v>2023 - 2024</v>
      </c>
      <c r="H944" s="13">
        <f>IFERROR(__xludf.DUMMYFUNCTION("""COMPUTED_VALUE"""),41.82)</f>
        <v>41.82</v>
      </c>
      <c r="I944" s="15">
        <f>IFERROR(__xludf.DUMMYFUNCTION("""COMPUTED_VALUE"""),58.18)</f>
        <v>58.18</v>
      </c>
    </row>
    <row r="945">
      <c r="A945" s="13" t="str">
        <f>IFERROR(__xludf.DUMMYFUNCTION("""COMPUTED_VALUE"""),"1550")</f>
        <v>1550</v>
      </c>
      <c r="B945" s="13" t="str">
        <f>IFERROR(__xludf.DUMMYFUNCTION("""COMPUTED_VALUE"""),"POUDRE R-1")</f>
        <v>POUDRE R-1</v>
      </c>
      <c r="C945" s="14" t="str">
        <f>IFERROR(__xludf.DUMMYFUNCTION("""COMPUTED_VALUE"""),"05292")</f>
        <v>05292</v>
      </c>
      <c r="D945" s="13" t="str">
        <f>IFERROR(__xludf.DUMMYFUNCTION("""COMPUTED_VALUE"""),"LOPEZ ELEMENTARY SCHOOL")</f>
        <v>LOPEZ ELEMENTARY SCHOOL</v>
      </c>
      <c r="E945" s="13" t="str">
        <f>IFERROR(__xludf.DUMMYFUNCTION("""COMPUTED_VALUE"""),"Group 8")</f>
        <v>Group 8</v>
      </c>
      <c r="F945" s="13" t="str">
        <f>IFERROR(__xludf.DUMMYFUNCTION("""COMPUTED_VALUE"""),"2024 - 2025")</f>
        <v>2024 - 2025</v>
      </c>
      <c r="G945" s="13" t="str">
        <f>IFERROR(__xludf.DUMMYFUNCTION("""COMPUTED_VALUE"""),"2023 - 2024")</f>
        <v>2023 - 2024</v>
      </c>
      <c r="H945" s="13">
        <f>IFERROR(__xludf.DUMMYFUNCTION("""COMPUTED_VALUE"""),64.46)</f>
        <v>64.46</v>
      </c>
      <c r="I945" s="15">
        <f>IFERROR(__xludf.DUMMYFUNCTION("""COMPUTED_VALUE"""),35.540000000000006)</f>
        <v>35.54</v>
      </c>
    </row>
    <row r="946">
      <c r="A946" s="13" t="str">
        <f>IFERROR(__xludf.DUMMYFUNCTION("""COMPUTED_VALUE"""),"1550")</f>
        <v>1550</v>
      </c>
      <c r="B946" s="13" t="str">
        <f>IFERROR(__xludf.DUMMYFUNCTION("""COMPUTED_VALUE"""),"POUDRE R-1")</f>
        <v>POUDRE R-1</v>
      </c>
      <c r="C946" s="14" t="str">
        <f>IFERROR(__xludf.DUMMYFUNCTION("""COMPUTED_VALUE"""),"07218")</f>
        <v>07218</v>
      </c>
      <c r="D946" s="13" t="str">
        <f>IFERROR(__xludf.DUMMYFUNCTION("""COMPUTED_VALUE"""),"PUTNAM ELEMENTARY SCHOOL")</f>
        <v>PUTNAM ELEMENTARY SCHOOL</v>
      </c>
      <c r="E946" s="13" t="str">
        <f>IFERROR(__xludf.DUMMYFUNCTION("""COMPUTED_VALUE"""),"Group 9")</f>
        <v>Group 9</v>
      </c>
      <c r="F946" s="13" t="str">
        <f>IFERROR(__xludf.DUMMYFUNCTION("""COMPUTED_VALUE"""),"2024 - 2025")</f>
        <v>2024 - 2025</v>
      </c>
      <c r="G946" s="13" t="str">
        <f>IFERROR(__xludf.DUMMYFUNCTION("""COMPUTED_VALUE"""),"2023 - 2024")</f>
        <v>2023 - 2024</v>
      </c>
      <c r="H946" s="13">
        <f>IFERROR(__xludf.DUMMYFUNCTION("""COMPUTED_VALUE"""),99.89)</f>
        <v>99.89</v>
      </c>
      <c r="I946" s="15">
        <f>IFERROR(__xludf.DUMMYFUNCTION("""COMPUTED_VALUE"""),0.10999999999999943)</f>
        <v>0.11</v>
      </c>
    </row>
    <row r="947">
      <c r="A947" s="13" t="str">
        <f>IFERROR(__xludf.DUMMYFUNCTION("""COMPUTED_VALUE"""),"1550")</f>
        <v>1550</v>
      </c>
      <c r="B947" s="13" t="str">
        <f>IFERROR(__xludf.DUMMYFUNCTION("""COMPUTED_VALUE"""),"POUDRE R-1")</f>
        <v>POUDRE R-1</v>
      </c>
      <c r="C947" s="14" t="str">
        <f>IFERROR(__xludf.DUMMYFUNCTION("""COMPUTED_VALUE"""),"00473")</f>
        <v>00473</v>
      </c>
      <c r="D947" s="13" t="str">
        <f>IFERROR(__xludf.DUMMYFUNCTION("""COMPUTED_VALUE"""),"PSD Mountain Schools")</f>
        <v>PSD Mountain Schools</v>
      </c>
      <c r="E947" s="13" t="str">
        <f>IFERROR(__xludf.DUMMYFUNCTION("""COMPUTED_VALUE"""),"Group 9")</f>
        <v>Group 9</v>
      </c>
      <c r="F947" s="13" t="str">
        <f>IFERROR(__xludf.DUMMYFUNCTION("""COMPUTED_VALUE"""),"2024 - 2025")</f>
        <v>2024 - 2025</v>
      </c>
      <c r="G947" s="13" t="str">
        <f>IFERROR(__xludf.DUMMYFUNCTION("""COMPUTED_VALUE"""),"2023 - 2024")</f>
        <v>2023 - 2024</v>
      </c>
      <c r="H947" s="13">
        <f>IFERROR(__xludf.DUMMYFUNCTION("""COMPUTED_VALUE"""),99.89)</f>
        <v>99.89</v>
      </c>
      <c r="I947" s="15">
        <f>IFERROR(__xludf.DUMMYFUNCTION("""COMPUTED_VALUE"""),0.10999999999999943)</f>
        <v>0.11</v>
      </c>
    </row>
    <row r="948">
      <c r="A948" s="13" t="str">
        <f>IFERROR(__xludf.DUMMYFUNCTION("""COMPUTED_VALUE"""),"1560")</f>
        <v>1560</v>
      </c>
      <c r="B948" s="13" t="str">
        <f>IFERROR(__xludf.DUMMYFUNCTION("""COMPUTED_VALUE"""),"THOMPSON R2-J")</f>
        <v>THOMPSON R2-J</v>
      </c>
      <c r="C948" s="14" t="str">
        <f>IFERROR(__xludf.DUMMYFUNCTION("""COMPUTED_VALUE"""),"00808")</f>
        <v>00808</v>
      </c>
      <c r="D948" s="13" t="str">
        <f>IFERROR(__xludf.DUMMYFUNCTION("""COMPUTED_VALUE"""),"BERTHOUD ELEMENTARY SCHOOL")</f>
        <v>BERTHOUD ELEMENTARY SCHOOL</v>
      </c>
      <c r="E948" s="13" t="str">
        <f>IFERROR(__xludf.DUMMYFUNCTION("""COMPUTED_VALUE"""),"Group 1")</f>
        <v>Group 1</v>
      </c>
      <c r="F948" s="13" t="str">
        <f>IFERROR(__xludf.DUMMYFUNCTION("""COMPUTED_VALUE"""),"2024 - 2025")</f>
        <v>2024 - 2025</v>
      </c>
      <c r="G948" s="13" t="str">
        <f>IFERROR(__xludf.DUMMYFUNCTION("""COMPUTED_VALUE"""),"2023 - 2024")</f>
        <v>2023 - 2024</v>
      </c>
      <c r="H948" s="13">
        <f>IFERROR(__xludf.DUMMYFUNCTION("""COMPUTED_VALUE"""),45.84)</f>
        <v>45.84</v>
      </c>
      <c r="I948" s="15">
        <f>IFERROR(__xludf.DUMMYFUNCTION("""COMPUTED_VALUE"""),54.16)</f>
        <v>54.16</v>
      </c>
    </row>
    <row r="949">
      <c r="A949" s="13" t="str">
        <f>IFERROR(__xludf.DUMMYFUNCTION("""COMPUTED_VALUE"""),"1560")</f>
        <v>1560</v>
      </c>
      <c r="B949" s="13" t="str">
        <f>IFERROR(__xludf.DUMMYFUNCTION("""COMPUTED_VALUE"""),"THOMPSON R2-J")</f>
        <v>THOMPSON R2-J</v>
      </c>
      <c r="C949" s="14" t="str">
        <f>IFERROR(__xludf.DUMMYFUNCTION("""COMPUTED_VALUE"""),"08824")</f>
        <v>08824</v>
      </c>
      <c r="D949" s="13" t="str">
        <f>IFERROR(__xludf.DUMMYFUNCTION("""COMPUTED_VALUE"""),"THOMPSON VALLEY HIGH SCHOOL")</f>
        <v>THOMPSON VALLEY HIGH SCHOOL</v>
      </c>
      <c r="E949" s="13" t="str">
        <f>IFERROR(__xludf.DUMMYFUNCTION("""COMPUTED_VALUE"""),"Group 1")</f>
        <v>Group 1</v>
      </c>
      <c r="F949" s="13" t="str">
        <f>IFERROR(__xludf.DUMMYFUNCTION("""COMPUTED_VALUE"""),"2024 - 2025")</f>
        <v>2024 - 2025</v>
      </c>
      <c r="G949" s="13" t="str">
        <f>IFERROR(__xludf.DUMMYFUNCTION("""COMPUTED_VALUE"""),"2023 - 2024")</f>
        <v>2023 - 2024</v>
      </c>
      <c r="H949" s="13">
        <f>IFERROR(__xludf.DUMMYFUNCTION("""COMPUTED_VALUE"""),45.84)</f>
        <v>45.84</v>
      </c>
      <c r="I949" s="15">
        <f>IFERROR(__xludf.DUMMYFUNCTION("""COMPUTED_VALUE"""),54.16)</f>
        <v>54.16</v>
      </c>
    </row>
    <row r="950">
      <c r="A950" s="13" t="str">
        <f>IFERROR(__xludf.DUMMYFUNCTION("""COMPUTED_VALUE"""),"1560")</f>
        <v>1560</v>
      </c>
      <c r="B950" s="13" t="str">
        <f>IFERROR(__xludf.DUMMYFUNCTION("""COMPUTED_VALUE"""),"THOMPSON R2-J")</f>
        <v>THOMPSON R2-J</v>
      </c>
      <c r="C950" s="14" t="str">
        <f>IFERROR(__xludf.DUMMYFUNCTION("""COMPUTED_VALUE"""),"08925")</f>
        <v>08925</v>
      </c>
      <c r="D950" s="13" t="str">
        <f>IFERROR(__xludf.DUMMYFUNCTION("""COMPUTED_VALUE"""),"TURNER MIDDLE SCHOOL")</f>
        <v>TURNER MIDDLE SCHOOL</v>
      </c>
      <c r="E950" s="13" t="str">
        <f>IFERROR(__xludf.DUMMYFUNCTION("""COMPUTED_VALUE"""),"Group 1")</f>
        <v>Group 1</v>
      </c>
      <c r="F950" s="13" t="str">
        <f>IFERROR(__xludf.DUMMYFUNCTION("""COMPUTED_VALUE"""),"2024 - 2025")</f>
        <v>2024 - 2025</v>
      </c>
      <c r="G950" s="13" t="str">
        <f>IFERROR(__xludf.DUMMYFUNCTION("""COMPUTED_VALUE"""),"2023 - 2024")</f>
        <v>2023 - 2024</v>
      </c>
      <c r="H950" s="13">
        <f>IFERROR(__xludf.DUMMYFUNCTION("""COMPUTED_VALUE"""),45.84)</f>
        <v>45.84</v>
      </c>
      <c r="I950" s="15">
        <f>IFERROR(__xludf.DUMMYFUNCTION("""COMPUTED_VALUE"""),54.16)</f>
        <v>54.16</v>
      </c>
    </row>
    <row r="951">
      <c r="A951" s="13" t="str">
        <f>IFERROR(__xludf.DUMMYFUNCTION("""COMPUTED_VALUE"""),"1560")</f>
        <v>1560</v>
      </c>
      <c r="B951" s="13" t="str">
        <f>IFERROR(__xludf.DUMMYFUNCTION("""COMPUTED_VALUE"""),"THOMPSON R2-J")</f>
        <v>THOMPSON R2-J</v>
      </c>
      <c r="C951" s="14" t="str">
        <f>IFERROR(__xludf.DUMMYFUNCTION("""COMPUTED_VALUE"""),"09228")</f>
        <v>09228</v>
      </c>
      <c r="D951" s="13" t="str">
        <f>IFERROR(__xludf.DUMMYFUNCTION("""COMPUTED_VALUE"""),"WALT CLARK MIDDLE SCHOOL")</f>
        <v>WALT CLARK MIDDLE SCHOOL</v>
      </c>
      <c r="E951" s="13" t="str">
        <f>IFERROR(__xludf.DUMMYFUNCTION("""COMPUTED_VALUE"""),"Group 10")</f>
        <v>Group 10</v>
      </c>
      <c r="F951" s="13" t="str">
        <f>IFERROR(__xludf.DUMMYFUNCTION("""COMPUTED_VALUE"""),"2024 - 2025")</f>
        <v>2024 - 2025</v>
      </c>
      <c r="G951" s="13" t="str">
        <f>IFERROR(__xludf.DUMMYFUNCTION("""COMPUTED_VALUE"""),"2023 - 2024")</f>
        <v>2023 - 2024</v>
      </c>
      <c r="H951" s="13">
        <f>IFERROR(__xludf.DUMMYFUNCTION("""COMPUTED_VALUE"""),62.69)</f>
        <v>62.69</v>
      </c>
      <c r="I951" s="15">
        <f>IFERROR(__xludf.DUMMYFUNCTION("""COMPUTED_VALUE"""),37.31)</f>
        <v>37.31</v>
      </c>
    </row>
    <row r="952">
      <c r="A952" s="13" t="str">
        <f>IFERROR(__xludf.DUMMYFUNCTION("""COMPUTED_VALUE"""),"1560")</f>
        <v>1560</v>
      </c>
      <c r="B952" s="13" t="str">
        <f>IFERROR(__xludf.DUMMYFUNCTION("""COMPUTED_VALUE"""),"THOMPSON R2-J")</f>
        <v>THOMPSON R2-J</v>
      </c>
      <c r="C952" s="14" t="str">
        <f>IFERROR(__xludf.DUMMYFUNCTION("""COMPUTED_VALUE"""),"03945")</f>
        <v>03945</v>
      </c>
      <c r="D952" s="13" t="str">
        <f>IFERROR(__xludf.DUMMYFUNCTION("""COMPUTED_VALUE"""),"HIGH PLAINS SCHOOL")</f>
        <v>HIGH PLAINS SCHOOL</v>
      </c>
      <c r="E952" s="13" t="str">
        <f>IFERROR(__xludf.DUMMYFUNCTION("""COMPUTED_VALUE"""),"Group 10")</f>
        <v>Group 10</v>
      </c>
      <c r="F952" s="13" t="str">
        <f>IFERROR(__xludf.DUMMYFUNCTION("""COMPUTED_VALUE"""),"2024 - 2025")</f>
        <v>2024 - 2025</v>
      </c>
      <c r="G952" s="13" t="str">
        <f>IFERROR(__xludf.DUMMYFUNCTION("""COMPUTED_VALUE"""),"2023 - 2024")</f>
        <v>2023 - 2024</v>
      </c>
      <c r="H952" s="13">
        <f>IFERROR(__xludf.DUMMYFUNCTION("""COMPUTED_VALUE"""),62.69)</f>
        <v>62.69</v>
      </c>
      <c r="I952" s="15">
        <f>IFERROR(__xludf.DUMMYFUNCTION("""COMPUTED_VALUE"""),37.31)</f>
        <v>37.31</v>
      </c>
    </row>
    <row r="953">
      <c r="A953" s="13" t="str">
        <f>IFERROR(__xludf.DUMMYFUNCTION("""COMPUTED_VALUE"""),"1560")</f>
        <v>1560</v>
      </c>
      <c r="B953" s="13" t="str">
        <f>IFERROR(__xludf.DUMMYFUNCTION("""COMPUTED_VALUE"""),"THOMPSON R2-J")</f>
        <v>THOMPSON R2-J</v>
      </c>
      <c r="C953" s="14" t="str">
        <f>IFERROR(__xludf.DUMMYFUNCTION("""COMPUTED_VALUE"""),"03320")</f>
        <v>03320</v>
      </c>
      <c r="D953" s="13" t="str">
        <f>IFERROR(__xludf.DUMMYFUNCTION("""COMPUTED_VALUE"""),"GARFIELD ELEMENTARY SCHOOL")</f>
        <v>GARFIELD ELEMENTARY SCHOOL</v>
      </c>
      <c r="E953" s="13" t="str">
        <f>IFERROR(__xludf.DUMMYFUNCTION("""COMPUTED_VALUE"""),"Group 11")</f>
        <v>Group 11</v>
      </c>
      <c r="F953" s="13" t="str">
        <f>IFERROR(__xludf.DUMMYFUNCTION("""COMPUTED_VALUE"""),"2024 - 2025")</f>
        <v>2024 - 2025</v>
      </c>
      <c r="G953" s="13" t="str">
        <f>IFERROR(__xludf.DUMMYFUNCTION("""COMPUTED_VALUE"""),"2023 - 2024")</f>
        <v>2023 - 2024</v>
      </c>
      <c r="H953" s="13">
        <f>IFERROR(__xludf.DUMMYFUNCTION("""COMPUTED_VALUE"""),95.87)</f>
        <v>95.87</v>
      </c>
      <c r="I953" s="15">
        <f>IFERROR(__xludf.DUMMYFUNCTION("""COMPUTED_VALUE"""),4.1299999999999955)</f>
        <v>4.13</v>
      </c>
    </row>
    <row r="954">
      <c r="A954" s="13" t="str">
        <f>IFERROR(__xludf.DUMMYFUNCTION("""COMPUTED_VALUE"""),"1560")</f>
        <v>1560</v>
      </c>
      <c r="B954" s="13" t="str">
        <f>IFERROR(__xludf.DUMMYFUNCTION("""COMPUTED_VALUE"""),"THOMPSON R2-J")</f>
        <v>THOMPSON R2-J</v>
      </c>
      <c r="C954" s="14" t="str">
        <f>IFERROR(__xludf.DUMMYFUNCTION("""COMPUTED_VALUE"""),"05018")</f>
        <v>05018</v>
      </c>
      <c r="D954" s="13" t="str">
        <f>IFERROR(__xludf.DUMMYFUNCTION("""COMPUTED_VALUE"""),"LAURENE EDMONDSON ELEMENTARY SCHOOL")</f>
        <v>LAURENE EDMONDSON ELEMENTARY SCHOOL</v>
      </c>
      <c r="E954" s="13" t="str">
        <f>IFERROR(__xludf.DUMMYFUNCTION("""COMPUTED_VALUE"""),"Group 11")</f>
        <v>Group 11</v>
      </c>
      <c r="F954" s="13" t="str">
        <f>IFERROR(__xludf.DUMMYFUNCTION("""COMPUTED_VALUE"""),"2024 - 2025")</f>
        <v>2024 - 2025</v>
      </c>
      <c r="G954" s="13" t="str">
        <f>IFERROR(__xludf.DUMMYFUNCTION("""COMPUTED_VALUE"""),"2023 - 2024")</f>
        <v>2023 - 2024</v>
      </c>
      <c r="H954" s="13">
        <f>IFERROR(__xludf.DUMMYFUNCTION("""COMPUTED_VALUE"""),95.87)</f>
        <v>95.87</v>
      </c>
      <c r="I954" s="15">
        <f>IFERROR(__xludf.DUMMYFUNCTION("""COMPUTED_VALUE"""),4.1299999999999955)</f>
        <v>4.13</v>
      </c>
    </row>
    <row r="955">
      <c r="A955" s="13" t="str">
        <f>IFERROR(__xludf.DUMMYFUNCTION("""COMPUTED_VALUE"""),"1560")</f>
        <v>1560</v>
      </c>
      <c r="B955" s="13" t="str">
        <f>IFERROR(__xludf.DUMMYFUNCTION("""COMPUTED_VALUE"""),"THOMPSON R2-J")</f>
        <v>THOMPSON R2-J</v>
      </c>
      <c r="C955" s="14" t="str">
        <f>IFERROR(__xludf.DUMMYFUNCTION("""COMPUTED_VALUE"""),"07640")</f>
        <v>07640</v>
      </c>
      <c r="D955" s="13" t="str">
        <f>IFERROR(__xludf.DUMMYFUNCTION("""COMPUTED_VALUE"""),"SARAH MILNER ELEMENTARY SCHOOL")</f>
        <v>SARAH MILNER ELEMENTARY SCHOOL</v>
      </c>
      <c r="E955" s="13" t="str">
        <f>IFERROR(__xludf.DUMMYFUNCTION("""COMPUTED_VALUE"""),"Group 11")</f>
        <v>Group 11</v>
      </c>
      <c r="F955" s="13" t="str">
        <f>IFERROR(__xludf.DUMMYFUNCTION("""COMPUTED_VALUE"""),"2024 - 2025")</f>
        <v>2024 - 2025</v>
      </c>
      <c r="G955" s="13" t="str">
        <f>IFERROR(__xludf.DUMMYFUNCTION("""COMPUTED_VALUE"""),"2023 - 2024")</f>
        <v>2023 - 2024</v>
      </c>
      <c r="H955" s="13">
        <f>IFERROR(__xludf.DUMMYFUNCTION("""COMPUTED_VALUE"""),95.87)</f>
        <v>95.87</v>
      </c>
      <c r="I955" s="15">
        <f>IFERROR(__xludf.DUMMYFUNCTION("""COMPUTED_VALUE"""),4.1299999999999955)</f>
        <v>4.13</v>
      </c>
    </row>
    <row r="956">
      <c r="A956" s="13" t="str">
        <f>IFERROR(__xludf.DUMMYFUNCTION("""COMPUTED_VALUE"""),"1560")</f>
        <v>1560</v>
      </c>
      <c r="B956" s="13" t="str">
        <f>IFERROR(__xludf.DUMMYFUNCTION("""COMPUTED_VALUE"""),"THOMPSON R2-J")</f>
        <v>THOMPSON R2-J</v>
      </c>
      <c r="C956" s="14" t="str">
        <f>IFERROR(__xludf.DUMMYFUNCTION("""COMPUTED_VALUE"""),"00510")</f>
        <v>00510</v>
      </c>
      <c r="D956" s="13" t="str">
        <f>IFERROR(__xludf.DUMMYFUNCTION("""COMPUTED_VALUE"""),"PEAKVIEW ACADEMY AT CONRAD BALL")</f>
        <v>PEAKVIEW ACADEMY AT CONRAD BALL</v>
      </c>
      <c r="E956" s="13" t="str">
        <f>IFERROR(__xludf.DUMMYFUNCTION("""COMPUTED_VALUE"""),"Group 12")</f>
        <v>Group 12</v>
      </c>
      <c r="F956" s="13" t="str">
        <f>IFERROR(__xludf.DUMMYFUNCTION("""COMPUTED_VALUE"""),"2024 - 2025")</f>
        <v>2024 - 2025</v>
      </c>
      <c r="G956" s="13" t="str">
        <f>IFERROR(__xludf.DUMMYFUNCTION("""COMPUTED_VALUE"""),"2023 - 2024")</f>
        <v>2023 - 2024</v>
      </c>
      <c r="H956" s="13">
        <f>IFERROR(__xludf.DUMMYFUNCTION("""COMPUTED_VALUE"""),91.84)</f>
        <v>91.84</v>
      </c>
      <c r="I956" s="15">
        <f>IFERROR(__xludf.DUMMYFUNCTION("""COMPUTED_VALUE"""),8.159999999999997)</f>
        <v>8.16</v>
      </c>
    </row>
    <row r="957">
      <c r="A957" s="13" t="str">
        <f>IFERROR(__xludf.DUMMYFUNCTION("""COMPUTED_VALUE"""),"1560")</f>
        <v>1560</v>
      </c>
      <c r="B957" s="13" t="str">
        <f>IFERROR(__xludf.DUMMYFUNCTION("""COMPUTED_VALUE"""),"THOMPSON R2-J")</f>
        <v>THOMPSON R2-J</v>
      </c>
      <c r="C957" s="14" t="str">
        <f>IFERROR(__xludf.DUMMYFUNCTION("""COMPUTED_VALUE"""),"01920")</f>
        <v>01920</v>
      </c>
      <c r="D957" s="13" t="str">
        <f>IFERROR(__xludf.DUMMYFUNCTION("""COMPUTED_VALUE"""),"COTTONWOOD PLAINS ELEMENTARY SCHOOL")</f>
        <v>COTTONWOOD PLAINS ELEMENTARY SCHOOL</v>
      </c>
      <c r="E957" s="13" t="str">
        <f>IFERROR(__xludf.DUMMYFUNCTION("""COMPUTED_VALUE"""),"Group 12")</f>
        <v>Group 12</v>
      </c>
      <c r="F957" s="13" t="str">
        <f>IFERROR(__xludf.DUMMYFUNCTION("""COMPUTED_VALUE"""),"2024 - 2025")</f>
        <v>2024 - 2025</v>
      </c>
      <c r="G957" s="13" t="str">
        <f>IFERROR(__xludf.DUMMYFUNCTION("""COMPUTED_VALUE"""),"2023 - 2024")</f>
        <v>2023 - 2024</v>
      </c>
      <c r="H957" s="13">
        <f>IFERROR(__xludf.DUMMYFUNCTION("""COMPUTED_VALUE"""),91.84)</f>
        <v>91.84</v>
      </c>
      <c r="I957" s="15">
        <f>IFERROR(__xludf.DUMMYFUNCTION("""COMPUTED_VALUE"""),8.159999999999997)</f>
        <v>8.16</v>
      </c>
    </row>
    <row r="958">
      <c r="A958" s="13" t="str">
        <f>IFERROR(__xludf.DUMMYFUNCTION("""COMPUTED_VALUE"""),"1560")</f>
        <v>1560</v>
      </c>
      <c r="B958" s="13" t="str">
        <f>IFERROR(__xludf.DUMMYFUNCTION("""COMPUTED_VALUE"""),"THOMPSON R2-J")</f>
        <v>THOMPSON R2-J</v>
      </c>
      <c r="C958" s="14" t="str">
        <f>IFERROR(__xludf.DUMMYFUNCTION("""COMPUTED_VALUE"""),"08918")</f>
        <v>08918</v>
      </c>
      <c r="D958" s="13" t="str">
        <f>IFERROR(__xludf.DUMMYFUNCTION("""COMPUTED_VALUE"""),"TRUSCOTT ELEMENTARY SCHOOL")</f>
        <v>TRUSCOTT ELEMENTARY SCHOOL</v>
      </c>
      <c r="E958" s="13" t="str">
        <f>IFERROR(__xludf.DUMMYFUNCTION("""COMPUTED_VALUE"""),"Group 12")</f>
        <v>Group 12</v>
      </c>
      <c r="F958" s="13" t="str">
        <f>IFERROR(__xludf.DUMMYFUNCTION("""COMPUTED_VALUE"""),"2024 - 2025")</f>
        <v>2024 - 2025</v>
      </c>
      <c r="G958" s="13" t="str">
        <f>IFERROR(__xludf.DUMMYFUNCTION("""COMPUTED_VALUE"""),"2023 - 2024")</f>
        <v>2023 - 2024</v>
      </c>
      <c r="H958" s="13">
        <f>IFERROR(__xludf.DUMMYFUNCTION("""COMPUTED_VALUE"""),91.84)</f>
        <v>91.84</v>
      </c>
      <c r="I958" s="15">
        <f>IFERROR(__xludf.DUMMYFUNCTION("""COMPUTED_VALUE"""),8.159999999999997)</f>
        <v>8.16</v>
      </c>
    </row>
    <row r="959">
      <c r="A959" s="13" t="str">
        <f>IFERROR(__xludf.DUMMYFUNCTION("""COMPUTED_VALUE"""),"1560")</f>
        <v>1560</v>
      </c>
      <c r="B959" s="13" t="str">
        <f>IFERROR(__xludf.DUMMYFUNCTION("""COMPUTED_VALUE"""),"THOMPSON R2-J")</f>
        <v>THOMPSON R2-J</v>
      </c>
      <c r="C959" s="14" t="str">
        <f>IFERROR(__xludf.DUMMYFUNCTION("""COMPUTED_VALUE"""),"02089")</f>
        <v>02089</v>
      </c>
      <c r="D959" s="13" t="str">
        <f>IFERROR(__xludf.DUMMYFUNCTION("""COMPUTED_VALUE"""),"COYOTE RIDGE ELEMENTARY SCHOOL")</f>
        <v>COYOTE RIDGE ELEMENTARY SCHOOL</v>
      </c>
      <c r="E959" s="13" t="str">
        <f>IFERROR(__xludf.DUMMYFUNCTION("""COMPUTED_VALUE"""),"Group 2")</f>
        <v>Group 2</v>
      </c>
      <c r="F959" s="13" t="str">
        <f>IFERROR(__xludf.DUMMYFUNCTION("""COMPUTED_VALUE"""),"2024 - 2025")</f>
        <v>2024 - 2025</v>
      </c>
      <c r="G959" s="13" t="str">
        <f>IFERROR(__xludf.DUMMYFUNCTION("""COMPUTED_VALUE"""),"2023 - 2024")</f>
        <v>2023 - 2024</v>
      </c>
      <c r="H959" s="13">
        <f>IFERROR(__xludf.DUMMYFUNCTION("""COMPUTED_VALUE"""),53.55)</f>
        <v>53.55</v>
      </c>
      <c r="I959" s="15">
        <f>IFERROR(__xludf.DUMMYFUNCTION("""COMPUTED_VALUE"""),46.45)</f>
        <v>46.45</v>
      </c>
    </row>
    <row r="960">
      <c r="A960" s="13" t="str">
        <f>IFERROR(__xludf.DUMMYFUNCTION("""COMPUTED_VALUE"""),"1560")</f>
        <v>1560</v>
      </c>
      <c r="B960" s="13" t="str">
        <f>IFERROR(__xludf.DUMMYFUNCTION("""COMPUTED_VALUE"""),"THOMPSON R2-J")</f>
        <v>THOMPSON R2-J</v>
      </c>
      <c r="C960" s="14" t="str">
        <f>IFERROR(__xludf.DUMMYFUNCTION("""COMPUTED_VALUE"""),"05335")</f>
        <v>05335</v>
      </c>
      <c r="D960" s="13" t="str">
        <f>IFERROR(__xludf.DUMMYFUNCTION("""COMPUTED_VALUE"""),"LUCILE ERWIN MIDDLE SCHOOL")</f>
        <v>LUCILE ERWIN MIDDLE SCHOOL</v>
      </c>
      <c r="E960" s="13" t="str">
        <f>IFERROR(__xludf.DUMMYFUNCTION("""COMPUTED_VALUE"""),"Group 2")</f>
        <v>Group 2</v>
      </c>
      <c r="F960" s="13" t="str">
        <f>IFERROR(__xludf.DUMMYFUNCTION("""COMPUTED_VALUE"""),"2024 - 2025")</f>
        <v>2024 - 2025</v>
      </c>
      <c r="G960" s="13" t="str">
        <f>IFERROR(__xludf.DUMMYFUNCTION("""COMPUTED_VALUE"""),"2023 - 2024")</f>
        <v>2023 - 2024</v>
      </c>
      <c r="H960" s="13">
        <f>IFERROR(__xludf.DUMMYFUNCTION("""COMPUTED_VALUE"""),53.55)</f>
        <v>53.55</v>
      </c>
      <c r="I960" s="15">
        <f>IFERROR(__xludf.DUMMYFUNCTION("""COMPUTED_VALUE"""),46.45)</f>
        <v>46.45</v>
      </c>
    </row>
    <row r="961">
      <c r="A961" s="13" t="str">
        <f>IFERROR(__xludf.DUMMYFUNCTION("""COMPUTED_VALUE"""),"1560")</f>
        <v>1560</v>
      </c>
      <c r="B961" s="13" t="str">
        <f>IFERROR(__xludf.DUMMYFUNCTION("""COMPUTED_VALUE"""),"THOMPSON R2-J")</f>
        <v>THOMPSON R2-J</v>
      </c>
      <c r="C961" s="14" t="str">
        <f>IFERROR(__xludf.DUMMYFUNCTION("""COMPUTED_VALUE"""),"05170")</f>
        <v>05170</v>
      </c>
      <c r="D961" s="13" t="str">
        <f>IFERROR(__xludf.DUMMYFUNCTION("""COMPUTED_VALUE"""),"LINCOLN ELEMENTARY SCHOOL")</f>
        <v>LINCOLN ELEMENTARY SCHOOL</v>
      </c>
      <c r="E961" s="13" t="str">
        <f>IFERROR(__xludf.DUMMYFUNCTION("""COMPUTED_VALUE"""),"Group 3")</f>
        <v>Group 3</v>
      </c>
      <c r="F961" s="13" t="str">
        <f>IFERROR(__xludf.DUMMYFUNCTION("""COMPUTED_VALUE"""),"2024 - 2025")</f>
        <v>2024 - 2025</v>
      </c>
      <c r="G961" s="13" t="str">
        <f>IFERROR(__xludf.DUMMYFUNCTION("""COMPUTED_VALUE"""),"2023 - 2024")</f>
        <v>2023 - 2024</v>
      </c>
      <c r="H961" s="13">
        <f>IFERROR(__xludf.DUMMYFUNCTION("""COMPUTED_VALUE"""),77.54)</f>
        <v>77.54</v>
      </c>
      <c r="I961" s="15">
        <f>IFERROR(__xludf.DUMMYFUNCTION("""COMPUTED_VALUE"""),22.459999999999994)</f>
        <v>22.46</v>
      </c>
    </row>
    <row r="962">
      <c r="A962" s="13" t="str">
        <f>IFERROR(__xludf.DUMMYFUNCTION("""COMPUTED_VALUE"""),"1560")</f>
        <v>1560</v>
      </c>
      <c r="B962" s="13" t="str">
        <f>IFERROR(__xludf.DUMMYFUNCTION("""COMPUTED_VALUE"""),"THOMPSON R2-J")</f>
        <v>THOMPSON R2-J</v>
      </c>
      <c r="C962" s="14" t="str">
        <f>IFERROR(__xludf.DUMMYFUNCTION("""COMPUTED_VALUE"""),"04332")</f>
        <v>04332</v>
      </c>
      <c r="D962" s="13" t="str">
        <f>IFERROR(__xludf.DUMMYFUNCTION("""COMPUTED_VALUE"""),"IVY STOCKWELL ELEMENTARY SCHOOL")</f>
        <v>IVY STOCKWELL ELEMENTARY SCHOOL</v>
      </c>
      <c r="E962" s="13" t="str">
        <f>IFERROR(__xludf.DUMMYFUNCTION("""COMPUTED_VALUE"""),"Group 4")</f>
        <v>Group 4</v>
      </c>
      <c r="F962" s="13" t="str">
        <f>IFERROR(__xludf.DUMMYFUNCTION("""COMPUTED_VALUE"""),"2024 - 2025")</f>
        <v>2024 - 2025</v>
      </c>
      <c r="G962" s="13" t="str">
        <f>IFERROR(__xludf.DUMMYFUNCTION("""COMPUTED_VALUE"""),"2023 - 2024")</f>
        <v>2023 - 2024</v>
      </c>
      <c r="H962" s="13">
        <f>IFERROR(__xludf.DUMMYFUNCTION("""COMPUTED_VALUE"""),46.86)</f>
        <v>46.86</v>
      </c>
      <c r="I962" s="15">
        <f>IFERROR(__xludf.DUMMYFUNCTION("""COMPUTED_VALUE"""),53.14)</f>
        <v>53.14</v>
      </c>
    </row>
    <row r="963">
      <c r="A963" s="13" t="str">
        <f>IFERROR(__xludf.DUMMYFUNCTION("""COMPUTED_VALUE"""),"1560")</f>
        <v>1560</v>
      </c>
      <c r="B963" s="13" t="str">
        <f>IFERROR(__xludf.DUMMYFUNCTION("""COMPUTED_VALUE"""),"THOMPSON R2-J")</f>
        <v>THOMPSON R2-J</v>
      </c>
      <c r="C963" s="14" t="str">
        <f>IFERROR(__xludf.DUMMYFUNCTION("""COMPUTED_VALUE"""),"06163")</f>
        <v>06163</v>
      </c>
      <c r="D963" s="13" t="str">
        <f>IFERROR(__xludf.DUMMYFUNCTION("""COMPUTED_VALUE"""),"MOUNTAIN VIEW HIGH SCHOOL")</f>
        <v>MOUNTAIN VIEW HIGH SCHOOL</v>
      </c>
      <c r="E963" s="13" t="str">
        <f>IFERROR(__xludf.DUMMYFUNCTION("""COMPUTED_VALUE"""),"Group 4")</f>
        <v>Group 4</v>
      </c>
      <c r="F963" s="13" t="str">
        <f>IFERROR(__xludf.DUMMYFUNCTION("""COMPUTED_VALUE"""),"2024 - 2025")</f>
        <v>2024 - 2025</v>
      </c>
      <c r="G963" s="13" t="str">
        <f>IFERROR(__xludf.DUMMYFUNCTION("""COMPUTED_VALUE"""),"2023 - 2024")</f>
        <v>2023 - 2024</v>
      </c>
      <c r="H963" s="13">
        <f>IFERROR(__xludf.DUMMYFUNCTION("""COMPUTED_VALUE"""),46.86)</f>
        <v>46.86</v>
      </c>
      <c r="I963" s="15">
        <f>IFERROR(__xludf.DUMMYFUNCTION("""COMPUTED_VALUE"""),53.14)</f>
        <v>53.14</v>
      </c>
    </row>
    <row r="964">
      <c r="A964" s="13" t="str">
        <f>IFERROR(__xludf.DUMMYFUNCTION("""COMPUTED_VALUE"""),"1560")</f>
        <v>1560</v>
      </c>
      <c r="B964" s="13" t="str">
        <f>IFERROR(__xludf.DUMMYFUNCTION("""COMPUTED_VALUE"""),"THOMPSON R2-J")</f>
        <v>THOMPSON R2-J</v>
      </c>
      <c r="C964" s="14" t="str">
        <f>IFERROR(__xludf.DUMMYFUNCTION("""COMPUTED_VALUE"""),"07113")</f>
        <v>07113</v>
      </c>
      <c r="D964" s="13" t="str">
        <f>IFERROR(__xludf.DUMMYFUNCTION("""COMPUTED_VALUE"""),"PONDEROSA ELEMENTARY")</f>
        <v>PONDEROSA ELEMENTARY</v>
      </c>
      <c r="E964" s="13" t="str">
        <f>IFERROR(__xludf.DUMMYFUNCTION("""COMPUTED_VALUE"""),"Group 4")</f>
        <v>Group 4</v>
      </c>
      <c r="F964" s="13" t="str">
        <f>IFERROR(__xludf.DUMMYFUNCTION("""COMPUTED_VALUE"""),"2024 - 2025")</f>
        <v>2024 - 2025</v>
      </c>
      <c r="G964" s="13" t="str">
        <f>IFERROR(__xludf.DUMMYFUNCTION("""COMPUTED_VALUE"""),"2023 - 2024")</f>
        <v>2023 - 2024</v>
      </c>
      <c r="H964" s="13">
        <f>IFERROR(__xludf.DUMMYFUNCTION("""COMPUTED_VALUE"""),46.86)</f>
        <v>46.86</v>
      </c>
      <c r="I964" s="15">
        <f>IFERROR(__xludf.DUMMYFUNCTION("""COMPUTED_VALUE"""),53.14)</f>
        <v>53.14</v>
      </c>
    </row>
    <row r="965">
      <c r="A965" s="13" t="str">
        <f>IFERROR(__xludf.DUMMYFUNCTION("""COMPUTED_VALUE"""),"1560")</f>
        <v>1560</v>
      </c>
      <c r="B965" s="13" t="str">
        <f>IFERROR(__xludf.DUMMYFUNCTION("""COMPUTED_VALUE"""),"THOMPSON R2-J")</f>
        <v>THOMPSON R2-J</v>
      </c>
      <c r="C965" s="14" t="str">
        <f>IFERROR(__xludf.DUMMYFUNCTION("""COMPUTED_VALUE"""),"01530")</f>
        <v>01530</v>
      </c>
      <c r="D965" s="13" t="str">
        <f>IFERROR(__xludf.DUMMYFUNCTION("""COMPUTED_VALUE"""),"Riverview PK-8")</f>
        <v>Riverview PK-8</v>
      </c>
      <c r="E965" s="13" t="str">
        <f>IFERROR(__xludf.DUMMYFUNCTION("""COMPUTED_VALUE"""),"Group 4")</f>
        <v>Group 4</v>
      </c>
      <c r="F965" s="13" t="str">
        <f>IFERROR(__xludf.DUMMYFUNCTION("""COMPUTED_VALUE"""),"2024 - 2025")</f>
        <v>2024 - 2025</v>
      </c>
      <c r="G965" s="13" t="str">
        <f>IFERROR(__xludf.DUMMYFUNCTION("""COMPUTED_VALUE"""),"2023 - 2024")</f>
        <v>2023 - 2024</v>
      </c>
      <c r="H965" s="13">
        <f>IFERROR(__xludf.DUMMYFUNCTION("""COMPUTED_VALUE"""),46.86)</f>
        <v>46.86</v>
      </c>
      <c r="I965" s="15">
        <f>IFERROR(__xludf.DUMMYFUNCTION("""COMPUTED_VALUE"""),53.14)</f>
        <v>53.14</v>
      </c>
    </row>
    <row r="966">
      <c r="A966" s="13" t="str">
        <f>IFERROR(__xludf.DUMMYFUNCTION("""COMPUTED_VALUE"""),"1560")</f>
        <v>1560</v>
      </c>
      <c r="B966" s="13" t="str">
        <f>IFERROR(__xludf.DUMMYFUNCTION("""COMPUTED_VALUE"""),"THOMPSON R2-J")</f>
        <v>THOMPSON R2-J</v>
      </c>
      <c r="C966" s="14" t="str">
        <f>IFERROR(__xludf.DUMMYFUNCTION("""COMPUTED_VALUE"""),"02212")</f>
        <v>02212</v>
      </c>
      <c r="D966" s="13" t="str">
        <f>IFERROR(__xludf.DUMMYFUNCTION("""COMPUTED_VALUE"""),"Berthoud Early Childhood")</f>
        <v>Berthoud Early Childhood</v>
      </c>
      <c r="E966" s="13" t="str">
        <f>IFERROR(__xludf.DUMMYFUNCTION("""COMPUTED_VALUE"""),"Group 4")</f>
        <v>Group 4</v>
      </c>
      <c r="F966" s="13" t="str">
        <f>IFERROR(__xludf.DUMMYFUNCTION("""COMPUTED_VALUE"""),"2024 - 2025")</f>
        <v>2024 - 2025</v>
      </c>
      <c r="G966" s="13" t="str">
        <f>IFERROR(__xludf.DUMMYFUNCTION("""COMPUTED_VALUE"""),"2023 - 2024")</f>
        <v>2023 - 2024</v>
      </c>
      <c r="H966" s="13">
        <f>IFERROR(__xludf.DUMMYFUNCTION("""COMPUTED_VALUE"""),46.86)</f>
        <v>46.86</v>
      </c>
      <c r="I966" s="15">
        <f>IFERROR(__xludf.DUMMYFUNCTION("""COMPUTED_VALUE"""),53.14)</f>
        <v>53.14</v>
      </c>
    </row>
    <row r="967">
      <c r="A967" s="13" t="str">
        <f>IFERROR(__xludf.DUMMYFUNCTION("""COMPUTED_VALUE"""),"1560")</f>
        <v>1560</v>
      </c>
      <c r="B967" s="13" t="str">
        <f>IFERROR(__xludf.DUMMYFUNCTION("""COMPUTED_VALUE"""),"THOMPSON R2-J")</f>
        <v>THOMPSON R2-J</v>
      </c>
      <c r="C967" s="14" t="str">
        <f>IFERROR(__xludf.DUMMYFUNCTION("""COMPUTED_VALUE"""),"06194")</f>
        <v>06194</v>
      </c>
      <c r="D967" s="13" t="str">
        <f>IFERROR(__xludf.DUMMYFUNCTION("""COMPUTED_VALUE"""),"NAMAQUA ELEMENTARY SCHOOL")</f>
        <v>NAMAQUA ELEMENTARY SCHOOL</v>
      </c>
      <c r="E967" s="13" t="str">
        <f>IFERROR(__xludf.DUMMYFUNCTION("""COMPUTED_VALUE"""),"Group 5")</f>
        <v>Group 5</v>
      </c>
      <c r="F967" s="13" t="str">
        <f>IFERROR(__xludf.DUMMYFUNCTION("""COMPUTED_VALUE"""),"2024 - 2025")</f>
        <v>2024 - 2025</v>
      </c>
      <c r="G967" s="13" t="str">
        <f>IFERROR(__xludf.DUMMYFUNCTION("""COMPUTED_VALUE"""),"2023 - 2024")</f>
        <v>2023 - 2024</v>
      </c>
      <c r="H967" s="13">
        <f>IFERROR(__xludf.DUMMYFUNCTION("""COMPUTED_VALUE"""),69.04)</f>
        <v>69.04</v>
      </c>
      <c r="I967" s="15">
        <f>IFERROR(__xludf.DUMMYFUNCTION("""COMPUTED_VALUE"""),30.959999999999994)</f>
        <v>30.96</v>
      </c>
    </row>
    <row r="968">
      <c r="A968" s="13" t="str">
        <f>IFERROR(__xludf.DUMMYFUNCTION("""COMPUTED_VALUE"""),"1560")</f>
        <v>1560</v>
      </c>
      <c r="B968" s="13" t="str">
        <f>IFERROR(__xludf.DUMMYFUNCTION("""COMPUTED_VALUE"""),"THOMPSON R2-J")</f>
        <v>THOMPSON R2-J</v>
      </c>
      <c r="C968" s="14" t="str">
        <f>IFERROR(__xludf.DUMMYFUNCTION("""COMPUTED_VALUE"""),"00865")</f>
        <v>00865</v>
      </c>
      <c r="D968" s="13" t="str">
        <f>IFERROR(__xludf.DUMMYFUNCTION("""COMPUTED_VALUE"""),"B F KITCHEN ELEMENTARY SCHOOL")</f>
        <v>B F KITCHEN ELEMENTARY SCHOOL</v>
      </c>
      <c r="E968" s="13" t="str">
        <f>IFERROR(__xludf.DUMMYFUNCTION("""COMPUTED_VALUE"""),"Group 6")</f>
        <v>Group 6</v>
      </c>
      <c r="F968" s="13" t="str">
        <f>IFERROR(__xludf.DUMMYFUNCTION("""COMPUTED_VALUE"""),"2024 - 2025")</f>
        <v>2024 - 2025</v>
      </c>
      <c r="G968" s="13" t="str">
        <f>IFERROR(__xludf.DUMMYFUNCTION("""COMPUTED_VALUE"""),"2023 - 2024")</f>
        <v>2023 - 2024</v>
      </c>
      <c r="H968" s="13">
        <f>IFERROR(__xludf.DUMMYFUNCTION("""COMPUTED_VALUE"""),94.67)</f>
        <v>94.67</v>
      </c>
      <c r="I968" s="15">
        <f>IFERROR(__xludf.DUMMYFUNCTION("""COMPUTED_VALUE"""),5.329999999999998)</f>
        <v>5.33</v>
      </c>
    </row>
    <row r="969">
      <c r="A969" s="13" t="str">
        <f>IFERROR(__xludf.DUMMYFUNCTION("""COMPUTED_VALUE"""),"1560")</f>
        <v>1560</v>
      </c>
      <c r="B969" s="13" t="str">
        <f>IFERROR(__xludf.DUMMYFUNCTION("""COMPUTED_VALUE"""),"THOMPSON R2-J")</f>
        <v>THOMPSON R2-J</v>
      </c>
      <c r="C969" s="14" t="str">
        <f>IFERROR(__xludf.DUMMYFUNCTION("""COMPUTED_VALUE"""),"09674")</f>
        <v>09674</v>
      </c>
      <c r="D969" s="13" t="str">
        <f>IFERROR(__xludf.DUMMYFUNCTION("""COMPUTED_VALUE"""),"WINONA ELEMENTARY SCHOOL")</f>
        <v>WINONA ELEMENTARY SCHOOL</v>
      </c>
      <c r="E969" s="13" t="str">
        <f>IFERROR(__xludf.DUMMYFUNCTION("""COMPUTED_VALUE"""),"Group 6")</f>
        <v>Group 6</v>
      </c>
      <c r="F969" s="13" t="str">
        <f>IFERROR(__xludf.DUMMYFUNCTION("""COMPUTED_VALUE"""),"2024 - 2025")</f>
        <v>2024 - 2025</v>
      </c>
      <c r="G969" s="13" t="str">
        <f>IFERROR(__xludf.DUMMYFUNCTION("""COMPUTED_VALUE"""),"2023 - 2024")</f>
        <v>2023 - 2024</v>
      </c>
      <c r="H969" s="13">
        <f>IFERROR(__xludf.DUMMYFUNCTION("""COMPUTED_VALUE"""),94.67)</f>
        <v>94.67</v>
      </c>
      <c r="I969" s="15">
        <f>IFERROR(__xludf.DUMMYFUNCTION("""COMPUTED_VALUE"""),5.329999999999998)</f>
        <v>5.33</v>
      </c>
    </row>
    <row r="970">
      <c r="A970" s="13" t="str">
        <f>IFERROR(__xludf.DUMMYFUNCTION("""COMPUTED_VALUE"""),"1560")</f>
        <v>1560</v>
      </c>
      <c r="B970" s="13" t="str">
        <f>IFERROR(__xludf.DUMMYFUNCTION("""COMPUTED_VALUE"""),"THOMPSON R2-J")</f>
        <v>THOMPSON R2-J</v>
      </c>
      <c r="C970" s="14" t="str">
        <f>IFERROR(__xludf.DUMMYFUNCTION("""COMPUTED_VALUE"""),"00812")</f>
        <v>00812</v>
      </c>
      <c r="D970" s="13" t="str">
        <f>IFERROR(__xludf.DUMMYFUNCTION("""COMPUTED_VALUE"""),"BERTHOUD HIGH SCHOOL")</f>
        <v>BERTHOUD HIGH SCHOOL</v>
      </c>
      <c r="E970" s="13" t="str">
        <f>IFERROR(__xludf.DUMMYFUNCTION("""COMPUTED_VALUE"""),"Group 7")</f>
        <v>Group 7</v>
      </c>
      <c r="F970" s="13" t="str">
        <f>IFERROR(__xludf.DUMMYFUNCTION("""COMPUTED_VALUE"""),"2024 - 2025")</f>
        <v>2024 - 2025</v>
      </c>
      <c r="G970" s="13" t="str">
        <f>IFERROR(__xludf.DUMMYFUNCTION("""COMPUTED_VALUE"""),"2023 - 2024")</f>
        <v>2023 - 2024</v>
      </c>
      <c r="H970" s="13">
        <f>IFERROR(__xludf.DUMMYFUNCTION("""COMPUTED_VALUE"""),40.93)</f>
        <v>40.93</v>
      </c>
      <c r="I970" s="15">
        <f>IFERROR(__xludf.DUMMYFUNCTION("""COMPUTED_VALUE"""),59.07)</f>
        <v>59.07</v>
      </c>
    </row>
    <row r="971">
      <c r="A971" s="13" t="str">
        <f>IFERROR(__xludf.DUMMYFUNCTION("""COMPUTED_VALUE"""),"1560")</f>
        <v>1560</v>
      </c>
      <c r="B971" s="13" t="str">
        <f>IFERROR(__xludf.DUMMYFUNCTION("""COMPUTED_VALUE"""),"THOMPSON R2-J")</f>
        <v>THOMPSON R2-J</v>
      </c>
      <c r="C971" s="14" t="str">
        <f>IFERROR(__xludf.DUMMYFUNCTION("""COMPUTED_VALUE"""),"05316")</f>
        <v>05316</v>
      </c>
      <c r="D971" s="13" t="str">
        <f>IFERROR(__xludf.DUMMYFUNCTION("""COMPUTED_VALUE"""),"LOVELAND HIGH SCHOOL")</f>
        <v>LOVELAND HIGH SCHOOL</v>
      </c>
      <c r="E971" s="13" t="str">
        <f>IFERROR(__xludf.DUMMYFUNCTION("""COMPUTED_VALUE"""),"Group 7")</f>
        <v>Group 7</v>
      </c>
      <c r="F971" s="13" t="str">
        <f>IFERROR(__xludf.DUMMYFUNCTION("""COMPUTED_VALUE"""),"2024 - 2025")</f>
        <v>2024 - 2025</v>
      </c>
      <c r="G971" s="13" t="str">
        <f>IFERROR(__xludf.DUMMYFUNCTION("""COMPUTED_VALUE"""),"2023 - 2024")</f>
        <v>2023 - 2024</v>
      </c>
      <c r="H971" s="13">
        <f>IFERROR(__xludf.DUMMYFUNCTION("""COMPUTED_VALUE"""),40.93)</f>
        <v>40.93</v>
      </c>
      <c r="I971" s="15">
        <f>IFERROR(__xludf.DUMMYFUNCTION("""COMPUTED_VALUE"""),59.07)</f>
        <v>59.07</v>
      </c>
    </row>
    <row r="972">
      <c r="A972" s="13" t="str">
        <f>IFERROR(__xludf.DUMMYFUNCTION("""COMPUTED_VALUE"""),"1560")</f>
        <v>1560</v>
      </c>
      <c r="B972" s="13" t="str">
        <f>IFERROR(__xludf.DUMMYFUNCTION("""COMPUTED_VALUE"""),"THOMPSON R2-J")</f>
        <v>THOMPSON R2-J</v>
      </c>
      <c r="C972" s="14" t="str">
        <f>IFERROR(__xludf.DUMMYFUNCTION("""COMPUTED_VALUE"""),"06220")</f>
        <v>06220</v>
      </c>
      <c r="D972" s="13" t="str">
        <f>IFERROR(__xludf.DUMMYFUNCTION("""COMPUTED_VALUE"""),"NEW VISION CHARTER SCHOOL")</f>
        <v>NEW VISION CHARTER SCHOOL</v>
      </c>
      <c r="E972" s="13" t="str">
        <f>IFERROR(__xludf.DUMMYFUNCTION("""COMPUTED_VALUE"""),"Group 7")</f>
        <v>Group 7</v>
      </c>
      <c r="F972" s="13" t="str">
        <f>IFERROR(__xludf.DUMMYFUNCTION("""COMPUTED_VALUE"""),"2024 - 2025")</f>
        <v>2024 - 2025</v>
      </c>
      <c r="G972" s="13" t="str">
        <f>IFERROR(__xludf.DUMMYFUNCTION("""COMPUTED_VALUE"""),"2023 - 2024")</f>
        <v>2023 - 2024</v>
      </c>
      <c r="H972" s="13">
        <f>IFERROR(__xludf.DUMMYFUNCTION("""COMPUTED_VALUE"""),40.93)</f>
        <v>40.93</v>
      </c>
      <c r="I972" s="15">
        <f>IFERROR(__xludf.DUMMYFUNCTION("""COMPUTED_VALUE"""),59.07)</f>
        <v>59.07</v>
      </c>
    </row>
    <row r="973">
      <c r="A973" s="13" t="str">
        <f>IFERROR(__xludf.DUMMYFUNCTION("""COMPUTED_VALUE"""),"1560")</f>
        <v>1560</v>
      </c>
      <c r="B973" s="13" t="str">
        <f>IFERROR(__xludf.DUMMYFUNCTION("""COMPUTED_VALUE"""),"THOMPSON R2-J")</f>
        <v>THOMPSON R2-J</v>
      </c>
      <c r="C973" s="14" t="str">
        <f>IFERROR(__xludf.DUMMYFUNCTION("""COMPUTED_VALUE"""),"01323")</f>
        <v>01323</v>
      </c>
      <c r="D973" s="13" t="str">
        <f>IFERROR(__xludf.DUMMYFUNCTION("""COMPUTED_VALUE"""),"CARRIE MARTIN ELEMENTARY SCHOOL")</f>
        <v>CARRIE MARTIN ELEMENTARY SCHOOL</v>
      </c>
      <c r="E973" s="13" t="str">
        <f>IFERROR(__xludf.DUMMYFUNCTION("""COMPUTED_VALUE"""),"Group 8")</f>
        <v>Group 8</v>
      </c>
      <c r="F973" s="13" t="str">
        <f>IFERROR(__xludf.DUMMYFUNCTION("""COMPUTED_VALUE"""),"2024 - 2025")</f>
        <v>2024 - 2025</v>
      </c>
      <c r="G973" s="13" t="str">
        <f>IFERROR(__xludf.DUMMYFUNCTION("""COMPUTED_VALUE"""),"2023 - 2024")</f>
        <v>2023 - 2024</v>
      </c>
      <c r="H973" s="13">
        <f>IFERROR(__xludf.DUMMYFUNCTION("""COMPUTED_VALUE"""),63.52)</f>
        <v>63.52</v>
      </c>
      <c r="I973" s="15">
        <f>IFERROR(__xludf.DUMMYFUNCTION("""COMPUTED_VALUE"""),36.48)</f>
        <v>36.48</v>
      </c>
    </row>
    <row r="974">
      <c r="A974" s="13" t="str">
        <f>IFERROR(__xludf.DUMMYFUNCTION("""COMPUTED_VALUE"""),"1560")</f>
        <v>1560</v>
      </c>
      <c r="B974" s="13" t="str">
        <f>IFERROR(__xludf.DUMMYFUNCTION("""COMPUTED_VALUE"""),"THOMPSON R2-J")</f>
        <v>THOMPSON R2-J</v>
      </c>
      <c r="C974" s="14" t="str">
        <f>IFERROR(__xludf.DUMMYFUNCTION("""COMPUTED_VALUE"""),"00870")</f>
        <v>00870</v>
      </c>
      <c r="D974" s="13" t="str">
        <f>IFERROR(__xludf.DUMMYFUNCTION("""COMPUTED_VALUE"""),"BIG THOMPSON ELEMENTARY SCHOOL")</f>
        <v>BIG THOMPSON ELEMENTARY SCHOOL</v>
      </c>
      <c r="E974" s="13" t="str">
        <f>IFERROR(__xludf.DUMMYFUNCTION("""COMPUTED_VALUE"""),"Group 9")</f>
        <v>Group 9</v>
      </c>
      <c r="F974" s="13" t="str">
        <f>IFERROR(__xludf.DUMMYFUNCTION("""COMPUTED_VALUE"""),"2024 - 2025")</f>
        <v>2024 - 2025</v>
      </c>
      <c r="G974" s="13" t="str">
        <f>IFERROR(__xludf.DUMMYFUNCTION("""COMPUTED_VALUE"""),"2023 - 2024")</f>
        <v>2023 - 2024</v>
      </c>
      <c r="H974" s="13">
        <f>IFERROR(__xludf.DUMMYFUNCTION("""COMPUTED_VALUE"""),62.46)</f>
        <v>62.46</v>
      </c>
      <c r="I974" s="15">
        <f>IFERROR(__xludf.DUMMYFUNCTION("""COMPUTED_VALUE"""),37.54)</f>
        <v>37.54</v>
      </c>
    </row>
    <row r="975">
      <c r="A975" s="13" t="str">
        <f>IFERROR(__xludf.DUMMYFUNCTION("""COMPUTED_VALUE"""),"1560")</f>
        <v>1560</v>
      </c>
      <c r="B975" s="13" t="str">
        <f>IFERROR(__xludf.DUMMYFUNCTION("""COMPUTED_VALUE"""),"THOMPSON R2-J")</f>
        <v>THOMPSON R2-J</v>
      </c>
      <c r="C975" s="14" t="str">
        <f>IFERROR(__xludf.DUMMYFUNCTION("""COMPUTED_VALUE"""),"01385")</f>
        <v>01385</v>
      </c>
      <c r="D975" s="13" t="str">
        <f>IFERROR(__xludf.DUMMYFUNCTION("""COMPUTED_VALUE"""),"CENTENNIAL ELEMENTARY SCHOOL")</f>
        <v>CENTENNIAL ELEMENTARY SCHOOL</v>
      </c>
      <c r="E975" s="13" t="str">
        <f>IFERROR(__xludf.DUMMYFUNCTION("""COMPUTED_VALUE"""),"Group 9")</f>
        <v>Group 9</v>
      </c>
      <c r="F975" s="13" t="str">
        <f>IFERROR(__xludf.DUMMYFUNCTION("""COMPUTED_VALUE"""),"2024 - 2025")</f>
        <v>2024 - 2025</v>
      </c>
      <c r="G975" s="13" t="str">
        <f>IFERROR(__xludf.DUMMYFUNCTION("""COMPUTED_VALUE"""),"2023 - 2024")</f>
        <v>2023 - 2024</v>
      </c>
      <c r="H975" s="13">
        <f>IFERROR(__xludf.DUMMYFUNCTION("""COMPUTED_VALUE"""),62.46)</f>
        <v>62.46</v>
      </c>
      <c r="I975" s="15">
        <f>IFERROR(__xludf.DUMMYFUNCTION("""COMPUTED_VALUE"""),37.54)</f>
        <v>37.54</v>
      </c>
    </row>
    <row r="976">
      <c r="A976" s="13" t="str">
        <f>IFERROR(__xludf.DUMMYFUNCTION("""COMPUTED_VALUE"""),"1560")</f>
        <v>1560</v>
      </c>
      <c r="B976" s="13" t="str">
        <f>IFERROR(__xludf.DUMMYFUNCTION("""COMPUTED_VALUE"""),"THOMPSON R2-J")</f>
        <v>THOMPSON R2-J</v>
      </c>
      <c r="C976" s="14" t="str">
        <f>IFERROR(__xludf.DUMMYFUNCTION("""COMPUTED_VALUE"""),"05312")</f>
        <v>05312</v>
      </c>
      <c r="D976" s="13" t="str">
        <f>IFERROR(__xludf.DUMMYFUNCTION("""COMPUTED_VALUE"""),"BILL REED MIDDLE SCHOOL")</f>
        <v>BILL REED MIDDLE SCHOOL</v>
      </c>
      <c r="E976" s="13" t="str">
        <f>IFERROR(__xludf.DUMMYFUNCTION("""COMPUTED_VALUE"""),"Group 9")</f>
        <v>Group 9</v>
      </c>
      <c r="F976" s="13" t="str">
        <f>IFERROR(__xludf.DUMMYFUNCTION("""COMPUTED_VALUE"""),"2024 - 2025")</f>
        <v>2024 - 2025</v>
      </c>
      <c r="G976" s="13" t="str">
        <f>IFERROR(__xludf.DUMMYFUNCTION("""COMPUTED_VALUE"""),"2023 - 2024")</f>
        <v>2023 - 2024</v>
      </c>
      <c r="H976" s="13">
        <f>IFERROR(__xludf.DUMMYFUNCTION("""COMPUTED_VALUE"""),62.46)</f>
        <v>62.46</v>
      </c>
      <c r="I976" s="15">
        <f>IFERROR(__xludf.DUMMYFUNCTION("""COMPUTED_VALUE"""),37.54)</f>
        <v>37.54</v>
      </c>
    </row>
    <row r="977">
      <c r="A977" s="13" t="str">
        <f>IFERROR(__xludf.DUMMYFUNCTION("""COMPUTED_VALUE"""),"1570")</f>
        <v>1570</v>
      </c>
      <c r="B977" s="13" t="str">
        <f>IFERROR(__xludf.DUMMYFUNCTION("""COMPUTED_VALUE"""),"ESTES PARK R-3 SCHOOL DISTRICT")</f>
        <v>ESTES PARK R-3 SCHOOL DISTRICT</v>
      </c>
      <c r="C977" s="14" t="str">
        <f>IFERROR(__xludf.DUMMYFUNCTION("""COMPUTED_VALUE"""),"02794")</f>
        <v>02794</v>
      </c>
      <c r="D977" s="13" t="str">
        <f>IFERROR(__xludf.DUMMYFUNCTION("""COMPUTED_VALUE"""),"ESTES PARK HIGH SCHOOL")</f>
        <v>ESTES PARK HIGH SCHOOL</v>
      </c>
      <c r="E977" s="13" t="str">
        <f>IFERROR(__xludf.DUMMYFUNCTION("""COMPUTED_VALUE"""),"Group 1")</f>
        <v>Group 1</v>
      </c>
      <c r="F977" s="13" t="str">
        <f>IFERROR(__xludf.DUMMYFUNCTION("""COMPUTED_VALUE"""),"2024 - 2025")</f>
        <v>2024 - 2025</v>
      </c>
      <c r="G977" s="13" t="str">
        <f>IFERROR(__xludf.DUMMYFUNCTION("""COMPUTED_VALUE"""),"2023 - 2024")</f>
        <v>2023 - 2024</v>
      </c>
      <c r="H977" s="13">
        <f>IFERROR(__xludf.DUMMYFUNCTION("""COMPUTED_VALUE"""),48.37)</f>
        <v>48.37</v>
      </c>
      <c r="I977" s="15">
        <f>IFERROR(__xludf.DUMMYFUNCTION("""COMPUTED_VALUE"""),51.63)</f>
        <v>51.63</v>
      </c>
    </row>
    <row r="978">
      <c r="A978" s="13" t="str">
        <f>IFERROR(__xludf.DUMMYFUNCTION("""COMPUTED_VALUE"""),"1570")</f>
        <v>1570</v>
      </c>
      <c r="B978" s="13" t="str">
        <f>IFERROR(__xludf.DUMMYFUNCTION("""COMPUTED_VALUE"""),"ESTES PARK R-3 SCHOOL DISTRICT")</f>
        <v>ESTES PARK R-3 SCHOOL DISTRICT</v>
      </c>
      <c r="C978" s="14" t="str">
        <f>IFERROR(__xludf.DUMMYFUNCTION("""COMPUTED_VALUE"""),"02790")</f>
        <v>02790</v>
      </c>
      <c r="D978" s="13" t="str">
        <f>IFERROR(__xludf.DUMMYFUNCTION("""COMPUTED_VALUE"""),"ESTES PARK K-5 SCHOOL")</f>
        <v>ESTES PARK K-5 SCHOOL</v>
      </c>
      <c r="E978" s="13" t="str">
        <f>IFERROR(__xludf.DUMMYFUNCTION("""COMPUTED_VALUE"""),"Group 2")</f>
        <v>Group 2</v>
      </c>
      <c r="F978" s="13" t="str">
        <f>IFERROR(__xludf.DUMMYFUNCTION("""COMPUTED_VALUE"""),"2024 - 2025")</f>
        <v>2024 - 2025</v>
      </c>
      <c r="G978" s="13" t="str">
        <f>IFERROR(__xludf.DUMMYFUNCTION("""COMPUTED_VALUE"""),"2023 - 2024")</f>
        <v>2023 - 2024</v>
      </c>
      <c r="H978" s="13">
        <f>IFERROR(__xludf.DUMMYFUNCTION("""COMPUTED_VALUE"""),60.67)</f>
        <v>60.67</v>
      </c>
      <c r="I978" s="15">
        <f>IFERROR(__xludf.DUMMYFUNCTION("""COMPUTED_VALUE"""),39.33)</f>
        <v>39.33</v>
      </c>
    </row>
    <row r="979">
      <c r="A979" s="13" t="str">
        <f>IFERROR(__xludf.DUMMYFUNCTION("""COMPUTED_VALUE"""),"1570")</f>
        <v>1570</v>
      </c>
      <c r="B979" s="13" t="str">
        <f>IFERROR(__xludf.DUMMYFUNCTION("""COMPUTED_VALUE"""),"ESTES PARK R-3 SCHOOL DISTRICT")</f>
        <v>ESTES PARK R-3 SCHOOL DISTRICT</v>
      </c>
      <c r="C979" s="14" t="str">
        <f>IFERROR(__xludf.DUMMYFUNCTION("""COMPUTED_VALUE"""),"02792")</f>
        <v>02792</v>
      </c>
      <c r="D979" s="13" t="str">
        <f>IFERROR(__xludf.DUMMYFUNCTION("""COMPUTED_VALUE"""),"ESTES PARK MIDDLE SCHOOL")</f>
        <v>ESTES PARK MIDDLE SCHOOL</v>
      </c>
      <c r="E979" s="13" t="str">
        <f>IFERROR(__xludf.DUMMYFUNCTION("""COMPUTED_VALUE"""),"Group 2")</f>
        <v>Group 2</v>
      </c>
      <c r="F979" s="13" t="str">
        <f>IFERROR(__xludf.DUMMYFUNCTION("""COMPUTED_VALUE"""),"2024 - 2025")</f>
        <v>2024 - 2025</v>
      </c>
      <c r="G979" s="13" t="str">
        <f>IFERROR(__xludf.DUMMYFUNCTION("""COMPUTED_VALUE"""),"2023 - 2024")</f>
        <v>2023 - 2024</v>
      </c>
      <c r="H979" s="13">
        <f>IFERROR(__xludf.DUMMYFUNCTION("""COMPUTED_VALUE"""),60.67)</f>
        <v>60.67</v>
      </c>
      <c r="I979" s="15">
        <f>IFERROR(__xludf.DUMMYFUNCTION("""COMPUTED_VALUE"""),39.33)</f>
        <v>39.33</v>
      </c>
    </row>
    <row r="980">
      <c r="A980" s="13" t="str">
        <f>IFERROR(__xludf.DUMMYFUNCTION("""COMPUTED_VALUE"""),"1580")</f>
        <v>1580</v>
      </c>
      <c r="B980" s="13" t="str">
        <f>IFERROR(__xludf.DUMMYFUNCTION("""COMPUTED_VALUE"""),"TRINIDAD 1")</f>
        <v>TRINIDAD 1</v>
      </c>
      <c r="C980" s="14" t="str">
        <f>IFERROR(__xludf.DUMMYFUNCTION("""COMPUTED_VALUE"""),"01386")</f>
        <v>01386</v>
      </c>
      <c r="D980" s="13" t="str">
        <f>IFERROR(__xludf.DUMMYFUNCTION("""COMPUTED_VALUE"""),"TRINIDAD MIDDLE SCHOOL")</f>
        <v>TRINIDAD MIDDLE SCHOOL</v>
      </c>
      <c r="E980" s="13" t="str">
        <f>IFERROR(__xludf.DUMMYFUNCTION("""COMPUTED_VALUE"""),"Group 1")</f>
        <v>Group 1</v>
      </c>
      <c r="F980" s="13" t="str">
        <f>IFERROR(__xludf.DUMMYFUNCTION("""COMPUTED_VALUE"""),"2024 - 2025")</f>
        <v>2024 - 2025</v>
      </c>
      <c r="G980" s="13" t="str">
        <f>IFERROR(__xludf.DUMMYFUNCTION("""COMPUTED_VALUE"""),"2023 - 2024")</f>
        <v>2023 - 2024</v>
      </c>
      <c r="H980" s="13">
        <f>IFERROR(__xludf.DUMMYFUNCTION("""COMPUTED_VALUE"""),100.0)</f>
        <v>100</v>
      </c>
      <c r="I980" s="15">
        <f>IFERROR(__xludf.DUMMYFUNCTION("""COMPUTED_VALUE"""),0.0)</f>
        <v>0</v>
      </c>
    </row>
    <row r="981">
      <c r="A981" s="13" t="str">
        <f>IFERROR(__xludf.DUMMYFUNCTION("""COMPUTED_VALUE"""),"1580")</f>
        <v>1580</v>
      </c>
      <c r="B981" s="13" t="str">
        <f>IFERROR(__xludf.DUMMYFUNCTION("""COMPUTED_VALUE"""),"TRINIDAD 1")</f>
        <v>TRINIDAD 1</v>
      </c>
      <c r="C981" s="14" t="str">
        <f>IFERROR(__xludf.DUMMYFUNCTION("""COMPUTED_VALUE"""),"02944")</f>
        <v>02944</v>
      </c>
      <c r="D981" s="13" t="str">
        <f>IFERROR(__xludf.DUMMYFUNCTION("""COMPUTED_VALUE"""),"FISHER'S PEAK ELEMENTARY SCHOOL")</f>
        <v>FISHER'S PEAK ELEMENTARY SCHOOL</v>
      </c>
      <c r="E981" s="13" t="str">
        <f>IFERROR(__xludf.DUMMYFUNCTION("""COMPUTED_VALUE"""),"Group 1")</f>
        <v>Group 1</v>
      </c>
      <c r="F981" s="13" t="str">
        <f>IFERROR(__xludf.DUMMYFUNCTION("""COMPUTED_VALUE"""),"2024 - 2025")</f>
        <v>2024 - 2025</v>
      </c>
      <c r="G981" s="13" t="str">
        <f>IFERROR(__xludf.DUMMYFUNCTION("""COMPUTED_VALUE"""),"2023 - 2024")</f>
        <v>2023 - 2024</v>
      </c>
      <c r="H981" s="13">
        <f>IFERROR(__xludf.DUMMYFUNCTION("""COMPUTED_VALUE"""),100.0)</f>
        <v>100</v>
      </c>
      <c r="I981" s="15">
        <f>IFERROR(__xludf.DUMMYFUNCTION("""COMPUTED_VALUE"""),0.0)</f>
        <v>0</v>
      </c>
    </row>
    <row r="982">
      <c r="A982" s="13" t="str">
        <f>IFERROR(__xludf.DUMMYFUNCTION("""COMPUTED_VALUE"""),"1580")</f>
        <v>1580</v>
      </c>
      <c r="B982" s="13" t="str">
        <f>IFERROR(__xludf.DUMMYFUNCTION("""COMPUTED_VALUE"""),"TRINIDAD 1")</f>
        <v>TRINIDAD 1</v>
      </c>
      <c r="C982" s="14" t="str">
        <f>IFERROR(__xludf.DUMMYFUNCTION("""COMPUTED_VALUE"""),"08906")</f>
        <v>08906</v>
      </c>
      <c r="D982" s="13" t="str">
        <f>IFERROR(__xludf.DUMMYFUNCTION("""COMPUTED_VALUE"""),"TRINIDAD HIGH SCHOOL")</f>
        <v>TRINIDAD HIGH SCHOOL</v>
      </c>
      <c r="E982" s="13" t="str">
        <f>IFERROR(__xludf.DUMMYFUNCTION("""COMPUTED_VALUE"""),"Group 1")</f>
        <v>Group 1</v>
      </c>
      <c r="F982" s="13" t="str">
        <f>IFERROR(__xludf.DUMMYFUNCTION("""COMPUTED_VALUE"""),"2024 - 2025")</f>
        <v>2024 - 2025</v>
      </c>
      <c r="G982" s="13" t="str">
        <f>IFERROR(__xludf.DUMMYFUNCTION("""COMPUTED_VALUE"""),"2023 - 2024")</f>
        <v>2023 - 2024</v>
      </c>
      <c r="H982" s="13">
        <f>IFERROR(__xludf.DUMMYFUNCTION("""COMPUTED_VALUE"""),100.0)</f>
        <v>100</v>
      </c>
      <c r="I982" s="15">
        <f>IFERROR(__xludf.DUMMYFUNCTION("""COMPUTED_VALUE"""),0.0)</f>
        <v>0</v>
      </c>
    </row>
    <row r="983">
      <c r="A983" s="13" t="str">
        <f>IFERROR(__xludf.DUMMYFUNCTION("""COMPUTED_VALUE"""),"1620")</f>
        <v>1620</v>
      </c>
      <c r="B983" s="13" t="str">
        <f>IFERROR(__xludf.DUMMYFUNCTION("""COMPUTED_VALUE"""),"AGUILAR REORGANIZED 6")</f>
        <v>AGUILAR REORGANIZED 6</v>
      </c>
      <c r="C983" s="14" t="str">
        <f>IFERROR(__xludf.DUMMYFUNCTION("""COMPUTED_VALUE"""),"00058")</f>
        <v>00058</v>
      </c>
      <c r="D983" s="13" t="str">
        <f>IFERROR(__xludf.DUMMYFUNCTION("""COMPUTED_VALUE"""),"AGUILAR ELEMENTARY SCHOOL")</f>
        <v>AGUILAR ELEMENTARY SCHOOL</v>
      </c>
      <c r="E983" s="13" t="str">
        <f>IFERROR(__xludf.DUMMYFUNCTION("""COMPUTED_VALUE"""),"Group 1")</f>
        <v>Group 1</v>
      </c>
      <c r="F983" s="13" t="str">
        <f>IFERROR(__xludf.DUMMYFUNCTION("""COMPUTED_VALUE"""),"2024 - 2025")</f>
        <v>2024 - 2025</v>
      </c>
      <c r="G983" s="13" t="str">
        <f>IFERROR(__xludf.DUMMYFUNCTION("""COMPUTED_VALUE"""),"2023 - 2024")</f>
        <v>2023 - 2024</v>
      </c>
      <c r="H983" s="13">
        <f>IFERROR(__xludf.DUMMYFUNCTION("""COMPUTED_VALUE"""),100.0)</f>
        <v>100</v>
      </c>
      <c r="I983" s="15">
        <f>IFERROR(__xludf.DUMMYFUNCTION("""COMPUTED_VALUE"""),0.0)</f>
        <v>0</v>
      </c>
    </row>
    <row r="984">
      <c r="A984" s="13" t="str">
        <f>IFERROR(__xludf.DUMMYFUNCTION("""COMPUTED_VALUE"""),"1620")</f>
        <v>1620</v>
      </c>
      <c r="B984" s="13" t="str">
        <f>IFERROR(__xludf.DUMMYFUNCTION("""COMPUTED_VALUE"""),"AGUILAR REORGANIZED 6")</f>
        <v>AGUILAR REORGANIZED 6</v>
      </c>
      <c r="C984" s="14" t="str">
        <f>IFERROR(__xludf.DUMMYFUNCTION("""COMPUTED_VALUE"""),"00066")</f>
        <v>00066</v>
      </c>
      <c r="D984" s="13" t="str">
        <f>IFERROR(__xludf.DUMMYFUNCTION("""COMPUTED_VALUE"""),"AGUILAR JUNIOR-SENIOR HIGH SCHOOL")</f>
        <v>AGUILAR JUNIOR-SENIOR HIGH SCHOOL</v>
      </c>
      <c r="E984" s="13" t="str">
        <f>IFERROR(__xludf.DUMMYFUNCTION("""COMPUTED_VALUE"""),"Group 1")</f>
        <v>Group 1</v>
      </c>
      <c r="F984" s="13" t="str">
        <f>IFERROR(__xludf.DUMMYFUNCTION("""COMPUTED_VALUE"""),"2024 - 2025")</f>
        <v>2024 - 2025</v>
      </c>
      <c r="G984" s="13" t="str">
        <f>IFERROR(__xludf.DUMMYFUNCTION("""COMPUTED_VALUE"""),"2023 - 2024")</f>
        <v>2023 - 2024</v>
      </c>
      <c r="H984" s="13">
        <f>IFERROR(__xludf.DUMMYFUNCTION("""COMPUTED_VALUE"""),100.0)</f>
        <v>100</v>
      </c>
      <c r="I984" s="15">
        <f>IFERROR(__xludf.DUMMYFUNCTION("""COMPUTED_VALUE"""),0.0)</f>
        <v>0</v>
      </c>
    </row>
    <row r="985">
      <c r="A985" s="13" t="str">
        <f>IFERROR(__xludf.DUMMYFUNCTION("""COMPUTED_VALUE"""),"1750")</f>
        <v>1750</v>
      </c>
      <c r="B985" s="13" t="str">
        <f>IFERROR(__xludf.DUMMYFUNCTION("""COMPUTED_VALUE"""),"BRANSON REORGANIZED 82")</f>
        <v>BRANSON REORGANIZED 82</v>
      </c>
      <c r="C985" s="14" t="str">
        <f>IFERROR(__xludf.DUMMYFUNCTION("""COMPUTED_VALUE"""),"00978")</f>
        <v>00978</v>
      </c>
      <c r="D985" s="13" t="str">
        <f>IFERROR(__xludf.DUMMYFUNCTION("""COMPUTED_VALUE"""),"BRANSON SCHOOL")</f>
        <v>BRANSON SCHOOL</v>
      </c>
      <c r="E985" s="13" t="str">
        <f>IFERROR(__xludf.DUMMYFUNCTION("""COMPUTED_VALUE"""),"Group 1")</f>
        <v>Group 1</v>
      </c>
      <c r="F985" s="13" t="str">
        <f>IFERROR(__xludf.DUMMYFUNCTION("""COMPUTED_VALUE"""),"2024 - 2025")</f>
        <v>2024 - 2025</v>
      </c>
      <c r="G985" s="13" t="str">
        <f>IFERROR(__xludf.DUMMYFUNCTION("""COMPUTED_VALUE"""),"2023 - 2024")</f>
        <v>2023 - 2024</v>
      </c>
      <c r="H985" s="13">
        <f>IFERROR(__xludf.DUMMYFUNCTION("""COMPUTED_VALUE"""),75.79)</f>
        <v>75.79</v>
      </c>
      <c r="I985" s="15">
        <f>IFERROR(__xludf.DUMMYFUNCTION("""COMPUTED_VALUE"""),24.209999999999994)</f>
        <v>24.21</v>
      </c>
    </row>
    <row r="986">
      <c r="A986" s="13" t="str">
        <f>IFERROR(__xludf.DUMMYFUNCTION("""COMPUTED_VALUE"""),"1760")</f>
        <v>1760</v>
      </c>
      <c r="B986" s="13" t="str">
        <f>IFERROR(__xludf.DUMMYFUNCTION("""COMPUTED_VALUE"""),"KIM REORGANIZED 88")</f>
        <v>KIM REORGANIZED 88</v>
      </c>
      <c r="C986" s="14" t="str">
        <f>IFERROR(__xludf.DUMMYFUNCTION("""COMPUTED_VALUE"""),"04690")</f>
        <v>04690</v>
      </c>
      <c r="D986" s="13" t="str">
        <f>IFERROR(__xludf.DUMMYFUNCTION("""COMPUTED_VALUE"""),"KIM ELEMENTARY SCHOOL")</f>
        <v>KIM ELEMENTARY SCHOOL</v>
      </c>
      <c r="E986" s="13" t="str">
        <f>IFERROR(__xludf.DUMMYFUNCTION("""COMPUTED_VALUE"""),"Group 1")</f>
        <v>Group 1</v>
      </c>
      <c r="F986" s="13" t="str">
        <f>IFERROR(__xludf.DUMMYFUNCTION("""COMPUTED_VALUE"""),"2024 - 2025")</f>
        <v>2024 - 2025</v>
      </c>
      <c r="G986" s="13" t="str">
        <f>IFERROR(__xludf.DUMMYFUNCTION("""COMPUTED_VALUE"""),"2023 - 2024")</f>
        <v>2023 - 2024</v>
      </c>
      <c r="H986" s="13">
        <f>IFERROR(__xludf.DUMMYFUNCTION("""COMPUTED_VALUE"""),80.0)</f>
        <v>80</v>
      </c>
      <c r="I986" s="15">
        <f>IFERROR(__xludf.DUMMYFUNCTION("""COMPUTED_VALUE"""),20.0)</f>
        <v>20</v>
      </c>
    </row>
    <row r="987">
      <c r="A987" s="13" t="str">
        <f>IFERROR(__xludf.DUMMYFUNCTION("""COMPUTED_VALUE"""),"1780")</f>
        <v>1780</v>
      </c>
      <c r="B987" s="13" t="str">
        <f>IFERROR(__xludf.DUMMYFUNCTION("""COMPUTED_VALUE"""),"GENOA-HUGO C113")</f>
        <v>GENOA-HUGO C113</v>
      </c>
      <c r="C987" s="14" t="str">
        <f>IFERROR(__xludf.DUMMYFUNCTION("""COMPUTED_VALUE"""),"04162")</f>
        <v>04162</v>
      </c>
      <c r="D987" s="13" t="str">
        <f>IFERROR(__xludf.DUMMYFUNCTION("""COMPUTED_VALUE"""),"GENOA-HUGO SCHOOL")</f>
        <v>GENOA-HUGO SCHOOL</v>
      </c>
      <c r="E987" s="13" t="str">
        <f>IFERROR(__xludf.DUMMYFUNCTION("""COMPUTED_VALUE"""),"Group 1")</f>
        <v>Group 1</v>
      </c>
      <c r="F987" s="13" t="str">
        <f>IFERROR(__xludf.DUMMYFUNCTION("""COMPUTED_VALUE"""),"2024 - 2025")</f>
        <v>2024 - 2025</v>
      </c>
      <c r="G987" s="13" t="str">
        <f>IFERROR(__xludf.DUMMYFUNCTION("""COMPUTED_VALUE"""),"2023 - 2024")</f>
        <v>2023 - 2024</v>
      </c>
      <c r="H987" s="13">
        <f>IFERROR(__xludf.DUMMYFUNCTION("""COMPUTED_VALUE"""),73.42)</f>
        <v>73.42</v>
      </c>
      <c r="I987" s="15">
        <f>IFERROR(__xludf.DUMMYFUNCTION("""COMPUTED_VALUE"""),26.58)</f>
        <v>26.58</v>
      </c>
    </row>
    <row r="988">
      <c r="A988" s="13" t="str">
        <f>IFERROR(__xludf.DUMMYFUNCTION("""COMPUTED_VALUE"""),"1790")</f>
        <v>1790</v>
      </c>
      <c r="B988" s="13" t="str">
        <f>IFERROR(__xludf.DUMMYFUNCTION("""COMPUTED_VALUE"""),"LIMON RE-4J")</f>
        <v>LIMON RE-4J</v>
      </c>
      <c r="C988" s="14" t="str">
        <f>IFERROR(__xludf.DUMMYFUNCTION("""COMPUTED_VALUE"""),"05132")</f>
        <v>05132</v>
      </c>
      <c r="D988" s="13" t="str">
        <f>IFERROR(__xludf.DUMMYFUNCTION("""COMPUTED_VALUE"""),"LIMON ELEMENTARY SCHOOL")</f>
        <v>LIMON ELEMENTARY SCHOOL</v>
      </c>
      <c r="E988" s="13" t="str">
        <f>IFERROR(__xludf.DUMMYFUNCTION("""COMPUTED_VALUE"""),"Group 1")</f>
        <v>Group 1</v>
      </c>
      <c r="F988" s="13" t="str">
        <f>IFERROR(__xludf.DUMMYFUNCTION("""COMPUTED_VALUE"""),"2024 - 2025")</f>
        <v>2024 - 2025</v>
      </c>
      <c r="G988" s="13" t="str">
        <f>IFERROR(__xludf.DUMMYFUNCTION("""COMPUTED_VALUE"""),"2023 - 2024")</f>
        <v>2023 - 2024</v>
      </c>
      <c r="H988" s="13">
        <f>IFERROR(__xludf.DUMMYFUNCTION("""COMPUTED_VALUE"""),79.25)</f>
        <v>79.25</v>
      </c>
      <c r="I988" s="15">
        <f>IFERROR(__xludf.DUMMYFUNCTION("""COMPUTED_VALUE"""),20.75)</f>
        <v>20.75</v>
      </c>
    </row>
    <row r="989">
      <c r="A989" s="13" t="str">
        <f>IFERROR(__xludf.DUMMYFUNCTION("""COMPUTED_VALUE"""),"1790")</f>
        <v>1790</v>
      </c>
      <c r="B989" s="13" t="str">
        <f>IFERROR(__xludf.DUMMYFUNCTION("""COMPUTED_VALUE"""),"LIMON RE-4J")</f>
        <v>LIMON RE-4J</v>
      </c>
      <c r="C989" s="14" t="str">
        <f>IFERROR(__xludf.DUMMYFUNCTION("""COMPUTED_VALUE"""),"05136")</f>
        <v>05136</v>
      </c>
      <c r="D989" s="13" t="str">
        <f>IFERROR(__xludf.DUMMYFUNCTION("""COMPUTED_VALUE"""),"LIMON JUNIOR-SENIOR HIGH SCHOOL")</f>
        <v>LIMON JUNIOR-SENIOR HIGH SCHOOL</v>
      </c>
      <c r="E989" s="13" t="str">
        <f>IFERROR(__xludf.DUMMYFUNCTION("""COMPUTED_VALUE"""),"Group 2")</f>
        <v>Group 2</v>
      </c>
      <c r="F989" s="13" t="str">
        <f>IFERROR(__xludf.DUMMYFUNCTION("""COMPUTED_VALUE"""),"2024 - 2025")</f>
        <v>2024 - 2025</v>
      </c>
      <c r="G989" s="13" t="str">
        <f>IFERROR(__xludf.DUMMYFUNCTION("""COMPUTED_VALUE"""),"2023 - 2024")</f>
        <v>2023 - 2024</v>
      </c>
      <c r="H989" s="13">
        <f>IFERROR(__xludf.DUMMYFUNCTION("""COMPUTED_VALUE"""),54.21)</f>
        <v>54.21</v>
      </c>
      <c r="I989" s="15">
        <f>IFERROR(__xludf.DUMMYFUNCTION("""COMPUTED_VALUE"""),45.79)</f>
        <v>45.79</v>
      </c>
    </row>
    <row r="990">
      <c r="A990" s="13" t="str">
        <f>IFERROR(__xludf.DUMMYFUNCTION("""COMPUTED_VALUE"""),"1828")</f>
        <v>1828</v>
      </c>
      <c r="B990" s="13" t="str">
        <f>IFERROR(__xludf.DUMMYFUNCTION("""COMPUTED_VALUE"""),"VALLEY RE-1")</f>
        <v>VALLEY RE-1</v>
      </c>
      <c r="C990" s="14" t="str">
        <f>IFERROR(__xludf.DUMMYFUNCTION("""COMPUTED_VALUE"""),"01220")</f>
        <v>01220</v>
      </c>
      <c r="D990" s="13" t="str">
        <f>IFERROR(__xludf.DUMMYFUNCTION("""COMPUTED_VALUE"""),"CALICHE ELEMENTARY SCHOOL")</f>
        <v>CALICHE ELEMENTARY SCHOOL</v>
      </c>
      <c r="E990" s="13" t="str">
        <f>IFERROR(__xludf.DUMMYFUNCTION("""COMPUTED_VALUE"""),"Group 1")</f>
        <v>Group 1</v>
      </c>
      <c r="F990" s="13" t="str">
        <f>IFERROR(__xludf.DUMMYFUNCTION("""COMPUTED_VALUE"""),"2024 - 2025")</f>
        <v>2024 - 2025</v>
      </c>
      <c r="G990" s="13" t="str">
        <f>IFERROR(__xludf.DUMMYFUNCTION("""COMPUTED_VALUE"""),"2023 - 2024")</f>
        <v>2023 - 2024</v>
      </c>
      <c r="H990" s="13">
        <f>IFERROR(__xludf.DUMMYFUNCTION("""COMPUTED_VALUE"""),89.2)</f>
        <v>89.2</v>
      </c>
      <c r="I990" s="15">
        <f>IFERROR(__xludf.DUMMYFUNCTION("""COMPUTED_VALUE"""),10.799999999999997)</f>
        <v>10.8</v>
      </c>
    </row>
    <row r="991">
      <c r="A991" s="13" t="str">
        <f>IFERROR(__xludf.DUMMYFUNCTION("""COMPUTED_VALUE"""),"1828")</f>
        <v>1828</v>
      </c>
      <c r="B991" s="13" t="str">
        <f>IFERROR(__xludf.DUMMYFUNCTION("""COMPUTED_VALUE"""),"VALLEY RE-1")</f>
        <v>VALLEY RE-1</v>
      </c>
      <c r="C991" s="14" t="str">
        <f>IFERROR(__xludf.DUMMYFUNCTION("""COMPUTED_VALUE"""),"01321")</f>
        <v>01321</v>
      </c>
      <c r="D991" s="13" t="str">
        <f>IFERROR(__xludf.DUMMYFUNCTION("""COMPUTED_VALUE"""),"CAMPBELL ELEMENTARY SCHOOL")</f>
        <v>CAMPBELL ELEMENTARY SCHOOL</v>
      </c>
      <c r="E991" s="13" t="str">
        <f>IFERROR(__xludf.DUMMYFUNCTION("""COMPUTED_VALUE"""),"Group 1")</f>
        <v>Group 1</v>
      </c>
      <c r="F991" s="13" t="str">
        <f>IFERROR(__xludf.DUMMYFUNCTION("""COMPUTED_VALUE"""),"2024 - 2025")</f>
        <v>2024 - 2025</v>
      </c>
      <c r="G991" s="13" t="str">
        <f>IFERROR(__xludf.DUMMYFUNCTION("""COMPUTED_VALUE"""),"2023 - 2024")</f>
        <v>2023 - 2024</v>
      </c>
      <c r="H991" s="13">
        <f>IFERROR(__xludf.DUMMYFUNCTION("""COMPUTED_VALUE"""),89.2)</f>
        <v>89.2</v>
      </c>
      <c r="I991" s="15">
        <f>IFERROR(__xludf.DUMMYFUNCTION("""COMPUTED_VALUE"""),10.799999999999997)</f>
        <v>10.8</v>
      </c>
    </row>
    <row r="992">
      <c r="A992" s="13" t="str">
        <f>IFERROR(__xludf.DUMMYFUNCTION("""COMPUTED_VALUE"""),"1828")</f>
        <v>1828</v>
      </c>
      <c r="B992" s="13" t="str">
        <f>IFERROR(__xludf.DUMMYFUNCTION("""COMPUTED_VALUE"""),"VALLEY RE-1")</f>
        <v>VALLEY RE-1</v>
      </c>
      <c r="C992" s="14" t="str">
        <f>IFERROR(__xludf.DUMMYFUNCTION("""COMPUTED_VALUE"""),"01224")</f>
        <v>01224</v>
      </c>
      <c r="D992" s="13" t="str">
        <f>IFERROR(__xludf.DUMMYFUNCTION("""COMPUTED_VALUE"""),"CALICHE JUNIOR-SENIOR HIGH SCHOOL")</f>
        <v>CALICHE JUNIOR-SENIOR HIGH SCHOOL</v>
      </c>
      <c r="E992" s="13" t="str">
        <f>IFERROR(__xludf.DUMMYFUNCTION("""COMPUTED_VALUE"""),"Group 2")</f>
        <v>Group 2</v>
      </c>
      <c r="F992" s="13" t="str">
        <f>IFERROR(__xludf.DUMMYFUNCTION("""COMPUTED_VALUE"""),"2024 - 2025")</f>
        <v>2024 - 2025</v>
      </c>
      <c r="G992" s="13" t="str">
        <f>IFERROR(__xludf.DUMMYFUNCTION("""COMPUTED_VALUE"""),"2023 - 2024")</f>
        <v>2023 - 2024</v>
      </c>
      <c r="H992" s="13">
        <f>IFERROR(__xludf.DUMMYFUNCTION("""COMPUTED_VALUE"""),58.88)</f>
        <v>58.88</v>
      </c>
      <c r="I992" s="15">
        <f>IFERROR(__xludf.DUMMYFUNCTION("""COMPUTED_VALUE"""),41.12)</f>
        <v>41.12</v>
      </c>
    </row>
    <row r="993">
      <c r="A993" s="13" t="str">
        <f>IFERROR(__xludf.DUMMYFUNCTION("""COMPUTED_VALUE"""),"1828")</f>
        <v>1828</v>
      </c>
      <c r="B993" s="13" t="str">
        <f>IFERROR(__xludf.DUMMYFUNCTION("""COMPUTED_VALUE"""),"VALLEY RE-1")</f>
        <v>VALLEY RE-1</v>
      </c>
      <c r="C993" s="14" t="str">
        <f>IFERROR(__xludf.DUMMYFUNCTION("""COMPUTED_VALUE"""),"08260")</f>
        <v>08260</v>
      </c>
      <c r="D993" s="13" t="str">
        <f>IFERROR(__xludf.DUMMYFUNCTION("""COMPUTED_VALUE"""),"STERLING HIGH SCHOOL")</f>
        <v>STERLING HIGH SCHOOL</v>
      </c>
      <c r="E993" s="13" t="str">
        <f>IFERROR(__xludf.DUMMYFUNCTION("""COMPUTED_VALUE"""),"Group 2")</f>
        <v>Group 2</v>
      </c>
      <c r="F993" s="13" t="str">
        <f>IFERROR(__xludf.DUMMYFUNCTION("""COMPUTED_VALUE"""),"2024 - 2025")</f>
        <v>2024 - 2025</v>
      </c>
      <c r="G993" s="13" t="str">
        <f>IFERROR(__xludf.DUMMYFUNCTION("""COMPUTED_VALUE"""),"2023 - 2024")</f>
        <v>2023 - 2024</v>
      </c>
      <c r="H993" s="13">
        <f>IFERROR(__xludf.DUMMYFUNCTION("""COMPUTED_VALUE"""),58.88)</f>
        <v>58.88</v>
      </c>
      <c r="I993" s="15">
        <f>IFERROR(__xludf.DUMMYFUNCTION("""COMPUTED_VALUE"""),41.12)</f>
        <v>41.12</v>
      </c>
    </row>
    <row r="994">
      <c r="A994" s="13" t="str">
        <f>IFERROR(__xludf.DUMMYFUNCTION("""COMPUTED_VALUE"""),"1828")</f>
        <v>1828</v>
      </c>
      <c r="B994" s="13" t="str">
        <f>IFERROR(__xludf.DUMMYFUNCTION("""COMPUTED_VALUE"""),"VALLEY RE-1")</f>
        <v>VALLEY RE-1</v>
      </c>
      <c r="C994" s="14" t="str">
        <f>IFERROR(__xludf.DUMMYFUNCTION("""COMPUTED_VALUE"""),"00515")</f>
        <v>00515</v>
      </c>
      <c r="D994" s="13" t="str">
        <f>IFERROR(__xludf.DUMMYFUNCTION("""COMPUTED_VALUE"""),"AYRES ELEMENTARY SCHOOL")</f>
        <v>AYRES ELEMENTARY SCHOOL</v>
      </c>
      <c r="E994" s="13" t="str">
        <f>IFERROR(__xludf.DUMMYFUNCTION("""COMPUTED_VALUE"""),"Group 3")</f>
        <v>Group 3</v>
      </c>
      <c r="F994" s="13" t="str">
        <f>IFERROR(__xludf.DUMMYFUNCTION("""COMPUTED_VALUE"""),"2024 - 2025")</f>
        <v>2024 - 2025</v>
      </c>
      <c r="G994" s="13" t="str">
        <f>IFERROR(__xludf.DUMMYFUNCTION("""COMPUTED_VALUE"""),"2023 - 2024")</f>
        <v>2023 - 2024</v>
      </c>
      <c r="H994" s="13">
        <f>IFERROR(__xludf.DUMMYFUNCTION("""COMPUTED_VALUE"""),82.26)</f>
        <v>82.26</v>
      </c>
      <c r="I994" s="15">
        <f>IFERROR(__xludf.DUMMYFUNCTION("""COMPUTED_VALUE"""),17.739999999999995)</f>
        <v>17.74</v>
      </c>
    </row>
    <row r="995">
      <c r="A995" s="13" t="str">
        <f>IFERROR(__xludf.DUMMYFUNCTION("""COMPUTED_VALUE"""),"1828")</f>
        <v>1828</v>
      </c>
      <c r="B995" s="13" t="str">
        <f>IFERROR(__xludf.DUMMYFUNCTION("""COMPUTED_VALUE"""),"VALLEY RE-1")</f>
        <v>VALLEY RE-1</v>
      </c>
      <c r="C995" s="14" t="str">
        <f>IFERROR(__xludf.DUMMYFUNCTION("""COMPUTED_VALUE"""),"03729")</f>
        <v>03729</v>
      </c>
      <c r="D995" s="13" t="str">
        <f>IFERROR(__xludf.DUMMYFUNCTION("""COMPUTED_VALUE"""),"HAGEN EARLY EDUCATION CENTER")</f>
        <v>HAGEN EARLY EDUCATION CENTER</v>
      </c>
      <c r="E995" s="13" t="str">
        <f>IFERROR(__xludf.DUMMYFUNCTION("""COMPUTED_VALUE"""),"Group 3")</f>
        <v>Group 3</v>
      </c>
      <c r="F995" s="13" t="str">
        <f>IFERROR(__xludf.DUMMYFUNCTION("""COMPUTED_VALUE"""),"2024 - 2025")</f>
        <v>2024 - 2025</v>
      </c>
      <c r="G995" s="13" t="str">
        <f>IFERROR(__xludf.DUMMYFUNCTION("""COMPUTED_VALUE"""),"2023 - 2024")</f>
        <v>2023 - 2024</v>
      </c>
      <c r="H995" s="13">
        <f>IFERROR(__xludf.DUMMYFUNCTION("""COMPUTED_VALUE"""),82.26)</f>
        <v>82.26</v>
      </c>
      <c r="I995" s="15">
        <f>IFERROR(__xludf.DUMMYFUNCTION("""COMPUTED_VALUE"""),17.739999999999995)</f>
        <v>17.74</v>
      </c>
    </row>
    <row r="996">
      <c r="A996" s="13" t="str">
        <f>IFERROR(__xludf.DUMMYFUNCTION("""COMPUTED_VALUE"""),"1828")</f>
        <v>1828</v>
      </c>
      <c r="B996" s="13" t="str">
        <f>IFERROR(__xludf.DUMMYFUNCTION("""COMPUTED_VALUE"""),"VALLEY RE-1")</f>
        <v>VALLEY RE-1</v>
      </c>
      <c r="C996" s="14" t="str">
        <f>IFERROR(__xludf.DUMMYFUNCTION("""COMPUTED_VALUE"""),"08256")</f>
        <v>08256</v>
      </c>
      <c r="D996" s="13" t="str">
        <f>IFERROR(__xludf.DUMMYFUNCTION("""COMPUTED_VALUE"""),"STERLING MIDDLE SCHOOL")</f>
        <v>STERLING MIDDLE SCHOOL</v>
      </c>
      <c r="E996" s="13" t="str">
        <f>IFERROR(__xludf.DUMMYFUNCTION("""COMPUTED_VALUE"""),"Group 3")</f>
        <v>Group 3</v>
      </c>
      <c r="F996" s="13" t="str">
        <f>IFERROR(__xludf.DUMMYFUNCTION("""COMPUTED_VALUE"""),"2024 - 2025")</f>
        <v>2024 - 2025</v>
      </c>
      <c r="G996" s="13" t="str">
        <f>IFERROR(__xludf.DUMMYFUNCTION("""COMPUTED_VALUE"""),"2023 - 2024")</f>
        <v>2023 - 2024</v>
      </c>
      <c r="H996" s="13">
        <f>IFERROR(__xludf.DUMMYFUNCTION("""COMPUTED_VALUE"""),82.26)</f>
        <v>82.26</v>
      </c>
      <c r="I996" s="15">
        <f>IFERROR(__xludf.DUMMYFUNCTION("""COMPUTED_VALUE"""),17.739999999999995)</f>
        <v>17.74</v>
      </c>
    </row>
    <row r="997">
      <c r="A997" s="13" t="str">
        <f>IFERROR(__xludf.DUMMYFUNCTION("""COMPUTED_VALUE"""),"1860")</f>
        <v>1860</v>
      </c>
      <c r="B997" s="13" t="str">
        <f>IFERROR(__xludf.DUMMYFUNCTION("""COMPUTED_VALUE"""),"BUFFALO RE-4J")</f>
        <v>BUFFALO RE-4J</v>
      </c>
      <c r="C997" s="14" t="str">
        <f>IFERROR(__xludf.DUMMYFUNCTION("""COMPUTED_VALUE"""),"05802")</f>
        <v>05802</v>
      </c>
      <c r="D997" s="13" t="str">
        <f>IFERROR(__xludf.DUMMYFUNCTION("""COMPUTED_VALUE"""),"MERINO ELEMENTARY SCHOOL")</f>
        <v>MERINO ELEMENTARY SCHOOL</v>
      </c>
      <c r="E997" s="13" t="str">
        <f>IFERROR(__xludf.DUMMYFUNCTION("""COMPUTED_VALUE"""),"Group 1")</f>
        <v>Group 1</v>
      </c>
      <c r="F997" s="13" t="str">
        <f>IFERROR(__xludf.DUMMYFUNCTION("""COMPUTED_VALUE"""),"2024 - 2025")</f>
        <v>2024 - 2025</v>
      </c>
      <c r="G997" s="13" t="str">
        <f>IFERROR(__xludf.DUMMYFUNCTION("""COMPUTED_VALUE"""),"2023 - 2024")</f>
        <v>2023 - 2024</v>
      </c>
      <c r="H997" s="13">
        <f>IFERROR(__xludf.DUMMYFUNCTION("""COMPUTED_VALUE"""),40.88)</f>
        <v>40.88</v>
      </c>
      <c r="I997" s="15">
        <f>IFERROR(__xludf.DUMMYFUNCTION("""COMPUTED_VALUE"""),59.12)</f>
        <v>59.12</v>
      </c>
    </row>
    <row r="998">
      <c r="A998" s="13" t="str">
        <f>IFERROR(__xludf.DUMMYFUNCTION("""COMPUTED_VALUE"""),"1860")</f>
        <v>1860</v>
      </c>
      <c r="B998" s="13" t="str">
        <f>IFERROR(__xludf.DUMMYFUNCTION("""COMPUTED_VALUE"""),"BUFFALO RE-4J")</f>
        <v>BUFFALO RE-4J</v>
      </c>
      <c r="C998" s="14" t="str">
        <f>IFERROR(__xludf.DUMMYFUNCTION("""COMPUTED_VALUE"""),"05806")</f>
        <v>05806</v>
      </c>
      <c r="D998" s="13" t="str">
        <f>IFERROR(__xludf.DUMMYFUNCTION("""COMPUTED_VALUE"""),"MERINO JUNIOR SENIOR HIGH SCHOOL")</f>
        <v>MERINO JUNIOR SENIOR HIGH SCHOOL</v>
      </c>
      <c r="E998" s="13" t="str">
        <f>IFERROR(__xludf.DUMMYFUNCTION("""COMPUTED_VALUE"""),"Group 1")</f>
        <v>Group 1</v>
      </c>
      <c r="F998" s="13" t="str">
        <f>IFERROR(__xludf.DUMMYFUNCTION("""COMPUTED_VALUE"""),"2024 - 2025")</f>
        <v>2024 - 2025</v>
      </c>
      <c r="G998" s="13" t="str">
        <f>IFERROR(__xludf.DUMMYFUNCTION("""COMPUTED_VALUE"""),"2023 - 2024")</f>
        <v>2023 - 2024</v>
      </c>
      <c r="H998" s="13">
        <f>IFERROR(__xludf.DUMMYFUNCTION("""COMPUTED_VALUE"""),40.88)</f>
        <v>40.88</v>
      </c>
      <c r="I998" s="15">
        <f>IFERROR(__xludf.DUMMYFUNCTION("""COMPUTED_VALUE"""),59.12)</f>
        <v>59.12</v>
      </c>
    </row>
    <row r="999">
      <c r="A999" s="13" t="str">
        <f>IFERROR(__xludf.DUMMYFUNCTION("""COMPUTED_VALUE"""),"1980")</f>
        <v>1980</v>
      </c>
      <c r="B999" s="13" t="str">
        <f>IFERROR(__xludf.DUMMYFUNCTION("""COMPUTED_VALUE"""),"DE BEQUE 49JT")</f>
        <v>DE BEQUE 49JT</v>
      </c>
      <c r="C999" s="14" t="str">
        <f>IFERROR(__xludf.DUMMYFUNCTION("""COMPUTED_VALUE"""),"02126")</f>
        <v>02126</v>
      </c>
      <c r="D999" s="13" t="str">
        <f>IFERROR(__xludf.DUMMYFUNCTION("""COMPUTED_VALUE"""),"DE BEQUE PK-12 SCHOOL DISTRICT 49JT")</f>
        <v>DE BEQUE PK-12 SCHOOL DISTRICT 49JT</v>
      </c>
      <c r="E999" s="13" t="str">
        <f>IFERROR(__xludf.DUMMYFUNCTION("""COMPUTED_VALUE"""),"Group 1")</f>
        <v>Group 1</v>
      </c>
      <c r="F999" s="13" t="str">
        <f>IFERROR(__xludf.DUMMYFUNCTION("""COMPUTED_VALUE"""),"2024 - 2025")</f>
        <v>2024 - 2025</v>
      </c>
      <c r="G999" s="13" t="str">
        <f>IFERROR(__xludf.DUMMYFUNCTION("""COMPUTED_VALUE"""),"2023 - 2024")</f>
        <v>2023 - 2024</v>
      </c>
      <c r="H999" s="13">
        <f>IFERROR(__xludf.DUMMYFUNCTION("""COMPUTED_VALUE"""),90.74)</f>
        <v>90.74</v>
      </c>
      <c r="I999" s="15">
        <f>IFERROR(__xludf.DUMMYFUNCTION("""COMPUTED_VALUE"""),9.260000000000005)</f>
        <v>9.26</v>
      </c>
    </row>
    <row r="1000">
      <c r="A1000" s="13" t="str">
        <f>IFERROR(__xludf.DUMMYFUNCTION("""COMPUTED_VALUE"""),"1990")</f>
        <v>1990</v>
      </c>
      <c r="B1000" s="13" t="str">
        <f>IFERROR(__xludf.DUMMYFUNCTION("""COMPUTED_VALUE"""),"PLATEAU VALLEY 50")</f>
        <v>PLATEAU VALLEY 50</v>
      </c>
      <c r="C1000" s="14" t="str">
        <f>IFERROR(__xludf.DUMMYFUNCTION("""COMPUTED_VALUE"""),"07032")</f>
        <v>07032</v>
      </c>
      <c r="D1000" s="13" t="str">
        <f>IFERROR(__xludf.DUMMYFUNCTION("""COMPUTED_VALUE"""),"PLATEAU VALLEY HIGH SCHOOL")</f>
        <v>PLATEAU VALLEY HIGH SCHOOL</v>
      </c>
      <c r="E1000" s="13" t="str">
        <f>IFERROR(__xludf.DUMMYFUNCTION("""COMPUTED_VALUE"""),"Group 1")</f>
        <v>Group 1</v>
      </c>
      <c r="F1000" s="13" t="str">
        <f>IFERROR(__xludf.DUMMYFUNCTION("""COMPUTED_VALUE"""),"2024 - 2025")</f>
        <v>2024 - 2025</v>
      </c>
      <c r="G1000" s="13" t="str">
        <f>IFERROR(__xludf.DUMMYFUNCTION("""COMPUTED_VALUE"""),"2023 - 2024")</f>
        <v>2023 - 2024</v>
      </c>
      <c r="H1000" s="13">
        <f>IFERROR(__xludf.DUMMYFUNCTION("""COMPUTED_VALUE"""),55.47)</f>
        <v>55.47</v>
      </c>
      <c r="I1000" s="15">
        <f>IFERROR(__xludf.DUMMYFUNCTION("""COMPUTED_VALUE"""),44.53)</f>
        <v>44.53</v>
      </c>
    </row>
    <row r="1001">
      <c r="A1001" s="13" t="str">
        <f>IFERROR(__xludf.DUMMYFUNCTION("""COMPUTED_VALUE"""),"1990")</f>
        <v>1990</v>
      </c>
      <c r="B1001" s="13" t="str">
        <f>IFERROR(__xludf.DUMMYFUNCTION("""COMPUTED_VALUE"""),"PLATEAU VALLEY 50")</f>
        <v>PLATEAU VALLEY 50</v>
      </c>
      <c r="C1001" s="14" t="str">
        <f>IFERROR(__xludf.DUMMYFUNCTION("""COMPUTED_VALUE"""),"07024")</f>
        <v>07024</v>
      </c>
      <c r="D1001" s="13" t="str">
        <f>IFERROR(__xludf.DUMMYFUNCTION("""COMPUTED_VALUE"""),"PLATEAU VALLEY ELEMENTARY SCHOOL")</f>
        <v>PLATEAU VALLEY ELEMENTARY SCHOOL</v>
      </c>
      <c r="E1001" s="13" t="str">
        <f>IFERROR(__xludf.DUMMYFUNCTION("""COMPUTED_VALUE"""),"Group 2")</f>
        <v>Group 2</v>
      </c>
      <c r="F1001" s="13" t="str">
        <f>IFERROR(__xludf.DUMMYFUNCTION("""COMPUTED_VALUE"""),"2024 - 2025")</f>
        <v>2024 - 2025</v>
      </c>
      <c r="G1001" s="13" t="str">
        <f>IFERROR(__xludf.DUMMYFUNCTION("""COMPUTED_VALUE"""),"2023 - 2024")</f>
        <v>2023 - 2024</v>
      </c>
      <c r="H1001" s="13">
        <f>IFERROR(__xludf.DUMMYFUNCTION("""COMPUTED_VALUE"""),59.7)</f>
        <v>59.7</v>
      </c>
      <c r="I1001" s="15">
        <f>IFERROR(__xludf.DUMMYFUNCTION("""COMPUTED_VALUE"""),40.3)</f>
        <v>40.3</v>
      </c>
    </row>
    <row r="1002">
      <c r="A1002" s="13" t="str">
        <f>IFERROR(__xludf.DUMMYFUNCTION("""COMPUTED_VALUE"""),"1990")</f>
        <v>1990</v>
      </c>
      <c r="B1002" s="13" t="str">
        <f>IFERROR(__xludf.DUMMYFUNCTION("""COMPUTED_VALUE"""),"PLATEAU VALLEY 50")</f>
        <v>PLATEAU VALLEY 50</v>
      </c>
      <c r="C1002" s="14" t="str">
        <f>IFERROR(__xludf.DUMMYFUNCTION("""COMPUTED_VALUE"""),"07028")</f>
        <v>07028</v>
      </c>
      <c r="D1002" s="13" t="str">
        <f>IFERROR(__xludf.DUMMYFUNCTION("""COMPUTED_VALUE"""),"PLATEAU VALLEY MIDDLE SCHOOL")</f>
        <v>PLATEAU VALLEY MIDDLE SCHOOL</v>
      </c>
      <c r="E1002" s="13" t="str">
        <f>IFERROR(__xludf.DUMMYFUNCTION("""COMPUTED_VALUE"""),"Group 2")</f>
        <v>Group 2</v>
      </c>
      <c r="F1002" s="13" t="str">
        <f>IFERROR(__xludf.DUMMYFUNCTION("""COMPUTED_VALUE"""),"2024 - 2025")</f>
        <v>2024 - 2025</v>
      </c>
      <c r="G1002" s="13" t="str">
        <f>IFERROR(__xludf.DUMMYFUNCTION("""COMPUTED_VALUE"""),"2023 - 2024")</f>
        <v>2023 - 2024</v>
      </c>
      <c r="H1002" s="13">
        <f>IFERROR(__xludf.DUMMYFUNCTION("""COMPUTED_VALUE"""),59.7)</f>
        <v>59.7</v>
      </c>
      <c r="I1002" s="15">
        <f>IFERROR(__xludf.DUMMYFUNCTION("""COMPUTED_VALUE"""),40.3)</f>
        <v>40.3</v>
      </c>
    </row>
    <row r="1003">
      <c r="A1003" s="13" t="str">
        <f>IFERROR(__xludf.DUMMYFUNCTION("""COMPUTED_VALUE"""),"2000")</f>
        <v>2000</v>
      </c>
      <c r="B1003" s="13" t="str">
        <f>IFERROR(__xludf.DUMMYFUNCTION("""COMPUTED_VALUE"""),"MESA COUNTY VALLEY 51")</f>
        <v>MESA COUNTY VALLEY 51</v>
      </c>
      <c r="C1003" s="14" t="str">
        <f>IFERROR(__xludf.DUMMYFUNCTION("""COMPUTED_VALUE"""),"01450")</f>
        <v>01450</v>
      </c>
      <c r="D1003" s="13" t="str">
        <f>IFERROR(__xludf.DUMMYFUNCTION("""COMPUTED_VALUE"""),"CENTRAL HIGH SCHOOL")</f>
        <v>CENTRAL HIGH SCHOOL</v>
      </c>
      <c r="E1003" s="13" t="str">
        <f>IFERROR(__xludf.DUMMYFUNCTION("""COMPUTED_VALUE"""),"Group 1")</f>
        <v>Group 1</v>
      </c>
      <c r="F1003" s="13" t="str">
        <f>IFERROR(__xludf.DUMMYFUNCTION("""COMPUTED_VALUE"""),"2024 - 2025")</f>
        <v>2024 - 2025</v>
      </c>
      <c r="G1003" s="13" t="str">
        <f>IFERROR(__xludf.DUMMYFUNCTION("""COMPUTED_VALUE"""),"2023 - 2024")</f>
        <v>2023 - 2024</v>
      </c>
      <c r="H1003" s="13">
        <f>IFERROR(__xludf.DUMMYFUNCTION("""COMPUTED_VALUE"""),65.39)</f>
        <v>65.39</v>
      </c>
      <c r="I1003" s="15">
        <f>IFERROR(__xludf.DUMMYFUNCTION("""COMPUTED_VALUE"""),34.61)</f>
        <v>34.61</v>
      </c>
    </row>
    <row r="1004">
      <c r="A1004" s="13" t="str">
        <f>IFERROR(__xludf.DUMMYFUNCTION("""COMPUTED_VALUE"""),"2000")</f>
        <v>2000</v>
      </c>
      <c r="B1004" s="13" t="str">
        <f>IFERROR(__xludf.DUMMYFUNCTION("""COMPUTED_VALUE"""),"MESA COUNTY VALLEY 51")</f>
        <v>MESA COUNTY VALLEY 51</v>
      </c>
      <c r="C1004" s="14" t="str">
        <f>IFERROR(__xludf.DUMMYFUNCTION("""COMPUTED_VALUE"""),"05244")</f>
        <v>05244</v>
      </c>
      <c r="D1004" s="13" t="str">
        <f>IFERROR(__xludf.DUMMYFUNCTION("""COMPUTED_VALUE"""),"LOMA ELEMENTARY SCHOOL")</f>
        <v>LOMA ELEMENTARY SCHOOL</v>
      </c>
      <c r="E1004" s="13" t="str">
        <f>IFERROR(__xludf.DUMMYFUNCTION("""COMPUTED_VALUE"""),"Group 1")</f>
        <v>Group 1</v>
      </c>
      <c r="F1004" s="13" t="str">
        <f>IFERROR(__xludf.DUMMYFUNCTION("""COMPUTED_VALUE"""),"2024 - 2025")</f>
        <v>2024 - 2025</v>
      </c>
      <c r="G1004" s="13" t="str">
        <f>IFERROR(__xludf.DUMMYFUNCTION("""COMPUTED_VALUE"""),"2023 - 2024")</f>
        <v>2023 - 2024</v>
      </c>
      <c r="H1004" s="13">
        <f>IFERROR(__xludf.DUMMYFUNCTION("""COMPUTED_VALUE"""),65.39)</f>
        <v>65.39</v>
      </c>
      <c r="I1004" s="15">
        <f>IFERROR(__xludf.DUMMYFUNCTION("""COMPUTED_VALUE"""),34.61)</f>
        <v>34.61</v>
      </c>
    </row>
    <row r="1005">
      <c r="A1005" s="13" t="str">
        <f>IFERROR(__xludf.DUMMYFUNCTION("""COMPUTED_VALUE"""),"2000")</f>
        <v>2000</v>
      </c>
      <c r="B1005" s="13" t="str">
        <f>IFERROR(__xludf.DUMMYFUNCTION("""COMPUTED_VALUE"""),"MESA COUNTY VALLEY 51")</f>
        <v>MESA COUNTY VALLEY 51</v>
      </c>
      <c r="C1005" s="14" t="str">
        <f>IFERROR(__xludf.DUMMYFUNCTION("""COMPUTED_VALUE"""),"09434")</f>
        <v>09434</v>
      </c>
      <c r="D1005" s="13" t="str">
        <f>IFERROR(__xludf.DUMMYFUNCTION("""COMPUTED_VALUE"""),"SCENIC ELEMENTARY SCHOOL")</f>
        <v>SCENIC ELEMENTARY SCHOOL</v>
      </c>
      <c r="E1005" s="13" t="str">
        <f>IFERROR(__xludf.DUMMYFUNCTION("""COMPUTED_VALUE"""),"Group 1")</f>
        <v>Group 1</v>
      </c>
      <c r="F1005" s="13" t="str">
        <f>IFERROR(__xludf.DUMMYFUNCTION("""COMPUTED_VALUE"""),"2024 - 2025")</f>
        <v>2024 - 2025</v>
      </c>
      <c r="G1005" s="13" t="str">
        <f>IFERROR(__xludf.DUMMYFUNCTION("""COMPUTED_VALUE"""),"2023 - 2024")</f>
        <v>2023 - 2024</v>
      </c>
      <c r="H1005" s="13">
        <f>IFERROR(__xludf.DUMMYFUNCTION("""COMPUTED_VALUE"""),65.39)</f>
        <v>65.39</v>
      </c>
      <c r="I1005" s="15">
        <f>IFERROR(__xludf.DUMMYFUNCTION("""COMPUTED_VALUE"""),34.61)</f>
        <v>34.61</v>
      </c>
    </row>
    <row r="1006">
      <c r="A1006" s="13" t="str">
        <f>IFERROR(__xludf.DUMMYFUNCTION("""COMPUTED_VALUE"""),"2000")</f>
        <v>2000</v>
      </c>
      <c r="B1006" s="13" t="str">
        <f>IFERROR(__xludf.DUMMYFUNCTION("""COMPUTED_VALUE"""),"MESA COUNTY VALLEY 51")</f>
        <v>MESA COUNTY VALLEY 51</v>
      </c>
      <c r="C1006" s="14" t="str">
        <f>IFERROR(__xludf.DUMMYFUNCTION("""COMPUTED_VALUE"""),"01297")</f>
        <v>01297</v>
      </c>
      <c r="D1006" s="13" t="str">
        <f>IFERROR(__xludf.DUMMYFUNCTION("""COMPUTED_VALUE"""),"Monument Ridge Elementary School")</f>
        <v>Monument Ridge Elementary School</v>
      </c>
      <c r="E1006" s="13" t="str">
        <f>IFERROR(__xludf.DUMMYFUNCTION("""COMPUTED_VALUE"""),"Group 1")</f>
        <v>Group 1</v>
      </c>
      <c r="F1006" s="13" t="str">
        <f>IFERROR(__xludf.DUMMYFUNCTION("""COMPUTED_VALUE"""),"2024 - 2025")</f>
        <v>2024 - 2025</v>
      </c>
      <c r="G1006" s="13" t="str">
        <f>IFERROR(__xludf.DUMMYFUNCTION("""COMPUTED_VALUE"""),"2023 - 2024")</f>
        <v>2023 - 2024</v>
      </c>
      <c r="H1006" s="13">
        <f>IFERROR(__xludf.DUMMYFUNCTION("""COMPUTED_VALUE"""),65.39)</f>
        <v>65.39</v>
      </c>
      <c r="I1006" s="15">
        <f>IFERROR(__xludf.DUMMYFUNCTION("""COMPUTED_VALUE"""),34.61)</f>
        <v>34.61</v>
      </c>
    </row>
    <row r="1007">
      <c r="A1007" s="13" t="str">
        <f>IFERROR(__xludf.DUMMYFUNCTION("""COMPUTED_VALUE"""),"2000")</f>
        <v>2000</v>
      </c>
      <c r="B1007" s="13" t="str">
        <f>IFERROR(__xludf.DUMMYFUNCTION("""COMPUTED_VALUE"""),"MESA COUNTY VALLEY 51")</f>
        <v>MESA COUNTY VALLEY 51</v>
      </c>
      <c r="C1007" s="14" t="str">
        <f>IFERROR(__xludf.DUMMYFUNCTION("""COMPUTED_VALUE"""),"01520")</f>
        <v>01520</v>
      </c>
      <c r="D1007" s="13" t="str">
        <f>IFERROR(__xludf.DUMMYFUNCTION("""COMPUTED_VALUE"""),"CHATFIELD ELEMENTARY SCHOOL")</f>
        <v>CHATFIELD ELEMENTARY SCHOOL</v>
      </c>
      <c r="E1007" s="13" t="str">
        <f>IFERROR(__xludf.DUMMYFUNCTION("""COMPUTED_VALUE"""),"Group 10")</f>
        <v>Group 10</v>
      </c>
      <c r="F1007" s="13" t="str">
        <f>IFERROR(__xludf.DUMMYFUNCTION("""COMPUTED_VALUE"""),"2024 - 2025")</f>
        <v>2024 - 2025</v>
      </c>
      <c r="G1007" s="13" t="str">
        <f>IFERROR(__xludf.DUMMYFUNCTION("""COMPUTED_VALUE"""),"2023 - 2024")</f>
        <v>2023 - 2024</v>
      </c>
      <c r="H1007" s="13">
        <f>IFERROR(__xludf.DUMMYFUNCTION("""COMPUTED_VALUE"""),92.7)</f>
        <v>92.7</v>
      </c>
      <c r="I1007" s="15">
        <f>IFERROR(__xludf.DUMMYFUNCTION("""COMPUTED_VALUE"""),7.299999999999997)</f>
        <v>7.3</v>
      </c>
    </row>
    <row r="1008">
      <c r="A1008" s="13" t="str">
        <f>IFERROR(__xludf.DUMMYFUNCTION("""COMPUTED_VALUE"""),"2000")</f>
        <v>2000</v>
      </c>
      <c r="B1008" s="13" t="str">
        <f>IFERROR(__xludf.DUMMYFUNCTION("""COMPUTED_VALUE"""),"MESA COUNTY VALLEY 51")</f>
        <v>MESA COUNTY VALLEY 51</v>
      </c>
      <c r="C1008" s="14" t="str">
        <f>IFERROR(__xludf.DUMMYFUNCTION("""COMPUTED_VALUE"""),"03584")</f>
        <v>03584</v>
      </c>
      <c r="D1008" s="13" t="str">
        <f>IFERROR(__xludf.DUMMYFUNCTION("""COMPUTED_VALUE"""),"GRAND MESA MIDDLE SCHOOL")</f>
        <v>GRAND MESA MIDDLE SCHOOL</v>
      </c>
      <c r="E1008" s="13" t="str">
        <f>IFERROR(__xludf.DUMMYFUNCTION("""COMPUTED_VALUE"""),"Group 10")</f>
        <v>Group 10</v>
      </c>
      <c r="F1008" s="13" t="str">
        <f>IFERROR(__xludf.DUMMYFUNCTION("""COMPUTED_VALUE"""),"2024 - 2025")</f>
        <v>2024 - 2025</v>
      </c>
      <c r="G1008" s="13" t="str">
        <f>IFERROR(__xludf.DUMMYFUNCTION("""COMPUTED_VALUE"""),"2023 - 2024")</f>
        <v>2023 - 2024</v>
      </c>
      <c r="H1008" s="13">
        <f>IFERROR(__xludf.DUMMYFUNCTION("""COMPUTED_VALUE"""),92.7)</f>
        <v>92.7</v>
      </c>
      <c r="I1008" s="15">
        <f>IFERROR(__xludf.DUMMYFUNCTION("""COMPUTED_VALUE"""),7.299999999999997)</f>
        <v>7.3</v>
      </c>
    </row>
    <row r="1009">
      <c r="A1009" s="13" t="str">
        <f>IFERROR(__xludf.DUMMYFUNCTION("""COMPUTED_VALUE"""),"2000")</f>
        <v>2000</v>
      </c>
      <c r="B1009" s="13" t="str">
        <f>IFERROR(__xludf.DUMMYFUNCTION("""COMPUTED_VALUE"""),"MESA COUNTY VALLEY 51")</f>
        <v>MESA COUNTY VALLEY 51</v>
      </c>
      <c r="C1009" s="14" t="str">
        <f>IFERROR(__xludf.DUMMYFUNCTION("""COMPUTED_VALUE"""),"05842")</f>
        <v>05842</v>
      </c>
      <c r="D1009" s="13" t="str">
        <f>IFERROR(__xludf.DUMMYFUNCTION("""COMPUTED_VALUE"""),"MESA VIEW ELEMENTARY SCHOOL")</f>
        <v>MESA VIEW ELEMENTARY SCHOOL</v>
      </c>
      <c r="E1009" s="13" t="str">
        <f>IFERROR(__xludf.DUMMYFUNCTION("""COMPUTED_VALUE"""),"Group 11")</f>
        <v>Group 11</v>
      </c>
      <c r="F1009" s="13" t="str">
        <f>IFERROR(__xludf.DUMMYFUNCTION("""COMPUTED_VALUE"""),"2024 - 2025")</f>
        <v>2024 - 2025</v>
      </c>
      <c r="G1009" s="13" t="str">
        <f>IFERROR(__xludf.DUMMYFUNCTION("""COMPUTED_VALUE"""),"2023 - 2024")</f>
        <v>2023 - 2024</v>
      </c>
      <c r="H1009" s="13">
        <f>IFERROR(__xludf.DUMMYFUNCTION("""COMPUTED_VALUE"""),82.0)</f>
        <v>82</v>
      </c>
      <c r="I1009" s="15">
        <f>IFERROR(__xludf.DUMMYFUNCTION("""COMPUTED_VALUE"""),18.0)</f>
        <v>18</v>
      </c>
    </row>
    <row r="1010">
      <c r="A1010" s="13" t="str">
        <f>IFERROR(__xludf.DUMMYFUNCTION("""COMPUTED_VALUE"""),"2000")</f>
        <v>2000</v>
      </c>
      <c r="B1010" s="13" t="str">
        <f>IFERROR(__xludf.DUMMYFUNCTION("""COMPUTED_VALUE"""),"MESA COUNTY VALLEY 51")</f>
        <v>MESA COUNTY VALLEY 51</v>
      </c>
      <c r="C1010" s="14" t="str">
        <f>IFERROR(__xludf.DUMMYFUNCTION("""COMPUTED_VALUE"""),"07236")</f>
        <v>07236</v>
      </c>
      <c r="D1010" s="13" t="str">
        <f>IFERROR(__xludf.DUMMYFUNCTION("""COMPUTED_VALUE"""),"R-5 HIGH SCHOOL")</f>
        <v>R-5 HIGH SCHOOL</v>
      </c>
      <c r="E1010" s="13" t="str">
        <f>IFERROR(__xludf.DUMMYFUNCTION("""COMPUTED_VALUE"""),"Group 11")</f>
        <v>Group 11</v>
      </c>
      <c r="F1010" s="13" t="str">
        <f>IFERROR(__xludf.DUMMYFUNCTION("""COMPUTED_VALUE"""),"2024 - 2025")</f>
        <v>2024 - 2025</v>
      </c>
      <c r="G1010" s="13" t="str">
        <f>IFERROR(__xludf.DUMMYFUNCTION("""COMPUTED_VALUE"""),"2023 - 2024")</f>
        <v>2023 - 2024</v>
      </c>
      <c r="H1010" s="13">
        <f>IFERROR(__xludf.DUMMYFUNCTION("""COMPUTED_VALUE"""),82.0)</f>
        <v>82</v>
      </c>
      <c r="I1010" s="15">
        <f>IFERROR(__xludf.DUMMYFUNCTION("""COMPUTED_VALUE"""),18.0)</f>
        <v>18</v>
      </c>
    </row>
    <row r="1011">
      <c r="A1011" s="13" t="str">
        <f>IFERROR(__xludf.DUMMYFUNCTION("""COMPUTED_VALUE"""),"2000")</f>
        <v>2000</v>
      </c>
      <c r="B1011" s="13" t="str">
        <f>IFERROR(__xludf.DUMMYFUNCTION("""COMPUTED_VALUE"""),"MESA COUNTY VALLEY 51")</f>
        <v>MESA COUNTY VALLEY 51</v>
      </c>
      <c r="C1011" s="14" t="str">
        <f>IFERROR(__xludf.DUMMYFUNCTION("""COMPUTED_VALUE"""),"08462")</f>
        <v>08462</v>
      </c>
      <c r="D1011" s="13" t="str">
        <f>IFERROR(__xludf.DUMMYFUNCTION("""COMPUTED_VALUE"""),"TAYLOR ELEMENTARY SCHOOL")</f>
        <v>TAYLOR ELEMENTARY SCHOOL</v>
      </c>
      <c r="E1011" s="13" t="str">
        <f>IFERROR(__xludf.DUMMYFUNCTION("""COMPUTED_VALUE"""),"Group 11")</f>
        <v>Group 11</v>
      </c>
      <c r="F1011" s="13" t="str">
        <f>IFERROR(__xludf.DUMMYFUNCTION("""COMPUTED_VALUE"""),"2024 - 2025")</f>
        <v>2024 - 2025</v>
      </c>
      <c r="G1011" s="13" t="str">
        <f>IFERROR(__xludf.DUMMYFUNCTION("""COMPUTED_VALUE"""),"2023 - 2024")</f>
        <v>2023 - 2024</v>
      </c>
      <c r="H1011" s="13">
        <f>IFERROR(__xludf.DUMMYFUNCTION("""COMPUTED_VALUE"""),82.0)</f>
        <v>82</v>
      </c>
      <c r="I1011" s="15">
        <f>IFERROR(__xludf.DUMMYFUNCTION("""COMPUTED_VALUE"""),18.0)</f>
        <v>18</v>
      </c>
    </row>
    <row r="1012">
      <c r="A1012" s="13" t="str">
        <f>IFERROR(__xludf.DUMMYFUNCTION("""COMPUTED_VALUE"""),"2000")</f>
        <v>2000</v>
      </c>
      <c r="B1012" s="13" t="str">
        <f>IFERROR(__xludf.DUMMYFUNCTION("""COMPUTED_VALUE"""),"MESA COUNTY VALLEY 51")</f>
        <v>MESA COUNTY VALLEY 51</v>
      </c>
      <c r="C1012" s="14" t="str">
        <f>IFERROR(__xludf.DUMMYFUNCTION("""COMPUTED_VALUE"""),"08846")</f>
        <v>08846</v>
      </c>
      <c r="D1012" s="13" t="str">
        <f>IFERROR(__xludf.DUMMYFUNCTION("""COMPUTED_VALUE"""),"THUNDER MOUNTAIN ELEMENTARY SCHOOL")</f>
        <v>THUNDER MOUNTAIN ELEMENTARY SCHOOL</v>
      </c>
      <c r="E1012" s="13" t="str">
        <f>IFERROR(__xludf.DUMMYFUNCTION("""COMPUTED_VALUE"""),"Group 11")</f>
        <v>Group 11</v>
      </c>
      <c r="F1012" s="13" t="str">
        <f>IFERROR(__xludf.DUMMYFUNCTION("""COMPUTED_VALUE"""),"2024 - 2025")</f>
        <v>2024 - 2025</v>
      </c>
      <c r="G1012" s="13" t="str">
        <f>IFERROR(__xludf.DUMMYFUNCTION("""COMPUTED_VALUE"""),"2023 - 2024")</f>
        <v>2023 - 2024</v>
      </c>
      <c r="H1012" s="13">
        <f>IFERROR(__xludf.DUMMYFUNCTION("""COMPUTED_VALUE"""),82.0)</f>
        <v>82</v>
      </c>
      <c r="I1012" s="15">
        <f>IFERROR(__xludf.DUMMYFUNCTION("""COMPUTED_VALUE"""),18.0)</f>
        <v>18</v>
      </c>
    </row>
    <row r="1013">
      <c r="A1013" s="13" t="str">
        <f>IFERROR(__xludf.DUMMYFUNCTION("""COMPUTED_VALUE"""),"2000")</f>
        <v>2000</v>
      </c>
      <c r="B1013" s="13" t="str">
        <f>IFERROR(__xludf.DUMMYFUNCTION("""COMPUTED_VALUE"""),"MESA COUNTY VALLEY 51")</f>
        <v>MESA COUNTY VALLEY 51</v>
      </c>
      <c r="C1013" s="14" t="str">
        <f>IFERROR(__xludf.DUMMYFUNCTION("""COMPUTED_VALUE"""),"00363")</f>
        <v>00363</v>
      </c>
      <c r="D1013" s="13" t="str">
        <f>IFERROR(__xludf.DUMMYFUNCTION("""COMPUTED_VALUE"""),"PEAR PARK ELEMENTARY SCHOOL")</f>
        <v>PEAR PARK ELEMENTARY SCHOOL</v>
      </c>
      <c r="E1013" s="13" t="str">
        <f>IFERROR(__xludf.DUMMYFUNCTION("""COMPUTED_VALUE"""),"Group 12")</f>
        <v>Group 12</v>
      </c>
      <c r="F1013" s="13" t="str">
        <f>IFERROR(__xludf.DUMMYFUNCTION("""COMPUTED_VALUE"""),"2024 - 2025")</f>
        <v>2024 - 2025</v>
      </c>
      <c r="G1013" s="13" t="str">
        <f>IFERROR(__xludf.DUMMYFUNCTION("""COMPUTED_VALUE"""),"2023 - 2024")</f>
        <v>2023 - 2024</v>
      </c>
      <c r="H1013" s="13">
        <f>IFERROR(__xludf.DUMMYFUNCTION("""COMPUTED_VALUE"""),99.14)</f>
        <v>99.14</v>
      </c>
      <c r="I1013" s="15">
        <f>IFERROR(__xludf.DUMMYFUNCTION("""COMPUTED_VALUE"""),0.8599999999999994)</f>
        <v>0.86</v>
      </c>
    </row>
    <row r="1014">
      <c r="A1014" s="13" t="str">
        <f>IFERROR(__xludf.DUMMYFUNCTION("""COMPUTED_VALUE"""),"2000")</f>
        <v>2000</v>
      </c>
      <c r="B1014" s="13" t="str">
        <f>IFERROR(__xludf.DUMMYFUNCTION("""COMPUTED_VALUE"""),"MESA COUNTY VALLEY 51")</f>
        <v>MESA COUNTY VALLEY 51</v>
      </c>
      <c r="C1014" s="14" t="str">
        <f>IFERROR(__xludf.DUMMYFUNCTION("""COMPUTED_VALUE"""),"01686")</f>
        <v>01686</v>
      </c>
      <c r="D1014" s="13" t="str">
        <f>IFERROR(__xludf.DUMMYFUNCTION("""COMPUTED_VALUE"""),"CLIFTON ELEMENTARY SCHOOL")</f>
        <v>CLIFTON ELEMENTARY SCHOOL</v>
      </c>
      <c r="E1014" s="13" t="str">
        <f>IFERROR(__xludf.DUMMYFUNCTION("""COMPUTED_VALUE"""),"Group 12")</f>
        <v>Group 12</v>
      </c>
      <c r="F1014" s="13" t="str">
        <f>IFERROR(__xludf.DUMMYFUNCTION("""COMPUTED_VALUE"""),"2024 - 2025")</f>
        <v>2024 - 2025</v>
      </c>
      <c r="G1014" s="13" t="str">
        <f>IFERROR(__xludf.DUMMYFUNCTION("""COMPUTED_VALUE"""),"2023 - 2024")</f>
        <v>2023 - 2024</v>
      </c>
      <c r="H1014" s="13">
        <f>IFERROR(__xludf.DUMMYFUNCTION("""COMPUTED_VALUE"""),99.14)</f>
        <v>99.14</v>
      </c>
      <c r="I1014" s="15">
        <f>IFERROR(__xludf.DUMMYFUNCTION("""COMPUTED_VALUE"""),0.8599999999999994)</f>
        <v>0.86</v>
      </c>
    </row>
    <row r="1015">
      <c r="A1015" s="13" t="str">
        <f>IFERROR(__xludf.DUMMYFUNCTION("""COMPUTED_VALUE"""),"2000")</f>
        <v>2000</v>
      </c>
      <c r="B1015" s="13" t="str">
        <f>IFERROR(__xludf.DUMMYFUNCTION("""COMPUTED_VALUE"""),"MESA COUNTY VALLEY 51")</f>
        <v>MESA COUNTY VALLEY 51</v>
      </c>
      <c r="C1015" s="14" t="str">
        <f>IFERROR(__xludf.DUMMYFUNCTION("""COMPUTED_VALUE"""),"03244")</f>
        <v>03244</v>
      </c>
      <c r="D1015" s="13" t="str">
        <f>IFERROR(__xludf.DUMMYFUNCTION("""COMPUTED_VALUE"""),"FRUITA MIDDLE SCHOOL")</f>
        <v>FRUITA MIDDLE SCHOOL</v>
      </c>
      <c r="E1015" s="13" t="str">
        <f>IFERROR(__xludf.DUMMYFUNCTION("""COMPUTED_VALUE"""),"Group 12")</f>
        <v>Group 12</v>
      </c>
      <c r="F1015" s="13" t="str">
        <f>IFERROR(__xludf.DUMMYFUNCTION("""COMPUTED_VALUE"""),"2024 - 2025")</f>
        <v>2024 - 2025</v>
      </c>
      <c r="G1015" s="13" t="str">
        <f>IFERROR(__xludf.DUMMYFUNCTION("""COMPUTED_VALUE"""),"2023 - 2024")</f>
        <v>2023 - 2024</v>
      </c>
      <c r="H1015" s="13">
        <f>IFERROR(__xludf.DUMMYFUNCTION("""COMPUTED_VALUE"""),99.14)</f>
        <v>99.14</v>
      </c>
      <c r="I1015" s="15">
        <f>IFERROR(__xludf.DUMMYFUNCTION("""COMPUTED_VALUE"""),0.8599999999999994)</f>
        <v>0.86</v>
      </c>
    </row>
    <row r="1016">
      <c r="A1016" s="13" t="str">
        <f>IFERROR(__xludf.DUMMYFUNCTION("""COMPUTED_VALUE"""),"2000")</f>
        <v>2000</v>
      </c>
      <c r="B1016" s="13" t="str">
        <f>IFERROR(__xludf.DUMMYFUNCTION("""COMPUTED_VALUE"""),"MESA COUNTY VALLEY 51")</f>
        <v>MESA COUNTY VALLEY 51</v>
      </c>
      <c r="C1016" s="14" t="str">
        <f>IFERROR(__xludf.DUMMYFUNCTION("""COMPUTED_VALUE"""),"06166")</f>
        <v>06166</v>
      </c>
      <c r="D1016" s="13" t="str">
        <f>IFERROR(__xludf.DUMMYFUNCTION("""COMPUTED_VALUE"""),"MOUNT GARFIELD MIDDLE SCHOOL")</f>
        <v>MOUNT GARFIELD MIDDLE SCHOOL</v>
      </c>
      <c r="E1016" s="13" t="str">
        <f>IFERROR(__xludf.DUMMYFUNCTION("""COMPUTED_VALUE"""),"Group 12")</f>
        <v>Group 12</v>
      </c>
      <c r="F1016" s="13" t="str">
        <f>IFERROR(__xludf.DUMMYFUNCTION("""COMPUTED_VALUE"""),"2024 - 2025")</f>
        <v>2024 - 2025</v>
      </c>
      <c r="G1016" s="13" t="str">
        <f>IFERROR(__xludf.DUMMYFUNCTION("""COMPUTED_VALUE"""),"2023 - 2024")</f>
        <v>2023 - 2024</v>
      </c>
      <c r="H1016" s="13">
        <f>IFERROR(__xludf.DUMMYFUNCTION("""COMPUTED_VALUE"""),99.14)</f>
        <v>99.14</v>
      </c>
      <c r="I1016" s="15">
        <f>IFERROR(__xludf.DUMMYFUNCTION("""COMPUTED_VALUE"""),0.8599999999999994)</f>
        <v>0.86</v>
      </c>
    </row>
    <row r="1017">
      <c r="A1017" s="13" t="str">
        <f>IFERROR(__xludf.DUMMYFUNCTION("""COMPUTED_VALUE"""),"2000")</f>
        <v>2000</v>
      </c>
      <c r="B1017" s="13" t="str">
        <f>IFERROR(__xludf.DUMMYFUNCTION("""COMPUTED_VALUE"""),"MESA COUNTY VALLEY 51")</f>
        <v>MESA COUNTY VALLEY 51</v>
      </c>
      <c r="C1017" s="14" t="str">
        <f>IFERROR(__xludf.DUMMYFUNCTION("""COMPUTED_VALUE"""),"06264")</f>
        <v>06264</v>
      </c>
      <c r="D1017" s="13" t="str">
        <f>IFERROR(__xludf.DUMMYFUNCTION("""COMPUTED_VALUE"""),"NISLEY ELEMENTARY SCHOOL")</f>
        <v>NISLEY ELEMENTARY SCHOOL</v>
      </c>
      <c r="E1017" s="13" t="str">
        <f>IFERROR(__xludf.DUMMYFUNCTION("""COMPUTED_VALUE"""),"Group 12")</f>
        <v>Group 12</v>
      </c>
      <c r="F1017" s="13" t="str">
        <f>IFERROR(__xludf.DUMMYFUNCTION("""COMPUTED_VALUE"""),"2024 - 2025")</f>
        <v>2024 - 2025</v>
      </c>
      <c r="G1017" s="13" t="str">
        <f>IFERROR(__xludf.DUMMYFUNCTION("""COMPUTED_VALUE"""),"2023 - 2024")</f>
        <v>2023 - 2024</v>
      </c>
      <c r="H1017" s="13">
        <f>IFERROR(__xludf.DUMMYFUNCTION("""COMPUTED_VALUE"""),99.14)</f>
        <v>99.14</v>
      </c>
      <c r="I1017" s="15">
        <f>IFERROR(__xludf.DUMMYFUNCTION("""COMPUTED_VALUE"""),0.8599999999999994)</f>
        <v>0.86</v>
      </c>
    </row>
    <row r="1018">
      <c r="A1018" s="13" t="str">
        <f>IFERROR(__xludf.DUMMYFUNCTION("""COMPUTED_VALUE"""),"2000")</f>
        <v>2000</v>
      </c>
      <c r="B1018" s="13" t="str">
        <f>IFERROR(__xludf.DUMMYFUNCTION("""COMPUTED_VALUE"""),"MESA COUNTY VALLEY 51")</f>
        <v>MESA COUNTY VALLEY 51</v>
      </c>
      <c r="C1018" s="14" t="str">
        <f>IFERROR(__xludf.DUMMYFUNCTION("""COMPUTED_VALUE"""),"07467")</f>
        <v>07467</v>
      </c>
      <c r="D1018" s="13" t="str">
        <f>IFERROR(__xludf.DUMMYFUNCTION("""COMPUTED_VALUE"""),"ROCKY MOUNTAIN ELEMENTARY SCHOOL")</f>
        <v>ROCKY MOUNTAIN ELEMENTARY SCHOOL</v>
      </c>
      <c r="E1018" s="13" t="str">
        <f>IFERROR(__xludf.DUMMYFUNCTION("""COMPUTED_VALUE"""),"Group 12")</f>
        <v>Group 12</v>
      </c>
      <c r="F1018" s="13" t="str">
        <f>IFERROR(__xludf.DUMMYFUNCTION("""COMPUTED_VALUE"""),"2024 - 2025")</f>
        <v>2024 - 2025</v>
      </c>
      <c r="G1018" s="13" t="str">
        <f>IFERROR(__xludf.DUMMYFUNCTION("""COMPUTED_VALUE"""),"2023 - 2024")</f>
        <v>2023 - 2024</v>
      </c>
      <c r="H1018" s="13">
        <f>IFERROR(__xludf.DUMMYFUNCTION("""COMPUTED_VALUE"""),99.14)</f>
        <v>99.14</v>
      </c>
      <c r="I1018" s="15">
        <f>IFERROR(__xludf.DUMMYFUNCTION("""COMPUTED_VALUE"""),0.8599999999999994)</f>
        <v>0.86</v>
      </c>
    </row>
    <row r="1019">
      <c r="A1019" s="13" t="str">
        <f>IFERROR(__xludf.DUMMYFUNCTION("""COMPUTED_VALUE"""),"2000")</f>
        <v>2000</v>
      </c>
      <c r="B1019" s="13" t="str">
        <f>IFERROR(__xludf.DUMMYFUNCTION("""COMPUTED_VALUE"""),"MESA COUNTY VALLEY 51")</f>
        <v>MESA COUNTY VALLEY 51</v>
      </c>
      <c r="C1019" s="14" t="str">
        <f>IFERROR(__xludf.DUMMYFUNCTION("""COMPUTED_VALUE"""),"08876")</f>
        <v>08876</v>
      </c>
      <c r="D1019" s="13" t="str">
        <f>IFERROR(__xludf.DUMMYFUNCTION("""COMPUTED_VALUE"""),"TOPE ELEMENTARY SCHOOL")</f>
        <v>TOPE ELEMENTARY SCHOOL</v>
      </c>
      <c r="E1019" s="13" t="str">
        <f>IFERROR(__xludf.DUMMYFUNCTION("""COMPUTED_VALUE"""),"Group 12")</f>
        <v>Group 12</v>
      </c>
      <c r="F1019" s="13" t="str">
        <f>IFERROR(__xludf.DUMMYFUNCTION("""COMPUTED_VALUE"""),"2024 - 2025")</f>
        <v>2024 - 2025</v>
      </c>
      <c r="G1019" s="13" t="str">
        <f>IFERROR(__xludf.DUMMYFUNCTION("""COMPUTED_VALUE"""),"2023 - 2024")</f>
        <v>2023 - 2024</v>
      </c>
      <c r="H1019" s="13">
        <f>IFERROR(__xludf.DUMMYFUNCTION("""COMPUTED_VALUE"""),99.14)</f>
        <v>99.14</v>
      </c>
      <c r="I1019" s="15">
        <f>IFERROR(__xludf.DUMMYFUNCTION("""COMPUTED_VALUE"""),0.8599999999999994)</f>
        <v>0.86</v>
      </c>
    </row>
    <row r="1020">
      <c r="A1020" s="13" t="str">
        <f>IFERROR(__xludf.DUMMYFUNCTION("""COMPUTED_VALUE"""),"2000")</f>
        <v>2000</v>
      </c>
      <c r="B1020" s="13" t="str">
        <f>IFERROR(__xludf.DUMMYFUNCTION("""COMPUTED_VALUE"""),"MESA COUNTY VALLEY 51")</f>
        <v>MESA COUNTY VALLEY 51</v>
      </c>
      <c r="C1020" s="14" t="str">
        <f>IFERROR(__xludf.DUMMYFUNCTION("""COMPUTED_VALUE"""),"00362")</f>
        <v>00362</v>
      </c>
      <c r="D1020" s="13" t="str">
        <f>IFERROR(__xludf.DUMMYFUNCTION("""COMPUTED_VALUE"""),"RIM ROCK ELEMENTARY SCHOOL")</f>
        <v>RIM ROCK ELEMENTARY SCHOOL</v>
      </c>
      <c r="E1020" s="13" t="str">
        <f>IFERROR(__xludf.DUMMYFUNCTION("""COMPUTED_VALUE"""),"Group 2")</f>
        <v>Group 2</v>
      </c>
      <c r="F1020" s="13" t="str">
        <f>IFERROR(__xludf.DUMMYFUNCTION("""COMPUTED_VALUE"""),"2024 - 2025")</f>
        <v>2024 - 2025</v>
      </c>
      <c r="G1020" s="13" t="str">
        <f>IFERROR(__xludf.DUMMYFUNCTION("""COMPUTED_VALUE"""),"2023 - 2024")</f>
        <v>2023 - 2024</v>
      </c>
      <c r="H1020" s="13">
        <f>IFERROR(__xludf.DUMMYFUNCTION("""COMPUTED_VALUE"""),65.74)</f>
        <v>65.74</v>
      </c>
      <c r="I1020" s="15">
        <f>IFERROR(__xludf.DUMMYFUNCTION("""COMPUTED_VALUE"""),34.260000000000005)</f>
        <v>34.26</v>
      </c>
    </row>
    <row r="1021">
      <c r="A1021" s="13" t="str">
        <f>IFERROR(__xludf.DUMMYFUNCTION("""COMPUTED_VALUE"""),"2000")</f>
        <v>2000</v>
      </c>
      <c r="B1021" s="13" t="str">
        <f>IFERROR(__xludf.DUMMYFUNCTION("""COMPUTED_VALUE"""),"MESA COUNTY VALLEY 51")</f>
        <v>MESA COUNTY VALLEY 51</v>
      </c>
      <c r="C1021" s="14" t="str">
        <f>IFERROR(__xludf.DUMMYFUNCTION("""COMPUTED_VALUE"""),"07832")</f>
        <v>07832</v>
      </c>
      <c r="D1021" s="13" t="str">
        <f>IFERROR(__xludf.DUMMYFUNCTION("""COMPUTED_VALUE"""),"SHELLEDY ELEMENTARY SCHOOL")</f>
        <v>SHELLEDY ELEMENTARY SCHOOL</v>
      </c>
      <c r="E1021" s="13" t="str">
        <f>IFERROR(__xludf.DUMMYFUNCTION("""COMPUTED_VALUE"""),"Group 2")</f>
        <v>Group 2</v>
      </c>
      <c r="F1021" s="13" t="str">
        <f>IFERROR(__xludf.DUMMYFUNCTION("""COMPUTED_VALUE"""),"2024 - 2025")</f>
        <v>2024 - 2025</v>
      </c>
      <c r="G1021" s="13" t="str">
        <f>IFERROR(__xludf.DUMMYFUNCTION("""COMPUTED_VALUE"""),"2023 - 2024")</f>
        <v>2023 - 2024</v>
      </c>
      <c r="H1021" s="13">
        <f>IFERROR(__xludf.DUMMYFUNCTION("""COMPUTED_VALUE"""),65.74)</f>
        <v>65.74</v>
      </c>
      <c r="I1021" s="15">
        <f>IFERROR(__xludf.DUMMYFUNCTION("""COMPUTED_VALUE"""),34.260000000000005)</f>
        <v>34.26</v>
      </c>
    </row>
    <row r="1022">
      <c r="A1022" s="13" t="str">
        <f>IFERROR(__xludf.DUMMYFUNCTION("""COMPUTED_VALUE"""),"2000")</f>
        <v>2000</v>
      </c>
      <c r="B1022" s="13" t="str">
        <f>IFERROR(__xludf.DUMMYFUNCTION("""COMPUTED_VALUE"""),"MESA COUNTY VALLEY 51")</f>
        <v>MESA COUNTY VALLEY 51</v>
      </c>
      <c r="C1022" s="14" t="str">
        <f>IFERROR(__xludf.DUMMYFUNCTION("""COMPUTED_VALUE"""),"09406")</f>
        <v>09406</v>
      </c>
      <c r="D1022" s="13" t="str">
        <f>IFERROR(__xludf.DUMMYFUNCTION("""COMPUTED_VALUE"""),"WEST MIDDLE SCHOOL")</f>
        <v>WEST MIDDLE SCHOOL</v>
      </c>
      <c r="E1022" s="13" t="str">
        <f>IFERROR(__xludf.DUMMYFUNCTION("""COMPUTED_VALUE"""),"Group 2")</f>
        <v>Group 2</v>
      </c>
      <c r="F1022" s="13" t="str">
        <f>IFERROR(__xludf.DUMMYFUNCTION("""COMPUTED_VALUE"""),"2024 - 2025")</f>
        <v>2024 - 2025</v>
      </c>
      <c r="G1022" s="13" t="str">
        <f>IFERROR(__xludf.DUMMYFUNCTION("""COMPUTED_VALUE"""),"2023 - 2024")</f>
        <v>2023 - 2024</v>
      </c>
      <c r="H1022" s="13">
        <f>IFERROR(__xludf.DUMMYFUNCTION("""COMPUTED_VALUE"""),65.74)</f>
        <v>65.74</v>
      </c>
      <c r="I1022" s="15">
        <f>IFERROR(__xludf.DUMMYFUNCTION("""COMPUTED_VALUE"""),34.260000000000005)</f>
        <v>34.26</v>
      </c>
    </row>
    <row r="1023">
      <c r="A1023" s="13" t="str">
        <f>IFERROR(__xludf.DUMMYFUNCTION("""COMPUTED_VALUE"""),"2000")</f>
        <v>2000</v>
      </c>
      <c r="B1023" s="13" t="str">
        <f>IFERROR(__xludf.DUMMYFUNCTION("""COMPUTED_VALUE"""),"MESA COUNTY VALLEY 51")</f>
        <v>MESA COUNTY VALLEY 51</v>
      </c>
      <c r="C1023" s="14" t="str">
        <f>IFERROR(__xludf.DUMMYFUNCTION("""COMPUTED_VALUE"""),"05210")</f>
        <v>05210</v>
      </c>
      <c r="D1023" s="13" t="str">
        <f>IFERROR(__xludf.DUMMYFUNCTION("""COMPUTED_VALUE"""),"LINCOLN ORCHARD MESA ELEMENTARY SCHOOL")</f>
        <v>LINCOLN ORCHARD MESA ELEMENTARY SCHOOL</v>
      </c>
      <c r="E1023" s="13" t="str">
        <f>IFERROR(__xludf.DUMMYFUNCTION("""COMPUTED_VALUE"""),"Group 3")</f>
        <v>Group 3</v>
      </c>
      <c r="F1023" s="13" t="str">
        <f>IFERROR(__xludf.DUMMYFUNCTION("""COMPUTED_VALUE"""),"2024 - 2025")</f>
        <v>2024 - 2025</v>
      </c>
      <c r="G1023" s="13" t="str">
        <f>IFERROR(__xludf.DUMMYFUNCTION("""COMPUTED_VALUE"""),"2023 - 2024")</f>
        <v>2023 - 2024</v>
      </c>
      <c r="H1023" s="13">
        <f>IFERROR(__xludf.DUMMYFUNCTION("""COMPUTED_VALUE"""),93.01)</f>
        <v>93.01</v>
      </c>
      <c r="I1023" s="15">
        <f>IFERROR(__xludf.DUMMYFUNCTION("""COMPUTED_VALUE"""),6.989999999999995)</f>
        <v>6.99</v>
      </c>
    </row>
    <row r="1024">
      <c r="A1024" s="13" t="str">
        <f>IFERROR(__xludf.DUMMYFUNCTION("""COMPUTED_VALUE"""),"2000")</f>
        <v>2000</v>
      </c>
      <c r="B1024" s="13" t="str">
        <f>IFERROR(__xludf.DUMMYFUNCTION("""COMPUTED_VALUE"""),"MESA COUNTY VALLEY 51")</f>
        <v>MESA COUNTY VALLEY 51</v>
      </c>
      <c r="C1024" s="14" t="str">
        <f>IFERROR(__xludf.DUMMYFUNCTION("""COMPUTED_VALUE"""),"03570")</f>
        <v>03570</v>
      </c>
      <c r="D1024" s="13" t="str">
        <f>IFERROR(__xludf.DUMMYFUNCTION("""COMPUTED_VALUE"""),"GRAND JUNCTION HIGH SCHOOL")</f>
        <v>GRAND JUNCTION HIGH SCHOOL</v>
      </c>
      <c r="E1024" s="13" t="str">
        <f>IFERROR(__xludf.DUMMYFUNCTION("""COMPUTED_VALUE"""),"Group 4")</f>
        <v>Group 4</v>
      </c>
      <c r="F1024" s="13" t="str">
        <f>IFERROR(__xludf.DUMMYFUNCTION("""COMPUTED_VALUE"""),"2024 - 2025")</f>
        <v>2024 - 2025</v>
      </c>
      <c r="G1024" s="13" t="str">
        <f>IFERROR(__xludf.DUMMYFUNCTION("""COMPUTED_VALUE"""),"2023 - 2024")</f>
        <v>2023 - 2024</v>
      </c>
      <c r="H1024" s="13">
        <f>IFERROR(__xludf.DUMMYFUNCTION("""COMPUTED_VALUE"""),53.04)</f>
        <v>53.04</v>
      </c>
      <c r="I1024" s="15">
        <f>IFERROR(__xludf.DUMMYFUNCTION("""COMPUTED_VALUE"""),46.96)</f>
        <v>46.96</v>
      </c>
    </row>
    <row r="1025">
      <c r="A1025" s="13" t="str">
        <f>IFERROR(__xludf.DUMMYFUNCTION("""COMPUTED_VALUE"""),"2000")</f>
        <v>2000</v>
      </c>
      <c r="B1025" s="13" t="str">
        <f>IFERROR(__xludf.DUMMYFUNCTION("""COMPUTED_VALUE"""),"MESA COUNTY VALLEY 51")</f>
        <v>MESA COUNTY VALLEY 51</v>
      </c>
      <c r="C1025" s="14" t="str">
        <f>IFERROR(__xludf.DUMMYFUNCTION("""COMPUTED_VALUE"""),"07281")</f>
        <v>07281</v>
      </c>
      <c r="D1025" s="13" t="str">
        <f>IFERROR(__xludf.DUMMYFUNCTION("""COMPUTED_VALUE"""),"REDLANDS MIDDLE SCHOOL")</f>
        <v>REDLANDS MIDDLE SCHOOL</v>
      </c>
      <c r="E1025" s="13" t="str">
        <f>IFERROR(__xludf.DUMMYFUNCTION("""COMPUTED_VALUE"""),"Group 4")</f>
        <v>Group 4</v>
      </c>
      <c r="F1025" s="13" t="str">
        <f>IFERROR(__xludf.DUMMYFUNCTION("""COMPUTED_VALUE"""),"2024 - 2025")</f>
        <v>2024 - 2025</v>
      </c>
      <c r="G1025" s="13" t="str">
        <f>IFERROR(__xludf.DUMMYFUNCTION("""COMPUTED_VALUE"""),"2023 - 2024")</f>
        <v>2023 - 2024</v>
      </c>
      <c r="H1025" s="13">
        <f>IFERROR(__xludf.DUMMYFUNCTION("""COMPUTED_VALUE"""),53.04)</f>
        <v>53.04</v>
      </c>
      <c r="I1025" s="15">
        <f>IFERROR(__xludf.DUMMYFUNCTION("""COMPUTED_VALUE"""),46.96)</f>
        <v>46.96</v>
      </c>
    </row>
    <row r="1026">
      <c r="A1026" s="13" t="str">
        <f>IFERROR(__xludf.DUMMYFUNCTION("""COMPUTED_VALUE"""),"2000")</f>
        <v>2000</v>
      </c>
      <c r="B1026" s="13" t="str">
        <f>IFERROR(__xludf.DUMMYFUNCTION("""COMPUTED_VALUE"""),"MESA COUNTY VALLEY 51")</f>
        <v>MESA COUNTY VALLEY 51</v>
      </c>
      <c r="C1026" s="14" t="str">
        <f>IFERROR(__xludf.DUMMYFUNCTION("""COMPUTED_VALUE"""),"06554")</f>
        <v>06554</v>
      </c>
      <c r="D1026" s="13" t="str">
        <f>IFERROR(__xludf.DUMMYFUNCTION("""COMPUTED_VALUE"""),"ORCHARD AVENUE ELEMENTARY SCHOOL")</f>
        <v>ORCHARD AVENUE ELEMENTARY SCHOOL</v>
      </c>
      <c r="E1026" s="13" t="str">
        <f>IFERROR(__xludf.DUMMYFUNCTION("""COMPUTED_VALUE"""),"Group 5")</f>
        <v>Group 5</v>
      </c>
      <c r="F1026" s="13" t="str">
        <f>IFERROR(__xludf.DUMMYFUNCTION("""COMPUTED_VALUE"""),"2024 - 2025")</f>
        <v>2024 - 2025</v>
      </c>
      <c r="G1026" s="13" t="str">
        <f>IFERROR(__xludf.DUMMYFUNCTION("""COMPUTED_VALUE"""),"2023 - 2024")</f>
        <v>2023 - 2024</v>
      </c>
      <c r="H1026" s="13">
        <f>IFERROR(__xludf.DUMMYFUNCTION("""COMPUTED_VALUE"""),91.86)</f>
        <v>91.86</v>
      </c>
      <c r="I1026" s="15">
        <f>IFERROR(__xludf.DUMMYFUNCTION("""COMPUTED_VALUE"""),8.14)</f>
        <v>8.14</v>
      </c>
    </row>
    <row r="1027">
      <c r="A1027" s="13" t="str">
        <f>IFERROR(__xludf.DUMMYFUNCTION("""COMPUTED_VALUE"""),"2000")</f>
        <v>2000</v>
      </c>
      <c r="B1027" s="13" t="str">
        <f>IFERROR(__xludf.DUMMYFUNCTION("""COMPUTED_VALUE"""),"MESA COUNTY VALLEY 51")</f>
        <v>MESA COUNTY VALLEY 51</v>
      </c>
      <c r="C1027" s="14" t="str">
        <f>IFERROR(__xludf.DUMMYFUNCTION("""COMPUTED_VALUE"""),"07110")</f>
        <v>07110</v>
      </c>
      <c r="D1027" s="13" t="str">
        <f>IFERROR(__xludf.DUMMYFUNCTION("""COMPUTED_VALUE"""),"POMONA ELEMENTARY SCHOOL")</f>
        <v>POMONA ELEMENTARY SCHOOL</v>
      </c>
      <c r="E1027" s="13" t="str">
        <f>IFERROR(__xludf.DUMMYFUNCTION("""COMPUTED_VALUE"""),"Group 6")</f>
        <v>Group 6</v>
      </c>
      <c r="F1027" s="13" t="str">
        <f>IFERROR(__xludf.DUMMYFUNCTION("""COMPUTED_VALUE"""),"2024 - 2025")</f>
        <v>2024 - 2025</v>
      </c>
      <c r="G1027" s="13" t="str">
        <f>IFERROR(__xludf.DUMMYFUNCTION("""COMPUTED_VALUE"""),"2023 - 2024")</f>
        <v>2023 - 2024</v>
      </c>
      <c r="H1027" s="13">
        <f>IFERROR(__xludf.DUMMYFUNCTION("""COMPUTED_VALUE"""),76.13)</f>
        <v>76.13</v>
      </c>
      <c r="I1027" s="15">
        <f>IFERROR(__xludf.DUMMYFUNCTION("""COMPUTED_VALUE"""),23.870000000000005)</f>
        <v>23.87</v>
      </c>
    </row>
    <row r="1028">
      <c r="A1028" s="13" t="str">
        <f>IFERROR(__xludf.DUMMYFUNCTION("""COMPUTED_VALUE"""),"2000")</f>
        <v>2000</v>
      </c>
      <c r="B1028" s="13" t="str">
        <f>IFERROR(__xludf.DUMMYFUNCTION("""COMPUTED_VALUE"""),"MESA COUNTY VALLEY 51")</f>
        <v>MESA COUNTY VALLEY 51</v>
      </c>
      <c r="C1028" s="14" t="str">
        <f>IFERROR(__xludf.DUMMYFUNCTION("""COMPUTED_VALUE"""),"01046")</f>
        <v>01046</v>
      </c>
      <c r="D1028" s="13" t="str">
        <f>IFERROR(__xludf.DUMMYFUNCTION("""COMPUTED_VALUE"""),"BROADWAY ELEMENTARY SCHOOL")</f>
        <v>BROADWAY ELEMENTARY SCHOOL</v>
      </c>
      <c r="E1028" s="13" t="str">
        <f>IFERROR(__xludf.DUMMYFUNCTION("""COMPUTED_VALUE"""),"Group 7")</f>
        <v>Group 7</v>
      </c>
      <c r="F1028" s="13" t="str">
        <f>IFERROR(__xludf.DUMMYFUNCTION("""COMPUTED_VALUE"""),"2024 - 2025")</f>
        <v>2024 - 2025</v>
      </c>
      <c r="G1028" s="13" t="str">
        <f>IFERROR(__xludf.DUMMYFUNCTION("""COMPUTED_VALUE"""),"2023 - 2024")</f>
        <v>2023 - 2024</v>
      </c>
      <c r="H1028" s="13">
        <f>IFERROR(__xludf.DUMMYFUNCTION("""COMPUTED_VALUE"""),40.5)</f>
        <v>40.5</v>
      </c>
      <c r="I1028" s="15">
        <f>IFERROR(__xludf.DUMMYFUNCTION("""COMPUTED_VALUE"""),59.5)</f>
        <v>59.5</v>
      </c>
    </row>
    <row r="1029">
      <c r="A1029" s="13" t="str">
        <f>IFERROR(__xludf.DUMMYFUNCTION("""COMPUTED_VALUE"""),"2000")</f>
        <v>2000</v>
      </c>
      <c r="B1029" s="13" t="str">
        <f>IFERROR(__xludf.DUMMYFUNCTION("""COMPUTED_VALUE"""),"MESA COUNTY VALLEY 51")</f>
        <v>MESA COUNTY VALLEY 51</v>
      </c>
      <c r="C1029" s="14" t="str">
        <f>IFERROR(__xludf.DUMMYFUNCTION("""COMPUTED_VALUE"""),"09673")</f>
        <v>09673</v>
      </c>
      <c r="D1029" s="13" t="str">
        <f>IFERROR(__xludf.DUMMYFUNCTION("""COMPUTED_VALUE"""),"WINGATE ELEMENTARY SCHOOL")</f>
        <v>WINGATE ELEMENTARY SCHOOL</v>
      </c>
      <c r="E1029" s="13" t="str">
        <f>IFERROR(__xludf.DUMMYFUNCTION("""COMPUTED_VALUE"""),"Group 7")</f>
        <v>Group 7</v>
      </c>
      <c r="F1029" s="13" t="str">
        <f>IFERROR(__xludf.DUMMYFUNCTION("""COMPUTED_VALUE"""),"2024 - 2025")</f>
        <v>2024 - 2025</v>
      </c>
      <c r="G1029" s="13" t="str">
        <f>IFERROR(__xludf.DUMMYFUNCTION("""COMPUTED_VALUE"""),"2023 - 2024")</f>
        <v>2023 - 2024</v>
      </c>
      <c r="H1029" s="13">
        <f>IFERROR(__xludf.DUMMYFUNCTION("""COMPUTED_VALUE"""),40.5)</f>
        <v>40.5</v>
      </c>
      <c r="I1029" s="15">
        <f>IFERROR(__xludf.DUMMYFUNCTION("""COMPUTED_VALUE"""),59.5)</f>
        <v>59.5</v>
      </c>
    </row>
    <row r="1030">
      <c r="A1030" s="13" t="str">
        <f>IFERROR(__xludf.DUMMYFUNCTION("""COMPUTED_VALUE"""),"2000")</f>
        <v>2000</v>
      </c>
      <c r="B1030" s="13" t="str">
        <f>IFERROR(__xludf.DUMMYFUNCTION("""COMPUTED_VALUE"""),"MESA COUNTY VALLEY 51")</f>
        <v>MESA COUNTY VALLEY 51</v>
      </c>
      <c r="C1030" s="14" t="str">
        <f>IFERROR(__xludf.DUMMYFUNCTION("""COMPUTED_VALUE"""),"00262")</f>
        <v>00262</v>
      </c>
      <c r="D1030" s="13" t="str">
        <f>IFERROR(__xludf.DUMMYFUNCTION("""COMPUTED_VALUE"""),"APPLETON ELEMENTARY SCHOOL")</f>
        <v>APPLETON ELEMENTARY SCHOOL</v>
      </c>
      <c r="E1030" s="13" t="str">
        <f>IFERROR(__xludf.DUMMYFUNCTION("""COMPUTED_VALUE"""),"Group 8")</f>
        <v>Group 8</v>
      </c>
      <c r="F1030" s="13" t="str">
        <f>IFERROR(__xludf.DUMMYFUNCTION("""COMPUTED_VALUE"""),"2024 - 2025")</f>
        <v>2024 - 2025</v>
      </c>
      <c r="G1030" s="13" t="str">
        <f>IFERROR(__xludf.DUMMYFUNCTION("""COMPUTED_VALUE"""),"2023 - 2024")</f>
        <v>2023 - 2024</v>
      </c>
      <c r="H1030" s="13">
        <f>IFERROR(__xludf.DUMMYFUNCTION("""COMPUTED_VALUE"""),62.62)</f>
        <v>62.62</v>
      </c>
      <c r="I1030" s="15">
        <f>IFERROR(__xludf.DUMMYFUNCTION("""COMPUTED_VALUE"""),37.38)</f>
        <v>37.38</v>
      </c>
    </row>
    <row r="1031">
      <c r="A1031" s="13" t="str">
        <f>IFERROR(__xludf.DUMMYFUNCTION("""COMPUTED_VALUE"""),"2000")</f>
        <v>2000</v>
      </c>
      <c r="B1031" s="13" t="str">
        <f>IFERROR(__xludf.DUMMYFUNCTION("""COMPUTED_VALUE"""),"MESA COUNTY VALLEY 51")</f>
        <v>MESA COUNTY VALLEY 51</v>
      </c>
      <c r="C1031" s="14" t="str">
        <f>IFERROR(__xludf.DUMMYFUNCTION("""COMPUTED_VALUE"""),"02297")</f>
        <v>02297</v>
      </c>
      <c r="D1031" s="13" t="str">
        <f>IFERROR(__xludf.DUMMYFUNCTION("""COMPUTED_VALUE"""),"DUAL IMMERSION ACADEMY SCHOOL")</f>
        <v>DUAL IMMERSION ACADEMY SCHOOL</v>
      </c>
      <c r="E1031" s="13" t="str">
        <f>IFERROR(__xludf.DUMMYFUNCTION("""COMPUTED_VALUE"""),"Group 8")</f>
        <v>Group 8</v>
      </c>
      <c r="F1031" s="13" t="str">
        <f>IFERROR(__xludf.DUMMYFUNCTION("""COMPUTED_VALUE"""),"2024 - 2025")</f>
        <v>2024 - 2025</v>
      </c>
      <c r="G1031" s="13" t="str">
        <f>IFERROR(__xludf.DUMMYFUNCTION("""COMPUTED_VALUE"""),"2023 - 2024")</f>
        <v>2023 - 2024</v>
      </c>
      <c r="H1031" s="13">
        <f>IFERROR(__xludf.DUMMYFUNCTION("""COMPUTED_VALUE"""),62.62)</f>
        <v>62.62</v>
      </c>
      <c r="I1031" s="15">
        <f>IFERROR(__xludf.DUMMYFUNCTION("""COMPUTED_VALUE"""),37.38)</f>
        <v>37.38</v>
      </c>
    </row>
    <row r="1032">
      <c r="A1032" s="13" t="str">
        <f>IFERROR(__xludf.DUMMYFUNCTION("""COMPUTED_VALUE"""),"2000")</f>
        <v>2000</v>
      </c>
      <c r="B1032" s="13" t="str">
        <f>IFERROR(__xludf.DUMMYFUNCTION("""COMPUTED_VALUE"""),"MESA COUNTY VALLEY 51")</f>
        <v>MESA COUNTY VALLEY 51</v>
      </c>
      <c r="C1032" s="14" t="str">
        <f>IFERROR(__xludf.DUMMYFUNCTION("""COMPUTED_VALUE"""),"06666")</f>
        <v>06666</v>
      </c>
      <c r="D1032" s="13" t="str">
        <f>IFERROR(__xludf.DUMMYFUNCTION("""COMPUTED_VALUE"""),"PALISADE HIGH SCHOOL")</f>
        <v>PALISADE HIGH SCHOOL</v>
      </c>
      <c r="E1032" s="13" t="str">
        <f>IFERROR(__xludf.DUMMYFUNCTION("""COMPUTED_VALUE"""),"Group 8")</f>
        <v>Group 8</v>
      </c>
      <c r="F1032" s="13" t="str">
        <f>IFERROR(__xludf.DUMMYFUNCTION("""COMPUTED_VALUE"""),"2024 - 2025")</f>
        <v>2024 - 2025</v>
      </c>
      <c r="G1032" s="13" t="str">
        <f>IFERROR(__xludf.DUMMYFUNCTION("""COMPUTED_VALUE"""),"2023 - 2024")</f>
        <v>2023 - 2024</v>
      </c>
      <c r="H1032" s="13">
        <f>IFERROR(__xludf.DUMMYFUNCTION("""COMPUTED_VALUE"""),62.62)</f>
        <v>62.62</v>
      </c>
      <c r="I1032" s="15">
        <f>IFERROR(__xludf.DUMMYFUNCTION("""COMPUTED_VALUE"""),37.38)</f>
        <v>37.38</v>
      </c>
    </row>
    <row r="1033">
      <c r="A1033" s="13" t="str">
        <f>IFERROR(__xludf.DUMMYFUNCTION("""COMPUTED_VALUE"""),"2000")</f>
        <v>2000</v>
      </c>
      <c r="B1033" s="13" t="str">
        <f>IFERROR(__xludf.DUMMYFUNCTION("""COMPUTED_VALUE"""),"MESA COUNTY VALLEY 51")</f>
        <v>MESA COUNTY VALLEY 51</v>
      </c>
      <c r="C1033" s="14" t="str">
        <f>IFERROR(__xludf.DUMMYFUNCTION("""COMPUTED_VALUE"""),"00900")</f>
        <v>00900</v>
      </c>
      <c r="D1033" s="13" t="str">
        <f>IFERROR(__xludf.DUMMYFUNCTION("""COMPUTED_VALUE"""),"BOOKCLIFF MIDDLE SCHOOL")</f>
        <v>BOOKCLIFF MIDDLE SCHOOL</v>
      </c>
      <c r="E1033" s="13" t="str">
        <f>IFERROR(__xludf.DUMMYFUNCTION("""COMPUTED_VALUE"""),"Group 9")</f>
        <v>Group 9</v>
      </c>
      <c r="F1033" s="13" t="str">
        <f>IFERROR(__xludf.DUMMYFUNCTION("""COMPUTED_VALUE"""),"2024 - 2025")</f>
        <v>2024 - 2025</v>
      </c>
      <c r="G1033" s="13" t="str">
        <f>IFERROR(__xludf.DUMMYFUNCTION("""COMPUTED_VALUE"""),"2023 - 2024")</f>
        <v>2023 - 2024</v>
      </c>
      <c r="H1033" s="13">
        <f>IFERROR(__xludf.DUMMYFUNCTION("""COMPUTED_VALUE"""),100.0)</f>
        <v>100</v>
      </c>
      <c r="I1033" s="15">
        <f>IFERROR(__xludf.DUMMYFUNCTION("""COMPUTED_VALUE"""),0.0)</f>
        <v>0</v>
      </c>
    </row>
    <row r="1034">
      <c r="A1034" s="13" t="str">
        <f>IFERROR(__xludf.DUMMYFUNCTION("""COMPUTED_VALUE"""),"2000")</f>
        <v>2000</v>
      </c>
      <c r="B1034" s="13" t="str">
        <f>IFERROR(__xludf.DUMMYFUNCTION("""COMPUTED_VALUE"""),"MESA COUNTY VALLEY 51")</f>
        <v>MESA COUNTY VALLEY 51</v>
      </c>
      <c r="C1034" s="14" t="str">
        <f>IFERROR(__xludf.DUMMYFUNCTION("""COMPUTED_VALUE"""),"01619")</f>
        <v>01619</v>
      </c>
      <c r="D1034" s="13" t="str">
        <f>IFERROR(__xludf.DUMMYFUNCTION("""COMPUTED_VALUE"""),"CHIPETA ELEMENTARY SCHOOL")</f>
        <v>CHIPETA ELEMENTARY SCHOOL</v>
      </c>
      <c r="E1034" s="13" t="str">
        <f>IFERROR(__xludf.DUMMYFUNCTION("""COMPUTED_VALUE"""),"Group 9")</f>
        <v>Group 9</v>
      </c>
      <c r="F1034" s="13" t="str">
        <f>IFERROR(__xludf.DUMMYFUNCTION("""COMPUTED_VALUE"""),"2024 - 2025")</f>
        <v>2024 - 2025</v>
      </c>
      <c r="G1034" s="13" t="str">
        <f>IFERROR(__xludf.DUMMYFUNCTION("""COMPUTED_VALUE"""),"2023 - 2024")</f>
        <v>2023 - 2024</v>
      </c>
      <c r="H1034" s="13">
        <f>IFERROR(__xludf.DUMMYFUNCTION("""COMPUTED_VALUE"""),100.0)</f>
        <v>100</v>
      </c>
      <c r="I1034" s="15">
        <f>IFERROR(__xludf.DUMMYFUNCTION("""COMPUTED_VALUE"""),0.0)</f>
        <v>0</v>
      </c>
    </row>
    <row r="1035">
      <c r="A1035" s="13" t="str">
        <f>IFERROR(__xludf.DUMMYFUNCTION("""COMPUTED_VALUE"""),"2000")</f>
        <v>2000</v>
      </c>
      <c r="B1035" s="13" t="str">
        <f>IFERROR(__xludf.DUMMYFUNCTION("""COMPUTED_VALUE"""),"MESA COUNTY VALLEY 51")</f>
        <v>MESA COUNTY VALLEY 51</v>
      </c>
      <c r="C1035" s="14" t="str">
        <f>IFERROR(__xludf.DUMMYFUNCTION("""COMPUTED_VALUE"""),"02224")</f>
        <v>02224</v>
      </c>
      <c r="D1035" s="13" t="str">
        <f>IFERROR(__xludf.DUMMYFUNCTION("""COMPUTED_VALUE"""),"DOS RIOS ELEMENTARY SCHOOL")</f>
        <v>DOS RIOS ELEMENTARY SCHOOL</v>
      </c>
      <c r="E1035" s="13" t="str">
        <f>IFERROR(__xludf.DUMMYFUNCTION("""COMPUTED_VALUE"""),"Group 9")</f>
        <v>Group 9</v>
      </c>
      <c r="F1035" s="13" t="str">
        <f>IFERROR(__xludf.DUMMYFUNCTION("""COMPUTED_VALUE"""),"2024 - 2025")</f>
        <v>2024 - 2025</v>
      </c>
      <c r="G1035" s="13" t="str">
        <f>IFERROR(__xludf.DUMMYFUNCTION("""COMPUTED_VALUE"""),"2023 - 2024")</f>
        <v>2023 - 2024</v>
      </c>
      <c r="H1035" s="13">
        <f>IFERROR(__xludf.DUMMYFUNCTION("""COMPUTED_VALUE"""),100.0)</f>
        <v>100</v>
      </c>
      <c r="I1035" s="15">
        <f>IFERROR(__xludf.DUMMYFUNCTION("""COMPUTED_VALUE"""),0.0)</f>
        <v>0</v>
      </c>
    </row>
    <row r="1036">
      <c r="A1036" s="13" t="str">
        <f>IFERROR(__xludf.DUMMYFUNCTION("""COMPUTED_VALUE"""),"2000")</f>
        <v>2000</v>
      </c>
      <c r="B1036" s="13" t="str">
        <f>IFERROR(__xludf.DUMMYFUNCTION("""COMPUTED_VALUE"""),"MESA COUNTY VALLEY 51")</f>
        <v>MESA COUNTY VALLEY 51</v>
      </c>
      <c r="C1036" s="14" t="str">
        <f>IFERROR(__xludf.DUMMYFUNCTION("""COMPUTED_VALUE"""),"03262")</f>
        <v>03262</v>
      </c>
      <c r="D1036" s="13" t="str">
        <f>IFERROR(__xludf.DUMMYFUNCTION("""COMPUTED_VALUE"""),"FRUITVALE ELEMENTARY SCHOOL")</f>
        <v>FRUITVALE ELEMENTARY SCHOOL</v>
      </c>
      <c r="E1036" s="13" t="str">
        <f>IFERROR(__xludf.DUMMYFUNCTION("""COMPUTED_VALUE"""),"Group 9")</f>
        <v>Group 9</v>
      </c>
      <c r="F1036" s="13" t="str">
        <f>IFERROR(__xludf.DUMMYFUNCTION("""COMPUTED_VALUE"""),"2024 - 2025")</f>
        <v>2024 - 2025</v>
      </c>
      <c r="G1036" s="13" t="str">
        <f>IFERROR(__xludf.DUMMYFUNCTION("""COMPUTED_VALUE"""),"2023 - 2024")</f>
        <v>2023 - 2024</v>
      </c>
      <c r="H1036" s="13">
        <f>IFERROR(__xludf.DUMMYFUNCTION("""COMPUTED_VALUE"""),100.0)</f>
        <v>100</v>
      </c>
      <c r="I1036" s="15">
        <f>IFERROR(__xludf.DUMMYFUNCTION("""COMPUTED_VALUE"""),0.0)</f>
        <v>0</v>
      </c>
    </row>
    <row r="1037">
      <c r="A1037" s="13" t="str">
        <f>IFERROR(__xludf.DUMMYFUNCTION("""COMPUTED_VALUE"""),"2000")</f>
        <v>2000</v>
      </c>
      <c r="B1037" s="13" t="str">
        <f>IFERROR(__xludf.DUMMYFUNCTION("""COMPUTED_VALUE"""),"MESA COUNTY VALLEY 51")</f>
        <v>MESA COUNTY VALLEY 51</v>
      </c>
      <c r="C1037" s="14" t="str">
        <f>IFERROR(__xludf.DUMMYFUNCTION("""COMPUTED_VALUE"""),"06562")</f>
        <v>06562</v>
      </c>
      <c r="D1037" s="13" t="str">
        <f>IFERROR(__xludf.DUMMYFUNCTION("""COMPUTED_VALUE"""),"ORCHARD MESA MIDDLE SCHOOL")</f>
        <v>ORCHARD MESA MIDDLE SCHOOL</v>
      </c>
      <c r="E1037" s="13" t="str">
        <f>IFERROR(__xludf.DUMMYFUNCTION("""COMPUTED_VALUE"""),"Group 9")</f>
        <v>Group 9</v>
      </c>
      <c r="F1037" s="13" t="str">
        <f>IFERROR(__xludf.DUMMYFUNCTION("""COMPUTED_VALUE"""),"2024 - 2025")</f>
        <v>2024 - 2025</v>
      </c>
      <c r="G1037" s="13" t="str">
        <f>IFERROR(__xludf.DUMMYFUNCTION("""COMPUTED_VALUE"""),"2023 - 2024")</f>
        <v>2023 - 2024</v>
      </c>
      <c r="H1037" s="13">
        <f>IFERROR(__xludf.DUMMYFUNCTION("""COMPUTED_VALUE"""),100.0)</f>
        <v>100</v>
      </c>
      <c r="I1037" s="15">
        <f>IFERROR(__xludf.DUMMYFUNCTION("""COMPUTED_VALUE"""),0.0)</f>
        <v>0</v>
      </c>
    </row>
    <row r="1038">
      <c r="A1038" s="13" t="str">
        <f>IFERROR(__xludf.DUMMYFUNCTION("""COMPUTED_VALUE"""),"2020")</f>
        <v>2020</v>
      </c>
      <c r="B1038" s="13" t="str">
        <f>IFERROR(__xludf.DUMMYFUNCTION("""COMPUTED_VALUE"""),"MOFFAT COUNTY RE:NO 1")</f>
        <v>MOFFAT COUNTY RE:NO 1</v>
      </c>
      <c r="C1038" s="14" t="str">
        <f>IFERROR(__xludf.DUMMYFUNCTION("""COMPUTED_VALUE"""),"01936")</f>
        <v>01936</v>
      </c>
      <c r="D1038" s="13" t="str">
        <f>IFERROR(__xludf.DUMMYFUNCTION("""COMPUTED_VALUE"""),"SANDROCK ELEMENTARY")</f>
        <v>SANDROCK ELEMENTARY</v>
      </c>
      <c r="E1038" s="13" t="str">
        <f>IFERROR(__xludf.DUMMYFUNCTION("""COMPUTED_VALUE"""),"Group 1")</f>
        <v>Group 1</v>
      </c>
      <c r="F1038" s="13" t="str">
        <f>IFERROR(__xludf.DUMMYFUNCTION("""COMPUTED_VALUE"""),"2024 - 2025")</f>
        <v>2024 - 2025</v>
      </c>
      <c r="G1038" s="13" t="str">
        <f>IFERROR(__xludf.DUMMYFUNCTION("""COMPUTED_VALUE"""),"2023 - 2024")</f>
        <v>2023 - 2024</v>
      </c>
      <c r="H1038" s="13">
        <f>IFERROR(__xludf.DUMMYFUNCTION("""COMPUTED_VALUE"""),85.92)</f>
        <v>85.92</v>
      </c>
      <c r="I1038" s="15">
        <f>IFERROR(__xludf.DUMMYFUNCTION("""COMPUTED_VALUE"""),14.079999999999998)</f>
        <v>14.08</v>
      </c>
    </row>
    <row r="1039">
      <c r="A1039" s="13" t="str">
        <f>IFERROR(__xludf.DUMMYFUNCTION("""COMPUTED_VALUE"""),"2020")</f>
        <v>2020</v>
      </c>
      <c r="B1039" s="13" t="str">
        <f>IFERROR(__xludf.DUMMYFUNCTION("""COMPUTED_VALUE"""),"MOFFAT COUNTY RE:NO 1")</f>
        <v>MOFFAT COUNTY RE:NO 1</v>
      </c>
      <c r="C1039" s="14" t="str">
        <f>IFERROR(__xludf.DUMMYFUNCTION("""COMPUTED_VALUE"""),"02373")</f>
        <v>02373</v>
      </c>
      <c r="D1039" s="13" t="str">
        <f>IFERROR(__xludf.DUMMYFUNCTION("""COMPUTED_VALUE"""),"EARLY CHILDHOOD CENTER")</f>
        <v>EARLY CHILDHOOD CENTER</v>
      </c>
      <c r="E1039" s="13" t="str">
        <f>IFERROR(__xludf.DUMMYFUNCTION("""COMPUTED_VALUE"""),"Group 1")</f>
        <v>Group 1</v>
      </c>
      <c r="F1039" s="13" t="str">
        <f>IFERROR(__xludf.DUMMYFUNCTION("""COMPUTED_VALUE"""),"2024 - 2025")</f>
        <v>2024 - 2025</v>
      </c>
      <c r="G1039" s="13" t="str">
        <f>IFERROR(__xludf.DUMMYFUNCTION("""COMPUTED_VALUE"""),"2023 - 2024")</f>
        <v>2023 - 2024</v>
      </c>
      <c r="H1039" s="13">
        <f>IFERROR(__xludf.DUMMYFUNCTION("""COMPUTED_VALUE"""),85.92)</f>
        <v>85.92</v>
      </c>
      <c r="I1039" s="15">
        <f>IFERROR(__xludf.DUMMYFUNCTION("""COMPUTED_VALUE"""),14.079999999999998)</f>
        <v>14.08</v>
      </c>
    </row>
    <row r="1040">
      <c r="A1040" s="13" t="str">
        <f>IFERROR(__xludf.DUMMYFUNCTION("""COMPUTED_VALUE"""),"2020")</f>
        <v>2020</v>
      </c>
      <c r="B1040" s="13" t="str">
        <f>IFERROR(__xludf.DUMMYFUNCTION("""COMPUTED_VALUE"""),"MOFFAT COUNTY RE:NO 1")</f>
        <v>MOFFAT COUNTY RE:NO 1</v>
      </c>
      <c r="C1040" s="14" t="str">
        <f>IFERROR(__xludf.DUMMYFUNCTION("""COMPUTED_VALUE"""),"01938")</f>
        <v>01938</v>
      </c>
      <c r="D1040" s="13" t="str">
        <f>IFERROR(__xludf.DUMMYFUNCTION("""COMPUTED_VALUE"""),"CRAIG MIDDLE SCHOOL")</f>
        <v>CRAIG MIDDLE SCHOOL</v>
      </c>
      <c r="E1040" s="13" t="str">
        <f>IFERROR(__xludf.DUMMYFUNCTION("""COMPUTED_VALUE"""),"Group 2")</f>
        <v>Group 2</v>
      </c>
      <c r="F1040" s="13" t="str">
        <f>IFERROR(__xludf.DUMMYFUNCTION("""COMPUTED_VALUE"""),"2024 - 2025")</f>
        <v>2024 - 2025</v>
      </c>
      <c r="G1040" s="13" t="str">
        <f>IFERROR(__xludf.DUMMYFUNCTION("""COMPUTED_VALUE"""),"2023 - 2024")</f>
        <v>2023 - 2024</v>
      </c>
      <c r="H1040" s="13">
        <f>IFERROR(__xludf.DUMMYFUNCTION("""COMPUTED_VALUE"""),69.74)</f>
        <v>69.74</v>
      </c>
      <c r="I1040" s="15">
        <f>IFERROR(__xludf.DUMMYFUNCTION("""COMPUTED_VALUE"""),30.260000000000005)</f>
        <v>30.26</v>
      </c>
    </row>
    <row r="1041">
      <c r="A1041" s="13" t="str">
        <f>IFERROR(__xludf.DUMMYFUNCTION("""COMPUTED_VALUE"""),"2020")</f>
        <v>2020</v>
      </c>
      <c r="B1041" s="13" t="str">
        <f>IFERROR(__xludf.DUMMYFUNCTION("""COMPUTED_VALUE"""),"MOFFAT COUNTY RE:NO 1")</f>
        <v>MOFFAT COUNTY RE:NO 1</v>
      </c>
      <c r="C1041" s="14" t="str">
        <f>IFERROR(__xludf.DUMMYFUNCTION("""COMPUTED_VALUE"""),"05656")</f>
        <v>05656</v>
      </c>
      <c r="D1041" s="13" t="str">
        <f>IFERROR(__xludf.DUMMYFUNCTION("""COMPUTED_VALUE"""),"MAYBELL SCHOOL")</f>
        <v>MAYBELL SCHOOL</v>
      </c>
      <c r="E1041" s="13" t="str">
        <f>IFERROR(__xludf.DUMMYFUNCTION("""COMPUTED_VALUE"""),"Group 2")</f>
        <v>Group 2</v>
      </c>
      <c r="F1041" s="13" t="str">
        <f>IFERROR(__xludf.DUMMYFUNCTION("""COMPUTED_VALUE"""),"2024 - 2025")</f>
        <v>2024 - 2025</v>
      </c>
      <c r="G1041" s="13" t="str">
        <f>IFERROR(__xludf.DUMMYFUNCTION("""COMPUTED_VALUE"""),"2023 - 2024")</f>
        <v>2023 - 2024</v>
      </c>
      <c r="H1041" s="13">
        <f>IFERROR(__xludf.DUMMYFUNCTION("""COMPUTED_VALUE"""),69.74)</f>
        <v>69.74</v>
      </c>
      <c r="I1041" s="15">
        <f>IFERROR(__xludf.DUMMYFUNCTION("""COMPUTED_VALUE"""),30.260000000000005)</f>
        <v>30.26</v>
      </c>
    </row>
    <row r="1042">
      <c r="A1042" s="13" t="str">
        <f>IFERROR(__xludf.DUMMYFUNCTION("""COMPUTED_VALUE"""),"2020")</f>
        <v>2020</v>
      </c>
      <c r="B1042" s="13" t="str">
        <f>IFERROR(__xludf.DUMMYFUNCTION("""COMPUTED_VALUE"""),"MOFFAT COUNTY RE:NO 1")</f>
        <v>MOFFAT COUNTY RE:NO 1</v>
      </c>
      <c r="C1042" s="14" t="str">
        <f>IFERROR(__xludf.DUMMYFUNCTION("""COMPUTED_VALUE"""),"07338")</f>
        <v>07338</v>
      </c>
      <c r="D1042" s="13" t="str">
        <f>IFERROR(__xludf.DUMMYFUNCTION("""COMPUTED_VALUE"""),"RIDGEVIEW ELEMENTARY SCHOOL")</f>
        <v>RIDGEVIEW ELEMENTARY SCHOOL</v>
      </c>
      <c r="E1042" s="13" t="str">
        <f>IFERROR(__xludf.DUMMYFUNCTION("""COMPUTED_VALUE"""),"Group 2")</f>
        <v>Group 2</v>
      </c>
      <c r="F1042" s="13" t="str">
        <f>IFERROR(__xludf.DUMMYFUNCTION("""COMPUTED_VALUE"""),"2024 - 2025")</f>
        <v>2024 - 2025</v>
      </c>
      <c r="G1042" s="13" t="str">
        <f>IFERROR(__xludf.DUMMYFUNCTION("""COMPUTED_VALUE"""),"2023 - 2024")</f>
        <v>2023 - 2024</v>
      </c>
      <c r="H1042" s="13">
        <f>IFERROR(__xludf.DUMMYFUNCTION("""COMPUTED_VALUE"""),69.74)</f>
        <v>69.74</v>
      </c>
      <c r="I1042" s="15">
        <f>IFERROR(__xludf.DUMMYFUNCTION("""COMPUTED_VALUE"""),30.260000000000005)</f>
        <v>30.26</v>
      </c>
    </row>
    <row r="1043">
      <c r="A1043" s="13" t="str">
        <f>IFERROR(__xludf.DUMMYFUNCTION("""COMPUTED_VALUE"""),"2020")</f>
        <v>2020</v>
      </c>
      <c r="B1043" s="13" t="str">
        <f>IFERROR(__xludf.DUMMYFUNCTION("""COMPUTED_VALUE"""),"MOFFAT COUNTY RE:NO 1")</f>
        <v>MOFFAT COUNTY RE:NO 1</v>
      </c>
      <c r="C1043" s="14" t="str">
        <f>IFERROR(__xludf.DUMMYFUNCTION("""COMPUTED_VALUE"""),"08398")</f>
        <v>08398</v>
      </c>
      <c r="D1043" s="13" t="str">
        <f>IFERROR(__xludf.DUMMYFUNCTION("""COMPUTED_VALUE"""),"SUNSET ELEMENTARY SCHOOL")</f>
        <v>SUNSET ELEMENTARY SCHOOL</v>
      </c>
      <c r="E1043" s="13" t="str">
        <f>IFERROR(__xludf.DUMMYFUNCTION("""COMPUTED_VALUE"""),"Group 3")</f>
        <v>Group 3</v>
      </c>
      <c r="F1043" s="13" t="str">
        <f>IFERROR(__xludf.DUMMYFUNCTION("""COMPUTED_VALUE"""),"2024 - 2025")</f>
        <v>2024 - 2025</v>
      </c>
      <c r="G1043" s="13" t="str">
        <f>IFERROR(__xludf.DUMMYFUNCTION("""COMPUTED_VALUE"""),"2023 - 2024")</f>
        <v>2023 - 2024</v>
      </c>
      <c r="H1043" s="13">
        <f>IFERROR(__xludf.DUMMYFUNCTION("""COMPUTED_VALUE"""),68.5)</f>
        <v>68.5</v>
      </c>
      <c r="I1043" s="15">
        <f>IFERROR(__xludf.DUMMYFUNCTION("""COMPUTED_VALUE"""),31.5)</f>
        <v>31.5</v>
      </c>
    </row>
    <row r="1044">
      <c r="A1044" s="13" t="str">
        <f>IFERROR(__xludf.DUMMYFUNCTION("""COMPUTED_VALUE"""),"2035")</f>
        <v>2035</v>
      </c>
      <c r="B1044" s="13" t="str">
        <f>IFERROR(__xludf.DUMMYFUNCTION("""COMPUTED_VALUE"""),"MONTEZUMA-CORTEZ RE-1")</f>
        <v>MONTEZUMA-CORTEZ RE-1</v>
      </c>
      <c r="C1044" s="14" t="str">
        <f>IFERROR(__xludf.DUMMYFUNCTION("""COMPUTED_VALUE"""),"06026")</f>
        <v>06026</v>
      </c>
      <c r="D1044" s="13" t="str">
        <f>IFERROR(__xludf.DUMMYFUNCTION("""COMPUTED_VALUE"""),"MONTEZUMA-CORTEZ HIGH SCHOOL")</f>
        <v>MONTEZUMA-CORTEZ HIGH SCHOOL</v>
      </c>
      <c r="E1044" s="13" t="str">
        <f>IFERROR(__xludf.DUMMYFUNCTION("""COMPUTED_VALUE"""),"Group 1")</f>
        <v>Group 1</v>
      </c>
      <c r="F1044" s="13" t="str">
        <f>IFERROR(__xludf.DUMMYFUNCTION("""COMPUTED_VALUE"""),"2024 - 2025")</f>
        <v>2024 - 2025</v>
      </c>
      <c r="G1044" s="13" t="str">
        <f>IFERROR(__xludf.DUMMYFUNCTION("""COMPUTED_VALUE"""),"2023 - 2024")</f>
        <v>2023 - 2024</v>
      </c>
      <c r="H1044" s="13">
        <f>IFERROR(__xludf.DUMMYFUNCTION("""COMPUTED_VALUE"""),83.92)</f>
        <v>83.92</v>
      </c>
      <c r="I1044" s="15">
        <f>IFERROR(__xludf.DUMMYFUNCTION("""COMPUTED_VALUE"""),16.08)</f>
        <v>16.08</v>
      </c>
    </row>
    <row r="1045">
      <c r="A1045" s="13" t="str">
        <f>IFERROR(__xludf.DUMMYFUNCTION("""COMPUTED_VALUE"""),"2035")</f>
        <v>2035</v>
      </c>
      <c r="B1045" s="13" t="str">
        <f>IFERROR(__xludf.DUMMYFUNCTION("""COMPUTED_VALUE"""),"MONTEZUMA-CORTEZ RE-1")</f>
        <v>MONTEZUMA-CORTEZ RE-1</v>
      </c>
      <c r="C1045" s="14" t="str">
        <f>IFERROR(__xludf.DUMMYFUNCTION("""COMPUTED_VALUE"""),"01888")</f>
        <v>01888</v>
      </c>
      <c r="D1045" s="13" t="str">
        <f>IFERROR(__xludf.DUMMYFUNCTION("""COMPUTED_VALUE"""),"CORTEZ MIDDLE SCHOOL")</f>
        <v>CORTEZ MIDDLE SCHOOL</v>
      </c>
      <c r="E1045" s="13" t="str">
        <f>IFERROR(__xludf.DUMMYFUNCTION("""COMPUTED_VALUE"""),"Group 2")</f>
        <v>Group 2</v>
      </c>
      <c r="F1045" s="13" t="str">
        <f>IFERROR(__xludf.DUMMYFUNCTION("""COMPUTED_VALUE"""),"2024 - 2025")</f>
        <v>2024 - 2025</v>
      </c>
      <c r="G1045" s="13" t="str">
        <f>IFERROR(__xludf.DUMMYFUNCTION("""COMPUTED_VALUE"""),"2023 - 2024")</f>
        <v>2023 - 2024</v>
      </c>
      <c r="H1045" s="13">
        <f>IFERROR(__xludf.DUMMYFUNCTION("""COMPUTED_VALUE"""),100.0)</f>
        <v>100</v>
      </c>
      <c r="I1045" s="15">
        <f>IFERROR(__xludf.DUMMYFUNCTION("""COMPUTED_VALUE"""),0.0)</f>
        <v>0</v>
      </c>
    </row>
    <row r="1046">
      <c r="A1046" s="13" t="str">
        <f>IFERROR(__xludf.DUMMYFUNCTION("""COMPUTED_VALUE"""),"2035")</f>
        <v>2035</v>
      </c>
      <c r="B1046" s="13" t="str">
        <f>IFERROR(__xludf.DUMMYFUNCTION("""COMPUTED_VALUE"""),"MONTEZUMA-CORTEZ RE-1")</f>
        <v>MONTEZUMA-CORTEZ RE-1</v>
      </c>
      <c r="C1046" s="14" t="str">
        <f>IFERROR(__xludf.DUMMYFUNCTION("""COMPUTED_VALUE"""),"05090")</f>
        <v>05090</v>
      </c>
      <c r="D1046" s="13" t="str">
        <f>IFERROR(__xludf.DUMMYFUNCTION("""COMPUTED_VALUE"""),"LEWIS-ARRIOLA ELEMENTARY SCHOOL")</f>
        <v>LEWIS-ARRIOLA ELEMENTARY SCHOOL</v>
      </c>
      <c r="E1046" s="13" t="str">
        <f>IFERROR(__xludf.DUMMYFUNCTION("""COMPUTED_VALUE"""),"Group 3")</f>
        <v>Group 3</v>
      </c>
      <c r="F1046" s="13" t="str">
        <f>IFERROR(__xludf.DUMMYFUNCTION("""COMPUTED_VALUE"""),"2024 - 2025")</f>
        <v>2024 - 2025</v>
      </c>
      <c r="G1046" s="13" t="str">
        <f>IFERROR(__xludf.DUMMYFUNCTION("""COMPUTED_VALUE"""),"2023 - 2024")</f>
        <v>2023 - 2024</v>
      </c>
      <c r="H1046" s="13">
        <f>IFERROR(__xludf.DUMMYFUNCTION("""COMPUTED_VALUE"""),95.71)</f>
        <v>95.71</v>
      </c>
      <c r="I1046" s="15">
        <f>IFERROR(__xludf.DUMMYFUNCTION("""COMPUTED_VALUE"""),4.290000000000006)</f>
        <v>4.29</v>
      </c>
    </row>
    <row r="1047">
      <c r="A1047" s="13" t="str">
        <f>IFERROR(__xludf.DUMMYFUNCTION("""COMPUTED_VALUE"""),"2035")</f>
        <v>2035</v>
      </c>
      <c r="B1047" s="13" t="str">
        <f>IFERROR(__xludf.DUMMYFUNCTION("""COMPUTED_VALUE"""),"MONTEZUMA-CORTEZ RE-1")</f>
        <v>MONTEZUMA-CORTEZ RE-1</v>
      </c>
      <c r="C1047" s="14" t="str">
        <f>IFERROR(__xludf.DUMMYFUNCTION("""COMPUTED_VALUE"""),"07430")</f>
        <v>07430</v>
      </c>
      <c r="D1047" s="13" t="str">
        <f>IFERROR(__xludf.DUMMYFUNCTION("""COMPUTED_VALUE"""),"PRESCHOOL/JUMPSTART")</f>
        <v>PRESCHOOL/JUMPSTART</v>
      </c>
      <c r="E1047" s="13" t="str">
        <f>IFERROR(__xludf.DUMMYFUNCTION("""COMPUTED_VALUE"""),"Group 3")</f>
        <v>Group 3</v>
      </c>
      <c r="F1047" s="13" t="str">
        <f>IFERROR(__xludf.DUMMYFUNCTION("""COMPUTED_VALUE"""),"2024 - 2025")</f>
        <v>2024 - 2025</v>
      </c>
      <c r="G1047" s="13" t="str">
        <f>IFERROR(__xludf.DUMMYFUNCTION("""COMPUTED_VALUE"""),"2023 - 2024")</f>
        <v>2023 - 2024</v>
      </c>
      <c r="H1047" s="13">
        <f>IFERROR(__xludf.DUMMYFUNCTION("""COMPUTED_VALUE"""),95.71)</f>
        <v>95.71</v>
      </c>
      <c r="I1047" s="15">
        <f>IFERROR(__xludf.DUMMYFUNCTION("""COMPUTED_VALUE"""),4.290000000000006)</f>
        <v>4.29</v>
      </c>
    </row>
    <row r="1048">
      <c r="A1048" s="13" t="str">
        <f>IFERROR(__xludf.DUMMYFUNCTION("""COMPUTED_VALUE"""),"2035")</f>
        <v>2035</v>
      </c>
      <c r="B1048" s="13" t="str">
        <f>IFERROR(__xludf.DUMMYFUNCTION("""COMPUTED_VALUE"""),"MONTEZUMA-CORTEZ RE-1")</f>
        <v>MONTEZUMA-CORTEZ RE-1</v>
      </c>
      <c r="C1048" s="14" t="str">
        <f>IFERROR(__xludf.DUMMYFUNCTION("""COMPUTED_VALUE"""),"08133")</f>
        <v>08133</v>
      </c>
      <c r="D1048" s="13" t="str">
        <f>IFERROR(__xludf.DUMMYFUNCTION("""COMPUTED_VALUE"""),"SOUTHWEST OPEN CHARTER SCHOOL")</f>
        <v>SOUTHWEST OPEN CHARTER SCHOOL</v>
      </c>
      <c r="E1048" s="13" t="str">
        <f>IFERROR(__xludf.DUMMYFUNCTION("""COMPUTED_VALUE"""),"Group 3")</f>
        <v>Group 3</v>
      </c>
      <c r="F1048" s="13" t="str">
        <f>IFERROR(__xludf.DUMMYFUNCTION("""COMPUTED_VALUE"""),"2024 - 2025")</f>
        <v>2024 - 2025</v>
      </c>
      <c r="G1048" s="13" t="str">
        <f>IFERROR(__xludf.DUMMYFUNCTION("""COMPUTED_VALUE"""),"2023 - 2024")</f>
        <v>2023 - 2024</v>
      </c>
      <c r="H1048" s="13">
        <f>IFERROR(__xludf.DUMMYFUNCTION("""COMPUTED_VALUE"""),95.71)</f>
        <v>95.71</v>
      </c>
      <c r="I1048" s="15">
        <f>IFERROR(__xludf.DUMMYFUNCTION("""COMPUTED_VALUE"""),4.290000000000006)</f>
        <v>4.29</v>
      </c>
    </row>
    <row r="1049">
      <c r="A1049" s="13" t="str">
        <f>IFERROR(__xludf.DUMMYFUNCTION("""COMPUTED_VALUE"""),"2035")</f>
        <v>2035</v>
      </c>
      <c r="B1049" s="13" t="str">
        <f>IFERROR(__xludf.DUMMYFUNCTION("""COMPUTED_VALUE"""),"MONTEZUMA-CORTEZ RE-1")</f>
        <v>MONTEZUMA-CORTEZ RE-1</v>
      </c>
      <c r="C1049" s="14" t="str">
        <f>IFERROR(__xludf.DUMMYFUNCTION("""COMPUTED_VALUE"""),"00609")</f>
        <v>00609</v>
      </c>
      <c r="D1049" s="13" t="str">
        <f>IFERROR(__xludf.DUMMYFUNCTION("""COMPUTED_VALUE"""),"BATTLE ROCK CHARTER SCHOOL")</f>
        <v>BATTLE ROCK CHARTER SCHOOL</v>
      </c>
      <c r="E1049" s="13" t="str">
        <f>IFERROR(__xludf.DUMMYFUNCTION("""COMPUTED_VALUE"""),"Group 4")</f>
        <v>Group 4</v>
      </c>
      <c r="F1049" s="13" t="str">
        <f>IFERROR(__xludf.DUMMYFUNCTION("""COMPUTED_VALUE"""),"2024 - 2025")</f>
        <v>2024 - 2025</v>
      </c>
      <c r="G1049" s="13" t="str">
        <f>IFERROR(__xludf.DUMMYFUNCTION("""COMPUTED_VALUE"""),"2023 - 2024")</f>
        <v>2023 - 2024</v>
      </c>
      <c r="H1049" s="13">
        <f>IFERROR(__xludf.DUMMYFUNCTION("""COMPUTED_VALUE"""),99.39)</f>
        <v>99.39</v>
      </c>
      <c r="I1049" s="15">
        <f>IFERROR(__xludf.DUMMYFUNCTION("""COMPUTED_VALUE"""),0.6099999999999994)</f>
        <v>0.61</v>
      </c>
    </row>
    <row r="1050">
      <c r="A1050" s="13" t="str">
        <f>IFERROR(__xludf.DUMMYFUNCTION("""COMPUTED_VALUE"""),"2035")</f>
        <v>2035</v>
      </c>
      <c r="B1050" s="13" t="str">
        <f>IFERROR(__xludf.DUMMYFUNCTION("""COMPUTED_VALUE"""),"MONTEZUMA-CORTEZ RE-1")</f>
        <v>MONTEZUMA-CORTEZ RE-1</v>
      </c>
      <c r="C1050" s="14" t="str">
        <f>IFERROR(__xludf.DUMMYFUNCTION("""COMPUTED_VALUE"""),"04546")</f>
        <v>04546</v>
      </c>
      <c r="D1050" s="13" t="str">
        <f>IFERROR(__xludf.DUMMYFUNCTION("""COMPUTED_VALUE"""),"KEMPER ELEMENTARY SCHOOL")</f>
        <v>KEMPER ELEMENTARY SCHOOL</v>
      </c>
      <c r="E1050" s="13" t="str">
        <f>IFERROR(__xludf.DUMMYFUNCTION("""COMPUTED_VALUE"""),"Group 4")</f>
        <v>Group 4</v>
      </c>
      <c r="F1050" s="13" t="str">
        <f>IFERROR(__xludf.DUMMYFUNCTION("""COMPUTED_VALUE"""),"2024 - 2025")</f>
        <v>2024 - 2025</v>
      </c>
      <c r="G1050" s="13" t="str">
        <f>IFERROR(__xludf.DUMMYFUNCTION("""COMPUTED_VALUE"""),"2023 - 2024")</f>
        <v>2023 - 2024</v>
      </c>
      <c r="H1050" s="13">
        <f>IFERROR(__xludf.DUMMYFUNCTION("""COMPUTED_VALUE"""),99.39)</f>
        <v>99.39</v>
      </c>
      <c r="I1050" s="15">
        <f>IFERROR(__xludf.DUMMYFUNCTION("""COMPUTED_VALUE"""),0.6099999999999994)</f>
        <v>0.61</v>
      </c>
    </row>
    <row r="1051">
      <c r="A1051" s="13" t="str">
        <f>IFERROR(__xludf.DUMMYFUNCTION("""COMPUTED_VALUE"""),"2035")</f>
        <v>2035</v>
      </c>
      <c r="B1051" s="13" t="str">
        <f>IFERROR(__xludf.DUMMYFUNCTION("""COMPUTED_VALUE"""),"MONTEZUMA-CORTEZ RE-1")</f>
        <v>MONTEZUMA-CORTEZ RE-1</v>
      </c>
      <c r="C1051" s="14" t="str">
        <f>IFERROR(__xludf.DUMMYFUNCTION("""COMPUTED_VALUE"""),"05836")</f>
        <v>05836</v>
      </c>
      <c r="D1051" s="13" t="str">
        <f>IFERROR(__xludf.DUMMYFUNCTION("""COMPUTED_VALUE"""),"MESA ELEMENTARY SCHOOL")</f>
        <v>MESA ELEMENTARY SCHOOL</v>
      </c>
      <c r="E1051" s="13" t="str">
        <f>IFERROR(__xludf.DUMMYFUNCTION("""COMPUTED_VALUE"""),"Group 4")</f>
        <v>Group 4</v>
      </c>
      <c r="F1051" s="13" t="str">
        <f>IFERROR(__xludf.DUMMYFUNCTION("""COMPUTED_VALUE"""),"2024 - 2025")</f>
        <v>2024 - 2025</v>
      </c>
      <c r="G1051" s="13" t="str">
        <f>IFERROR(__xludf.DUMMYFUNCTION("""COMPUTED_VALUE"""),"2023 - 2024")</f>
        <v>2023 - 2024</v>
      </c>
      <c r="H1051" s="13">
        <f>IFERROR(__xludf.DUMMYFUNCTION("""COMPUTED_VALUE"""),99.39)</f>
        <v>99.39</v>
      </c>
      <c r="I1051" s="15">
        <f>IFERROR(__xludf.DUMMYFUNCTION("""COMPUTED_VALUE"""),0.6099999999999994)</f>
        <v>0.61</v>
      </c>
    </row>
    <row r="1052">
      <c r="A1052" s="13" t="str">
        <f>IFERROR(__xludf.DUMMYFUNCTION("""COMPUTED_VALUE"""),"2035")</f>
        <v>2035</v>
      </c>
      <c r="B1052" s="13" t="str">
        <f>IFERROR(__xludf.DUMMYFUNCTION("""COMPUTED_VALUE"""),"MONTEZUMA-CORTEZ RE-1")</f>
        <v>MONTEZUMA-CORTEZ RE-1</v>
      </c>
      <c r="C1052" s="14" t="str">
        <f>IFERROR(__xludf.DUMMYFUNCTION("""COMPUTED_VALUE"""),"07082")</f>
        <v>07082</v>
      </c>
      <c r="D1052" s="13" t="str">
        <f>IFERROR(__xludf.DUMMYFUNCTION("""COMPUTED_VALUE"""),"PLEASANT VIEW ELEMENTARY SCHOOL")</f>
        <v>PLEASANT VIEW ELEMENTARY SCHOOL</v>
      </c>
      <c r="E1052" s="13" t="str">
        <f>IFERROR(__xludf.DUMMYFUNCTION("""COMPUTED_VALUE"""),"Group 4")</f>
        <v>Group 4</v>
      </c>
      <c r="F1052" s="13" t="str">
        <f>IFERROR(__xludf.DUMMYFUNCTION("""COMPUTED_VALUE"""),"2024 - 2025")</f>
        <v>2024 - 2025</v>
      </c>
      <c r="G1052" s="13" t="str">
        <f>IFERROR(__xludf.DUMMYFUNCTION("""COMPUTED_VALUE"""),"2023 - 2024")</f>
        <v>2023 - 2024</v>
      </c>
      <c r="H1052" s="13">
        <f>IFERROR(__xludf.DUMMYFUNCTION("""COMPUTED_VALUE"""),99.39)</f>
        <v>99.39</v>
      </c>
      <c r="I1052" s="15">
        <f>IFERROR(__xludf.DUMMYFUNCTION("""COMPUTED_VALUE"""),0.6099999999999994)</f>
        <v>0.61</v>
      </c>
    </row>
    <row r="1053">
      <c r="A1053" s="13" t="str">
        <f>IFERROR(__xludf.DUMMYFUNCTION("""COMPUTED_VALUE"""),"2035")</f>
        <v>2035</v>
      </c>
      <c r="B1053" s="13" t="str">
        <f>IFERROR(__xludf.DUMMYFUNCTION("""COMPUTED_VALUE"""),"MONTEZUMA-CORTEZ RE-1")</f>
        <v>MONTEZUMA-CORTEZ RE-1</v>
      </c>
      <c r="C1053" s="14" t="str">
        <f>IFERROR(__xludf.DUMMYFUNCTION("""COMPUTED_VALUE"""),"02036")</f>
        <v>02036</v>
      </c>
      <c r="D1053" s="13" t="str">
        <f>IFERROR(__xludf.DUMMYFUNCTION("""COMPUTED_VALUE"""),"Children's Kiva Montesorri School")</f>
        <v>Children's Kiva Montesorri School</v>
      </c>
      <c r="E1053" s="13" t="str">
        <f>IFERROR(__xludf.DUMMYFUNCTION("""COMPUTED_VALUE"""),"Group 5")</f>
        <v>Group 5</v>
      </c>
      <c r="F1053" s="13" t="str">
        <f>IFERROR(__xludf.DUMMYFUNCTION("""COMPUTED_VALUE"""),"2024 - 2025")</f>
        <v>2024 - 2025</v>
      </c>
      <c r="G1053" s="13" t="str">
        <f>IFERROR(__xludf.DUMMYFUNCTION("""COMPUTED_VALUE"""),"2023 - 2024")</f>
        <v>2023 - 2024</v>
      </c>
      <c r="H1053" s="13">
        <f>IFERROR(__xludf.DUMMYFUNCTION("""COMPUTED_VALUE"""),87.94)</f>
        <v>87.94</v>
      </c>
      <c r="I1053" s="15">
        <f>IFERROR(__xludf.DUMMYFUNCTION("""COMPUTED_VALUE"""),12.060000000000002)</f>
        <v>12.06</v>
      </c>
    </row>
    <row r="1054">
      <c r="A1054" s="13" t="str">
        <f>IFERROR(__xludf.DUMMYFUNCTION("""COMPUTED_VALUE"""),"2055")</f>
        <v>2055</v>
      </c>
      <c r="B1054" s="13" t="str">
        <f>IFERROR(__xludf.DUMMYFUNCTION("""COMPUTED_VALUE"""),"DOLORES RE-4A")</f>
        <v>DOLORES RE-4A</v>
      </c>
      <c r="C1054" s="14" t="str">
        <f>IFERROR(__xludf.DUMMYFUNCTION("""COMPUTED_VALUE"""),"02204")</f>
        <v>02204</v>
      </c>
      <c r="D1054" s="13" t="str">
        <f>IFERROR(__xludf.DUMMYFUNCTION("""COMPUTED_VALUE"""),"DOLORES ELEMENTARY SCHOOL")</f>
        <v>DOLORES ELEMENTARY SCHOOL</v>
      </c>
      <c r="E1054" s="13" t="str">
        <f>IFERROR(__xludf.DUMMYFUNCTION("""COMPUTED_VALUE"""),"Group 1")</f>
        <v>Group 1</v>
      </c>
      <c r="F1054" s="13" t="str">
        <f>IFERROR(__xludf.DUMMYFUNCTION("""COMPUTED_VALUE"""),"2024 - 2025")</f>
        <v>2024 - 2025</v>
      </c>
      <c r="G1054" s="13" t="str">
        <f>IFERROR(__xludf.DUMMYFUNCTION("""COMPUTED_VALUE"""),"2023 - 2024")</f>
        <v>2023 - 2024</v>
      </c>
      <c r="H1054" s="13">
        <f>IFERROR(__xludf.DUMMYFUNCTION("""COMPUTED_VALUE"""),64.0)</f>
        <v>64</v>
      </c>
      <c r="I1054" s="15">
        <f>IFERROR(__xludf.DUMMYFUNCTION("""COMPUTED_VALUE"""),36.0)</f>
        <v>36</v>
      </c>
    </row>
    <row r="1055">
      <c r="A1055" s="13" t="str">
        <f>IFERROR(__xludf.DUMMYFUNCTION("""COMPUTED_VALUE"""),"2055")</f>
        <v>2055</v>
      </c>
      <c r="B1055" s="13" t="str">
        <f>IFERROR(__xludf.DUMMYFUNCTION("""COMPUTED_VALUE"""),"DOLORES RE-4A")</f>
        <v>DOLORES RE-4A</v>
      </c>
      <c r="C1055" s="14" t="str">
        <f>IFERROR(__xludf.DUMMYFUNCTION("""COMPUTED_VALUE"""),"02206")</f>
        <v>02206</v>
      </c>
      <c r="D1055" s="13" t="str">
        <f>IFERROR(__xludf.DUMMYFUNCTION("""COMPUTED_VALUE"""),"DOLORES MIDDLE SCHOOL")</f>
        <v>DOLORES MIDDLE SCHOOL</v>
      </c>
      <c r="E1055" s="13" t="str">
        <f>IFERROR(__xludf.DUMMYFUNCTION("""COMPUTED_VALUE"""),"Group 2")</f>
        <v>Group 2</v>
      </c>
      <c r="F1055" s="13" t="str">
        <f>IFERROR(__xludf.DUMMYFUNCTION("""COMPUTED_VALUE"""),"2024 - 2025")</f>
        <v>2024 - 2025</v>
      </c>
      <c r="G1055" s="13" t="str">
        <f>IFERROR(__xludf.DUMMYFUNCTION("""COMPUTED_VALUE"""),"2023 - 2024")</f>
        <v>2023 - 2024</v>
      </c>
      <c r="H1055" s="13">
        <f>IFERROR(__xludf.DUMMYFUNCTION("""COMPUTED_VALUE"""),57.54)</f>
        <v>57.54</v>
      </c>
      <c r="I1055" s="15">
        <f>IFERROR(__xludf.DUMMYFUNCTION("""COMPUTED_VALUE"""),42.46)</f>
        <v>42.46</v>
      </c>
    </row>
    <row r="1056">
      <c r="A1056" s="13" t="str">
        <f>IFERROR(__xludf.DUMMYFUNCTION("""COMPUTED_VALUE"""),"2055")</f>
        <v>2055</v>
      </c>
      <c r="B1056" s="13" t="str">
        <f>IFERROR(__xludf.DUMMYFUNCTION("""COMPUTED_VALUE"""),"DOLORES RE-4A")</f>
        <v>DOLORES RE-4A</v>
      </c>
      <c r="C1056" s="14" t="str">
        <f>IFERROR(__xludf.DUMMYFUNCTION("""COMPUTED_VALUE"""),"02208")</f>
        <v>02208</v>
      </c>
      <c r="D1056" s="13" t="str">
        <f>IFERROR(__xludf.DUMMYFUNCTION("""COMPUTED_VALUE"""),"DOLORES HIGH SCHOOL")</f>
        <v>DOLORES HIGH SCHOOL</v>
      </c>
      <c r="E1056" s="13" t="str">
        <f>IFERROR(__xludf.DUMMYFUNCTION("""COMPUTED_VALUE"""),"Group 2")</f>
        <v>Group 2</v>
      </c>
      <c r="F1056" s="13" t="str">
        <f>IFERROR(__xludf.DUMMYFUNCTION("""COMPUTED_VALUE"""),"2024 - 2025")</f>
        <v>2024 - 2025</v>
      </c>
      <c r="G1056" s="13" t="str">
        <f>IFERROR(__xludf.DUMMYFUNCTION("""COMPUTED_VALUE"""),"2023 - 2024")</f>
        <v>2023 - 2024</v>
      </c>
      <c r="H1056" s="13">
        <f>IFERROR(__xludf.DUMMYFUNCTION("""COMPUTED_VALUE"""),57.54)</f>
        <v>57.54</v>
      </c>
      <c r="I1056" s="15">
        <f>IFERROR(__xludf.DUMMYFUNCTION("""COMPUTED_VALUE"""),42.46)</f>
        <v>42.46</v>
      </c>
    </row>
    <row r="1057">
      <c r="A1057" s="13" t="str">
        <f>IFERROR(__xludf.DUMMYFUNCTION("""COMPUTED_VALUE"""),"2070")</f>
        <v>2070</v>
      </c>
      <c r="B1057" s="13" t="str">
        <f>IFERROR(__xludf.DUMMYFUNCTION("""COMPUTED_VALUE"""),"MANCOS RE-6")</f>
        <v>MANCOS RE-6</v>
      </c>
      <c r="C1057" s="14" t="str">
        <f>IFERROR(__xludf.DUMMYFUNCTION("""COMPUTED_VALUE"""),"05452")</f>
        <v>05452</v>
      </c>
      <c r="D1057" s="13" t="str">
        <f>IFERROR(__xludf.DUMMYFUNCTION("""COMPUTED_VALUE"""),"MANCOS HIGH SCHOOL")</f>
        <v>MANCOS HIGH SCHOOL</v>
      </c>
      <c r="E1057" s="13" t="str">
        <f>IFERROR(__xludf.DUMMYFUNCTION("""COMPUTED_VALUE"""),"Group 1")</f>
        <v>Group 1</v>
      </c>
      <c r="F1057" s="13" t="str">
        <f>IFERROR(__xludf.DUMMYFUNCTION("""COMPUTED_VALUE"""),"2024 - 2025")</f>
        <v>2024 - 2025</v>
      </c>
      <c r="G1057" s="13" t="str">
        <f>IFERROR(__xludf.DUMMYFUNCTION("""COMPUTED_VALUE"""),"2023 - 2024")</f>
        <v>2023 - 2024</v>
      </c>
      <c r="H1057" s="13">
        <f>IFERROR(__xludf.DUMMYFUNCTION("""COMPUTED_VALUE"""),56.59)</f>
        <v>56.59</v>
      </c>
      <c r="I1057" s="15">
        <f>IFERROR(__xludf.DUMMYFUNCTION("""COMPUTED_VALUE"""),43.41)</f>
        <v>43.41</v>
      </c>
    </row>
    <row r="1058">
      <c r="A1058" s="13" t="str">
        <f>IFERROR(__xludf.DUMMYFUNCTION("""COMPUTED_VALUE"""),"2070")</f>
        <v>2070</v>
      </c>
      <c r="B1058" s="13" t="str">
        <f>IFERROR(__xludf.DUMMYFUNCTION("""COMPUTED_VALUE"""),"MANCOS RE-6")</f>
        <v>MANCOS RE-6</v>
      </c>
      <c r="C1058" s="14" t="str">
        <f>IFERROR(__xludf.DUMMYFUNCTION("""COMPUTED_VALUE"""),"05450")</f>
        <v>05450</v>
      </c>
      <c r="D1058" s="13" t="str">
        <f>IFERROR(__xludf.DUMMYFUNCTION("""COMPUTED_VALUE"""),"MANCOS MIDDLE SCHOOL")</f>
        <v>MANCOS MIDDLE SCHOOL</v>
      </c>
      <c r="E1058" s="13" t="str">
        <f>IFERROR(__xludf.DUMMYFUNCTION("""COMPUTED_VALUE"""),"Group 2")</f>
        <v>Group 2</v>
      </c>
      <c r="F1058" s="13" t="str">
        <f>IFERROR(__xludf.DUMMYFUNCTION("""COMPUTED_VALUE"""),"2024 - 2025")</f>
        <v>2024 - 2025</v>
      </c>
      <c r="G1058" s="13" t="str">
        <f>IFERROR(__xludf.DUMMYFUNCTION("""COMPUTED_VALUE"""),"2023 - 2024")</f>
        <v>2023 - 2024</v>
      </c>
      <c r="H1058" s="13">
        <f>IFERROR(__xludf.DUMMYFUNCTION("""COMPUTED_VALUE"""),67.07)</f>
        <v>67.07</v>
      </c>
      <c r="I1058" s="15">
        <f>IFERROR(__xludf.DUMMYFUNCTION("""COMPUTED_VALUE"""),32.93000000000001)</f>
        <v>32.93</v>
      </c>
    </row>
    <row r="1059">
      <c r="A1059" s="13" t="str">
        <f>IFERROR(__xludf.DUMMYFUNCTION("""COMPUTED_VALUE"""),"2070")</f>
        <v>2070</v>
      </c>
      <c r="B1059" s="13" t="str">
        <f>IFERROR(__xludf.DUMMYFUNCTION("""COMPUTED_VALUE"""),"MANCOS RE-6")</f>
        <v>MANCOS RE-6</v>
      </c>
      <c r="C1059" s="14" t="str">
        <f>IFERROR(__xludf.DUMMYFUNCTION("""COMPUTED_VALUE"""),"06179")</f>
        <v>06179</v>
      </c>
      <c r="D1059" s="13" t="str">
        <f>IFERROR(__xludf.DUMMYFUNCTION("""COMPUTED_VALUE"""),"MANCOS EARLY LEARNING CENTER")</f>
        <v>MANCOS EARLY LEARNING CENTER</v>
      </c>
      <c r="E1059" s="13" t="str">
        <f>IFERROR(__xludf.DUMMYFUNCTION("""COMPUTED_VALUE"""),"Group 2")</f>
        <v>Group 2</v>
      </c>
      <c r="F1059" s="13" t="str">
        <f>IFERROR(__xludf.DUMMYFUNCTION("""COMPUTED_VALUE"""),"2024 - 2025")</f>
        <v>2024 - 2025</v>
      </c>
      <c r="G1059" s="13" t="str">
        <f>IFERROR(__xludf.DUMMYFUNCTION("""COMPUTED_VALUE"""),"2023 - 2024")</f>
        <v>2023 - 2024</v>
      </c>
      <c r="H1059" s="13">
        <f>IFERROR(__xludf.DUMMYFUNCTION("""COMPUTED_VALUE"""),67.07)</f>
        <v>67.07</v>
      </c>
      <c r="I1059" s="15">
        <f>IFERROR(__xludf.DUMMYFUNCTION("""COMPUTED_VALUE"""),32.93000000000001)</f>
        <v>32.93</v>
      </c>
    </row>
    <row r="1060">
      <c r="A1060" s="13" t="str">
        <f>IFERROR(__xludf.DUMMYFUNCTION("""COMPUTED_VALUE"""),"2070")</f>
        <v>2070</v>
      </c>
      <c r="B1060" s="13" t="str">
        <f>IFERROR(__xludf.DUMMYFUNCTION("""COMPUTED_VALUE"""),"MANCOS RE-6")</f>
        <v>MANCOS RE-6</v>
      </c>
      <c r="C1060" s="14" t="str">
        <f>IFERROR(__xludf.DUMMYFUNCTION("""COMPUTED_VALUE"""),"05446")</f>
        <v>05446</v>
      </c>
      <c r="D1060" s="13" t="str">
        <f>IFERROR(__xludf.DUMMYFUNCTION("""COMPUTED_VALUE"""),"MANCOS ELEMENTARY SCHOOL")</f>
        <v>MANCOS ELEMENTARY SCHOOL</v>
      </c>
      <c r="E1060" s="13" t="str">
        <f>IFERROR(__xludf.DUMMYFUNCTION("""COMPUTED_VALUE"""),"Group 3")</f>
        <v>Group 3</v>
      </c>
      <c r="F1060" s="13" t="str">
        <f>IFERROR(__xludf.DUMMYFUNCTION("""COMPUTED_VALUE"""),"2024 - 2025")</f>
        <v>2024 - 2025</v>
      </c>
      <c r="G1060" s="13" t="str">
        <f>IFERROR(__xludf.DUMMYFUNCTION("""COMPUTED_VALUE"""),"2023 - 2024")</f>
        <v>2023 - 2024</v>
      </c>
      <c r="H1060" s="13">
        <f>IFERROR(__xludf.DUMMYFUNCTION("""COMPUTED_VALUE"""),68.24)</f>
        <v>68.24</v>
      </c>
      <c r="I1060" s="15">
        <f>IFERROR(__xludf.DUMMYFUNCTION("""COMPUTED_VALUE"""),31.760000000000005)</f>
        <v>31.76</v>
      </c>
    </row>
    <row r="1061">
      <c r="A1061" s="13" t="str">
        <f>IFERROR(__xludf.DUMMYFUNCTION("""COMPUTED_VALUE"""),"2180")</f>
        <v>2180</v>
      </c>
      <c r="B1061" s="13" t="str">
        <f>IFERROR(__xludf.DUMMYFUNCTION("""COMPUTED_VALUE"""),"MONTROSE COUNTY RE-1J")</f>
        <v>MONTROSE COUNTY RE-1J</v>
      </c>
      <c r="C1061" s="14" t="str">
        <f>IFERROR(__xludf.DUMMYFUNCTION("""COMPUTED_VALUE"""),"01392")</f>
        <v>01392</v>
      </c>
      <c r="D1061" s="13" t="str">
        <f>IFERROR(__xludf.DUMMYFUNCTION("""COMPUTED_VALUE"""),"CENTENNIAL MIDDLE SCHOOL")</f>
        <v>CENTENNIAL MIDDLE SCHOOL</v>
      </c>
      <c r="E1061" s="13" t="str">
        <f>IFERROR(__xludf.DUMMYFUNCTION("""COMPUTED_VALUE"""),"Group 1")</f>
        <v>Group 1</v>
      </c>
      <c r="F1061" s="13" t="str">
        <f>IFERROR(__xludf.DUMMYFUNCTION("""COMPUTED_VALUE"""),"2024 - 2025")</f>
        <v>2024 - 2025</v>
      </c>
      <c r="G1061" s="13" t="str">
        <f>IFERROR(__xludf.DUMMYFUNCTION("""COMPUTED_VALUE"""),"2023 - 2024")</f>
        <v>2023 - 2024</v>
      </c>
      <c r="H1061" s="13">
        <f>IFERROR(__xludf.DUMMYFUNCTION("""COMPUTED_VALUE"""),69.47)</f>
        <v>69.47</v>
      </c>
      <c r="I1061" s="15">
        <f>IFERROR(__xludf.DUMMYFUNCTION("""COMPUTED_VALUE"""),30.53)</f>
        <v>30.53</v>
      </c>
    </row>
    <row r="1062">
      <c r="A1062" s="13" t="str">
        <f>IFERROR(__xludf.DUMMYFUNCTION("""COMPUTED_VALUE"""),"2180")</f>
        <v>2180</v>
      </c>
      <c r="B1062" s="13" t="str">
        <f>IFERROR(__xludf.DUMMYFUNCTION("""COMPUTED_VALUE"""),"MONTROSE COUNTY RE-1J")</f>
        <v>MONTROSE COUNTY RE-1J</v>
      </c>
      <c r="C1062" s="14" t="str">
        <f>IFERROR(__xludf.DUMMYFUNCTION("""COMPUTED_VALUE"""),"05876")</f>
        <v>05876</v>
      </c>
      <c r="D1062" s="13" t="str">
        <f>IFERROR(__xludf.DUMMYFUNCTION("""COMPUTED_VALUE"""),"Black Canyon High School")</f>
        <v>Black Canyon High School</v>
      </c>
      <c r="E1062" s="13" t="str">
        <f>IFERROR(__xludf.DUMMYFUNCTION("""COMPUTED_VALUE"""),"Group 1")</f>
        <v>Group 1</v>
      </c>
      <c r="F1062" s="13" t="str">
        <f>IFERROR(__xludf.DUMMYFUNCTION("""COMPUTED_VALUE"""),"2024 - 2025")</f>
        <v>2024 - 2025</v>
      </c>
      <c r="G1062" s="13" t="str">
        <f>IFERROR(__xludf.DUMMYFUNCTION("""COMPUTED_VALUE"""),"2023 - 2024")</f>
        <v>2023 - 2024</v>
      </c>
      <c r="H1062" s="13">
        <f>IFERROR(__xludf.DUMMYFUNCTION("""COMPUTED_VALUE"""),69.47)</f>
        <v>69.47</v>
      </c>
      <c r="I1062" s="15">
        <f>IFERROR(__xludf.DUMMYFUNCTION("""COMPUTED_VALUE"""),30.53)</f>
        <v>30.53</v>
      </c>
    </row>
    <row r="1063">
      <c r="A1063" s="13" t="str">
        <f>IFERROR(__xludf.DUMMYFUNCTION("""COMPUTED_VALUE"""),"2180")</f>
        <v>2180</v>
      </c>
      <c r="B1063" s="13" t="str">
        <f>IFERROR(__xludf.DUMMYFUNCTION("""COMPUTED_VALUE"""),"MONTROSE COUNTY RE-1J")</f>
        <v>MONTROSE COUNTY RE-1J</v>
      </c>
      <c r="C1063" s="14" t="str">
        <f>IFERROR(__xludf.DUMMYFUNCTION("""COMPUTED_VALUE"""),"02942")</f>
        <v>02942</v>
      </c>
      <c r="D1063" s="13" t="str">
        <f>IFERROR(__xludf.DUMMYFUNCTION("""COMPUTED_VALUE"""),"EARLY CHILDHOOD CENTER")</f>
        <v>EARLY CHILDHOOD CENTER</v>
      </c>
      <c r="E1063" s="13" t="str">
        <f>IFERROR(__xludf.DUMMYFUNCTION("""COMPUTED_VALUE"""),"Group 2")</f>
        <v>Group 2</v>
      </c>
      <c r="F1063" s="13" t="str">
        <f>IFERROR(__xludf.DUMMYFUNCTION("""COMPUTED_VALUE"""),"2024 - 2025")</f>
        <v>2024 - 2025</v>
      </c>
      <c r="G1063" s="13" t="str">
        <f>IFERROR(__xludf.DUMMYFUNCTION("""COMPUTED_VALUE"""),"2023 - 2024")</f>
        <v>2023 - 2024</v>
      </c>
      <c r="H1063" s="13">
        <f>IFERROR(__xludf.DUMMYFUNCTION("""COMPUTED_VALUE"""),87.73)</f>
        <v>87.73</v>
      </c>
      <c r="I1063" s="15">
        <f>IFERROR(__xludf.DUMMYFUNCTION("""COMPUTED_VALUE"""),12.269999999999996)</f>
        <v>12.27</v>
      </c>
    </row>
    <row r="1064">
      <c r="A1064" s="13" t="str">
        <f>IFERROR(__xludf.DUMMYFUNCTION("""COMPUTED_VALUE"""),"2180")</f>
        <v>2180</v>
      </c>
      <c r="B1064" s="13" t="str">
        <f>IFERROR(__xludf.DUMMYFUNCTION("""COMPUTED_VALUE"""),"MONTROSE COUNTY RE-1J")</f>
        <v>MONTROSE COUNTY RE-1J</v>
      </c>
      <c r="C1064" s="14" t="str">
        <f>IFERROR(__xludf.DUMMYFUNCTION("""COMPUTED_VALUE"""),"07106")</f>
        <v>07106</v>
      </c>
      <c r="D1064" s="13" t="str">
        <f>IFERROR(__xludf.DUMMYFUNCTION("""COMPUTED_VALUE"""),"POMONA ELEMENTARY SCHOOL")</f>
        <v>POMONA ELEMENTARY SCHOOL</v>
      </c>
      <c r="E1064" s="13" t="str">
        <f>IFERROR(__xludf.DUMMYFUNCTION("""COMPUTED_VALUE"""),"Group 2")</f>
        <v>Group 2</v>
      </c>
      <c r="F1064" s="13" t="str">
        <f>IFERROR(__xludf.DUMMYFUNCTION("""COMPUTED_VALUE"""),"2024 - 2025")</f>
        <v>2024 - 2025</v>
      </c>
      <c r="G1064" s="13" t="str">
        <f>IFERROR(__xludf.DUMMYFUNCTION("""COMPUTED_VALUE"""),"2023 - 2024")</f>
        <v>2023 - 2024</v>
      </c>
      <c r="H1064" s="13">
        <f>IFERROR(__xludf.DUMMYFUNCTION("""COMPUTED_VALUE"""),87.73)</f>
        <v>87.73</v>
      </c>
      <c r="I1064" s="15">
        <f>IFERROR(__xludf.DUMMYFUNCTION("""COMPUTED_VALUE"""),12.269999999999996)</f>
        <v>12.27</v>
      </c>
    </row>
    <row r="1065">
      <c r="A1065" s="13" t="str">
        <f>IFERROR(__xludf.DUMMYFUNCTION("""COMPUTED_VALUE"""),"2180")</f>
        <v>2180</v>
      </c>
      <c r="B1065" s="13" t="str">
        <f>IFERROR(__xludf.DUMMYFUNCTION("""COMPUTED_VALUE"""),"MONTROSE COUNTY RE-1J")</f>
        <v>MONTROSE COUNTY RE-1J</v>
      </c>
      <c r="C1065" s="14" t="str">
        <f>IFERROR(__xludf.DUMMYFUNCTION("""COMPUTED_VALUE"""),"06058")</f>
        <v>06058</v>
      </c>
      <c r="D1065" s="13" t="str">
        <f>IFERROR(__xludf.DUMMYFUNCTION("""COMPUTED_VALUE"""),"MONTROSE HIGH SCHOOL")</f>
        <v>MONTROSE HIGH SCHOOL</v>
      </c>
      <c r="E1065" s="13" t="str">
        <f>IFERROR(__xludf.DUMMYFUNCTION("""COMPUTED_VALUE"""),"Group 3")</f>
        <v>Group 3</v>
      </c>
      <c r="F1065" s="13" t="str">
        <f>IFERROR(__xludf.DUMMYFUNCTION("""COMPUTED_VALUE"""),"2024 - 2025")</f>
        <v>2024 - 2025</v>
      </c>
      <c r="G1065" s="13" t="str">
        <f>IFERROR(__xludf.DUMMYFUNCTION("""COMPUTED_VALUE"""),"2023 - 2024")</f>
        <v>2023 - 2024</v>
      </c>
      <c r="H1065" s="13">
        <f>IFERROR(__xludf.DUMMYFUNCTION("""COMPUTED_VALUE"""),55.66)</f>
        <v>55.66</v>
      </c>
      <c r="I1065" s="15">
        <f>IFERROR(__xludf.DUMMYFUNCTION("""COMPUTED_VALUE"""),44.34)</f>
        <v>44.34</v>
      </c>
    </row>
    <row r="1066">
      <c r="A1066" s="13" t="str">
        <f>IFERROR(__xludf.DUMMYFUNCTION("""COMPUTED_VALUE"""),"2180")</f>
        <v>2180</v>
      </c>
      <c r="B1066" s="13" t="str">
        <f>IFERROR(__xludf.DUMMYFUNCTION("""COMPUTED_VALUE"""),"MONTROSE COUNTY RE-1J")</f>
        <v>MONTROSE COUNTY RE-1J</v>
      </c>
      <c r="C1066" s="14" t="str">
        <f>IFERROR(__xludf.DUMMYFUNCTION("""COMPUTED_VALUE"""),"06494")</f>
        <v>06494</v>
      </c>
      <c r="D1066" s="13" t="str">
        <f>IFERROR(__xludf.DUMMYFUNCTION("""COMPUTED_VALUE"""),"OLATHE MIDDLE/HIGH SCHOOL")</f>
        <v>OLATHE MIDDLE/HIGH SCHOOL</v>
      </c>
      <c r="E1066" s="13" t="str">
        <f>IFERROR(__xludf.DUMMYFUNCTION("""COMPUTED_VALUE"""),"Group 3")</f>
        <v>Group 3</v>
      </c>
      <c r="F1066" s="13" t="str">
        <f>IFERROR(__xludf.DUMMYFUNCTION("""COMPUTED_VALUE"""),"2024 - 2025")</f>
        <v>2024 - 2025</v>
      </c>
      <c r="G1066" s="13" t="str">
        <f>IFERROR(__xludf.DUMMYFUNCTION("""COMPUTED_VALUE"""),"2023 - 2024")</f>
        <v>2023 - 2024</v>
      </c>
      <c r="H1066" s="13">
        <f>IFERROR(__xludf.DUMMYFUNCTION("""COMPUTED_VALUE"""),55.66)</f>
        <v>55.66</v>
      </c>
      <c r="I1066" s="15">
        <f>IFERROR(__xludf.DUMMYFUNCTION("""COMPUTED_VALUE"""),44.34)</f>
        <v>44.34</v>
      </c>
    </row>
    <row r="1067">
      <c r="A1067" s="13" t="str">
        <f>IFERROR(__xludf.DUMMYFUNCTION("""COMPUTED_VALUE"""),"2180")</f>
        <v>2180</v>
      </c>
      <c r="B1067" s="13" t="str">
        <f>IFERROR(__xludf.DUMMYFUNCTION("""COMPUTED_VALUE"""),"MONTROSE COUNTY RE-1J")</f>
        <v>MONTROSE COUNTY RE-1J</v>
      </c>
      <c r="C1067" s="14" t="str">
        <f>IFERROR(__xludf.DUMMYFUNCTION("""COMPUTED_VALUE"""),"01915")</f>
        <v>01915</v>
      </c>
      <c r="D1067" s="13" t="str">
        <f>IFERROR(__xludf.DUMMYFUNCTION("""COMPUTED_VALUE"""),"COTTONWOOD ELEMENTARY SCHOOL")</f>
        <v>COTTONWOOD ELEMENTARY SCHOOL</v>
      </c>
      <c r="E1067" s="13" t="str">
        <f>IFERROR(__xludf.DUMMYFUNCTION("""COMPUTED_VALUE"""),"Group 4")</f>
        <v>Group 4</v>
      </c>
      <c r="F1067" s="13" t="str">
        <f>IFERROR(__xludf.DUMMYFUNCTION("""COMPUTED_VALUE"""),"2024 - 2025")</f>
        <v>2024 - 2025</v>
      </c>
      <c r="G1067" s="13" t="str">
        <f>IFERROR(__xludf.DUMMYFUNCTION("""COMPUTED_VALUE"""),"2023 - 2024")</f>
        <v>2023 - 2024</v>
      </c>
      <c r="H1067" s="13">
        <f>IFERROR(__xludf.DUMMYFUNCTION("""COMPUTED_VALUE"""),62.61)</f>
        <v>62.61</v>
      </c>
      <c r="I1067" s="15">
        <f>IFERROR(__xludf.DUMMYFUNCTION("""COMPUTED_VALUE"""),37.39)</f>
        <v>37.39</v>
      </c>
    </row>
    <row r="1068">
      <c r="A1068" s="13" t="str">
        <f>IFERROR(__xludf.DUMMYFUNCTION("""COMPUTED_VALUE"""),"2180")</f>
        <v>2180</v>
      </c>
      <c r="B1068" s="13" t="str">
        <f>IFERROR(__xludf.DUMMYFUNCTION("""COMPUTED_VALUE"""),"MONTROSE COUNTY RE-1J")</f>
        <v>MONTROSE COUNTY RE-1J</v>
      </c>
      <c r="C1068" s="14" t="str">
        <f>IFERROR(__xludf.DUMMYFUNCTION("""COMPUTED_VALUE"""),"06466")</f>
        <v>06466</v>
      </c>
      <c r="D1068" s="13" t="str">
        <f>IFERROR(__xludf.DUMMYFUNCTION("""COMPUTED_VALUE"""),"OAK GROVE ELEMENTARY SCHOOL")</f>
        <v>OAK GROVE ELEMENTARY SCHOOL</v>
      </c>
      <c r="E1068" s="13" t="str">
        <f>IFERROR(__xludf.DUMMYFUNCTION("""COMPUTED_VALUE"""),"Group 4")</f>
        <v>Group 4</v>
      </c>
      <c r="F1068" s="13" t="str">
        <f>IFERROR(__xludf.DUMMYFUNCTION("""COMPUTED_VALUE"""),"2024 - 2025")</f>
        <v>2024 - 2025</v>
      </c>
      <c r="G1068" s="13" t="str">
        <f>IFERROR(__xludf.DUMMYFUNCTION("""COMPUTED_VALUE"""),"2023 - 2024")</f>
        <v>2023 - 2024</v>
      </c>
      <c r="H1068" s="13">
        <f>IFERROR(__xludf.DUMMYFUNCTION("""COMPUTED_VALUE"""),62.61)</f>
        <v>62.61</v>
      </c>
      <c r="I1068" s="15">
        <f>IFERROR(__xludf.DUMMYFUNCTION("""COMPUTED_VALUE"""),37.39)</f>
        <v>37.39</v>
      </c>
    </row>
    <row r="1069">
      <c r="A1069" s="13" t="str">
        <f>IFERROR(__xludf.DUMMYFUNCTION("""COMPUTED_VALUE"""),"2180")</f>
        <v>2180</v>
      </c>
      <c r="B1069" s="13" t="str">
        <f>IFERROR(__xludf.DUMMYFUNCTION("""COMPUTED_VALUE"""),"MONTROSE COUNTY RE-1J")</f>
        <v>MONTROSE COUNTY RE-1J</v>
      </c>
      <c r="C1069" s="14" t="str">
        <f>IFERROR(__xludf.DUMMYFUNCTION("""COMPUTED_VALUE"""),"09149")</f>
        <v>09149</v>
      </c>
      <c r="D1069" s="13" t="str">
        <f>IFERROR(__xludf.DUMMYFUNCTION("""COMPUTED_VALUE"""),"Vista Charter School")</f>
        <v>Vista Charter School</v>
      </c>
      <c r="E1069" s="13" t="str">
        <f>IFERROR(__xludf.DUMMYFUNCTION("""COMPUTED_VALUE"""),"Group 4")</f>
        <v>Group 4</v>
      </c>
      <c r="F1069" s="13" t="str">
        <f>IFERROR(__xludf.DUMMYFUNCTION("""COMPUTED_VALUE"""),"2024 - 2025")</f>
        <v>2024 - 2025</v>
      </c>
      <c r="G1069" s="13" t="str">
        <f>IFERROR(__xludf.DUMMYFUNCTION("""COMPUTED_VALUE"""),"2023 - 2024")</f>
        <v>2023 - 2024</v>
      </c>
      <c r="H1069" s="13">
        <f>IFERROR(__xludf.DUMMYFUNCTION("""COMPUTED_VALUE"""),62.61)</f>
        <v>62.61</v>
      </c>
      <c r="I1069" s="15">
        <f>IFERROR(__xludf.DUMMYFUNCTION("""COMPUTED_VALUE"""),37.39)</f>
        <v>37.39</v>
      </c>
    </row>
    <row r="1070">
      <c r="A1070" s="13" t="str">
        <f>IFERROR(__xludf.DUMMYFUNCTION("""COMPUTED_VALUE"""),"2180")</f>
        <v>2180</v>
      </c>
      <c r="B1070" s="13" t="str">
        <f>IFERROR(__xludf.DUMMYFUNCTION("""COMPUTED_VALUE"""),"MONTROSE COUNTY RE-1J")</f>
        <v>MONTROSE COUNTY RE-1J</v>
      </c>
      <c r="C1070" s="14" t="str">
        <f>IFERROR(__xludf.DUMMYFUNCTION("""COMPUTED_VALUE"""),"04458")</f>
        <v>04458</v>
      </c>
      <c r="D1070" s="13" t="str">
        <f>IFERROR(__xludf.DUMMYFUNCTION("""COMPUTED_VALUE"""),"JOHNSON ELEMENTARY SCHOOL")</f>
        <v>JOHNSON ELEMENTARY SCHOOL</v>
      </c>
      <c r="E1070" s="13" t="str">
        <f>IFERROR(__xludf.DUMMYFUNCTION("""COMPUTED_VALUE"""),"Group 5")</f>
        <v>Group 5</v>
      </c>
      <c r="F1070" s="13" t="str">
        <f>IFERROR(__xludf.DUMMYFUNCTION("""COMPUTED_VALUE"""),"2024 - 2025")</f>
        <v>2024 - 2025</v>
      </c>
      <c r="G1070" s="13" t="str">
        <f>IFERROR(__xludf.DUMMYFUNCTION("""COMPUTED_VALUE"""),"2023 - 2024")</f>
        <v>2023 - 2024</v>
      </c>
      <c r="H1070" s="13">
        <f>IFERROR(__xludf.DUMMYFUNCTION("""COMPUTED_VALUE"""),78.26)</f>
        <v>78.26</v>
      </c>
      <c r="I1070" s="15">
        <f>IFERROR(__xludf.DUMMYFUNCTION("""COMPUTED_VALUE"""),21.739999999999995)</f>
        <v>21.74</v>
      </c>
    </row>
    <row r="1071">
      <c r="A1071" s="13" t="str">
        <f>IFERROR(__xludf.DUMMYFUNCTION("""COMPUTED_VALUE"""),"2180")</f>
        <v>2180</v>
      </c>
      <c r="B1071" s="13" t="str">
        <f>IFERROR(__xludf.DUMMYFUNCTION("""COMPUTED_VALUE"""),"MONTROSE COUNTY RE-1J")</f>
        <v>MONTROSE COUNTY RE-1J</v>
      </c>
      <c r="C1071" s="14" t="str">
        <f>IFERROR(__xludf.DUMMYFUNCTION("""COMPUTED_VALUE"""),"06486")</f>
        <v>06486</v>
      </c>
      <c r="D1071" s="13" t="str">
        <f>IFERROR(__xludf.DUMMYFUNCTION("""COMPUTED_VALUE"""),"OLATHE ELEMENTARY SCHOOL")</f>
        <v>OLATHE ELEMENTARY SCHOOL</v>
      </c>
      <c r="E1071" s="13" t="str">
        <f>IFERROR(__xludf.DUMMYFUNCTION("""COMPUTED_VALUE"""),"Group 5")</f>
        <v>Group 5</v>
      </c>
      <c r="F1071" s="13" t="str">
        <f>IFERROR(__xludf.DUMMYFUNCTION("""COMPUTED_VALUE"""),"2024 - 2025")</f>
        <v>2024 - 2025</v>
      </c>
      <c r="G1071" s="13" t="str">
        <f>IFERROR(__xludf.DUMMYFUNCTION("""COMPUTED_VALUE"""),"2023 - 2024")</f>
        <v>2023 - 2024</v>
      </c>
      <c r="H1071" s="13">
        <f>IFERROR(__xludf.DUMMYFUNCTION("""COMPUTED_VALUE"""),78.26)</f>
        <v>78.26</v>
      </c>
      <c r="I1071" s="15">
        <f>IFERROR(__xludf.DUMMYFUNCTION("""COMPUTED_VALUE"""),21.739999999999995)</f>
        <v>21.74</v>
      </c>
    </row>
    <row r="1072">
      <c r="A1072" s="13" t="str">
        <f>IFERROR(__xludf.DUMMYFUNCTION("""COMPUTED_VALUE"""),"2180")</f>
        <v>2180</v>
      </c>
      <c r="B1072" s="13" t="str">
        <f>IFERROR(__xludf.DUMMYFUNCTION("""COMPUTED_VALUE"""),"MONTROSE COUNTY RE-1J")</f>
        <v>MONTROSE COUNTY RE-1J</v>
      </c>
      <c r="C1072" s="14" t="str">
        <f>IFERROR(__xludf.DUMMYFUNCTION("""COMPUTED_VALUE"""),"06366")</f>
        <v>06366</v>
      </c>
      <c r="D1072" s="13" t="str">
        <f>IFERROR(__xludf.DUMMYFUNCTION("""COMPUTED_VALUE"""),"NORTHSIDE ELEMENTARY SCHOOL")</f>
        <v>NORTHSIDE ELEMENTARY SCHOOL</v>
      </c>
      <c r="E1072" s="13" t="str">
        <f>IFERROR(__xludf.DUMMYFUNCTION("""COMPUTED_VALUE"""),"Group 6")</f>
        <v>Group 6</v>
      </c>
      <c r="F1072" s="13" t="str">
        <f>IFERROR(__xludf.DUMMYFUNCTION("""COMPUTED_VALUE"""),"2024 - 2025")</f>
        <v>2024 - 2025</v>
      </c>
      <c r="G1072" s="13" t="str">
        <f>IFERROR(__xludf.DUMMYFUNCTION("""COMPUTED_VALUE"""),"2023 - 2024")</f>
        <v>2023 - 2024</v>
      </c>
      <c r="H1072" s="13">
        <f>IFERROR(__xludf.DUMMYFUNCTION("""COMPUTED_VALUE"""),93.95)</f>
        <v>93.95</v>
      </c>
      <c r="I1072" s="15">
        <f>IFERROR(__xludf.DUMMYFUNCTION("""COMPUTED_VALUE"""),6.049999999999997)</f>
        <v>6.05</v>
      </c>
    </row>
    <row r="1073">
      <c r="A1073" s="13" t="str">
        <f>IFERROR(__xludf.DUMMYFUNCTION("""COMPUTED_VALUE"""),"2180")</f>
        <v>2180</v>
      </c>
      <c r="B1073" s="13" t="str">
        <f>IFERROR(__xludf.DUMMYFUNCTION("""COMPUTED_VALUE"""),"MONTROSE COUNTY RE-1J")</f>
        <v>MONTROSE COUNTY RE-1J</v>
      </c>
      <c r="C1073" s="14" t="str">
        <f>IFERROR(__xludf.DUMMYFUNCTION("""COMPUTED_VALUE"""),"06054")</f>
        <v>06054</v>
      </c>
      <c r="D1073" s="13" t="str">
        <f>IFERROR(__xludf.DUMMYFUNCTION("""COMPUTED_VALUE"""),"COLUMBINE MIDDLE SCHOOL")</f>
        <v>COLUMBINE MIDDLE SCHOOL</v>
      </c>
      <c r="E1073" s="13" t="str">
        <f>IFERROR(__xludf.DUMMYFUNCTION("""COMPUTED_VALUE"""),"Group 7")</f>
        <v>Group 7</v>
      </c>
      <c r="F1073" s="13" t="str">
        <f>IFERROR(__xludf.DUMMYFUNCTION("""COMPUTED_VALUE"""),"2024 - 2025")</f>
        <v>2024 - 2025</v>
      </c>
      <c r="G1073" s="13" t="str">
        <f>IFERROR(__xludf.DUMMYFUNCTION("""COMPUTED_VALUE"""),"2023 - 2024")</f>
        <v>2023 - 2024</v>
      </c>
      <c r="H1073" s="13">
        <f>IFERROR(__xludf.DUMMYFUNCTION("""COMPUTED_VALUE"""),66.53)</f>
        <v>66.53</v>
      </c>
      <c r="I1073" s="15">
        <f>IFERROR(__xludf.DUMMYFUNCTION("""COMPUTED_VALUE"""),33.47)</f>
        <v>33.47</v>
      </c>
    </row>
    <row r="1074">
      <c r="A1074" s="13" t="str">
        <f>IFERROR(__xludf.DUMMYFUNCTION("""COMPUTED_VALUE"""),"2180")</f>
        <v>2180</v>
      </c>
      <c r="B1074" s="13" t="str">
        <f>IFERROR(__xludf.DUMMYFUNCTION("""COMPUTED_VALUE"""),"MONTROSE COUNTY RE-1J")</f>
        <v>MONTROSE COUNTY RE-1J</v>
      </c>
      <c r="C1074" s="14" t="str">
        <f>IFERROR(__xludf.DUMMYFUNCTION("""COMPUTED_VALUE"""),"06262")</f>
        <v>06262</v>
      </c>
      <c r="D1074" s="13" t="str">
        <f>IFERROR(__xludf.DUMMYFUNCTION("""COMPUTED_VALUE"""),"PEAK VIRTUAL ACADEMY")</f>
        <v>PEAK VIRTUAL ACADEMY</v>
      </c>
      <c r="E1074" s="13" t="str">
        <f>IFERROR(__xludf.DUMMYFUNCTION("""COMPUTED_VALUE"""),"Group 8")</f>
        <v>Group 8</v>
      </c>
      <c r="F1074" s="13" t="str">
        <f>IFERROR(__xludf.DUMMYFUNCTION("""COMPUTED_VALUE"""),"2024 - 2025")</f>
        <v>2024 - 2025</v>
      </c>
      <c r="G1074" s="13" t="str">
        <f>IFERROR(__xludf.DUMMYFUNCTION("""COMPUTED_VALUE"""),"2023 - 2024")</f>
        <v>2023 - 2024</v>
      </c>
      <c r="H1074" s="13">
        <f>IFERROR(__xludf.DUMMYFUNCTION("""COMPUTED_VALUE"""),48.86)</f>
        <v>48.86</v>
      </c>
      <c r="I1074" s="15">
        <f>IFERROR(__xludf.DUMMYFUNCTION("""COMPUTED_VALUE"""),51.14)</f>
        <v>51.14</v>
      </c>
    </row>
    <row r="1075">
      <c r="A1075" s="13" t="str">
        <f>IFERROR(__xludf.DUMMYFUNCTION("""COMPUTED_VALUE"""),"2180")</f>
        <v>2180</v>
      </c>
      <c r="B1075" s="13" t="str">
        <f>IFERROR(__xludf.DUMMYFUNCTION("""COMPUTED_VALUE"""),"MONTROSE COUNTY RE-1J")</f>
        <v>MONTROSE COUNTY RE-1J</v>
      </c>
      <c r="C1075" s="14" t="str">
        <f>IFERROR(__xludf.DUMMYFUNCTION("""COMPUTED_VALUE"""),"07169")</f>
        <v>07169</v>
      </c>
      <c r="D1075" s="13" t="str">
        <f>IFERROR(__xludf.DUMMYFUNCTION("""COMPUTED_VALUE"""),"Outer Range")</f>
        <v>Outer Range</v>
      </c>
      <c r="E1075" s="13" t="str">
        <f>IFERROR(__xludf.DUMMYFUNCTION("""COMPUTED_VALUE"""),"Group 8")</f>
        <v>Group 8</v>
      </c>
      <c r="F1075" s="13" t="str">
        <f>IFERROR(__xludf.DUMMYFUNCTION("""COMPUTED_VALUE"""),"2024 - 2025")</f>
        <v>2024 - 2025</v>
      </c>
      <c r="G1075" s="13" t="str">
        <f>IFERROR(__xludf.DUMMYFUNCTION("""COMPUTED_VALUE"""),"2023 - 2024")</f>
        <v>2023 - 2024</v>
      </c>
      <c r="H1075" s="13">
        <f>IFERROR(__xludf.DUMMYFUNCTION("""COMPUTED_VALUE"""),48.86)</f>
        <v>48.86</v>
      </c>
      <c r="I1075" s="15">
        <f>IFERROR(__xludf.DUMMYFUNCTION("""COMPUTED_VALUE"""),51.14)</f>
        <v>51.14</v>
      </c>
    </row>
    <row r="1076">
      <c r="A1076" s="13" t="str">
        <f>IFERROR(__xludf.DUMMYFUNCTION("""COMPUTED_VALUE"""),"2190")</f>
        <v>2190</v>
      </c>
      <c r="B1076" s="13" t="str">
        <f>IFERROR(__xludf.DUMMYFUNCTION("""COMPUTED_VALUE"""),"WEST END RE-2")</f>
        <v>WEST END RE-2</v>
      </c>
      <c r="C1076" s="14" t="str">
        <f>IFERROR(__xludf.DUMMYFUNCTION("""COMPUTED_VALUE"""),"06196")</f>
        <v>06196</v>
      </c>
      <c r="D1076" s="13" t="str">
        <f>IFERROR(__xludf.DUMMYFUNCTION("""COMPUTED_VALUE"""),"NUCLA ELEMENTARY SCHOOL")</f>
        <v>NUCLA ELEMENTARY SCHOOL</v>
      </c>
      <c r="E1076" s="13" t="str">
        <f>IFERROR(__xludf.DUMMYFUNCTION("""COMPUTED_VALUE"""),"Group 1")</f>
        <v>Group 1</v>
      </c>
      <c r="F1076" s="13" t="str">
        <f>IFERROR(__xludf.DUMMYFUNCTION("""COMPUTED_VALUE"""),"2024 - 2025")</f>
        <v>2024 - 2025</v>
      </c>
      <c r="G1076" s="13" t="str">
        <f>IFERROR(__xludf.DUMMYFUNCTION("""COMPUTED_VALUE"""),"2023 - 2024")</f>
        <v>2023 - 2024</v>
      </c>
      <c r="H1076" s="13">
        <f>IFERROR(__xludf.DUMMYFUNCTION("""COMPUTED_VALUE"""),71.97)</f>
        <v>71.97</v>
      </c>
      <c r="I1076" s="15">
        <f>IFERROR(__xludf.DUMMYFUNCTION("""COMPUTED_VALUE"""),28.03)</f>
        <v>28.03</v>
      </c>
    </row>
    <row r="1077">
      <c r="A1077" s="13" t="str">
        <f>IFERROR(__xludf.DUMMYFUNCTION("""COMPUTED_VALUE"""),"2190")</f>
        <v>2190</v>
      </c>
      <c r="B1077" s="13" t="str">
        <f>IFERROR(__xludf.DUMMYFUNCTION("""COMPUTED_VALUE"""),"WEST END RE-2")</f>
        <v>WEST END RE-2</v>
      </c>
      <c r="C1077" s="14" t="str">
        <f>IFERROR(__xludf.DUMMYFUNCTION("""COMPUTED_VALUE"""),"06436")</f>
        <v>06436</v>
      </c>
      <c r="D1077" s="13" t="str">
        <f>IFERROR(__xludf.DUMMYFUNCTION("""COMPUTED_VALUE"""),"NUCLA HIGH SCHOOL")</f>
        <v>NUCLA HIGH SCHOOL</v>
      </c>
      <c r="E1077" s="13" t="str">
        <f>IFERROR(__xludf.DUMMYFUNCTION("""COMPUTED_VALUE"""),"Group 1")</f>
        <v>Group 1</v>
      </c>
      <c r="F1077" s="13" t="str">
        <f>IFERROR(__xludf.DUMMYFUNCTION("""COMPUTED_VALUE"""),"2024 - 2025")</f>
        <v>2024 - 2025</v>
      </c>
      <c r="G1077" s="13" t="str">
        <f>IFERROR(__xludf.DUMMYFUNCTION("""COMPUTED_VALUE"""),"2023 - 2024")</f>
        <v>2023 - 2024</v>
      </c>
      <c r="H1077" s="13">
        <f>IFERROR(__xludf.DUMMYFUNCTION("""COMPUTED_VALUE"""),71.97)</f>
        <v>71.97</v>
      </c>
      <c r="I1077" s="15">
        <f>IFERROR(__xludf.DUMMYFUNCTION("""COMPUTED_VALUE"""),28.03)</f>
        <v>28.03</v>
      </c>
    </row>
    <row r="1078">
      <c r="A1078" s="13" t="str">
        <f>IFERROR(__xludf.DUMMYFUNCTION("""COMPUTED_VALUE"""),"2190")</f>
        <v>2190</v>
      </c>
      <c r="B1078" s="13" t="str">
        <f>IFERROR(__xludf.DUMMYFUNCTION("""COMPUTED_VALUE"""),"WEST END RE-2")</f>
        <v>WEST END RE-2</v>
      </c>
      <c r="C1078" s="14" t="str">
        <f>IFERROR(__xludf.DUMMYFUNCTION("""COMPUTED_VALUE"""),"06307")</f>
        <v>06307</v>
      </c>
      <c r="D1078" s="13" t="str">
        <f>IFERROR(__xludf.DUMMYFUNCTION("""COMPUTED_VALUE"""),"NUCLA MIDDLE SCHOOL")</f>
        <v>NUCLA MIDDLE SCHOOL</v>
      </c>
      <c r="E1078" s="13" t="str">
        <f>IFERROR(__xludf.DUMMYFUNCTION("""COMPUTED_VALUE"""),"Group 1")</f>
        <v>Group 1</v>
      </c>
      <c r="F1078" s="13" t="str">
        <f>IFERROR(__xludf.DUMMYFUNCTION("""COMPUTED_VALUE"""),"2024 - 2025")</f>
        <v>2024 - 2025</v>
      </c>
      <c r="G1078" s="13" t="str">
        <f>IFERROR(__xludf.DUMMYFUNCTION("""COMPUTED_VALUE"""),"2023 - 2024")</f>
        <v>2023 - 2024</v>
      </c>
      <c r="H1078" s="13">
        <f>IFERROR(__xludf.DUMMYFUNCTION("""COMPUTED_VALUE"""),71.97)</f>
        <v>71.97</v>
      </c>
      <c r="I1078" s="15">
        <f>IFERROR(__xludf.DUMMYFUNCTION("""COMPUTED_VALUE"""),28.03)</f>
        <v>28.03</v>
      </c>
    </row>
    <row r="1079">
      <c r="A1079" s="13" t="str">
        <f>IFERROR(__xludf.DUMMYFUNCTION("""COMPUTED_VALUE"""),"2395")</f>
        <v>2395</v>
      </c>
      <c r="B1079" s="13" t="str">
        <f>IFERROR(__xludf.DUMMYFUNCTION("""COMPUTED_VALUE"""),"BRUSH RE-2(J)")</f>
        <v>BRUSH RE-2(J)</v>
      </c>
      <c r="C1079" s="14" t="str">
        <f>IFERROR(__xludf.DUMMYFUNCTION("""COMPUTED_VALUE"""),"01094")</f>
        <v>01094</v>
      </c>
      <c r="D1079" s="13" t="str">
        <f>IFERROR(__xludf.DUMMYFUNCTION("""COMPUTED_VALUE"""),"BRUSH MIDDLE SCHOOL")</f>
        <v>BRUSH MIDDLE SCHOOL</v>
      </c>
      <c r="E1079" s="13" t="str">
        <f>IFERROR(__xludf.DUMMYFUNCTION("""COMPUTED_VALUE"""),"Group 1")</f>
        <v>Group 1</v>
      </c>
      <c r="F1079" s="13" t="str">
        <f>IFERROR(__xludf.DUMMYFUNCTION("""COMPUTED_VALUE"""),"2024 - 2025")</f>
        <v>2024 - 2025</v>
      </c>
      <c r="G1079" s="13" t="str">
        <f>IFERROR(__xludf.DUMMYFUNCTION("""COMPUTED_VALUE"""),"2023 - 2024")</f>
        <v>2023 - 2024</v>
      </c>
      <c r="H1079" s="13">
        <f>IFERROR(__xludf.DUMMYFUNCTION("""COMPUTED_VALUE"""),83.34)</f>
        <v>83.34</v>
      </c>
      <c r="I1079" s="15">
        <f>IFERROR(__xludf.DUMMYFUNCTION("""COMPUTED_VALUE"""),16.659999999999997)</f>
        <v>16.66</v>
      </c>
    </row>
    <row r="1080">
      <c r="A1080" s="13" t="str">
        <f>IFERROR(__xludf.DUMMYFUNCTION("""COMPUTED_VALUE"""),"2395")</f>
        <v>2395</v>
      </c>
      <c r="B1080" s="13" t="str">
        <f>IFERROR(__xludf.DUMMYFUNCTION("""COMPUTED_VALUE"""),"BRUSH RE-2(J)")</f>
        <v>BRUSH RE-2(J)</v>
      </c>
      <c r="C1080" s="14" t="str">
        <f>IFERROR(__xludf.DUMMYFUNCTION("""COMPUTED_VALUE"""),"08832")</f>
        <v>08832</v>
      </c>
      <c r="D1080" s="13" t="str">
        <f>IFERROR(__xludf.DUMMYFUNCTION("""COMPUTED_VALUE"""),"THOMSON PRIMARY SCHOOL")</f>
        <v>THOMSON PRIMARY SCHOOL</v>
      </c>
      <c r="E1080" s="13" t="str">
        <f>IFERROR(__xludf.DUMMYFUNCTION("""COMPUTED_VALUE"""),"Group 1")</f>
        <v>Group 1</v>
      </c>
      <c r="F1080" s="13" t="str">
        <f>IFERROR(__xludf.DUMMYFUNCTION("""COMPUTED_VALUE"""),"2024 - 2025")</f>
        <v>2024 - 2025</v>
      </c>
      <c r="G1080" s="13" t="str">
        <f>IFERROR(__xludf.DUMMYFUNCTION("""COMPUTED_VALUE"""),"2023 - 2024")</f>
        <v>2023 - 2024</v>
      </c>
      <c r="H1080" s="13">
        <f>IFERROR(__xludf.DUMMYFUNCTION("""COMPUTED_VALUE"""),83.34)</f>
        <v>83.34</v>
      </c>
      <c r="I1080" s="15">
        <f>IFERROR(__xludf.DUMMYFUNCTION("""COMPUTED_VALUE"""),16.659999999999997)</f>
        <v>16.66</v>
      </c>
    </row>
    <row r="1081">
      <c r="A1081" s="13" t="str">
        <f>IFERROR(__xludf.DUMMYFUNCTION("""COMPUTED_VALUE"""),"2395")</f>
        <v>2395</v>
      </c>
      <c r="B1081" s="13" t="str">
        <f>IFERROR(__xludf.DUMMYFUNCTION("""COMPUTED_VALUE"""),"BRUSH RE-2(J)")</f>
        <v>BRUSH RE-2(J)</v>
      </c>
      <c r="C1081" s="14" t="str">
        <f>IFERROR(__xludf.DUMMYFUNCTION("""COMPUTED_VALUE"""),"01096")</f>
        <v>01096</v>
      </c>
      <c r="D1081" s="13" t="str">
        <f>IFERROR(__xludf.DUMMYFUNCTION("""COMPUTED_VALUE"""),"BRUSH HIGH SCHOOL")</f>
        <v>BRUSH HIGH SCHOOL</v>
      </c>
      <c r="E1081" s="13" t="str">
        <f>IFERROR(__xludf.DUMMYFUNCTION("""COMPUTED_VALUE"""),"Group 2")</f>
        <v>Group 2</v>
      </c>
      <c r="F1081" s="13" t="str">
        <f>IFERROR(__xludf.DUMMYFUNCTION("""COMPUTED_VALUE"""),"2024 - 2025")</f>
        <v>2024 - 2025</v>
      </c>
      <c r="G1081" s="13" t="str">
        <f>IFERROR(__xludf.DUMMYFUNCTION("""COMPUTED_VALUE"""),"2023 - 2024")</f>
        <v>2023 - 2024</v>
      </c>
      <c r="H1081" s="13">
        <f>IFERROR(__xludf.DUMMYFUNCTION("""COMPUTED_VALUE"""),63.23)</f>
        <v>63.23</v>
      </c>
      <c r="I1081" s="15">
        <f>IFERROR(__xludf.DUMMYFUNCTION("""COMPUTED_VALUE"""),36.77)</f>
        <v>36.77</v>
      </c>
    </row>
    <row r="1082">
      <c r="A1082" s="13" t="str">
        <f>IFERROR(__xludf.DUMMYFUNCTION("""COMPUTED_VALUE"""),"2395")</f>
        <v>2395</v>
      </c>
      <c r="B1082" s="13" t="str">
        <f>IFERROR(__xludf.DUMMYFUNCTION("""COMPUTED_VALUE"""),"BRUSH RE-2(J)")</f>
        <v>BRUSH RE-2(J)</v>
      </c>
      <c r="C1082" s="14" t="str">
        <f>IFERROR(__xludf.DUMMYFUNCTION("""COMPUTED_VALUE"""),"01438")</f>
        <v>01438</v>
      </c>
      <c r="D1082" s="13" t="str">
        <f>IFERROR(__xludf.DUMMYFUNCTION("""COMPUTED_VALUE"""),"BEAVER VALLEY ELEMENTARY SCHOOL")</f>
        <v>BEAVER VALLEY ELEMENTARY SCHOOL</v>
      </c>
      <c r="E1082" s="13" t="str">
        <f>IFERROR(__xludf.DUMMYFUNCTION("""COMPUTED_VALUE"""),"Group 3")</f>
        <v>Group 3</v>
      </c>
      <c r="F1082" s="13" t="str">
        <f>IFERROR(__xludf.DUMMYFUNCTION("""COMPUTED_VALUE"""),"2024 - 2025")</f>
        <v>2024 - 2025</v>
      </c>
      <c r="G1082" s="13" t="str">
        <f>IFERROR(__xludf.DUMMYFUNCTION("""COMPUTED_VALUE"""),"2023 - 2024")</f>
        <v>2023 - 2024</v>
      </c>
      <c r="H1082" s="13">
        <f>IFERROR(__xludf.DUMMYFUNCTION("""COMPUTED_VALUE"""),84.1)</f>
        <v>84.1</v>
      </c>
      <c r="I1082" s="15">
        <f>IFERROR(__xludf.DUMMYFUNCTION("""COMPUTED_VALUE"""),15.900000000000006)</f>
        <v>15.9</v>
      </c>
    </row>
    <row r="1083">
      <c r="A1083" s="13" t="str">
        <f>IFERROR(__xludf.DUMMYFUNCTION("""COMPUTED_VALUE"""),"2405")</f>
        <v>2405</v>
      </c>
      <c r="B1083" s="13" t="str">
        <f>IFERROR(__xludf.DUMMYFUNCTION("""COMPUTED_VALUE"""),"FORT MORGAN RE-3")</f>
        <v>FORT MORGAN RE-3</v>
      </c>
      <c r="C1083" s="14" t="str">
        <f>IFERROR(__xludf.DUMMYFUNCTION("""COMPUTED_VALUE"""),"03620")</f>
        <v>03620</v>
      </c>
      <c r="D1083" s="13" t="str">
        <f>IFERROR(__xludf.DUMMYFUNCTION("""COMPUTED_VALUE"""),"GREEN ACRES ELEMENTARY SCHOOL")</f>
        <v>GREEN ACRES ELEMENTARY SCHOOL</v>
      </c>
      <c r="E1083" s="13" t="str">
        <f>IFERROR(__xludf.DUMMYFUNCTION("""COMPUTED_VALUE"""),"Group 1")</f>
        <v>Group 1</v>
      </c>
      <c r="F1083" s="13" t="str">
        <f>IFERROR(__xludf.DUMMYFUNCTION("""COMPUTED_VALUE"""),"2024 - 2025")</f>
        <v>2024 - 2025</v>
      </c>
      <c r="G1083" s="13" t="str">
        <f>IFERROR(__xludf.DUMMYFUNCTION("""COMPUTED_VALUE"""),"2023 - 2024")</f>
        <v>2023 - 2024</v>
      </c>
      <c r="H1083" s="13">
        <f>IFERROR(__xludf.DUMMYFUNCTION("""COMPUTED_VALUE"""),91.7)</f>
        <v>91.7</v>
      </c>
      <c r="I1083" s="15">
        <f>IFERROR(__xludf.DUMMYFUNCTION("""COMPUTED_VALUE"""),8.299999999999997)</f>
        <v>8.3</v>
      </c>
    </row>
    <row r="1084">
      <c r="A1084" s="13" t="str">
        <f>IFERROR(__xludf.DUMMYFUNCTION("""COMPUTED_VALUE"""),"2405")</f>
        <v>2405</v>
      </c>
      <c r="B1084" s="13" t="str">
        <f>IFERROR(__xludf.DUMMYFUNCTION("""COMPUTED_VALUE"""),"FORT MORGAN RE-3")</f>
        <v>FORT MORGAN RE-3</v>
      </c>
      <c r="C1084" s="14" t="str">
        <f>IFERROR(__xludf.DUMMYFUNCTION("""COMPUTED_VALUE"""),"05180")</f>
        <v>05180</v>
      </c>
      <c r="D1084" s="13" t="str">
        <f>IFERROR(__xludf.DUMMYFUNCTION("""COMPUTED_VALUE"""),"LINCOLN HIGH SCHOOL")</f>
        <v>LINCOLN HIGH SCHOOL</v>
      </c>
      <c r="E1084" s="13" t="str">
        <f>IFERROR(__xludf.DUMMYFUNCTION("""COMPUTED_VALUE"""),"Group 1")</f>
        <v>Group 1</v>
      </c>
      <c r="F1084" s="13" t="str">
        <f>IFERROR(__xludf.DUMMYFUNCTION("""COMPUTED_VALUE"""),"2024 - 2025")</f>
        <v>2024 - 2025</v>
      </c>
      <c r="G1084" s="13" t="str">
        <f>IFERROR(__xludf.DUMMYFUNCTION("""COMPUTED_VALUE"""),"2023 - 2024")</f>
        <v>2023 - 2024</v>
      </c>
      <c r="H1084" s="13">
        <f>IFERROR(__xludf.DUMMYFUNCTION("""COMPUTED_VALUE"""),91.7)</f>
        <v>91.7</v>
      </c>
      <c r="I1084" s="15">
        <f>IFERROR(__xludf.DUMMYFUNCTION("""COMPUTED_VALUE"""),8.299999999999997)</f>
        <v>8.3</v>
      </c>
    </row>
    <row r="1085">
      <c r="A1085" s="13" t="str">
        <f>IFERROR(__xludf.DUMMYFUNCTION("""COMPUTED_VALUE"""),"2405")</f>
        <v>2405</v>
      </c>
      <c r="B1085" s="13" t="str">
        <f>IFERROR(__xludf.DUMMYFUNCTION("""COMPUTED_VALUE"""),"FORT MORGAN RE-3")</f>
        <v>FORT MORGAN RE-3</v>
      </c>
      <c r="C1085" s="14" t="str">
        <f>IFERROR(__xludf.DUMMYFUNCTION("""COMPUTED_VALUE"""),"03078")</f>
        <v>03078</v>
      </c>
      <c r="D1085" s="13" t="str">
        <f>IFERROR(__xludf.DUMMYFUNCTION("""COMPUTED_VALUE"""),"FORT MORGAN HIGH SCHOOL")</f>
        <v>FORT MORGAN HIGH SCHOOL</v>
      </c>
      <c r="E1085" s="13" t="str">
        <f>IFERROR(__xludf.DUMMYFUNCTION("""COMPUTED_VALUE"""),"Group 2")</f>
        <v>Group 2</v>
      </c>
      <c r="F1085" s="13" t="str">
        <f>IFERROR(__xludf.DUMMYFUNCTION("""COMPUTED_VALUE"""),"2024 - 2025")</f>
        <v>2024 - 2025</v>
      </c>
      <c r="G1085" s="13" t="str">
        <f>IFERROR(__xludf.DUMMYFUNCTION("""COMPUTED_VALUE"""),"2023 - 2024")</f>
        <v>2023 - 2024</v>
      </c>
      <c r="H1085" s="13">
        <f>IFERROR(__xludf.DUMMYFUNCTION("""COMPUTED_VALUE"""),71.7)</f>
        <v>71.7</v>
      </c>
      <c r="I1085" s="15">
        <f>IFERROR(__xludf.DUMMYFUNCTION("""COMPUTED_VALUE"""),28.299999999999997)</f>
        <v>28.3</v>
      </c>
    </row>
    <row r="1086">
      <c r="A1086" s="13" t="str">
        <f>IFERROR(__xludf.DUMMYFUNCTION("""COMPUTED_VALUE"""),"2405")</f>
        <v>2405</v>
      </c>
      <c r="B1086" s="13" t="str">
        <f>IFERROR(__xludf.DUMMYFUNCTION("""COMPUTED_VALUE"""),"FORT MORGAN RE-3")</f>
        <v>FORT MORGAN RE-3</v>
      </c>
      <c r="C1086" s="14" t="str">
        <f>IFERROR(__xludf.DUMMYFUNCTION("""COMPUTED_VALUE"""),"07856")</f>
        <v>07856</v>
      </c>
      <c r="D1086" s="13" t="str">
        <f>IFERROR(__xludf.DUMMYFUNCTION("""COMPUTED_VALUE"""),"SHERMAN EARLY CHILDHOOD CENTER")</f>
        <v>SHERMAN EARLY CHILDHOOD CENTER</v>
      </c>
      <c r="E1086" s="13" t="str">
        <f>IFERROR(__xludf.DUMMYFUNCTION("""COMPUTED_VALUE"""),"Group 2")</f>
        <v>Group 2</v>
      </c>
      <c r="F1086" s="13" t="str">
        <f>IFERROR(__xludf.DUMMYFUNCTION("""COMPUTED_VALUE"""),"2024 - 2025")</f>
        <v>2024 - 2025</v>
      </c>
      <c r="G1086" s="13" t="str">
        <f>IFERROR(__xludf.DUMMYFUNCTION("""COMPUTED_VALUE"""),"2023 - 2024")</f>
        <v>2023 - 2024</v>
      </c>
      <c r="H1086" s="13">
        <f>IFERROR(__xludf.DUMMYFUNCTION("""COMPUTED_VALUE"""),71.7)</f>
        <v>71.7</v>
      </c>
      <c r="I1086" s="15">
        <f>IFERROR(__xludf.DUMMYFUNCTION("""COMPUTED_VALUE"""),28.299999999999997)</f>
        <v>28.3</v>
      </c>
    </row>
    <row r="1087">
      <c r="A1087" s="13" t="str">
        <f>IFERROR(__xludf.DUMMYFUNCTION("""COMPUTED_VALUE"""),"2405")</f>
        <v>2405</v>
      </c>
      <c r="B1087" s="13" t="str">
        <f>IFERROR(__xludf.DUMMYFUNCTION("""COMPUTED_VALUE"""),"FORT MORGAN RE-3")</f>
        <v>FORT MORGAN RE-3</v>
      </c>
      <c r="C1087" s="14" t="str">
        <f>IFERROR(__xludf.DUMMYFUNCTION("""COMPUTED_VALUE"""),"01009")</f>
        <v>01009</v>
      </c>
      <c r="D1087" s="13" t="str">
        <f>IFERROR(__xludf.DUMMYFUNCTION("""COMPUTED_VALUE"""),"Baker Elementary School")</f>
        <v>Baker Elementary School</v>
      </c>
      <c r="E1087" s="13" t="str">
        <f>IFERROR(__xludf.DUMMYFUNCTION("""COMPUTED_VALUE"""),"Group 3")</f>
        <v>Group 3</v>
      </c>
      <c r="F1087" s="13" t="str">
        <f>IFERROR(__xludf.DUMMYFUNCTION("""COMPUTED_VALUE"""),"2024 - 2025")</f>
        <v>2024 - 2025</v>
      </c>
      <c r="G1087" s="13" t="str">
        <f>IFERROR(__xludf.DUMMYFUNCTION("""COMPUTED_VALUE"""),"2023 - 2024")</f>
        <v>2023 - 2024</v>
      </c>
      <c r="H1087" s="13">
        <f>IFERROR(__xludf.DUMMYFUNCTION("""COMPUTED_VALUE"""),96.96)</f>
        <v>96.96</v>
      </c>
      <c r="I1087" s="15">
        <f>IFERROR(__xludf.DUMMYFUNCTION("""COMPUTED_VALUE"""),3.0400000000000063)</f>
        <v>3.04</v>
      </c>
    </row>
    <row r="1088">
      <c r="A1088" s="13" t="str">
        <f>IFERROR(__xludf.DUMMYFUNCTION("""COMPUTED_VALUE"""),"2405")</f>
        <v>2405</v>
      </c>
      <c r="B1088" s="13" t="str">
        <f>IFERROR(__xludf.DUMMYFUNCTION("""COMPUTED_VALUE"""),"FORT MORGAN RE-3")</f>
        <v>FORT MORGAN RE-3</v>
      </c>
      <c r="C1088" s="14" t="str">
        <f>IFERROR(__xludf.DUMMYFUNCTION("""COMPUTED_VALUE"""),"06954")</f>
        <v>06954</v>
      </c>
      <c r="D1088" s="13" t="str">
        <f>IFERROR(__xludf.DUMMYFUNCTION("""COMPUTED_VALUE"""),"PIONEER ELEMENTARY SCHOOL")</f>
        <v>PIONEER ELEMENTARY SCHOOL</v>
      </c>
      <c r="E1088" s="13" t="str">
        <f>IFERROR(__xludf.DUMMYFUNCTION("""COMPUTED_VALUE"""),"Group 3")</f>
        <v>Group 3</v>
      </c>
      <c r="F1088" s="13" t="str">
        <f>IFERROR(__xludf.DUMMYFUNCTION("""COMPUTED_VALUE"""),"2024 - 2025")</f>
        <v>2024 - 2025</v>
      </c>
      <c r="G1088" s="13" t="str">
        <f>IFERROR(__xludf.DUMMYFUNCTION("""COMPUTED_VALUE"""),"2023 - 2024")</f>
        <v>2023 - 2024</v>
      </c>
      <c r="H1088" s="13">
        <f>IFERROR(__xludf.DUMMYFUNCTION("""COMPUTED_VALUE"""),96.96)</f>
        <v>96.96</v>
      </c>
      <c r="I1088" s="15">
        <f>IFERROR(__xludf.DUMMYFUNCTION("""COMPUTED_VALUE"""),3.0400000000000063)</f>
        <v>3.04</v>
      </c>
    </row>
    <row r="1089">
      <c r="A1089" s="13" t="str">
        <f>IFERROR(__xludf.DUMMYFUNCTION("""COMPUTED_VALUE"""),"2405")</f>
        <v>2405</v>
      </c>
      <c r="B1089" s="13" t="str">
        <f>IFERROR(__xludf.DUMMYFUNCTION("""COMPUTED_VALUE"""),"FORT MORGAN RE-3")</f>
        <v>FORT MORGAN RE-3</v>
      </c>
      <c r="C1089" s="14" t="str">
        <f>IFERROR(__xludf.DUMMYFUNCTION("""COMPUTED_VALUE"""),"01850")</f>
        <v>01850</v>
      </c>
      <c r="D1089" s="13" t="str">
        <f>IFERROR(__xludf.DUMMYFUNCTION("""COMPUTED_VALUE"""),"COLUMBINE ELEMENTARY SCHOOL")</f>
        <v>COLUMBINE ELEMENTARY SCHOOL</v>
      </c>
      <c r="E1089" s="13" t="str">
        <f>IFERROR(__xludf.DUMMYFUNCTION("""COMPUTED_VALUE"""),"Group 4")</f>
        <v>Group 4</v>
      </c>
      <c r="F1089" s="13" t="str">
        <f>IFERROR(__xludf.DUMMYFUNCTION("""COMPUTED_VALUE"""),"2024 - 2025")</f>
        <v>2024 - 2025</v>
      </c>
      <c r="G1089" s="13" t="str">
        <f>IFERROR(__xludf.DUMMYFUNCTION("""COMPUTED_VALUE"""),"2023 - 2024")</f>
        <v>2023 - 2024</v>
      </c>
      <c r="H1089" s="13">
        <f>IFERROR(__xludf.DUMMYFUNCTION("""COMPUTED_VALUE"""),75.86)</f>
        <v>75.86</v>
      </c>
      <c r="I1089" s="15">
        <f>IFERROR(__xludf.DUMMYFUNCTION("""COMPUTED_VALUE"""),24.14)</f>
        <v>24.14</v>
      </c>
    </row>
    <row r="1090">
      <c r="A1090" s="13" t="str">
        <f>IFERROR(__xludf.DUMMYFUNCTION("""COMPUTED_VALUE"""),"2405")</f>
        <v>2405</v>
      </c>
      <c r="B1090" s="13" t="str">
        <f>IFERROR(__xludf.DUMMYFUNCTION("""COMPUTED_VALUE"""),"FORT MORGAN RE-3")</f>
        <v>FORT MORGAN RE-3</v>
      </c>
      <c r="C1090" s="14" t="str">
        <f>IFERROR(__xludf.DUMMYFUNCTION("""COMPUTED_VALUE"""),"03074")</f>
        <v>03074</v>
      </c>
      <c r="D1090" s="13" t="str">
        <f>IFERROR(__xludf.DUMMYFUNCTION("""COMPUTED_VALUE"""),"FORT MORGAN MIDDLE SCHOOL")</f>
        <v>FORT MORGAN MIDDLE SCHOOL</v>
      </c>
      <c r="E1090" s="13" t="str">
        <f>IFERROR(__xludf.DUMMYFUNCTION("""COMPUTED_VALUE"""),"Group 4")</f>
        <v>Group 4</v>
      </c>
      <c r="F1090" s="13" t="str">
        <f>IFERROR(__xludf.DUMMYFUNCTION("""COMPUTED_VALUE"""),"2024 - 2025")</f>
        <v>2024 - 2025</v>
      </c>
      <c r="G1090" s="13" t="str">
        <f>IFERROR(__xludf.DUMMYFUNCTION("""COMPUTED_VALUE"""),"2023 - 2024")</f>
        <v>2023 - 2024</v>
      </c>
      <c r="H1090" s="13">
        <f>IFERROR(__xludf.DUMMYFUNCTION("""COMPUTED_VALUE"""),75.86)</f>
        <v>75.86</v>
      </c>
      <c r="I1090" s="15">
        <f>IFERROR(__xludf.DUMMYFUNCTION("""COMPUTED_VALUE"""),24.14)</f>
        <v>24.14</v>
      </c>
    </row>
    <row r="1091">
      <c r="A1091" s="13" t="str">
        <f>IFERROR(__xludf.DUMMYFUNCTION("""COMPUTED_VALUE"""),"2505")</f>
        <v>2505</v>
      </c>
      <c r="B1091" s="13" t="str">
        <f>IFERROR(__xludf.DUMMYFUNCTION("""COMPUTED_VALUE"""),"WELDON VALLEY RE-20(J)")</f>
        <v>WELDON VALLEY RE-20(J)</v>
      </c>
      <c r="C1091" s="14" t="str">
        <f>IFERROR(__xludf.DUMMYFUNCTION("""COMPUTED_VALUE"""),"09360")</f>
        <v>09360</v>
      </c>
      <c r="D1091" s="13" t="str">
        <f>IFERROR(__xludf.DUMMYFUNCTION("""COMPUTED_VALUE"""),"WELDON VALLEY JUNIOR SENIOR HIGH SCHOOL")</f>
        <v>WELDON VALLEY JUNIOR SENIOR HIGH SCHOOL</v>
      </c>
      <c r="E1091" s="13" t="str">
        <f>IFERROR(__xludf.DUMMYFUNCTION("""COMPUTED_VALUE"""),"Group 1")</f>
        <v>Group 1</v>
      </c>
      <c r="F1091" s="13" t="str">
        <f>IFERROR(__xludf.DUMMYFUNCTION("""COMPUTED_VALUE"""),"2024 - 2025")</f>
        <v>2024 - 2025</v>
      </c>
      <c r="G1091" s="13" t="str">
        <f>IFERROR(__xludf.DUMMYFUNCTION("""COMPUTED_VALUE"""),"2023 - 2024")</f>
        <v>2023 - 2024</v>
      </c>
      <c r="H1091" s="13">
        <f>IFERROR(__xludf.DUMMYFUNCTION("""COMPUTED_VALUE"""),45.49)</f>
        <v>45.49</v>
      </c>
      <c r="I1091" s="15">
        <f>IFERROR(__xludf.DUMMYFUNCTION("""COMPUTED_VALUE"""),54.51)</f>
        <v>54.51</v>
      </c>
    </row>
    <row r="1092">
      <c r="A1092" s="13" t="str">
        <f>IFERROR(__xludf.DUMMYFUNCTION("""COMPUTED_VALUE"""),"2515")</f>
        <v>2515</v>
      </c>
      <c r="B1092" s="13" t="str">
        <f>IFERROR(__xludf.DUMMYFUNCTION("""COMPUTED_VALUE"""),"WIGGINS RE-50(J)")</f>
        <v>WIGGINS RE-50(J)</v>
      </c>
      <c r="C1092" s="14" t="str">
        <f>IFERROR(__xludf.DUMMYFUNCTION("""COMPUTED_VALUE"""),"09576")</f>
        <v>09576</v>
      </c>
      <c r="D1092" s="13" t="str">
        <f>IFERROR(__xludf.DUMMYFUNCTION("""COMPUTED_VALUE"""),"WIGGINS ELEMENTARY SCHOOL")</f>
        <v>WIGGINS ELEMENTARY SCHOOL</v>
      </c>
      <c r="E1092" s="13" t="str">
        <f>IFERROR(__xludf.DUMMYFUNCTION("""COMPUTED_VALUE"""),"Group 1")</f>
        <v>Group 1</v>
      </c>
      <c r="F1092" s="13" t="str">
        <f>IFERROR(__xludf.DUMMYFUNCTION("""COMPUTED_VALUE"""),"2024 - 2025")</f>
        <v>2024 - 2025</v>
      </c>
      <c r="G1092" s="13" t="str">
        <f>IFERROR(__xludf.DUMMYFUNCTION("""COMPUTED_VALUE"""),"2023 - 2024")</f>
        <v>2023 - 2024</v>
      </c>
      <c r="H1092" s="13">
        <f>IFERROR(__xludf.DUMMYFUNCTION("""COMPUTED_VALUE"""),57.81)</f>
        <v>57.81</v>
      </c>
      <c r="I1092" s="15">
        <f>IFERROR(__xludf.DUMMYFUNCTION("""COMPUTED_VALUE"""),42.19)</f>
        <v>42.19</v>
      </c>
    </row>
    <row r="1093">
      <c r="A1093" s="13" t="str">
        <f>IFERROR(__xludf.DUMMYFUNCTION("""COMPUTED_VALUE"""),"2515")</f>
        <v>2515</v>
      </c>
      <c r="B1093" s="13" t="str">
        <f>IFERROR(__xludf.DUMMYFUNCTION("""COMPUTED_VALUE"""),"WIGGINS RE-50(J)")</f>
        <v>WIGGINS RE-50(J)</v>
      </c>
      <c r="C1093" s="14" t="str">
        <f>IFERROR(__xludf.DUMMYFUNCTION("""COMPUTED_VALUE"""),"09575")</f>
        <v>09575</v>
      </c>
      <c r="D1093" s="13" t="str">
        <f>IFERROR(__xludf.DUMMYFUNCTION("""COMPUTED_VALUE"""),"Wiggins Primary School")</f>
        <v>Wiggins Primary School</v>
      </c>
      <c r="E1093" s="13" t="str">
        <f>IFERROR(__xludf.DUMMYFUNCTION("""COMPUTED_VALUE"""),"Group 1")</f>
        <v>Group 1</v>
      </c>
      <c r="F1093" s="13" t="str">
        <f>IFERROR(__xludf.DUMMYFUNCTION("""COMPUTED_VALUE"""),"2024 - 2025")</f>
        <v>2024 - 2025</v>
      </c>
      <c r="G1093" s="13" t="str">
        <f>IFERROR(__xludf.DUMMYFUNCTION("""COMPUTED_VALUE"""),"2023 - 2024")</f>
        <v>2023 - 2024</v>
      </c>
      <c r="H1093" s="13">
        <f>IFERROR(__xludf.DUMMYFUNCTION("""COMPUTED_VALUE"""),57.81)</f>
        <v>57.81</v>
      </c>
      <c r="I1093" s="15">
        <f>IFERROR(__xludf.DUMMYFUNCTION("""COMPUTED_VALUE"""),42.19)</f>
        <v>42.19</v>
      </c>
    </row>
    <row r="1094">
      <c r="A1094" s="13" t="str">
        <f>IFERROR(__xludf.DUMMYFUNCTION("""COMPUTED_VALUE"""),"2515")</f>
        <v>2515</v>
      </c>
      <c r="B1094" s="13" t="str">
        <f>IFERROR(__xludf.DUMMYFUNCTION("""COMPUTED_VALUE"""),"WIGGINS RE-50(J)")</f>
        <v>WIGGINS RE-50(J)</v>
      </c>
      <c r="C1094" s="14" t="str">
        <f>IFERROR(__xludf.DUMMYFUNCTION("""COMPUTED_VALUE"""),"09582")</f>
        <v>09582</v>
      </c>
      <c r="D1094" s="13" t="str">
        <f>IFERROR(__xludf.DUMMYFUNCTION("""COMPUTED_VALUE"""),"WIGGINS HIGH SCHOOL")</f>
        <v>WIGGINS HIGH SCHOOL</v>
      </c>
      <c r="E1094" s="13" t="str">
        <f>IFERROR(__xludf.DUMMYFUNCTION("""COMPUTED_VALUE"""),"Group 2")</f>
        <v>Group 2</v>
      </c>
      <c r="F1094" s="13" t="str">
        <f>IFERROR(__xludf.DUMMYFUNCTION("""COMPUTED_VALUE"""),"2024 - 2025")</f>
        <v>2024 - 2025</v>
      </c>
      <c r="G1094" s="13" t="str">
        <f>IFERROR(__xludf.DUMMYFUNCTION("""COMPUTED_VALUE"""),"2023 - 2024")</f>
        <v>2023 - 2024</v>
      </c>
      <c r="H1094" s="13">
        <f>IFERROR(__xludf.DUMMYFUNCTION("""COMPUTED_VALUE"""),47.3)</f>
        <v>47.3</v>
      </c>
      <c r="I1094" s="15">
        <f>IFERROR(__xludf.DUMMYFUNCTION("""COMPUTED_VALUE"""),52.7)</f>
        <v>52.7</v>
      </c>
    </row>
    <row r="1095">
      <c r="A1095" s="13" t="str">
        <f>IFERROR(__xludf.DUMMYFUNCTION("""COMPUTED_VALUE"""),"2515")</f>
        <v>2515</v>
      </c>
      <c r="B1095" s="13" t="str">
        <f>IFERROR(__xludf.DUMMYFUNCTION("""COMPUTED_VALUE"""),"WIGGINS RE-50(J)")</f>
        <v>WIGGINS RE-50(J)</v>
      </c>
      <c r="C1095" s="14" t="str">
        <f>IFERROR(__xludf.DUMMYFUNCTION("""COMPUTED_VALUE"""),"09263")</f>
        <v>09263</v>
      </c>
      <c r="D1095" s="13" t="str">
        <f>IFERROR(__xludf.DUMMYFUNCTION("""COMPUTED_VALUE"""),"Wiggins Middle School")</f>
        <v>Wiggins Middle School</v>
      </c>
      <c r="E1095" s="13" t="str">
        <f>IFERROR(__xludf.DUMMYFUNCTION("""COMPUTED_VALUE"""),"Group 2")</f>
        <v>Group 2</v>
      </c>
      <c r="F1095" s="13" t="str">
        <f>IFERROR(__xludf.DUMMYFUNCTION("""COMPUTED_VALUE"""),"2024 - 2025")</f>
        <v>2024 - 2025</v>
      </c>
      <c r="G1095" s="13" t="str">
        <f>IFERROR(__xludf.DUMMYFUNCTION("""COMPUTED_VALUE"""),"2023 - 2024")</f>
        <v>2023 - 2024</v>
      </c>
      <c r="H1095" s="13">
        <f>IFERROR(__xludf.DUMMYFUNCTION("""COMPUTED_VALUE"""),47.3)</f>
        <v>47.3</v>
      </c>
      <c r="I1095" s="15">
        <f>IFERROR(__xludf.DUMMYFUNCTION("""COMPUTED_VALUE"""),52.7)</f>
        <v>52.7</v>
      </c>
    </row>
    <row r="1096">
      <c r="A1096" s="13" t="str">
        <f>IFERROR(__xludf.DUMMYFUNCTION("""COMPUTED_VALUE"""),"2520")</f>
        <v>2520</v>
      </c>
      <c r="B1096" s="13" t="str">
        <f>IFERROR(__xludf.DUMMYFUNCTION("""COMPUTED_VALUE"""),"East Otero School District R-1")</f>
        <v>East Otero School District R-1</v>
      </c>
      <c r="C1096" s="14" t="str">
        <f>IFERROR(__xludf.DUMMYFUNCTION("""COMPUTED_VALUE"""),"04841")</f>
        <v>04841</v>
      </c>
      <c r="D1096" s="13" t="str">
        <f>IFERROR(__xludf.DUMMYFUNCTION("""COMPUTED_VALUE"""),"LA JUNTA INTERMEDIATE SCHOOL")</f>
        <v>LA JUNTA INTERMEDIATE SCHOOL</v>
      </c>
      <c r="E1096" s="13" t="str">
        <f>IFERROR(__xludf.DUMMYFUNCTION("""COMPUTED_VALUE"""),"Group 1")</f>
        <v>Group 1</v>
      </c>
      <c r="F1096" s="13" t="str">
        <f>IFERROR(__xludf.DUMMYFUNCTION("""COMPUTED_VALUE"""),"2024 - 2025")</f>
        <v>2024 - 2025</v>
      </c>
      <c r="G1096" s="13" t="str">
        <f>IFERROR(__xludf.DUMMYFUNCTION("""COMPUTED_VALUE"""),"2023 - 2024")</f>
        <v>2023 - 2024</v>
      </c>
      <c r="H1096" s="13">
        <f>IFERROR(__xludf.DUMMYFUNCTION("""COMPUTED_VALUE"""),100.0)</f>
        <v>100</v>
      </c>
      <c r="I1096" s="15">
        <f>IFERROR(__xludf.DUMMYFUNCTION("""COMPUTED_VALUE"""),0.0)</f>
        <v>0</v>
      </c>
    </row>
    <row r="1097">
      <c r="A1097" s="13" t="str">
        <f>IFERROR(__xludf.DUMMYFUNCTION("""COMPUTED_VALUE"""),"2520")</f>
        <v>2520</v>
      </c>
      <c r="B1097" s="13" t="str">
        <f>IFERROR(__xludf.DUMMYFUNCTION("""COMPUTED_VALUE"""),"East Otero School District R-1")</f>
        <v>East Otero School District R-1</v>
      </c>
      <c r="C1097" s="14" t="str">
        <f>IFERROR(__xludf.DUMMYFUNCTION("""COMPUTED_VALUE"""),"04843")</f>
        <v>04843</v>
      </c>
      <c r="D1097" s="13" t="str">
        <f>IFERROR(__xludf.DUMMYFUNCTION("""COMPUTED_VALUE"""),"LA JUNTA PRIMARY SCHOOL")</f>
        <v>LA JUNTA PRIMARY SCHOOL</v>
      </c>
      <c r="E1097" s="13" t="str">
        <f>IFERROR(__xludf.DUMMYFUNCTION("""COMPUTED_VALUE"""),"Group 2")</f>
        <v>Group 2</v>
      </c>
      <c r="F1097" s="13" t="str">
        <f>IFERROR(__xludf.DUMMYFUNCTION("""COMPUTED_VALUE"""),"2024 - 2025")</f>
        <v>2024 - 2025</v>
      </c>
      <c r="G1097" s="13" t="str">
        <f>IFERROR(__xludf.DUMMYFUNCTION("""COMPUTED_VALUE"""),"2023 - 2024")</f>
        <v>2023 - 2024</v>
      </c>
      <c r="H1097" s="13">
        <f>IFERROR(__xludf.DUMMYFUNCTION("""COMPUTED_VALUE"""),100.0)</f>
        <v>100</v>
      </c>
      <c r="I1097" s="15">
        <f>IFERROR(__xludf.DUMMYFUNCTION("""COMPUTED_VALUE"""),0.0)</f>
        <v>0</v>
      </c>
    </row>
    <row r="1098">
      <c r="A1098" s="13" t="str">
        <f>IFERROR(__xludf.DUMMYFUNCTION("""COMPUTED_VALUE"""),"2520")</f>
        <v>2520</v>
      </c>
      <c r="B1098" s="13" t="str">
        <f>IFERROR(__xludf.DUMMYFUNCTION("""COMPUTED_VALUE"""),"East Otero School District R-1")</f>
        <v>East Otero School District R-1</v>
      </c>
      <c r="C1098" s="14" t="str">
        <f>IFERROR(__xludf.DUMMYFUNCTION("""COMPUTED_VALUE"""),"05015")</f>
        <v>05015</v>
      </c>
      <c r="D1098" s="13" t="str">
        <f>IFERROR(__xludf.DUMMYFUNCTION("""COMPUTED_VALUE"""),"LA JUNTA JUNIOR/SENIOR HIGH SCHOOL")</f>
        <v>LA JUNTA JUNIOR/SENIOR HIGH SCHOOL</v>
      </c>
      <c r="E1098" s="13" t="str">
        <f>IFERROR(__xludf.DUMMYFUNCTION("""COMPUTED_VALUE"""),"Group 2")</f>
        <v>Group 2</v>
      </c>
      <c r="F1098" s="13" t="str">
        <f>IFERROR(__xludf.DUMMYFUNCTION("""COMPUTED_VALUE"""),"2024 - 2025")</f>
        <v>2024 - 2025</v>
      </c>
      <c r="G1098" s="13" t="str">
        <f>IFERROR(__xludf.DUMMYFUNCTION("""COMPUTED_VALUE"""),"2023 - 2024")</f>
        <v>2023 - 2024</v>
      </c>
      <c r="H1098" s="13">
        <f>IFERROR(__xludf.DUMMYFUNCTION("""COMPUTED_VALUE"""),100.0)</f>
        <v>100</v>
      </c>
      <c r="I1098" s="15">
        <f>IFERROR(__xludf.DUMMYFUNCTION("""COMPUTED_VALUE"""),0.0)</f>
        <v>0</v>
      </c>
    </row>
    <row r="1099">
      <c r="A1099" s="13" t="str">
        <f>IFERROR(__xludf.DUMMYFUNCTION("""COMPUTED_VALUE"""),"2520")</f>
        <v>2520</v>
      </c>
      <c r="B1099" s="13" t="str">
        <f>IFERROR(__xludf.DUMMYFUNCTION("""COMPUTED_VALUE"""),"East Otero School District R-1")</f>
        <v>East Otero School District R-1</v>
      </c>
      <c r="C1099" s="14" t="str">
        <f>IFERROR(__xludf.DUMMYFUNCTION("""COMPUTED_VALUE"""),"05455")</f>
        <v>05455</v>
      </c>
      <c r="D1099" s="13" t="str">
        <f>IFERROR(__xludf.DUMMYFUNCTION("""COMPUTED_VALUE"""),"Tiger Trades Academy")</f>
        <v>Tiger Trades Academy</v>
      </c>
      <c r="E1099" s="13" t="str">
        <f>IFERROR(__xludf.DUMMYFUNCTION("""COMPUTED_VALUE"""),"Group 2")</f>
        <v>Group 2</v>
      </c>
      <c r="F1099" s="13" t="str">
        <f>IFERROR(__xludf.DUMMYFUNCTION("""COMPUTED_VALUE"""),"2024 - 2025")</f>
        <v>2024 - 2025</v>
      </c>
      <c r="G1099" s="13" t="str">
        <f>IFERROR(__xludf.DUMMYFUNCTION("""COMPUTED_VALUE"""),"2023 - 2024")</f>
        <v>2023 - 2024</v>
      </c>
      <c r="H1099" s="13">
        <f>IFERROR(__xludf.DUMMYFUNCTION("""COMPUTED_VALUE"""),100.0)</f>
        <v>100</v>
      </c>
      <c r="I1099" s="15">
        <f>IFERROR(__xludf.DUMMYFUNCTION("""COMPUTED_VALUE"""),0.0)</f>
        <v>0</v>
      </c>
    </row>
    <row r="1100">
      <c r="A1100" s="13" t="str">
        <f>IFERROR(__xludf.DUMMYFUNCTION("""COMPUTED_VALUE"""),"2530")</f>
        <v>2530</v>
      </c>
      <c r="B1100" s="13" t="str">
        <f>IFERROR(__xludf.DUMMYFUNCTION("""COMPUTED_VALUE"""),"ROCKY FORD R-2")</f>
        <v>ROCKY FORD R-2</v>
      </c>
      <c r="C1100" s="14" t="str">
        <f>IFERROR(__xludf.DUMMYFUNCTION("""COMPUTED_VALUE"""),"05114")</f>
        <v>05114</v>
      </c>
      <c r="D1100" s="13" t="str">
        <f>IFERROR(__xludf.DUMMYFUNCTION("""COMPUTED_VALUE"""),"Rocky Ford Elementary School")</f>
        <v>Rocky Ford Elementary School</v>
      </c>
      <c r="E1100" s="13" t="str">
        <f>IFERROR(__xludf.DUMMYFUNCTION("""COMPUTED_VALUE"""),"Group 1")</f>
        <v>Group 1</v>
      </c>
      <c r="F1100" s="13" t="str">
        <f>IFERROR(__xludf.DUMMYFUNCTION("""COMPUTED_VALUE"""),"2024 - 2025")</f>
        <v>2024 - 2025</v>
      </c>
      <c r="G1100" s="13" t="str">
        <f>IFERROR(__xludf.DUMMYFUNCTION("""COMPUTED_VALUE"""),"2023 - 2024")</f>
        <v>2023 - 2024</v>
      </c>
      <c r="H1100" s="13">
        <f>IFERROR(__xludf.DUMMYFUNCTION("""COMPUTED_VALUE"""),100.0)</f>
        <v>100</v>
      </c>
      <c r="I1100" s="15">
        <f>IFERROR(__xludf.DUMMYFUNCTION("""COMPUTED_VALUE"""),0.0)</f>
        <v>0</v>
      </c>
    </row>
    <row r="1101">
      <c r="A1101" s="13" t="str">
        <f>IFERROR(__xludf.DUMMYFUNCTION("""COMPUTED_VALUE"""),"2530")</f>
        <v>2530</v>
      </c>
      <c r="B1101" s="13" t="str">
        <f>IFERROR(__xludf.DUMMYFUNCTION("""COMPUTED_VALUE"""),"ROCKY FORD R-2")</f>
        <v>ROCKY FORD R-2</v>
      </c>
      <c r="C1101" s="14" t="str">
        <f>IFERROR(__xludf.DUMMYFUNCTION("""COMPUTED_VALUE"""),"07442")</f>
        <v>07442</v>
      </c>
      <c r="D1101" s="13" t="str">
        <f>IFERROR(__xludf.DUMMYFUNCTION("""COMPUTED_VALUE"""),"ROCKY FORD JR/SR HIGH SCHOOL")</f>
        <v>ROCKY FORD JR/SR HIGH SCHOOL</v>
      </c>
      <c r="E1101" s="13" t="str">
        <f>IFERROR(__xludf.DUMMYFUNCTION("""COMPUTED_VALUE"""),"Group 1")</f>
        <v>Group 1</v>
      </c>
      <c r="F1101" s="13" t="str">
        <f>IFERROR(__xludf.DUMMYFUNCTION("""COMPUTED_VALUE"""),"2024 - 2025")</f>
        <v>2024 - 2025</v>
      </c>
      <c r="G1101" s="13" t="str">
        <f>IFERROR(__xludf.DUMMYFUNCTION("""COMPUTED_VALUE"""),"2023 - 2024")</f>
        <v>2023 - 2024</v>
      </c>
      <c r="H1101" s="13">
        <f>IFERROR(__xludf.DUMMYFUNCTION("""COMPUTED_VALUE"""),100.0)</f>
        <v>100</v>
      </c>
      <c r="I1101" s="15">
        <f>IFERROR(__xludf.DUMMYFUNCTION("""COMPUTED_VALUE"""),0.0)</f>
        <v>0</v>
      </c>
    </row>
    <row r="1102">
      <c r="A1102" s="13" t="str">
        <f>IFERROR(__xludf.DUMMYFUNCTION("""COMPUTED_VALUE"""),"2535")</f>
        <v>2535</v>
      </c>
      <c r="B1102" s="13" t="str">
        <f>IFERROR(__xludf.DUMMYFUNCTION("""COMPUTED_VALUE"""),"MANZANOLA 3J")</f>
        <v>MANZANOLA 3J</v>
      </c>
      <c r="C1102" s="14" t="str">
        <f>IFERROR(__xludf.DUMMYFUNCTION("""COMPUTED_VALUE"""),"05506")</f>
        <v>05506</v>
      </c>
      <c r="D1102" s="13" t="str">
        <f>IFERROR(__xludf.DUMMYFUNCTION("""COMPUTED_VALUE"""),"MANZANOLA JUNIOR-SENIOR HIGH SCHOOL")</f>
        <v>MANZANOLA JUNIOR-SENIOR HIGH SCHOOL</v>
      </c>
      <c r="E1102" s="13" t="str">
        <f>IFERROR(__xludf.DUMMYFUNCTION("""COMPUTED_VALUE"""),"Group 1")</f>
        <v>Group 1</v>
      </c>
      <c r="F1102" s="13" t="str">
        <f>IFERROR(__xludf.DUMMYFUNCTION("""COMPUTED_VALUE"""),"2024 - 2025")</f>
        <v>2024 - 2025</v>
      </c>
      <c r="G1102" s="13" t="str">
        <f>IFERROR(__xludf.DUMMYFUNCTION("""COMPUTED_VALUE"""),"2023 - 2024")</f>
        <v>2023 - 2024</v>
      </c>
      <c r="H1102" s="13">
        <f>IFERROR(__xludf.DUMMYFUNCTION("""COMPUTED_VALUE"""),100.0)</f>
        <v>100</v>
      </c>
      <c r="I1102" s="15">
        <f>IFERROR(__xludf.DUMMYFUNCTION("""COMPUTED_VALUE"""),0.0)</f>
        <v>0</v>
      </c>
    </row>
    <row r="1103">
      <c r="A1103" s="13" t="str">
        <f>IFERROR(__xludf.DUMMYFUNCTION("""COMPUTED_VALUE"""),"2535")</f>
        <v>2535</v>
      </c>
      <c r="B1103" s="13" t="str">
        <f>IFERROR(__xludf.DUMMYFUNCTION("""COMPUTED_VALUE"""),"MANZANOLA 3J")</f>
        <v>MANZANOLA 3J</v>
      </c>
      <c r="C1103" s="14" t="str">
        <f>IFERROR(__xludf.DUMMYFUNCTION("""COMPUTED_VALUE"""),"05498")</f>
        <v>05498</v>
      </c>
      <c r="D1103" s="13" t="str">
        <f>IFERROR(__xludf.DUMMYFUNCTION("""COMPUTED_VALUE"""),"MANZANOLA ELEMENTARY SCHOOL")</f>
        <v>MANZANOLA ELEMENTARY SCHOOL</v>
      </c>
      <c r="E1103" s="13" t="str">
        <f>IFERROR(__xludf.DUMMYFUNCTION("""COMPUTED_VALUE"""),"Group 2")</f>
        <v>Group 2</v>
      </c>
      <c r="F1103" s="13" t="str">
        <f>IFERROR(__xludf.DUMMYFUNCTION("""COMPUTED_VALUE"""),"2024 - 2025")</f>
        <v>2024 - 2025</v>
      </c>
      <c r="G1103" s="13" t="str">
        <f>IFERROR(__xludf.DUMMYFUNCTION("""COMPUTED_VALUE"""),"2023 - 2024")</f>
        <v>2023 - 2024</v>
      </c>
      <c r="H1103" s="13">
        <f>IFERROR(__xludf.DUMMYFUNCTION("""COMPUTED_VALUE"""),100.0)</f>
        <v>100</v>
      </c>
      <c r="I1103" s="15">
        <f>IFERROR(__xludf.DUMMYFUNCTION("""COMPUTED_VALUE"""),0.0)</f>
        <v>0</v>
      </c>
    </row>
    <row r="1104">
      <c r="A1104" s="13" t="str">
        <f>IFERROR(__xludf.DUMMYFUNCTION("""COMPUTED_VALUE"""),"2540")</f>
        <v>2540</v>
      </c>
      <c r="B1104" s="13" t="str">
        <f>IFERROR(__xludf.DUMMYFUNCTION("""COMPUTED_VALUE"""),"Fowler R-4J")</f>
        <v>Fowler R-4J</v>
      </c>
      <c r="C1104" s="14" t="str">
        <f>IFERROR(__xludf.DUMMYFUNCTION("""COMPUTED_VALUE"""),"03134")</f>
        <v>03134</v>
      </c>
      <c r="D1104" s="13" t="str">
        <f>IFERROR(__xludf.DUMMYFUNCTION("""COMPUTED_VALUE"""),"FOWLER HIGH SCHOOL")</f>
        <v>FOWLER HIGH SCHOOL</v>
      </c>
      <c r="E1104" s="13" t="str">
        <f>IFERROR(__xludf.DUMMYFUNCTION("""COMPUTED_VALUE"""),"Group 1")</f>
        <v>Group 1</v>
      </c>
      <c r="F1104" s="13" t="str">
        <f>IFERROR(__xludf.DUMMYFUNCTION("""COMPUTED_VALUE"""),"2024 - 2025")</f>
        <v>2024 - 2025</v>
      </c>
      <c r="G1104" s="13" t="str">
        <f>IFERROR(__xludf.DUMMYFUNCTION("""COMPUTED_VALUE"""),"2023 - 2024")</f>
        <v>2023 - 2024</v>
      </c>
      <c r="H1104" s="13">
        <f>IFERROR(__xludf.DUMMYFUNCTION("""COMPUTED_VALUE"""),48.34)</f>
        <v>48.34</v>
      </c>
      <c r="I1104" s="15">
        <f>IFERROR(__xludf.DUMMYFUNCTION("""COMPUTED_VALUE"""),51.66)</f>
        <v>51.66</v>
      </c>
    </row>
    <row r="1105">
      <c r="A1105" s="13" t="str">
        <f>IFERROR(__xludf.DUMMYFUNCTION("""COMPUTED_VALUE"""),"2540")</f>
        <v>2540</v>
      </c>
      <c r="B1105" s="13" t="str">
        <f>IFERROR(__xludf.DUMMYFUNCTION("""COMPUTED_VALUE"""),"Fowler R-4J")</f>
        <v>Fowler R-4J</v>
      </c>
      <c r="C1105" s="14" t="str">
        <f>IFERROR(__xludf.DUMMYFUNCTION("""COMPUTED_VALUE"""),"00056")</f>
        <v>00056</v>
      </c>
      <c r="D1105" s="13" t="str">
        <f>IFERROR(__xludf.DUMMYFUNCTION("""COMPUTED_VALUE"""),"FOWLER ELEMENTARY")</f>
        <v>FOWLER ELEMENTARY</v>
      </c>
      <c r="E1105" s="13" t="str">
        <f>IFERROR(__xludf.DUMMYFUNCTION("""COMPUTED_VALUE"""),"Group 2")</f>
        <v>Group 2</v>
      </c>
      <c r="F1105" s="13" t="str">
        <f>IFERROR(__xludf.DUMMYFUNCTION("""COMPUTED_VALUE"""),"2024 - 2025")</f>
        <v>2024 - 2025</v>
      </c>
      <c r="G1105" s="13" t="str">
        <f>IFERROR(__xludf.DUMMYFUNCTION("""COMPUTED_VALUE"""),"2023 - 2024")</f>
        <v>2023 - 2024</v>
      </c>
      <c r="H1105" s="13">
        <f>IFERROR(__xludf.DUMMYFUNCTION("""COMPUTED_VALUE"""),88.32)</f>
        <v>88.32</v>
      </c>
      <c r="I1105" s="15">
        <f>IFERROR(__xludf.DUMMYFUNCTION("""COMPUTED_VALUE"""),11.680000000000007)</f>
        <v>11.68</v>
      </c>
    </row>
    <row r="1106">
      <c r="A1106" s="13" t="str">
        <f>IFERROR(__xludf.DUMMYFUNCTION("""COMPUTED_VALUE"""),"2540")</f>
        <v>2540</v>
      </c>
      <c r="B1106" s="13" t="str">
        <f>IFERROR(__xludf.DUMMYFUNCTION("""COMPUTED_VALUE"""),"Fowler R-4J")</f>
        <v>Fowler R-4J</v>
      </c>
      <c r="C1106" s="14" t="str">
        <f>IFERROR(__xludf.DUMMYFUNCTION("""COMPUTED_VALUE"""),"03130")</f>
        <v>03130</v>
      </c>
      <c r="D1106" s="13" t="str">
        <f>IFERROR(__xludf.DUMMYFUNCTION("""COMPUTED_VALUE"""),"FOWLER JUNIOR HIGH SCHOOL")</f>
        <v>FOWLER JUNIOR HIGH SCHOOL</v>
      </c>
      <c r="E1106" s="13" t="str">
        <f>IFERROR(__xludf.DUMMYFUNCTION("""COMPUTED_VALUE"""),"Group 2")</f>
        <v>Group 2</v>
      </c>
      <c r="F1106" s="13" t="str">
        <f>IFERROR(__xludf.DUMMYFUNCTION("""COMPUTED_VALUE"""),"2024 - 2025")</f>
        <v>2024 - 2025</v>
      </c>
      <c r="G1106" s="13" t="str">
        <f>IFERROR(__xludf.DUMMYFUNCTION("""COMPUTED_VALUE"""),"2023 - 2024")</f>
        <v>2023 - 2024</v>
      </c>
      <c r="H1106" s="13">
        <f>IFERROR(__xludf.DUMMYFUNCTION("""COMPUTED_VALUE"""),88.32)</f>
        <v>88.32</v>
      </c>
      <c r="I1106" s="15">
        <f>IFERROR(__xludf.DUMMYFUNCTION("""COMPUTED_VALUE"""),11.680000000000007)</f>
        <v>11.68</v>
      </c>
    </row>
    <row r="1107">
      <c r="A1107" s="13" t="str">
        <f>IFERROR(__xludf.DUMMYFUNCTION("""COMPUTED_VALUE"""),"2570")</f>
        <v>2570</v>
      </c>
      <c r="B1107" s="13" t="str">
        <f>IFERROR(__xludf.DUMMYFUNCTION("""COMPUTED_VALUE"""),"SWINK 33")</f>
        <v>SWINK 33</v>
      </c>
      <c r="C1107" s="14" t="str">
        <f>IFERROR(__xludf.DUMMYFUNCTION("""COMPUTED_VALUE"""),"08452")</f>
        <v>08452</v>
      </c>
      <c r="D1107" s="13" t="str">
        <f>IFERROR(__xludf.DUMMYFUNCTION("""COMPUTED_VALUE"""),"SWINK ELEMENTARY SCHOOL")</f>
        <v>SWINK ELEMENTARY SCHOOL</v>
      </c>
      <c r="E1107" s="13" t="str">
        <f>IFERROR(__xludf.DUMMYFUNCTION("""COMPUTED_VALUE"""),"Group 1")</f>
        <v>Group 1</v>
      </c>
      <c r="F1107" s="13" t="str">
        <f>IFERROR(__xludf.DUMMYFUNCTION("""COMPUTED_VALUE"""),"2024 - 2025")</f>
        <v>2024 - 2025</v>
      </c>
      <c r="G1107" s="13" t="str">
        <f>IFERROR(__xludf.DUMMYFUNCTION("""COMPUTED_VALUE"""),"2023 - 2024")</f>
        <v>2023 - 2024</v>
      </c>
      <c r="H1107" s="13">
        <f>IFERROR(__xludf.DUMMYFUNCTION("""COMPUTED_VALUE"""),75.7)</f>
        <v>75.7</v>
      </c>
      <c r="I1107" s="15">
        <f>IFERROR(__xludf.DUMMYFUNCTION("""COMPUTED_VALUE"""),24.299999999999997)</f>
        <v>24.3</v>
      </c>
    </row>
    <row r="1108">
      <c r="A1108" s="13" t="str">
        <f>IFERROR(__xludf.DUMMYFUNCTION("""COMPUTED_VALUE"""),"2570")</f>
        <v>2570</v>
      </c>
      <c r="B1108" s="13" t="str">
        <f>IFERROR(__xludf.DUMMYFUNCTION("""COMPUTED_VALUE"""),"SWINK 33")</f>
        <v>SWINK 33</v>
      </c>
      <c r="C1108" s="14" t="str">
        <f>IFERROR(__xludf.DUMMYFUNCTION("""COMPUTED_VALUE"""),"08456")</f>
        <v>08456</v>
      </c>
      <c r="D1108" s="13" t="str">
        <f>IFERROR(__xludf.DUMMYFUNCTION("""COMPUTED_VALUE"""),"SWINK JUNIOR-SENIOR HIGH SCHOOL")</f>
        <v>SWINK JUNIOR-SENIOR HIGH SCHOOL</v>
      </c>
      <c r="E1108" s="13" t="str">
        <f>IFERROR(__xludf.DUMMYFUNCTION("""COMPUTED_VALUE"""),"Group 2")</f>
        <v>Group 2</v>
      </c>
      <c r="F1108" s="13" t="str">
        <f>IFERROR(__xludf.DUMMYFUNCTION("""COMPUTED_VALUE"""),"2024 - 2025")</f>
        <v>2024 - 2025</v>
      </c>
      <c r="G1108" s="13" t="str">
        <f>IFERROR(__xludf.DUMMYFUNCTION("""COMPUTED_VALUE"""),"2023 - 2024")</f>
        <v>2023 - 2024</v>
      </c>
      <c r="H1108" s="13">
        <f>IFERROR(__xludf.DUMMYFUNCTION("""COMPUTED_VALUE"""),50.53)</f>
        <v>50.53</v>
      </c>
      <c r="I1108" s="15">
        <f>IFERROR(__xludf.DUMMYFUNCTION("""COMPUTED_VALUE"""),49.47)</f>
        <v>49.47</v>
      </c>
    </row>
    <row r="1109">
      <c r="A1109" s="13" t="str">
        <f>IFERROR(__xludf.DUMMYFUNCTION("""COMPUTED_VALUE"""),"2580")</f>
        <v>2580</v>
      </c>
      <c r="B1109" s="13" t="str">
        <f>IFERROR(__xludf.DUMMYFUNCTION("""COMPUTED_VALUE"""),"OURAY R-1")</f>
        <v>OURAY R-1</v>
      </c>
      <c r="C1109" s="14" t="str">
        <f>IFERROR(__xludf.DUMMYFUNCTION("""COMPUTED_VALUE"""),"06596")</f>
        <v>06596</v>
      </c>
      <c r="D1109" s="13" t="str">
        <f>IFERROR(__xludf.DUMMYFUNCTION("""COMPUTED_VALUE"""),"OURAY ELEMENTARY SCHOOL")</f>
        <v>OURAY ELEMENTARY SCHOOL</v>
      </c>
      <c r="E1109" s="13" t="str">
        <f>IFERROR(__xludf.DUMMYFUNCTION("""COMPUTED_VALUE"""),"Group 1")</f>
        <v>Group 1</v>
      </c>
      <c r="F1109" s="13" t="str">
        <f>IFERROR(__xludf.DUMMYFUNCTION("""COMPUTED_VALUE"""),"2024 - 2025")</f>
        <v>2024 - 2025</v>
      </c>
      <c r="G1109" s="13" t="str">
        <f>IFERROR(__xludf.DUMMYFUNCTION("""COMPUTED_VALUE"""),"2023 - 2024")</f>
        <v>2023 - 2024</v>
      </c>
      <c r="H1109" s="13">
        <f>IFERROR(__xludf.DUMMYFUNCTION("""COMPUTED_VALUE"""),47.31)</f>
        <v>47.31</v>
      </c>
      <c r="I1109" s="15">
        <f>IFERROR(__xludf.DUMMYFUNCTION("""COMPUTED_VALUE"""),52.69)</f>
        <v>52.69</v>
      </c>
    </row>
    <row r="1110">
      <c r="A1110" s="13" t="str">
        <f>IFERROR(__xludf.DUMMYFUNCTION("""COMPUTED_VALUE"""),"2580")</f>
        <v>2580</v>
      </c>
      <c r="B1110" s="13" t="str">
        <f>IFERROR(__xludf.DUMMYFUNCTION("""COMPUTED_VALUE"""),"OURAY R-1")</f>
        <v>OURAY R-1</v>
      </c>
      <c r="C1110" s="14" t="str">
        <f>IFERROR(__xludf.DUMMYFUNCTION("""COMPUTED_VALUE"""),"06600")</f>
        <v>06600</v>
      </c>
      <c r="D1110" s="13" t="str">
        <f>IFERROR(__xludf.DUMMYFUNCTION("""COMPUTED_VALUE"""),"OURAY SENIOR HIGH SCHOOL")</f>
        <v>OURAY SENIOR HIGH SCHOOL</v>
      </c>
      <c r="E1110" s="13" t="str">
        <f>IFERROR(__xludf.DUMMYFUNCTION("""COMPUTED_VALUE"""),"Group 1")</f>
        <v>Group 1</v>
      </c>
      <c r="F1110" s="13" t="str">
        <f>IFERROR(__xludf.DUMMYFUNCTION("""COMPUTED_VALUE"""),"2024 - 2025")</f>
        <v>2024 - 2025</v>
      </c>
      <c r="G1110" s="13" t="str">
        <f>IFERROR(__xludf.DUMMYFUNCTION("""COMPUTED_VALUE"""),"2023 - 2024")</f>
        <v>2023 - 2024</v>
      </c>
      <c r="H1110" s="13">
        <f>IFERROR(__xludf.DUMMYFUNCTION("""COMPUTED_VALUE"""),47.31)</f>
        <v>47.31</v>
      </c>
      <c r="I1110" s="15">
        <f>IFERROR(__xludf.DUMMYFUNCTION("""COMPUTED_VALUE"""),52.69)</f>
        <v>52.69</v>
      </c>
    </row>
    <row r="1111">
      <c r="A1111" s="13" t="str">
        <f>IFERROR(__xludf.DUMMYFUNCTION("""COMPUTED_VALUE"""),"2580")</f>
        <v>2580</v>
      </c>
      <c r="B1111" s="13" t="str">
        <f>IFERROR(__xludf.DUMMYFUNCTION("""COMPUTED_VALUE"""),"OURAY R-1")</f>
        <v>OURAY R-1</v>
      </c>
      <c r="C1111" s="14" t="str">
        <f>IFERROR(__xludf.DUMMYFUNCTION("""COMPUTED_VALUE"""),"06598")</f>
        <v>06598</v>
      </c>
      <c r="D1111" s="13" t="str">
        <f>IFERROR(__xludf.DUMMYFUNCTION("""COMPUTED_VALUE"""),"OURAY MIDDLE SCHOOL")</f>
        <v>OURAY MIDDLE SCHOOL</v>
      </c>
      <c r="E1111" s="13" t="str">
        <f>IFERROR(__xludf.DUMMYFUNCTION("""COMPUTED_VALUE"""),"Group 2")</f>
        <v>Group 2</v>
      </c>
      <c r="F1111" s="13" t="str">
        <f>IFERROR(__xludf.DUMMYFUNCTION("""COMPUTED_VALUE"""),"2024 - 2025")</f>
        <v>2024 - 2025</v>
      </c>
      <c r="G1111" s="13" t="str">
        <f>IFERROR(__xludf.DUMMYFUNCTION("""COMPUTED_VALUE"""),"2023 - 2024")</f>
        <v>2023 - 2024</v>
      </c>
      <c r="H1111" s="13">
        <f>IFERROR(__xludf.DUMMYFUNCTION("""COMPUTED_VALUE"""),55.39)</f>
        <v>55.39</v>
      </c>
      <c r="I1111" s="15">
        <f>IFERROR(__xludf.DUMMYFUNCTION("""COMPUTED_VALUE"""),44.61)</f>
        <v>44.61</v>
      </c>
    </row>
    <row r="1112">
      <c r="A1112" s="13" t="str">
        <f>IFERROR(__xludf.DUMMYFUNCTION("""COMPUTED_VALUE"""),"2600")</f>
        <v>2600</v>
      </c>
      <c r="B1112" s="13" t="str">
        <f>IFERROR(__xludf.DUMMYFUNCTION("""COMPUTED_VALUE"""),"PLATTE CANYON 1")</f>
        <v>PLATTE CANYON 1</v>
      </c>
      <c r="C1112" s="14" t="str">
        <f>IFERROR(__xludf.DUMMYFUNCTION("""COMPUTED_VALUE"""),"07042")</f>
        <v>07042</v>
      </c>
      <c r="D1112" s="13" t="str">
        <f>IFERROR(__xludf.DUMMYFUNCTION("""COMPUTED_VALUE"""),"DEER CREEK ELEMENTARY SCHOOL")</f>
        <v>DEER CREEK ELEMENTARY SCHOOL</v>
      </c>
      <c r="E1112" s="13" t="str">
        <f>IFERROR(__xludf.DUMMYFUNCTION("""COMPUTED_VALUE"""),"Group 1")</f>
        <v>Group 1</v>
      </c>
      <c r="F1112" s="13" t="str">
        <f>IFERROR(__xludf.DUMMYFUNCTION("""COMPUTED_VALUE"""),"2024 - 2025")</f>
        <v>2024 - 2025</v>
      </c>
      <c r="G1112" s="13" t="str">
        <f>IFERROR(__xludf.DUMMYFUNCTION("""COMPUTED_VALUE"""),"2023 - 2024")</f>
        <v>2023 - 2024</v>
      </c>
      <c r="H1112" s="13">
        <f>IFERROR(__xludf.DUMMYFUNCTION("""COMPUTED_VALUE"""),44.43)</f>
        <v>44.43</v>
      </c>
      <c r="I1112" s="15">
        <f>IFERROR(__xludf.DUMMYFUNCTION("""COMPUTED_VALUE"""),55.57)</f>
        <v>55.57</v>
      </c>
    </row>
    <row r="1113">
      <c r="A1113" s="13" t="str">
        <f>IFERROR(__xludf.DUMMYFUNCTION("""COMPUTED_VALUE"""),"2600")</f>
        <v>2600</v>
      </c>
      <c r="B1113" s="13" t="str">
        <f>IFERROR(__xludf.DUMMYFUNCTION("""COMPUTED_VALUE"""),"PLATTE CANYON 1")</f>
        <v>PLATTE CANYON 1</v>
      </c>
      <c r="C1113" s="14" t="str">
        <f>IFERROR(__xludf.DUMMYFUNCTION("""COMPUTED_VALUE"""),"07048")</f>
        <v>07048</v>
      </c>
      <c r="D1113" s="13" t="str">
        <f>IFERROR(__xludf.DUMMYFUNCTION("""COMPUTED_VALUE"""),"FITZSIMMONS MIDDLE SCHOOL")</f>
        <v>FITZSIMMONS MIDDLE SCHOOL</v>
      </c>
      <c r="E1113" s="13" t="str">
        <f>IFERROR(__xludf.DUMMYFUNCTION("""COMPUTED_VALUE"""),"Group 1")</f>
        <v>Group 1</v>
      </c>
      <c r="F1113" s="13" t="str">
        <f>IFERROR(__xludf.DUMMYFUNCTION("""COMPUTED_VALUE"""),"2024 - 2025")</f>
        <v>2024 - 2025</v>
      </c>
      <c r="G1113" s="13" t="str">
        <f>IFERROR(__xludf.DUMMYFUNCTION("""COMPUTED_VALUE"""),"2023 - 2024")</f>
        <v>2023 - 2024</v>
      </c>
      <c r="H1113" s="13">
        <f>IFERROR(__xludf.DUMMYFUNCTION("""COMPUTED_VALUE"""),44.43)</f>
        <v>44.43</v>
      </c>
      <c r="I1113" s="15">
        <f>IFERROR(__xludf.DUMMYFUNCTION("""COMPUTED_VALUE"""),55.57)</f>
        <v>55.57</v>
      </c>
    </row>
    <row r="1114">
      <c r="A1114" s="13" t="str">
        <f>IFERROR(__xludf.DUMMYFUNCTION("""COMPUTED_VALUE"""),"2620")</f>
        <v>2620</v>
      </c>
      <c r="B1114" s="13" t="str">
        <f>IFERROR(__xludf.DUMMYFUNCTION("""COMPUTED_VALUE"""),"HOLYOKE RE-1J")</f>
        <v>HOLYOKE RE-1J</v>
      </c>
      <c r="C1114" s="14" t="str">
        <f>IFERROR(__xludf.DUMMYFUNCTION("""COMPUTED_VALUE"""),"04080")</f>
        <v>04080</v>
      </c>
      <c r="D1114" s="13" t="str">
        <f>IFERROR(__xludf.DUMMYFUNCTION("""COMPUTED_VALUE"""),"HOLYOKE JUNIOR-SENIOR HIGH SCHOOL")</f>
        <v>HOLYOKE JUNIOR-SENIOR HIGH SCHOOL</v>
      </c>
      <c r="E1114" s="13" t="str">
        <f>IFERROR(__xludf.DUMMYFUNCTION("""COMPUTED_VALUE"""),"Group 1")</f>
        <v>Group 1</v>
      </c>
      <c r="F1114" s="13" t="str">
        <f>IFERROR(__xludf.DUMMYFUNCTION("""COMPUTED_VALUE"""),"2024 - 2025")</f>
        <v>2024 - 2025</v>
      </c>
      <c r="G1114" s="13" t="str">
        <f>IFERROR(__xludf.DUMMYFUNCTION("""COMPUTED_VALUE"""),"2023 - 2024")</f>
        <v>2023 - 2024</v>
      </c>
      <c r="H1114" s="13">
        <f>IFERROR(__xludf.DUMMYFUNCTION("""COMPUTED_VALUE"""),66.22)</f>
        <v>66.22</v>
      </c>
      <c r="I1114" s="15">
        <f>IFERROR(__xludf.DUMMYFUNCTION("""COMPUTED_VALUE"""),33.78)</f>
        <v>33.78</v>
      </c>
    </row>
    <row r="1115">
      <c r="A1115" s="13" t="str">
        <f>IFERROR(__xludf.DUMMYFUNCTION("""COMPUTED_VALUE"""),"2620")</f>
        <v>2620</v>
      </c>
      <c r="B1115" s="13" t="str">
        <f>IFERROR(__xludf.DUMMYFUNCTION("""COMPUTED_VALUE"""),"HOLYOKE RE-1J")</f>
        <v>HOLYOKE RE-1J</v>
      </c>
      <c r="C1115" s="14" t="str">
        <f>IFERROR(__xludf.DUMMYFUNCTION("""COMPUTED_VALUE"""),"04076")</f>
        <v>04076</v>
      </c>
      <c r="D1115" s="13" t="str">
        <f>IFERROR(__xludf.DUMMYFUNCTION("""COMPUTED_VALUE"""),"HOLYOKE ELEMENTARY SCHOOL")</f>
        <v>HOLYOKE ELEMENTARY SCHOOL</v>
      </c>
      <c r="E1115" s="13" t="str">
        <f>IFERROR(__xludf.DUMMYFUNCTION("""COMPUTED_VALUE"""),"Group 2")</f>
        <v>Group 2</v>
      </c>
      <c r="F1115" s="13" t="str">
        <f>IFERROR(__xludf.DUMMYFUNCTION("""COMPUTED_VALUE"""),"2024 - 2025")</f>
        <v>2024 - 2025</v>
      </c>
      <c r="G1115" s="13" t="str">
        <f>IFERROR(__xludf.DUMMYFUNCTION("""COMPUTED_VALUE"""),"2023 - 2024")</f>
        <v>2023 - 2024</v>
      </c>
      <c r="H1115" s="13">
        <f>IFERROR(__xludf.DUMMYFUNCTION("""COMPUTED_VALUE"""),85.04)</f>
        <v>85.04</v>
      </c>
      <c r="I1115" s="15">
        <f>IFERROR(__xludf.DUMMYFUNCTION("""COMPUTED_VALUE"""),14.959999999999994)</f>
        <v>14.96</v>
      </c>
    </row>
    <row r="1116">
      <c r="A1116" s="13" t="str">
        <f>IFERROR(__xludf.DUMMYFUNCTION("""COMPUTED_VALUE"""),"2650")</f>
        <v>2650</v>
      </c>
      <c r="B1116" s="13" t="str">
        <f>IFERROR(__xludf.DUMMYFUNCTION("""COMPUTED_VALUE"""),"GRANADA RE-1")</f>
        <v>GRANADA RE-1</v>
      </c>
      <c r="C1116" s="14" t="str">
        <f>IFERROR(__xludf.DUMMYFUNCTION("""COMPUTED_VALUE"""),"03542")</f>
        <v>03542</v>
      </c>
      <c r="D1116" s="13" t="str">
        <f>IFERROR(__xludf.DUMMYFUNCTION("""COMPUTED_VALUE"""),"GRANADA ELEMENTARY SCHOOL")</f>
        <v>GRANADA ELEMENTARY SCHOOL</v>
      </c>
      <c r="E1116" s="13" t="str">
        <f>IFERROR(__xludf.DUMMYFUNCTION("""COMPUTED_VALUE"""),"Group 1")</f>
        <v>Group 1</v>
      </c>
      <c r="F1116" s="13" t="str">
        <f>IFERROR(__xludf.DUMMYFUNCTION("""COMPUTED_VALUE"""),"2024 - 2025")</f>
        <v>2024 - 2025</v>
      </c>
      <c r="G1116" s="13" t="str">
        <f>IFERROR(__xludf.DUMMYFUNCTION("""COMPUTED_VALUE"""),"2023 - 2024")</f>
        <v>2023 - 2024</v>
      </c>
      <c r="H1116" s="13">
        <f>IFERROR(__xludf.DUMMYFUNCTION("""COMPUTED_VALUE"""),99.09)</f>
        <v>99.09</v>
      </c>
      <c r="I1116" s="15">
        <f>IFERROR(__xludf.DUMMYFUNCTION("""COMPUTED_VALUE"""),0.9099999999999966)</f>
        <v>0.91</v>
      </c>
    </row>
    <row r="1117">
      <c r="A1117" s="13" t="str">
        <f>IFERROR(__xludf.DUMMYFUNCTION("""COMPUTED_VALUE"""),"2650")</f>
        <v>2650</v>
      </c>
      <c r="B1117" s="13" t="str">
        <f>IFERROR(__xludf.DUMMYFUNCTION("""COMPUTED_VALUE"""),"GRANADA RE-1")</f>
        <v>GRANADA RE-1</v>
      </c>
      <c r="C1117" s="14" t="str">
        <f>IFERROR(__xludf.DUMMYFUNCTION("""COMPUTED_VALUE"""),"03546")</f>
        <v>03546</v>
      </c>
      <c r="D1117" s="13" t="str">
        <f>IFERROR(__xludf.DUMMYFUNCTION("""COMPUTED_VALUE"""),"GRANADA UNDIVIDED HIGH SCHOOL")</f>
        <v>GRANADA UNDIVIDED HIGH SCHOOL</v>
      </c>
      <c r="E1117" s="13" t="str">
        <f>IFERROR(__xludf.DUMMYFUNCTION("""COMPUTED_VALUE"""),"Group 1")</f>
        <v>Group 1</v>
      </c>
      <c r="F1117" s="13" t="str">
        <f>IFERROR(__xludf.DUMMYFUNCTION("""COMPUTED_VALUE"""),"2024 - 2025")</f>
        <v>2024 - 2025</v>
      </c>
      <c r="G1117" s="13" t="str">
        <f>IFERROR(__xludf.DUMMYFUNCTION("""COMPUTED_VALUE"""),"2023 - 2024")</f>
        <v>2023 - 2024</v>
      </c>
      <c r="H1117" s="13">
        <f>IFERROR(__xludf.DUMMYFUNCTION("""COMPUTED_VALUE"""),99.09)</f>
        <v>99.09</v>
      </c>
      <c r="I1117" s="15">
        <f>IFERROR(__xludf.DUMMYFUNCTION("""COMPUTED_VALUE"""),0.9099999999999966)</f>
        <v>0.91</v>
      </c>
    </row>
    <row r="1118">
      <c r="A1118" s="13" t="str">
        <f>IFERROR(__xludf.DUMMYFUNCTION("""COMPUTED_VALUE"""),"2660")</f>
        <v>2660</v>
      </c>
      <c r="B1118" s="13" t="str">
        <f>IFERROR(__xludf.DUMMYFUNCTION("""COMPUTED_VALUE"""),"LAMAR RE-2")</f>
        <v>LAMAR RE-2</v>
      </c>
      <c r="C1118" s="14" t="str">
        <f>IFERROR(__xludf.DUMMYFUNCTION("""COMPUTED_VALUE"""),"06794")</f>
        <v>06794</v>
      </c>
      <c r="D1118" s="13" t="str">
        <f>IFERROR(__xludf.DUMMYFUNCTION("""COMPUTED_VALUE"""),"PARKVIEW ELEMENTARY SCHOOL")</f>
        <v>PARKVIEW ELEMENTARY SCHOOL</v>
      </c>
      <c r="E1118" s="13" t="str">
        <f>IFERROR(__xludf.DUMMYFUNCTION("""COMPUTED_VALUE"""),"Group 1")</f>
        <v>Group 1</v>
      </c>
      <c r="F1118" s="13" t="str">
        <f>IFERROR(__xludf.DUMMYFUNCTION("""COMPUTED_VALUE"""),"2024 - 2025")</f>
        <v>2024 - 2025</v>
      </c>
      <c r="G1118" s="13" t="str">
        <f>IFERROR(__xludf.DUMMYFUNCTION("""COMPUTED_VALUE"""),"2023 - 2024")</f>
        <v>2023 - 2024</v>
      </c>
      <c r="H1118" s="13">
        <f>IFERROR(__xludf.DUMMYFUNCTION("""COMPUTED_VALUE"""),100.0)</f>
        <v>100</v>
      </c>
      <c r="I1118" s="15">
        <f>IFERROR(__xludf.DUMMYFUNCTION("""COMPUTED_VALUE"""),0.0)</f>
        <v>0</v>
      </c>
    </row>
    <row r="1119">
      <c r="A1119" s="13" t="str">
        <f>IFERROR(__xludf.DUMMYFUNCTION("""COMPUTED_VALUE"""),"2660")</f>
        <v>2660</v>
      </c>
      <c r="B1119" s="13" t="str">
        <f>IFERROR(__xludf.DUMMYFUNCTION("""COMPUTED_VALUE"""),"LAMAR RE-2")</f>
        <v>LAMAR RE-2</v>
      </c>
      <c r="C1119" s="14" t="str">
        <f>IFERROR(__xludf.DUMMYFUNCTION("""COMPUTED_VALUE"""),"00200")</f>
        <v>00200</v>
      </c>
      <c r="D1119" s="13" t="str">
        <f>IFERROR(__xludf.DUMMYFUNCTION("""COMPUTED_VALUE"""),"ALTA VISTA CHARTER SCHOOL")</f>
        <v>ALTA VISTA CHARTER SCHOOL</v>
      </c>
      <c r="E1119" s="13" t="str">
        <f>IFERROR(__xludf.DUMMYFUNCTION("""COMPUTED_VALUE"""),"Group 2")</f>
        <v>Group 2</v>
      </c>
      <c r="F1119" s="13" t="str">
        <f>IFERROR(__xludf.DUMMYFUNCTION("""COMPUTED_VALUE"""),"2024 - 2025")</f>
        <v>2024 - 2025</v>
      </c>
      <c r="G1119" s="13" t="str">
        <f>IFERROR(__xludf.DUMMYFUNCTION("""COMPUTED_VALUE"""),"2023 - 2024")</f>
        <v>2023 - 2024</v>
      </c>
      <c r="H1119" s="13">
        <f>IFERROR(__xludf.DUMMYFUNCTION("""COMPUTED_VALUE"""),100.0)</f>
        <v>100</v>
      </c>
      <c r="I1119" s="15">
        <f>IFERROR(__xludf.DUMMYFUNCTION("""COMPUTED_VALUE"""),0.0)</f>
        <v>0</v>
      </c>
    </row>
    <row r="1120">
      <c r="A1120" s="13" t="str">
        <f>IFERROR(__xludf.DUMMYFUNCTION("""COMPUTED_VALUE"""),"2660")</f>
        <v>2660</v>
      </c>
      <c r="B1120" s="13" t="str">
        <f>IFERROR(__xludf.DUMMYFUNCTION("""COMPUTED_VALUE"""),"LAMAR RE-2")</f>
        <v>LAMAR RE-2</v>
      </c>
      <c r="C1120" s="14" t="str">
        <f>IFERROR(__xludf.DUMMYFUNCTION("""COMPUTED_VALUE"""),"04956")</f>
        <v>04956</v>
      </c>
      <c r="D1120" s="13" t="str">
        <f>IFERROR(__xludf.DUMMYFUNCTION("""COMPUTED_VALUE"""),"LAMAR MIDDLE SCHOOL")</f>
        <v>LAMAR MIDDLE SCHOOL</v>
      </c>
      <c r="E1120" s="13" t="str">
        <f>IFERROR(__xludf.DUMMYFUNCTION("""COMPUTED_VALUE"""),"Group 2")</f>
        <v>Group 2</v>
      </c>
      <c r="F1120" s="13" t="str">
        <f>IFERROR(__xludf.DUMMYFUNCTION("""COMPUTED_VALUE"""),"2024 - 2025")</f>
        <v>2024 - 2025</v>
      </c>
      <c r="G1120" s="13" t="str">
        <f>IFERROR(__xludf.DUMMYFUNCTION("""COMPUTED_VALUE"""),"2023 - 2024")</f>
        <v>2023 - 2024</v>
      </c>
      <c r="H1120" s="13">
        <f>IFERROR(__xludf.DUMMYFUNCTION("""COMPUTED_VALUE"""),100.0)</f>
        <v>100</v>
      </c>
      <c r="I1120" s="15">
        <f>IFERROR(__xludf.DUMMYFUNCTION("""COMPUTED_VALUE"""),0.0)</f>
        <v>0</v>
      </c>
    </row>
    <row r="1121">
      <c r="A1121" s="13" t="str">
        <f>IFERROR(__xludf.DUMMYFUNCTION("""COMPUTED_VALUE"""),"2660")</f>
        <v>2660</v>
      </c>
      <c r="B1121" s="13" t="str">
        <f>IFERROR(__xludf.DUMMYFUNCTION("""COMPUTED_VALUE"""),"LAMAR RE-2")</f>
        <v>LAMAR RE-2</v>
      </c>
      <c r="C1121" s="14" t="str">
        <f>IFERROR(__xludf.DUMMYFUNCTION("""COMPUTED_VALUE"""),"09268")</f>
        <v>09268</v>
      </c>
      <c r="D1121" s="13" t="str">
        <f>IFERROR(__xludf.DUMMYFUNCTION("""COMPUTED_VALUE"""),"WASHINGTON ELEMENTARY SCHOOL")</f>
        <v>WASHINGTON ELEMENTARY SCHOOL</v>
      </c>
      <c r="E1121" s="13" t="str">
        <f>IFERROR(__xludf.DUMMYFUNCTION("""COMPUTED_VALUE"""),"Group 2")</f>
        <v>Group 2</v>
      </c>
      <c r="F1121" s="13" t="str">
        <f>IFERROR(__xludf.DUMMYFUNCTION("""COMPUTED_VALUE"""),"2024 - 2025")</f>
        <v>2024 - 2025</v>
      </c>
      <c r="G1121" s="13" t="str">
        <f>IFERROR(__xludf.DUMMYFUNCTION("""COMPUTED_VALUE"""),"2023 - 2024")</f>
        <v>2023 - 2024</v>
      </c>
      <c r="H1121" s="13">
        <f>IFERROR(__xludf.DUMMYFUNCTION("""COMPUTED_VALUE"""),100.0)</f>
        <v>100</v>
      </c>
      <c r="I1121" s="15">
        <f>IFERROR(__xludf.DUMMYFUNCTION("""COMPUTED_VALUE"""),0.0)</f>
        <v>0</v>
      </c>
    </row>
    <row r="1122">
      <c r="A1122" s="13" t="str">
        <f>IFERROR(__xludf.DUMMYFUNCTION("""COMPUTED_VALUE"""),"2660")</f>
        <v>2660</v>
      </c>
      <c r="B1122" s="13" t="str">
        <f>IFERROR(__xludf.DUMMYFUNCTION("""COMPUTED_VALUE"""),"LAMAR RE-2")</f>
        <v>LAMAR RE-2</v>
      </c>
      <c r="C1122" s="14" t="str">
        <f>IFERROR(__xludf.DUMMYFUNCTION("""COMPUTED_VALUE"""),"04960")</f>
        <v>04960</v>
      </c>
      <c r="D1122" s="13" t="str">
        <f>IFERROR(__xludf.DUMMYFUNCTION("""COMPUTED_VALUE"""),"LAMAR HIGH SCHOOL")</f>
        <v>LAMAR HIGH SCHOOL</v>
      </c>
      <c r="E1122" s="13" t="str">
        <f>IFERROR(__xludf.DUMMYFUNCTION("""COMPUTED_VALUE"""),"Group 3")</f>
        <v>Group 3</v>
      </c>
      <c r="F1122" s="13" t="str">
        <f>IFERROR(__xludf.DUMMYFUNCTION("""COMPUTED_VALUE"""),"2024 - 2025")</f>
        <v>2024 - 2025</v>
      </c>
      <c r="G1122" s="13" t="str">
        <f>IFERROR(__xludf.DUMMYFUNCTION("""COMPUTED_VALUE"""),"2023 - 2024")</f>
        <v>2023 - 2024</v>
      </c>
      <c r="H1122" s="13">
        <f>IFERROR(__xludf.DUMMYFUNCTION("""COMPUTED_VALUE"""),89.68)</f>
        <v>89.68</v>
      </c>
      <c r="I1122" s="15">
        <f>IFERROR(__xludf.DUMMYFUNCTION("""COMPUTED_VALUE"""),10.319999999999993)</f>
        <v>10.32</v>
      </c>
    </row>
    <row r="1123">
      <c r="A1123" s="13" t="str">
        <f>IFERROR(__xludf.DUMMYFUNCTION("""COMPUTED_VALUE"""),"2660")</f>
        <v>2660</v>
      </c>
      <c r="B1123" s="13" t="str">
        <f>IFERROR(__xludf.DUMMYFUNCTION("""COMPUTED_VALUE"""),"LAMAR RE-2")</f>
        <v>LAMAR RE-2</v>
      </c>
      <c r="C1123" s="14" t="str">
        <f>IFERROR(__xludf.DUMMYFUNCTION("""COMPUTED_VALUE"""),"05777")</f>
        <v>05777</v>
      </c>
      <c r="D1123" s="13" t="str">
        <f>IFERROR(__xludf.DUMMYFUNCTION("""COMPUTED_VALUE"""),"Melvin Hendrickson Development Center")</f>
        <v>Melvin Hendrickson Development Center</v>
      </c>
      <c r="E1123" s="13" t="str">
        <f>IFERROR(__xludf.DUMMYFUNCTION("""COMPUTED_VALUE"""),"Group 3")</f>
        <v>Group 3</v>
      </c>
      <c r="F1123" s="13" t="str">
        <f>IFERROR(__xludf.DUMMYFUNCTION("""COMPUTED_VALUE"""),"2024 - 2025")</f>
        <v>2024 - 2025</v>
      </c>
      <c r="G1123" s="13" t="str">
        <f>IFERROR(__xludf.DUMMYFUNCTION("""COMPUTED_VALUE"""),"2023 - 2024")</f>
        <v>2023 - 2024</v>
      </c>
      <c r="H1123" s="13">
        <f>IFERROR(__xludf.DUMMYFUNCTION("""COMPUTED_VALUE"""),89.68)</f>
        <v>89.68</v>
      </c>
      <c r="I1123" s="15">
        <f>IFERROR(__xludf.DUMMYFUNCTION("""COMPUTED_VALUE"""),10.319999999999993)</f>
        <v>10.32</v>
      </c>
    </row>
    <row r="1124">
      <c r="A1124" s="13" t="str">
        <f>IFERROR(__xludf.DUMMYFUNCTION("""COMPUTED_VALUE"""),"2670")</f>
        <v>2670</v>
      </c>
      <c r="B1124" s="13" t="str">
        <f>IFERROR(__xludf.DUMMYFUNCTION("""COMPUTED_VALUE"""),"HOLLY RE-3")</f>
        <v>HOLLY RE-3</v>
      </c>
      <c r="C1124" s="14" t="str">
        <f>IFERROR(__xludf.DUMMYFUNCTION("""COMPUTED_VALUE"""),"04058")</f>
        <v>04058</v>
      </c>
      <c r="D1124" s="13" t="str">
        <f>IFERROR(__xludf.DUMMYFUNCTION("""COMPUTED_VALUE"""),"HOLLY SCHOOL")</f>
        <v>HOLLY SCHOOL</v>
      </c>
      <c r="E1124" s="13" t="str">
        <f>IFERROR(__xludf.DUMMYFUNCTION("""COMPUTED_VALUE"""),"Group 1")</f>
        <v>Group 1</v>
      </c>
      <c r="F1124" s="13" t="str">
        <f>IFERROR(__xludf.DUMMYFUNCTION("""COMPUTED_VALUE"""),"2024 - 2025")</f>
        <v>2024 - 2025</v>
      </c>
      <c r="G1124" s="13" t="str">
        <f>IFERROR(__xludf.DUMMYFUNCTION("""COMPUTED_VALUE"""),"2023 - 2024")</f>
        <v>2023 - 2024</v>
      </c>
      <c r="H1124" s="13">
        <f>IFERROR(__xludf.DUMMYFUNCTION("""COMPUTED_VALUE"""),71.1)</f>
        <v>71.1</v>
      </c>
      <c r="I1124" s="15">
        <f>IFERROR(__xludf.DUMMYFUNCTION("""COMPUTED_VALUE"""),28.900000000000006)</f>
        <v>28.9</v>
      </c>
    </row>
    <row r="1125">
      <c r="A1125" s="13" t="str">
        <f>IFERROR(__xludf.DUMMYFUNCTION("""COMPUTED_VALUE"""),"2680")</f>
        <v>2680</v>
      </c>
      <c r="B1125" s="13" t="str">
        <f>IFERROR(__xludf.DUMMYFUNCTION("""COMPUTED_VALUE"""),"WILEY RE-13 JT")</f>
        <v>WILEY RE-13 JT</v>
      </c>
      <c r="C1125" s="14" t="str">
        <f>IFERROR(__xludf.DUMMYFUNCTION("""COMPUTED_VALUE"""),"09608")</f>
        <v>09608</v>
      </c>
      <c r="D1125" s="13" t="str">
        <f>IFERROR(__xludf.DUMMYFUNCTION("""COMPUTED_VALUE"""),"WILEY JUNIOR-SENIOR HIGH SCHOOL")</f>
        <v>WILEY JUNIOR-SENIOR HIGH SCHOOL</v>
      </c>
      <c r="E1125" s="13" t="str">
        <f>IFERROR(__xludf.DUMMYFUNCTION("""COMPUTED_VALUE"""),"Group 1")</f>
        <v>Group 1</v>
      </c>
      <c r="F1125" s="13" t="str">
        <f>IFERROR(__xludf.DUMMYFUNCTION("""COMPUTED_VALUE"""),"2024 - 2025")</f>
        <v>2024 - 2025</v>
      </c>
      <c r="G1125" s="13" t="str">
        <f>IFERROR(__xludf.DUMMYFUNCTION("""COMPUTED_VALUE"""),"2023 - 2024")</f>
        <v>2023 - 2024</v>
      </c>
      <c r="H1125" s="13">
        <f>IFERROR(__xludf.DUMMYFUNCTION("""COMPUTED_VALUE"""),48.0)</f>
        <v>48</v>
      </c>
      <c r="I1125" s="15">
        <f>IFERROR(__xludf.DUMMYFUNCTION("""COMPUTED_VALUE"""),52.0)</f>
        <v>52</v>
      </c>
    </row>
    <row r="1126">
      <c r="A1126" s="13" t="str">
        <f>IFERROR(__xludf.DUMMYFUNCTION("""COMPUTED_VALUE"""),"2690")</f>
        <v>2690</v>
      </c>
      <c r="B1126" s="13" t="str">
        <f>IFERROR(__xludf.DUMMYFUNCTION("""COMPUTED_VALUE"""),"Pueblo City 60")</f>
        <v>Pueblo City 60</v>
      </c>
      <c r="C1126" s="14" t="str">
        <f>IFERROR(__xludf.DUMMYFUNCTION("""COMPUTED_VALUE"""),"00738")</f>
        <v>00738</v>
      </c>
      <c r="D1126" s="13" t="str">
        <f>IFERROR(__xludf.DUMMYFUNCTION("""COMPUTED_VALUE"""),"BELMONT ELEMENTARY SCHOOL")</f>
        <v>BELMONT ELEMENTARY SCHOOL</v>
      </c>
      <c r="E1126" s="13" t="str">
        <f>IFERROR(__xludf.DUMMYFUNCTION("""COMPUTED_VALUE"""),"Group 1")</f>
        <v>Group 1</v>
      </c>
      <c r="F1126" s="13" t="str">
        <f>IFERROR(__xludf.DUMMYFUNCTION("""COMPUTED_VALUE"""),"2024 - 2025")</f>
        <v>2024 - 2025</v>
      </c>
      <c r="G1126" s="13" t="str">
        <f>IFERROR(__xludf.DUMMYFUNCTION("""COMPUTED_VALUE"""),"2023 - 2024")</f>
        <v>2023 - 2024</v>
      </c>
      <c r="H1126" s="13">
        <f>IFERROR(__xludf.DUMMYFUNCTION("""COMPUTED_VALUE"""),100.0)</f>
        <v>100</v>
      </c>
      <c r="I1126" s="15">
        <f>IFERROR(__xludf.DUMMYFUNCTION("""COMPUTED_VALUE"""),0.0)</f>
        <v>0</v>
      </c>
    </row>
    <row r="1127">
      <c r="A1127" s="13" t="str">
        <f>IFERROR(__xludf.DUMMYFUNCTION("""COMPUTED_VALUE"""),"2690")</f>
        <v>2690</v>
      </c>
      <c r="B1127" s="13" t="str">
        <f>IFERROR(__xludf.DUMMYFUNCTION("""COMPUTED_VALUE"""),"Pueblo City 60")</f>
        <v>Pueblo City 60</v>
      </c>
      <c r="C1127" s="14" t="str">
        <f>IFERROR(__xludf.DUMMYFUNCTION("""COMPUTED_VALUE"""),"00822")</f>
        <v>00822</v>
      </c>
      <c r="D1127" s="13" t="str">
        <f>IFERROR(__xludf.DUMMYFUNCTION("""COMPUTED_VALUE"""),"BESSEMER ELEMENTARY SCHOOL")</f>
        <v>BESSEMER ELEMENTARY SCHOOL</v>
      </c>
      <c r="E1127" s="13" t="str">
        <f>IFERROR(__xludf.DUMMYFUNCTION("""COMPUTED_VALUE"""),"Group 1")</f>
        <v>Group 1</v>
      </c>
      <c r="F1127" s="13" t="str">
        <f>IFERROR(__xludf.DUMMYFUNCTION("""COMPUTED_VALUE"""),"2024 - 2025")</f>
        <v>2024 - 2025</v>
      </c>
      <c r="G1127" s="13" t="str">
        <f>IFERROR(__xludf.DUMMYFUNCTION("""COMPUTED_VALUE"""),"2023 - 2024")</f>
        <v>2023 - 2024</v>
      </c>
      <c r="H1127" s="13">
        <f>IFERROR(__xludf.DUMMYFUNCTION("""COMPUTED_VALUE"""),100.0)</f>
        <v>100</v>
      </c>
      <c r="I1127" s="15">
        <f>IFERROR(__xludf.DUMMYFUNCTION("""COMPUTED_VALUE"""),0.0)</f>
        <v>0</v>
      </c>
    </row>
    <row r="1128">
      <c r="A1128" s="13" t="str">
        <f>IFERROR(__xludf.DUMMYFUNCTION("""COMPUTED_VALUE"""),"2690")</f>
        <v>2690</v>
      </c>
      <c r="B1128" s="13" t="str">
        <f>IFERROR(__xludf.DUMMYFUNCTION("""COMPUTED_VALUE"""),"Pueblo City 60")</f>
        <v>Pueblo City 60</v>
      </c>
      <c r="C1128" s="14" t="str">
        <f>IFERROR(__xludf.DUMMYFUNCTION("""COMPUTED_VALUE"""),"00860")</f>
        <v>00860</v>
      </c>
      <c r="D1128" s="13" t="str">
        <f>IFERROR(__xludf.DUMMYFUNCTION("""COMPUTED_VALUE"""),"BEULAH HEIGHTS ELEMENTARY SCHOOL")</f>
        <v>BEULAH HEIGHTS ELEMENTARY SCHOOL</v>
      </c>
      <c r="E1128" s="13" t="str">
        <f>IFERROR(__xludf.DUMMYFUNCTION("""COMPUTED_VALUE"""),"Group 1")</f>
        <v>Group 1</v>
      </c>
      <c r="F1128" s="13" t="str">
        <f>IFERROR(__xludf.DUMMYFUNCTION("""COMPUTED_VALUE"""),"2024 - 2025")</f>
        <v>2024 - 2025</v>
      </c>
      <c r="G1128" s="13" t="str">
        <f>IFERROR(__xludf.DUMMYFUNCTION("""COMPUTED_VALUE"""),"2023 - 2024")</f>
        <v>2023 - 2024</v>
      </c>
      <c r="H1128" s="13">
        <f>IFERROR(__xludf.DUMMYFUNCTION("""COMPUTED_VALUE"""),100.0)</f>
        <v>100</v>
      </c>
      <c r="I1128" s="15">
        <f>IFERROR(__xludf.DUMMYFUNCTION("""COMPUTED_VALUE"""),0.0)</f>
        <v>0</v>
      </c>
    </row>
    <row r="1129">
      <c r="A1129" s="13" t="str">
        <f>IFERROR(__xludf.DUMMYFUNCTION("""COMPUTED_VALUE"""),"2690")</f>
        <v>2690</v>
      </c>
      <c r="B1129" s="13" t="str">
        <f>IFERROR(__xludf.DUMMYFUNCTION("""COMPUTED_VALUE"""),"Pueblo City 60")</f>
        <v>Pueblo City 60</v>
      </c>
      <c r="C1129" s="14" t="str">
        <f>IFERROR(__xludf.DUMMYFUNCTION("""COMPUTED_VALUE"""),"01402")</f>
        <v>01402</v>
      </c>
      <c r="D1129" s="13" t="str">
        <f>IFERROR(__xludf.DUMMYFUNCTION("""COMPUTED_VALUE"""),"CENTENNIAL HIGH SCHOOL")</f>
        <v>CENTENNIAL HIGH SCHOOL</v>
      </c>
      <c r="E1129" s="13" t="str">
        <f>IFERROR(__xludf.DUMMYFUNCTION("""COMPUTED_VALUE"""),"Group 1")</f>
        <v>Group 1</v>
      </c>
      <c r="F1129" s="13" t="str">
        <f>IFERROR(__xludf.DUMMYFUNCTION("""COMPUTED_VALUE"""),"2024 - 2025")</f>
        <v>2024 - 2025</v>
      </c>
      <c r="G1129" s="13" t="str">
        <f>IFERROR(__xludf.DUMMYFUNCTION("""COMPUTED_VALUE"""),"2023 - 2024")</f>
        <v>2023 - 2024</v>
      </c>
      <c r="H1129" s="13">
        <f>IFERROR(__xludf.DUMMYFUNCTION("""COMPUTED_VALUE"""),100.0)</f>
        <v>100</v>
      </c>
      <c r="I1129" s="15">
        <f>IFERROR(__xludf.DUMMYFUNCTION("""COMPUTED_VALUE"""),0.0)</f>
        <v>0</v>
      </c>
    </row>
    <row r="1130">
      <c r="A1130" s="13" t="str">
        <f>IFERROR(__xludf.DUMMYFUNCTION("""COMPUTED_VALUE"""),"2690")</f>
        <v>2690</v>
      </c>
      <c r="B1130" s="13" t="str">
        <f>IFERROR(__xludf.DUMMYFUNCTION("""COMPUTED_VALUE"""),"Pueblo City 60")</f>
        <v>Pueblo City 60</v>
      </c>
      <c r="C1130" s="14" t="str">
        <f>IFERROR(__xludf.DUMMYFUNCTION("""COMPUTED_VALUE"""),"01504")</f>
        <v>01504</v>
      </c>
      <c r="D1130" s="13" t="str">
        <f>IFERROR(__xludf.DUMMYFUNCTION("""COMPUTED_VALUE"""),"GOODNIGHT ELEMENTARY SCHOOL")</f>
        <v>GOODNIGHT ELEMENTARY SCHOOL</v>
      </c>
      <c r="E1130" s="13" t="str">
        <f>IFERROR(__xludf.DUMMYFUNCTION("""COMPUTED_VALUE"""),"Group 1")</f>
        <v>Group 1</v>
      </c>
      <c r="F1130" s="13" t="str">
        <f>IFERROR(__xludf.DUMMYFUNCTION("""COMPUTED_VALUE"""),"2024 - 2025")</f>
        <v>2024 - 2025</v>
      </c>
      <c r="G1130" s="13" t="str">
        <f>IFERROR(__xludf.DUMMYFUNCTION("""COMPUTED_VALUE"""),"2023 - 2024")</f>
        <v>2023 - 2024</v>
      </c>
      <c r="H1130" s="13">
        <f>IFERROR(__xludf.DUMMYFUNCTION("""COMPUTED_VALUE"""),100.0)</f>
        <v>100</v>
      </c>
      <c r="I1130" s="15">
        <f>IFERROR(__xludf.DUMMYFUNCTION("""COMPUTED_VALUE"""),0.0)</f>
        <v>0</v>
      </c>
    </row>
    <row r="1131">
      <c r="A1131" s="13" t="str">
        <f>IFERROR(__xludf.DUMMYFUNCTION("""COMPUTED_VALUE"""),"2690")</f>
        <v>2690</v>
      </c>
      <c r="B1131" s="13" t="str">
        <f>IFERROR(__xludf.DUMMYFUNCTION("""COMPUTED_VALUE"""),"Pueblo City 60")</f>
        <v>Pueblo City 60</v>
      </c>
      <c r="C1131" s="14" t="str">
        <f>IFERROR(__xludf.DUMMYFUNCTION("""COMPUTED_VALUE"""),"02620")</f>
        <v>02620</v>
      </c>
      <c r="D1131" s="13" t="str">
        <f>IFERROR(__xludf.DUMMYFUNCTION("""COMPUTED_VALUE"""),"FOUNTAIN INTERNATIONAL MAGNET SCHOOL")</f>
        <v>FOUNTAIN INTERNATIONAL MAGNET SCHOOL</v>
      </c>
      <c r="E1131" s="13" t="str">
        <f>IFERROR(__xludf.DUMMYFUNCTION("""COMPUTED_VALUE"""),"Group 1")</f>
        <v>Group 1</v>
      </c>
      <c r="F1131" s="13" t="str">
        <f>IFERROR(__xludf.DUMMYFUNCTION("""COMPUTED_VALUE"""),"2024 - 2025")</f>
        <v>2024 - 2025</v>
      </c>
      <c r="G1131" s="13" t="str">
        <f>IFERROR(__xludf.DUMMYFUNCTION("""COMPUTED_VALUE"""),"2023 - 2024")</f>
        <v>2023 - 2024</v>
      </c>
      <c r="H1131" s="13">
        <f>IFERROR(__xludf.DUMMYFUNCTION("""COMPUTED_VALUE"""),100.0)</f>
        <v>100</v>
      </c>
      <c r="I1131" s="15">
        <f>IFERROR(__xludf.DUMMYFUNCTION("""COMPUTED_VALUE"""),0.0)</f>
        <v>0</v>
      </c>
    </row>
    <row r="1132">
      <c r="A1132" s="13" t="str">
        <f>IFERROR(__xludf.DUMMYFUNCTION("""COMPUTED_VALUE"""),"2690")</f>
        <v>2690</v>
      </c>
      <c r="B1132" s="13" t="str">
        <f>IFERROR(__xludf.DUMMYFUNCTION("""COMPUTED_VALUE"""),"Pueblo City 60")</f>
        <v>Pueblo City 60</v>
      </c>
      <c r="C1132" s="14" t="str">
        <f>IFERROR(__xludf.DUMMYFUNCTION("""COMPUTED_VALUE"""),"01828")</f>
        <v>01828</v>
      </c>
      <c r="D1132" s="13" t="str">
        <f>IFERROR(__xludf.DUMMYFUNCTION("""COMPUTED_VALUE"""),"COLUMBIAN ELEMENTARY SCHOOL")</f>
        <v>COLUMBIAN ELEMENTARY SCHOOL</v>
      </c>
      <c r="E1132" s="13" t="str">
        <f>IFERROR(__xludf.DUMMYFUNCTION("""COMPUTED_VALUE"""),"Group 10")</f>
        <v>Group 10</v>
      </c>
      <c r="F1132" s="13" t="str">
        <f>IFERROR(__xludf.DUMMYFUNCTION("""COMPUTED_VALUE"""),"2024 - 2025")</f>
        <v>2024 - 2025</v>
      </c>
      <c r="G1132" s="13" t="str">
        <f>IFERROR(__xludf.DUMMYFUNCTION("""COMPUTED_VALUE"""),"2023 - 2024")</f>
        <v>2023 - 2024</v>
      </c>
      <c r="H1132" s="13">
        <f>IFERROR(__xludf.DUMMYFUNCTION("""COMPUTED_VALUE"""),100.0)</f>
        <v>100</v>
      </c>
      <c r="I1132" s="15">
        <f>IFERROR(__xludf.DUMMYFUNCTION("""COMPUTED_VALUE"""),0.0)</f>
        <v>0</v>
      </c>
    </row>
    <row r="1133">
      <c r="A1133" s="13" t="str">
        <f>IFERROR(__xludf.DUMMYFUNCTION("""COMPUTED_VALUE"""),"2690")</f>
        <v>2690</v>
      </c>
      <c r="B1133" s="13" t="str">
        <f>IFERROR(__xludf.DUMMYFUNCTION("""COMPUTED_VALUE"""),"Pueblo City 60")</f>
        <v>Pueblo City 60</v>
      </c>
      <c r="C1133" s="14" t="str">
        <f>IFERROR(__xludf.DUMMYFUNCTION("""COMPUTED_VALUE"""),"09188")</f>
        <v>09188</v>
      </c>
      <c r="D1133" s="13" t="str">
        <f>IFERROR(__xludf.DUMMYFUNCTION("""COMPUTED_VALUE"""),"W H HEATON MIDDLE SCHOOL")</f>
        <v>W H HEATON MIDDLE SCHOOL</v>
      </c>
      <c r="E1133" s="13" t="str">
        <f>IFERROR(__xludf.DUMMYFUNCTION("""COMPUTED_VALUE"""),"Group 11")</f>
        <v>Group 11</v>
      </c>
      <c r="F1133" s="13" t="str">
        <f>IFERROR(__xludf.DUMMYFUNCTION("""COMPUTED_VALUE"""),"2024 - 2025")</f>
        <v>2024 - 2025</v>
      </c>
      <c r="G1133" s="13" t="str">
        <f>IFERROR(__xludf.DUMMYFUNCTION("""COMPUTED_VALUE"""),"2023 - 2024")</f>
        <v>2023 - 2024</v>
      </c>
      <c r="H1133" s="13">
        <f>IFERROR(__xludf.DUMMYFUNCTION("""COMPUTED_VALUE"""),100.0)</f>
        <v>100</v>
      </c>
      <c r="I1133" s="15">
        <f>IFERROR(__xludf.DUMMYFUNCTION("""COMPUTED_VALUE"""),0.0)</f>
        <v>0</v>
      </c>
    </row>
    <row r="1134">
      <c r="A1134" s="13" t="str">
        <f>IFERROR(__xludf.DUMMYFUNCTION("""COMPUTED_VALUE"""),"2690")</f>
        <v>2690</v>
      </c>
      <c r="B1134" s="13" t="str">
        <f>IFERROR(__xludf.DUMMYFUNCTION("""COMPUTED_VALUE"""),"Pueblo City 60")</f>
        <v>Pueblo City 60</v>
      </c>
      <c r="C1134" s="14" t="str">
        <f>IFERROR(__xludf.DUMMYFUNCTION("""COMPUTED_VALUE"""),"00954")</f>
        <v>00954</v>
      </c>
      <c r="D1134" s="13" t="str">
        <f>IFERROR(__xludf.DUMMYFUNCTION("""COMPUTED_VALUE"""),"BRADFORD ELEMENTARY SCHOOL")</f>
        <v>BRADFORD ELEMENTARY SCHOOL</v>
      </c>
      <c r="E1134" s="13" t="str">
        <f>IFERROR(__xludf.DUMMYFUNCTION("""COMPUTED_VALUE"""),"Group 12")</f>
        <v>Group 12</v>
      </c>
      <c r="F1134" s="13" t="str">
        <f>IFERROR(__xludf.DUMMYFUNCTION("""COMPUTED_VALUE"""),"2024 - 2025")</f>
        <v>2024 - 2025</v>
      </c>
      <c r="G1134" s="13" t="str">
        <f>IFERROR(__xludf.DUMMYFUNCTION("""COMPUTED_VALUE"""),"2023 - 2024")</f>
        <v>2023 - 2024</v>
      </c>
      <c r="H1134" s="13">
        <f>IFERROR(__xludf.DUMMYFUNCTION("""COMPUTED_VALUE"""),100.0)</f>
        <v>100</v>
      </c>
      <c r="I1134" s="15">
        <f>IFERROR(__xludf.DUMMYFUNCTION("""COMPUTED_VALUE"""),0.0)</f>
        <v>0</v>
      </c>
    </row>
    <row r="1135">
      <c r="A1135" s="13" t="str">
        <f>IFERROR(__xludf.DUMMYFUNCTION("""COMPUTED_VALUE"""),"2690")</f>
        <v>2690</v>
      </c>
      <c r="B1135" s="13" t="str">
        <f>IFERROR(__xludf.DUMMYFUNCTION("""COMPUTED_VALUE"""),"Pueblo City 60")</f>
        <v>Pueblo City 60</v>
      </c>
      <c r="C1135" s="14" t="str">
        <f>IFERROR(__xludf.DUMMYFUNCTION("""COMPUTED_VALUE"""),"03976")</f>
        <v>03976</v>
      </c>
      <c r="D1135" s="13" t="str">
        <f>IFERROR(__xludf.DUMMYFUNCTION("""COMPUTED_VALUE"""),"HIGHLAND PARK ELEMENTARY SCHOOL")</f>
        <v>HIGHLAND PARK ELEMENTARY SCHOOL</v>
      </c>
      <c r="E1135" s="13" t="str">
        <f>IFERROR(__xludf.DUMMYFUNCTION("""COMPUTED_VALUE"""),"Group 13")</f>
        <v>Group 13</v>
      </c>
      <c r="F1135" s="13" t="str">
        <f>IFERROR(__xludf.DUMMYFUNCTION("""COMPUTED_VALUE"""),"2024 - 2025")</f>
        <v>2024 - 2025</v>
      </c>
      <c r="G1135" s="13" t="str">
        <f>IFERROR(__xludf.DUMMYFUNCTION("""COMPUTED_VALUE"""),"2023 - 2024")</f>
        <v>2023 - 2024</v>
      </c>
      <c r="H1135" s="13">
        <f>IFERROR(__xludf.DUMMYFUNCTION("""COMPUTED_VALUE"""),100.0)</f>
        <v>100</v>
      </c>
      <c r="I1135" s="15">
        <f>IFERROR(__xludf.DUMMYFUNCTION("""COMPUTED_VALUE"""),0.0)</f>
        <v>0</v>
      </c>
    </row>
    <row r="1136">
      <c r="A1136" s="13" t="str">
        <f>IFERROR(__xludf.DUMMYFUNCTION("""COMPUTED_VALUE"""),"2690")</f>
        <v>2690</v>
      </c>
      <c r="B1136" s="13" t="str">
        <f>IFERROR(__xludf.DUMMYFUNCTION("""COMPUTED_VALUE"""),"Pueblo City 60")</f>
        <v>Pueblo City 60</v>
      </c>
      <c r="C1136" s="14" t="str">
        <f>IFERROR(__xludf.DUMMYFUNCTION("""COMPUTED_VALUE"""),"02438")</f>
        <v>02438</v>
      </c>
      <c r="D1136" s="13" t="str">
        <f>IFERROR(__xludf.DUMMYFUNCTION("""COMPUTED_VALUE"""),"EVA R BACA ELEMENTARY SCHOOL")</f>
        <v>EVA R BACA ELEMENTARY SCHOOL</v>
      </c>
      <c r="E1136" s="13" t="str">
        <f>IFERROR(__xludf.DUMMYFUNCTION("""COMPUTED_VALUE"""),"Group 14")</f>
        <v>Group 14</v>
      </c>
      <c r="F1136" s="13" t="str">
        <f>IFERROR(__xludf.DUMMYFUNCTION("""COMPUTED_VALUE"""),"2024 - 2025")</f>
        <v>2024 - 2025</v>
      </c>
      <c r="G1136" s="13" t="str">
        <f>IFERROR(__xludf.DUMMYFUNCTION("""COMPUTED_VALUE"""),"2023 - 2024")</f>
        <v>2023 - 2024</v>
      </c>
      <c r="H1136" s="13">
        <f>IFERROR(__xludf.DUMMYFUNCTION("""COMPUTED_VALUE"""),100.0)</f>
        <v>100</v>
      </c>
      <c r="I1136" s="15">
        <f>IFERROR(__xludf.DUMMYFUNCTION("""COMPUTED_VALUE"""),0.0)</f>
        <v>0</v>
      </c>
    </row>
    <row r="1137">
      <c r="A1137" s="13" t="str">
        <f>IFERROR(__xludf.DUMMYFUNCTION("""COMPUTED_VALUE"""),"2690")</f>
        <v>2690</v>
      </c>
      <c r="B1137" s="13" t="str">
        <f>IFERROR(__xludf.DUMMYFUNCTION("""COMPUTED_VALUE"""),"Pueblo City 60")</f>
        <v>Pueblo City 60</v>
      </c>
      <c r="C1137" s="14" t="str">
        <f>IFERROR(__xludf.DUMMYFUNCTION("""COMPUTED_VALUE"""),"02394")</f>
        <v>02394</v>
      </c>
      <c r="D1137" s="13" t="str">
        <f>IFERROR(__xludf.DUMMYFUNCTION("""COMPUTED_VALUE"""),"EAST HIGH SCHOOL")</f>
        <v>EAST HIGH SCHOOL</v>
      </c>
      <c r="E1137" s="13" t="str">
        <f>IFERROR(__xludf.DUMMYFUNCTION("""COMPUTED_VALUE"""),"Group 15")</f>
        <v>Group 15</v>
      </c>
      <c r="F1137" s="13" t="str">
        <f>IFERROR(__xludf.DUMMYFUNCTION("""COMPUTED_VALUE"""),"2024 - 2025")</f>
        <v>2024 - 2025</v>
      </c>
      <c r="G1137" s="13" t="str">
        <f>IFERROR(__xludf.DUMMYFUNCTION("""COMPUTED_VALUE"""),"2023 - 2024")</f>
        <v>2023 - 2024</v>
      </c>
      <c r="H1137" s="13">
        <f>IFERROR(__xludf.DUMMYFUNCTION("""COMPUTED_VALUE"""),100.0)</f>
        <v>100</v>
      </c>
      <c r="I1137" s="15">
        <f>IFERROR(__xludf.DUMMYFUNCTION("""COMPUTED_VALUE"""),0.0)</f>
        <v>0</v>
      </c>
    </row>
    <row r="1138">
      <c r="A1138" s="13" t="str">
        <f>IFERROR(__xludf.DUMMYFUNCTION("""COMPUTED_VALUE"""),"2690")</f>
        <v>2690</v>
      </c>
      <c r="B1138" s="13" t="str">
        <f>IFERROR(__xludf.DUMMYFUNCTION("""COMPUTED_VALUE"""),"Pueblo City 60")</f>
        <v>Pueblo City 60</v>
      </c>
      <c r="C1138" s="14" t="str">
        <f>IFERROR(__xludf.DUMMYFUNCTION("""COMPUTED_VALUE"""),"03724")</f>
        <v>03724</v>
      </c>
      <c r="D1138" s="13" t="str">
        <f>IFERROR(__xludf.DUMMYFUNCTION("""COMPUTED_VALUE"""),"HAAFF ELEMENTARY SCHOOL")</f>
        <v>HAAFF ELEMENTARY SCHOOL</v>
      </c>
      <c r="E1138" s="13" t="str">
        <f>IFERROR(__xludf.DUMMYFUNCTION("""COMPUTED_VALUE"""),"Group 15")</f>
        <v>Group 15</v>
      </c>
      <c r="F1138" s="13" t="str">
        <f>IFERROR(__xludf.DUMMYFUNCTION("""COMPUTED_VALUE"""),"2024 - 2025")</f>
        <v>2024 - 2025</v>
      </c>
      <c r="G1138" s="13" t="str">
        <f>IFERROR(__xludf.DUMMYFUNCTION("""COMPUTED_VALUE"""),"2023 - 2024")</f>
        <v>2023 - 2024</v>
      </c>
      <c r="H1138" s="13">
        <f>IFERROR(__xludf.DUMMYFUNCTION("""COMPUTED_VALUE"""),100.0)</f>
        <v>100</v>
      </c>
      <c r="I1138" s="15">
        <f>IFERROR(__xludf.DUMMYFUNCTION("""COMPUTED_VALUE"""),0.0)</f>
        <v>0</v>
      </c>
    </row>
    <row r="1139">
      <c r="A1139" s="13" t="str">
        <f>IFERROR(__xludf.DUMMYFUNCTION("""COMPUTED_VALUE"""),"2690")</f>
        <v>2690</v>
      </c>
      <c r="B1139" s="13" t="str">
        <f>IFERROR(__xludf.DUMMYFUNCTION("""COMPUTED_VALUE"""),"Pueblo City 60")</f>
        <v>Pueblo City 60</v>
      </c>
      <c r="C1139" s="14" t="str">
        <f>IFERROR(__xludf.DUMMYFUNCTION("""COMPUTED_VALUE"""),"04302")</f>
        <v>04302</v>
      </c>
      <c r="D1139" s="13" t="str">
        <f>IFERROR(__xludf.DUMMYFUNCTION("""COMPUTED_VALUE"""),"IRVING ELEMENTARY SCHOOL")</f>
        <v>IRVING ELEMENTARY SCHOOL</v>
      </c>
      <c r="E1139" s="13" t="str">
        <f>IFERROR(__xludf.DUMMYFUNCTION("""COMPUTED_VALUE"""),"Group 15")</f>
        <v>Group 15</v>
      </c>
      <c r="F1139" s="13" t="str">
        <f>IFERROR(__xludf.DUMMYFUNCTION("""COMPUTED_VALUE"""),"2024 - 2025")</f>
        <v>2024 - 2025</v>
      </c>
      <c r="G1139" s="13" t="str">
        <f>IFERROR(__xludf.DUMMYFUNCTION("""COMPUTED_VALUE"""),"2023 - 2024")</f>
        <v>2023 - 2024</v>
      </c>
      <c r="H1139" s="13">
        <f>IFERROR(__xludf.DUMMYFUNCTION("""COMPUTED_VALUE"""),100.0)</f>
        <v>100</v>
      </c>
      <c r="I1139" s="15">
        <f>IFERROR(__xludf.DUMMYFUNCTION("""COMPUTED_VALUE"""),0.0)</f>
        <v>0</v>
      </c>
    </row>
    <row r="1140">
      <c r="A1140" s="13" t="str">
        <f>IFERROR(__xludf.DUMMYFUNCTION("""COMPUTED_VALUE"""),"2690")</f>
        <v>2690</v>
      </c>
      <c r="B1140" s="13" t="str">
        <f>IFERROR(__xludf.DUMMYFUNCTION("""COMPUTED_VALUE"""),"Pueblo City 60")</f>
        <v>Pueblo City 60</v>
      </c>
      <c r="C1140" s="14" t="str">
        <f>IFERROR(__xludf.DUMMYFUNCTION("""COMPUTED_VALUE"""),"08116")</f>
        <v>08116</v>
      </c>
      <c r="D1140" s="13" t="str">
        <f>IFERROR(__xludf.DUMMYFUNCTION("""COMPUTED_VALUE"""),"SOUTH PARK ELEMENTARY SCHOOL")</f>
        <v>SOUTH PARK ELEMENTARY SCHOOL</v>
      </c>
      <c r="E1140" s="13" t="str">
        <f>IFERROR(__xludf.DUMMYFUNCTION("""COMPUTED_VALUE"""),"Group 15")</f>
        <v>Group 15</v>
      </c>
      <c r="F1140" s="13" t="str">
        <f>IFERROR(__xludf.DUMMYFUNCTION("""COMPUTED_VALUE"""),"2024 - 2025")</f>
        <v>2024 - 2025</v>
      </c>
      <c r="G1140" s="13" t="str">
        <f>IFERROR(__xludf.DUMMYFUNCTION("""COMPUTED_VALUE"""),"2023 - 2024")</f>
        <v>2023 - 2024</v>
      </c>
      <c r="H1140" s="13">
        <f>IFERROR(__xludf.DUMMYFUNCTION("""COMPUTED_VALUE"""),100.0)</f>
        <v>100</v>
      </c>
      <c r="I1140" s="15">
        <f>IFERROR(__xludf.DUMMYFUNCTION("""COMPUTED_VALUE"""),0.0)</f>
        <v>0</v>
      </c>
    </row>
    <row r="1141">
      <c r="A1141" s="13" t="str">
        <f>IFERROR(__xludf.DUMMYFUNCTION("""COMPUTED_VALUE"""),"2690")</f>
        <v>2690</v>
      </c>
      <c r="B1141" s="13" t="str">
        <f>IFERROR(__xludf.DUMMYFUNCTION("""COMPUTED_VALUE"""),"Pueblo City 60")</f>
        <v>Pueblo City 60</v>
      </c>
      <c r="C1141" s="14" t="str">
        <f>IFERROR(__xludf.DUMMYFUNCTION("""COMPUTED_VALUE"""),"07217")</f>
        <v>07217</v>
      </c>
      <c r="D1141" s="13" t="str">
        <f>IFERROR(__xludf.DUMMYFUNCTION("""COMPUTED_VALUE"""),"Nettie S. Freed K-8 Expeditionary School")</f>
        <v>Nettie S. Freed K-8 Expeditionary School</v>
      </c>
      <c r="E1141" s="13" t="str">
        <f>IFERROR(__xludf.DUMMYFUNCTION("""COMPUTED_VALUE"""),"Group 15")</f>
        <v>Group 15</v>
      </c>
      <c r="F1141" s="13" t="str">
        <f>IFERROR(__xludf.DUMMYFUNCTION("""COMPUTED_VALUE"""),"2024 - 2025")</f>
        <v>2024 - 2025</v>
      </c>
      <c r="G1141" s="13" t="str">
        <f>IFERROR(__xludf.DUMMYFUNCTION("""COMPUTED_VALUE"""),"2023 - 2024")</f>
        <v>2023 - 2024</v>
      </c>
      <c r="H1141" s="13">
        <f>IFERROR(__xludf.DUMMYFUNCTION("""COMPUTED_VALUE"""),100.0)</f>
        <v>100</v>
      </c>
      <c r="I1141" s="15">
        <f>IFERROR(__xludf.DUMMYFUNCTION("""COMPUTED_VALUE"""),0.0)</f>
        <v>0</v>
      </c>
    </row>
    <row r="1142">
      <c r="A1142" s="13" t="str">
        <f>IFERROR(__xludf.DUMMYFUNCTION("""COMPUTED_VALUE"""),"2690")</f>
        <v>2690</v>
      </c>
      <c r="B1142" s="13" t="str">
        <f>IFERROR(__xludf.DUMMYFUNCTION("""COMPUTED_VALUE"""),"Pueblo City 60")</f>
        <v>Pueblo City 60</v>
      </c>
      <c r="C1142" s="14" t="str">
        <f>IFERROR(__xludf.DUMMYFUNCTION("""COMPUTED_VALUE"""),"01488")</f>
        <v>01488</v>
      </c>
      <c r="D1142" s="13" t="str">
        <f>IFERROR(__xludf.DUMMYFUNCTION("""COMPUTED_VALUE"""),"CHAVEZ/HUERTA K-12 PREPARATORY ACADEMY")</f>
        <v>CHAVEZ/HUERTA K-12 PREPARATORY ACADEMY</v>
      </c>
      <c r="E1142" s="13" t="str">
        <f>IFERROR(__xludf.DUMMYFUNCTION("""COMPUTED_VALUE"""),"Group 2")</f>
        <v>Group 2</v>
      </c>
      <c r="F1142" s="13" t="str">
        <f>IFERROR(__xludf.DUMMYFUNCTION("""COMPUTED_VALUE"""),"2024 - 2025")</f>
        <v>2024 - 2025</v>
      </c>
      <c r="G1142" s="13" t="str">
        <f>IFERROR(__xludf.DUMMYFUNCTION("""COMPUTED_VALUE"""),"2023 - 2024")</f>
        <v>2023 - 2024</v>
      </c>
      <c r="H1142" s="13">
        <f>IFERROR(__xludf.DUMMYFUNCTION("""COMPUTED_VALUE"""),100.0)</f>
        <v>100</v>
      </c>
      <c r="I1142" s="15">
        <f>IFERROR(__xludf.DUMMYFUNCTION("""COMPUTED_VALUE"""),0.0)</f>
        <v>0</v>
      </c>
    </row>
    <row r="1143">
      <c r="A1143" s="13" t="str">
        <f>IFERROR(__xludf.DUMMYFUNCTION("""COMPUTED_VALUE"""),"2690")</f>
        <v>2690</v>
      </c>
      <c r="B1143" s="13" t="str">
        <f>IFERROR(__xludf.DUMMYFUNCTION("""COMPUTED_VALUE"""),"Pueblo City 60")</f>
        <v>Pueblo City 60</v>
      </c>
      <c r="C1143" s="14" t="str">
        <f>IFERROR(__xludf.DUMMYFUNCTION("""COMPUTED_VALUE"""),"05916")</f>
        <v>05916</v>
      </c>
      <c r="D1143" s="13" t="str">
        <f>IFERROR(__xludf.DUMMYFUNCTION("""COMPUTED_VALUE"""),"MINNEQUA ELEMENTARY SCHOOL")</f>
        <v>MINNEQUA ELEMENTARY SCHOOL</v>
      </c>
      <c r="E1143" s="13" t="str">
        <f>IFERROR(__xludf.DUMMYFUNCTION("""COMPUTED_VALUE"""),"Group 2")</f>
        <v>Group 2</v>
      </c>
      <c r="F1143" s="13" t="str">
        <f>IFERROR(__xludf.DUMMYFUNCTION("""COMPUTED_VALUE"""),"2024 - 2025")</f>
        <v>2024 - 2025</v>
      </c>
      <c r="G1143" s="13" t="str">
        <f>IFERROR(__xludf.DUMMYFUNCTION("""COMPUTED_VALUE"""),"2023 - 2024")</f>
        <v>2023 - 2024</v>
      </c>
      <c r="H1143" s="13">
        <f>IFERROR(__xludf.DUMMYFUNCTION("""COMPUTED_VALUE"""),100.0)</f>
        <v>100</v>
      </c>
      <c r="I1143" s="15">
        <f>IFERROR(__xludf.DUMMYFUNCTION("""COMPUTED_VALUE"""),0.0)</f>
        <v>0</v>
      </c>
    </row>
    <row r="1144">
      <c r="A1144" s="13" t="str">
        <f>IFERROR(__xludf.DUMMYFUNCTION("""COMPUTED_VALUE"""),"2690")</f>
        <v>2690</v>
      </c>
      <c r="B1144" s="13" t="str">
        <f>IFERROR(__xludf.DUMMYFUNCTION("""COMPUTED_VALUE"""),"Pueblo City 60")</f>
        <v>Pueblo City 60</v>
      </c>
      <c r="C1144" s="14" t="str">
        <f>IFERROR(__xludf.DUMMYFUNCTION("""COMPUTED_VALUE"""),"08082")</f>
        <v>08082</v>
      </c>
      <c r="D1144" s="13" t="str">
        <f>IFERROR(__xludf.DUMMYFUNCTION("""COMPUTED_VALUE"""),"SOUTH HIGH SCHOOL")</f>
        <v>SOUTH HIGH SCHOOL</v>
      </c>
      <c r="E1144" s="13" t="str">
        <f>IFERROR(__xludf.DUMMYFUNCTION("""COMPUTED_VALUE"""),"Group 3")</f>
        <v>Group 3</v>
      </c>
      <c r="F1144" s="13" t="str">
        <f>IFERROR(__xludf.DUMMYFUNCTION("""COMPUTED_VALUE"""),"2024 - 2025")</f>
        <v>2024 - 2025</v>
      </c>
      <c r="G1144" s="13" t="str">
        <f>IFERROR(__xludf.DUMMYFUNCTION("""COMPUTED_VALUE"""),"2023 - 2024")</f>
        <v>2023 - 2024</v>
      </c>
      <c r="H1144" s="13">
        <f>IFERROR(__xludf.DUMMYFUNCTION("""COMPUTED_VALUE"""),100.0)</f>
        <v>100</v>
      </c>
      <c r="I1144" s="15">
        <f>IFERROR(__xludf.DUMMYFUNCTION("""COMPUTED_VALUE"""),0.0)</f>
        <v>0</v>
      </c>
    </row>
    <row r="1145">
      <c r="A1145" s="13" t="str">
        <f>IFERROR(__xludf.DUMMYFUNCTION("""COMPUTED_VALUE"""),"2690")</f>
        <v>2690</v>
      </c>
      <c r="B1145" s="13" t="str">
        <f>IFERROR(__xludf.DUMMYFUNCTION("""COMPUTED_VALUE"""),"Pueblo City 60")</f>
        <v>Pueblo City 60</v>
      </c>
      <c r="C1145" s="14" t="str">
        <f>IFERROR(__xludf.DUMMYFUNCTION("""COMPUTED_VALUE"""),"08402")</f>
        <v>08402</v>
      </c>
      <c r="D1145" s="13" t="str">
        <f>IFERROR(__xludf.DUMMYFUNCTION("""COMPUTED_VALUE"""),"SUNSET PARK ELEMENTARY SCHOOL")</f>
        <v>SUNSET PARK ELEMENTARY SCHOOL</v>
      </c>
      <c r="E1145" s="13" t="str">
        <f>IFERROR(__xludf.DUMMYFUNCTION("""COMPUTED_VALUE"""),"Group 3")</f>
        <v>Group 3</v>
      </c>
      <c r="F1145" s="13" t="str">
        <f>IFERROR(__xludf.DUMMYFUNCTION("""COMPUTED_VALUE"""),"2024 - 2025")</f>
        <v>2024 - 2025</v>
      </c>
      <c r="G1145" s="13" t="str">
        <f>IFERROR(__xludf.DUMMYFUNCTION("""COMPUTED_VALUE"""),"2023 - 2024")</f>
        <v>2023 - 2024</v>
      </c>
      <c r="H1145" s="13">
        <f>IFERROR(__xludf.DUMMYFUNCTION("""COMPUTED_VALUE"""),100.0)</f>
        <v>100</v>
      </c>
      <c r="I1145" s="15">
        <f>IFERROR(__xludf.DUMMYFUNCTION("""COMPUTED_VALUE"""),0.0)</f>
        <v>0</v>
      </c>
    </row>
    <row r="1146">
      <c r="A1146" s="13" t="str">
        <f>IFERROR(__xludf.DUMMYFUNCTION("""COMPUTED_VALUE"""),"2690")</f>
        <v>2690</v>
      </c>
      <c r="B1146" s="13" t="str">
        <f>IFERROR(__xludf.DUMMYFUNCTION("""COMPUTED_VALUE"""),"Pueblo City 60")</f>
        <v>Pueblo City 60</v>
      </c>
      <c r="C1146" s="14" t="str">
        <f>IFERROR(__xludf.DUMMYFUNCTION("""COMPUTED_VALUE"""),"06775")</f>
        <v>06775</v>
      </c>
      <c r="D1146" s="13" t="str">
        <f>IFERROR(__xludf.DUMMYFUNCTION("""COMPUTED_VALUE"""),"Pueblo School for Arts &amp; Sciences at Fulton Heights")</f>
        <v>Pueblo School for Arts &amp; Sciences at Fulton Heights</v>
      </c>
      <c r="E1146" s="13" t="str">
        <f>IFERROR(__xludf.DUMMYFUNCTION("""COMPUTED_VALUE"""),"Group 3")</f>
        <v>Group 3</v>
      </c>
      <c r="F1146" s="13" t="str">
        <f>IFERROR(__xludf.DUMMYFUNCTION("""COMPUTED_VALUE"""),"2024 - 2025")</f>
        <v>2024 - 2025</v>
      </c>
      <c r="G1146" s="13" t="str">
        <f>IFERROR(__xludf.DUMMYFUNCTION("""COMPUTED_VALUE"""),"2023 - 2024")</f>
        <v>2023 - 2024</v>
      </c>
      <c r="H1146" s="13">
        <f>IFERROR(__xludf.DUMMYFUNCTION("""COMPUTED_VALUE"""),100.0)</f>
        <v>100</v>
      </c>
      <c r="I1146" s="15">
        <f>IFERROR(__xludf.DUMMYFUNCTION("""COMPUTED_VALUE"""),0.0)</f>
        <v>0</v>
      </c>
    </row>
    <row r="1147">
      <c r="A1147" s="13" t="str">
        <f>IFERROR(__xludf.DUMMYFUNCTION("""COMPUTED_VALUE"""),"2690")</f>
        <v>2690</v>
      </c>
      <c r="B1147" s="13" t="str">
        <f>IFERROR(__xludf.DUMMYFUNCTION("""COMPUTED_VALUE"""),"Pueblo City 60")</f>
        <v>Pueblo City 60</v>
      </c>
      <c r="C1147" s="14" t="str">
        <f>IFERROR(__xludf.DUMMYFUNCTION("""COMPUTED_VALUE"""),"05048")</f>
        <v>05048</v>
      </c>
      <c r="D1147" s="13" t="str">
        <f>IFERROR(__xludf.DUMMYFUNCTION("""COMPUTED_VALUE"""),"PUEBLO ACADEMY OF ARTS")</f>
        <v>PUEBLO ACADEMY OF ARTS</v>
      </c>
      <c r="E1147" s="13" t="str">
        <f>IFERROR(__xludf.DUMMYFUNCTION("""COMPUTED_VALUE"""),"Group 4")</f>
        <v>Group 4</v>
      </c>
      <c r="F1147" s="13" t="str">
        <f>IFERROR(__xludf.DUMMYFUNCTION("""COMPUTED_VALUE"""),"2024 - 2025")</f>
        <v>2024 - 2025</v>
      </c>
      <c r="G1147" s="13" t="str">
        <f>IFERROR(__xludf.DUMMYFUNCTION("""COMPUTED_VALUE"""),"2023 - 2024")</f>
        <v>2023 - 2024</v>
      </c>
      <c r="H1147" s="13">
        <f>IFERROR(__xludf.DUMMYFUNCTION("""COMPUTED_VALUE"""),100.0)</f>
        <v>100</v>
      </c>
      <c r="I1147" s="15">
        <f>IFERROR(__xludf.DUMMYFUNCTION("""COMPUTED_VALUE"""),0.0)</f>
        <v>0</v>
      </c>
    </row>
    <row r="1148">
      <c r="A1148" s="13" t="str">
        <f>IFERROR(__xludf.DUMMYFUNCTION("""COMPUTED_VALUE"""),"2690")</f>
        <v>2690</v>
      </c>
      <c r="B1148" s="13" t="str">
        <f>IFERROR(__xludf.DUMMYFUNCTION("""COMPUTED_VALUE"""),"Pueblo City 60")</f>
        <v>Pueblo City 60</v>
      </c>
      <c r="C1148" s="14" t="str">
        <f>IFERROR(__xludf.DUMMYFUNCTION("""COMPUTED_VALUE"""),"00756")</f>
        <v>00756</v>
      </c>
      <c r="D1148" s="13" t="str">
        <f>IFERROR(__xludf.DUMMYFUNCTION("""COMPUTED_VALUE"""),"BENJAMIN FRANKLIN ELEMENTARY SCHOOL")</f>
        <v>BENJAMIN FRANKLIN ELEMENTARY SCHOOL</v>
      </c>
      <c r="E1148" s="13" t="str">
        <f>IFERROR(__xludf.DUMMYFUNCTION("""COMPUTED_VALUE"""),"Group 5")</f>
        <v>Group 5</v>
      </c>
      <c r="F1148" s="13" t="str">
        <f>IFERROR(__xludf.DUMMYFUNCTION("""COMPUTED_VALUE"""),"2024 - 2025")</f>
        <v>2024 - 2025</v>
      </c>
      <c r="G1148" s="13" t="str">
        <f>IFERROR(__xludf.DUMMYFUNCTION("""COMPUTED_VALUE"""),"2023 - 2024")</f>
        <v>2023 - 2024</v>
      </c>
      <c r="H1148" s="13">
        <f>IFERROR(__xludf.DUMMYFUNCTION("""COMPUTED_VALUE"""),100.0)</f>
        <v>100</v>
      </c>
      <c r="I1148" s="15">
        <f>IFERROR(__xludf.DUMMYFUNCTION("""COMPUTED_VALUE"""),0.0)</f>
        <v>0</v>
      </c>
    </row>
    <row r="1149">
      <c r="A1149" s="13" t="str">
        <f>IFERROR(__xludf.DUMMYFUNCTION("""COMPUTED_VALUE"""),"2690")</f>
        <v>2690</v>
      </c>
      <c r="B1149" s="13" t="str">
        <f>IFERROR(__xludf.DUMMYFUNCTION("""COMPUTED_VALUE"""),"Pueblo City 60")</f>
        <v>Pueblo City 60</v>
      </c>
      <c r="C1149" s="14" t="str">
        <f>IFERROR(__xludf.DUMMYFUNCTION("""COMPUTED_VALUE"""),"03924")</f>
        <v>03924</v>
      </c>
      <c r="D1149" s="13" t="str">
        <f>IFERROR(__xludf.DUMMYFUNCTION("""COMPUTED_VALUE"""),"HERITAGE ELEMENTARY SCHOOL")</f>
        <v>HERITAGE ELEMENTARY SCHOOL</v>
      </c>
      <c r="E1149" s="13" t="str">
        <f>IFERROR(__xludf.DUMMYFUNCTION("""COMPUTED_VALUE"""),"Group 5")</f>
        <v>Group 5</v>
      </c>
      <c r="F1149" s="13" t="str">
        <f>IFERROR(__xludf.DUMMYFUNCTION("""COMPUTED_VALUE"""),"2024 - 2025")</f>
        <v>2024 - 2025</v>
      </c>
      <c r="G1149" s="13" t="str">
        <f>IFERROR(__xludf.DUMMYFUNCTION("""COMPUTED_VALUE"""),"2023 - 2024")</f>
        <v>2023 - 2024</v>
      </c>
      <c r="H1149" s="13">
        <f>IFERROR(__xludf.DUMMYFUNCTION("""COMPUTED_VALUE"""),100.0)</f>
        <v>100</v>
      </c>
      <c r="I1149" s="15">
        <f>IFERROR(__xludf.DUMMYFUNCTION("""COMPUTED_VALUE"""),0.0)</f>
        <v>0</v>
      </c>
    </row>
    <row r="1150">
      <c r="A1150" s="13" t="str">
        <f>IFERROR(__xludf.DUMMYFUNCTION("""COMPUTED_VALUE"""),"2690")</f>
        <v>2690</v>
      </c>
      <c r="B1150" s="13" t="str">
        <f>IFERROR(__xludf.DUMMYFUNCTION("""COMPUTED_VALUE"""),"Pueblo City 60")</f>
        <v>Pueblo City 60</v>
      </c>
      <c r="C1150" s="14" t="str">
        <f>IFERROR(__xludf.DUMMYFUNCTION("""COMPUTED_VALUE"""),"02096")</f>
        <v>02096</v>
      </c>
      <c r="D1150" s="13" t="str">
        <f>IFERROR(__xludf.DUMMYFUNCTION("""COMPUTED_VALUE"""),"CORWIN INTERNATIONAL MAGNET SCHOOL")</f>
        <v>CORWIN INTERNATIONAL MAGNET SCHOOL</v>
      </c>
      <c r="E1150" s="13" t="str">
        <f>IFERROR(__xludf.DUMMYFUNCTION("""COMPUTED_VALUE"""),"Group 6")</f>
        <v>Group 6</v>
      </c>
      <c r="F1150" s="13" t="str">
        <f>IFERROR(__xludf.DUMMYFUNCTION("""COMPUTED_VALUE"""),"2024 - 2025")</f>
        <v>2024 - 2025</v>
      </c>
      <c r="G1150" s="13" t="str">
        <f>IFERROR(__xludf.DUMMYFUNCTION("""COMPUTED_VALUE"""),"2023 - 2024")</f>
        <v>2023 - 2024</v>
      </c>
      <c r="H1150" s="13">
        <f>IFERROR(__xludf.DUMMYFUNCTION("""COMPUTED_VALUE"""),100.0)</f>
        <v>100</v>
      </c>
      <c r="I1150" s="15">
        <f>IFERROR(__xludf.DUMMYFUNCTION("""COMPUTED_VALUE"""),0.0)</f>
        <v>0</v>
      </c>
    </row>
    <row r="1151">
      <c r="A1151" s="13" t="str">
        <f>IFERROR(__xludf.DUMMYFUNCTION("""COMPUTED_VALUE"""),"2690")</f>
        <v>2690</v>
      </c>
      <c r="B1151" s="13" t="str">
        <f>IFERROR(__xludf.DUMMYFUNCTION("""COMPUTED_VALUE"""),"Pueblo City 60")</f>
        <v>Pueblo City 60</v>
      </c>
      <c r="C1151" s="14" t="str">
        <f>IFERROR(__xludf.DUMMYFUNCTION("""COMPUTED_VALUE"""),"06132")</f>
        <v>06132</v>
      </c>
      <c r="D1151" s="13" t="str">
        <f>IFERROR(__xludf.DUMMYFUNCTION("""COMPUTED_VALUE"""),"MORTON ELEMENTARY SCHOOL")</f>
        <v>MORTON ELEMENTARY SCHOOL</v>
      </c>
      <c r="E1151" s="13" t="str">
        <f>IFERROR(__xludf.DUMMYFUNCTION("""COMPUTED_VALUE"""),"Group 6")</f>
        <v>Group 6</v>
      </c>
      <c r="F1151" s="13" t="str">
        <f>IFERROR(__xludf.DUMMYFUNCTION("""COMPUTED_VALUE"""),"2024 - 2025")</f>
        <v>2024 - 2025</v>
      </c>
      <c r="G1151" s="13" t="str">
        <f>IFERROR(__xludf.DUMMYFUNCTION("""COMPUTED_VALUE"""),"2023 - 2024")</f>
        <v>2023 - 2024</v>
      </c>
      <c r="H1151" s="13">
        <f>IFERROR(__xludf.DUMMYFUNCTION("""COMPUTED_VALUE"""),100.0)</f>
        <v>100</v>
      </c>
      <c r="I1151" s="15">
        <f>IFERROR(__xludf.DUMMYFUNCTION("""COMPUTED_VALUE"""),0.0)</f>
        <v>0</v>
      </c>
    </row>
    <row r="1152">
      <c r="A1152" s="13" t="str">
        <f>IFERROR(__xludf.DUMMYFUNCTION("""COMPUTED_VALUE"""),"2690")</f>
        <v>2690</v>
      </c>
      <c r="B1152" s="13" t="str">
        <f>IFERROR(__xludf.DUMMYFUNCTION("""COMPUTED_VALUE"""),"Pueblo City 60")</f>
        <v>Pueblo City 60</v>
      </c>
      <c r="C1152" s="14" t="str">
        <f>IFERROR(__xludf.DUMMYFUNCTION("""COMPUTED_VALUE"""),"04376")</f>
        <v>04376</v>
      </c>
      <c r="D1152" s="13" t="str">
        <f>IFERROR(__xludf.DUMMYFUNCTION("""COMPUTED_VALUE"""),"RISLEY INTERNATIONAL ACADEMY OF INNOVATION")</f>
        <v>RISLEY INTERNATIONAL ACADEMY OF INNOVATION</v>
      </c>
      <c r="E1152" s="13" t="str">
        <f>IFERROR(__xludf.DUMMYFUNCTION("""COMPUTED_VALUE"""),"Group 7")</f>
        <v>Group 7</v>
      </c>
      <c r="F1152" s="13" t="str">
        <f>IFERROR(__xludf.DUMMYFUNCTION("""COMPUTED_VALUE"""),"2024 - 2025")</f>
        <v>2024 - 2025</v>
      </c>
      <c r="G1152" s="13" t="str">
        <f>IFERROR(__xludf.DUMMYFUNCTION("""COMPUTED_VALUE"""),"2023 - 2024")</f>
        <v>2023 - 2024</v>
      </c>
      <c r="H1152" s="13" t="str">
        <f>IFERROR(__xludf.DUMMYFUNCTION("""COMPUTED_VALUE"""),"*")</f>
        <v>*</v>
      </c>
      <c r="I1152" s="15">
        <f>IFERROR(__xludf.DUMMYFUNCTION("""COMPUTED_VALUE"""),0.0)</f>
        <v>0</v>
      </c>
    </row>
    <row r="1153">
      <c r="A1153" s="13" t="str">
        <f>IFERROR(__xludf.DUMMYFUNCTION("""COMPUTED_VALUE"""),"2690")</f>
        <v>2690</v>
      </c>
      <c r="B1153" s="13" t="str">
        <f>IFERROR(__xludf.DUMMYFUNCTION("""COMPUTED_VALUE"""),"Pueblo City 60")</f>
        <v>Pueblo City 60</v>
      </c>
      <c r="C1153" s="14" t="str">
        <f>IFERROR(__xludf.DUMMYFUNCTION("""COMPUTED_VALUE"""),"07209")</f>
        <v>07209</v>
      </c>
      <c r="D1153" s="13" t="str">
        <f>IFERROR(__xludf.DUMMYFUNCTION("""COMPUTED_VALUE"""),"PUEBLO CHARTER SCHOOL FOR THE ARTS &amp; SCIENCES")</f>
        <v>PUEBLO CHARTER SCHOOL FOR THE ARTS &amp; SCIENCES</v>
      </c>
      <c r="E1153" s="13" t="str">
        <f>IFERROR(__xludf.DUMMYFUNCTION("""COMPUTED_VALUE"""),"Group 8")</f>
        <v>Group 8</v>
      </c>
      <c r="F1153" s="13" t="str">
        <f>IFERROR(__xludf.DUMMYFUNCTION("""COMPUTED_VALUE"""),"2024 - 2025")</f>
        <v>2024 - 2025</v>
      </c>
      <c r="G1153" s="13" t="str">
        <f>IFERROR(__xludf.DUMMYFUNCTION("""COMPUTED_VALUE"""),"2023 - 2024")</f>
        <v>2023 - 2024</v>
      </c>
      <c r="H1153" s="13">
        <f>IFERROR(__xludf.DUMMYFUNCTION("""COMPUTED_VALUE"""),100.0)</f>
        <v>100</v>
      </c>
      <c r="I1153" s="15">
        <f>IFERROR(__xludf.DUMMYFUNCTION("""COMPUTED_VALUE"""),0.0)</f>
        <v>0</v>
      </c>
    </row>
    <row r="1154">
      <c r="A1154" s="13" t="str">
        <f>IFERROR(__xludf.DUMMYFUNCTION("""COMPUTED_VALUE"""),"2690")</f>
        <v>2690</v>
      </c>
      <c r="B1154" s="13" t="str">
        <f>IFERROR(__xludf.DUMMYFUNCTION("""COMPUTED_VALUE"""),"Pueblo City 60")</f>
        <v>Pueblo City 60</v>
      </c>
      <c r="C1154" s="14" t="str">
        <f>IFERROR(__xludf.DUMMYFUNCTION("""COMPUTED_VALUE"""),"01454")</f>
        <v>01454</v>
      </c>
      <c r="D1154" s="13" t="str">
        <f>IFERROR(__xludf.DUMMYFUNCTION("""COMPUTED_VALUE"""),"CENTRAL HIGH SCHOOL")</f>
        <v>CENTRAL HIGH SCHOOL</v>
      </c>
      <c r="E1154" s="13" t="str">
        <f>IFERROR(__xludf.DUMMYFUNCTION("""COMPUTED_VALUE"""),"Group 9")</f>
        <v>Group 9</v>
      </c>
      <c r="F1154" s="13" t="str">
        <f>IFERROR(__xludf.DUMMYFUNCTION("""COMPUTED_VALUE"""),"2024 - 2025")</f>
        <v>2024 - 2025</v>
      </c>
      <c r="G1154" s="13" t="str">
        <f>IFERROR(__xludf.DUMMYFUNCTION("""COMPUTED_VALUE"""),"2023 - 2024")</f>
        <v>2023 - 2024</v>
      </c>
      <c r="H1154" s="13">
        <f>IFERROR(__xludf.DUMMYFUNCTION("""COMPUTED_VALUE"""),100.0)</f>
        <v>100</v>
      </c>
      <c r="I1154" s="15">
        <f>IFERROR(__xludf.DUMMYFUNCTION("""COMPUTED_VALUE"""),0.0)</f>
        <v>0</v>
      </c>
    </row>
    <row r="1155">
      <c r="A1155" s="13" t="str">
        <f>IFERROR(__xludf.DUMMYFUNCTION("""COMPUTED_VALUE"""),"2690")</f>
        <v>2690</v>
      </c>
      <c r="B1155" s="13" t="str">
        <f>IFERROR(__xludf.DUMMYFUNCTION("""COMPUTED_VALUE"""),"Pueblo City 60")</f>
        <v>Pueblo City 60</v>
      </c>
      <c r="C1155" s="14" t="str">
        <f>IFERROR(__xludf.DUMMYFUNCTION("""COMPUTED_VALUE"""),"06770")</f>
        <v>06770</v>
      </c>
      <c r="D1155" s="13" t="str">
        <f>IFERROR(__xludf.DUMMYFUNCTION("""COMPUTED_VALUE"""),"PARK VIEW ELEMENTARY SCHOOL")</f>
        <v>PARK VIEW ELEMENTARY SCHOOL</v>
      </c>
      <c r="E1155" s="13" t="str">
        <f>IFERROR(__xludf.DUMMYFUNCTION("""COMPUTED_VALUE"""),"Group 9")</f>
        <v>Group 9</v>
      </c>
      <c r="F1155" s="13" t="str">
        <f>IFERROR(__xludf.DUMMYFUNCTION("""COMPUTED_VALUE"""),"2024 - 2025")</f>
        <v>2024 - 2025</v>
      </c>
      <c r="G1155" s="13" t="str">
        <f>IFERROR(__xludf.DUMMYFUNCTION("""COMPUTED_VALUE"""),"2023 - 2024")</f>
        <v>2023 - 2024</v>
      </c>
      <c r="H1155" s="13">
        <f>IFERROR(__xludf.DUMMYFUNCTION("""COMPUTED_VALUE"""),100.0)</f>
        <v>100</v>
      </c>
      <c r="I1155" s="15">
        <f>IFERROR(__xludf.DUMMYFUNCTION("""COMPUTED_VALUE"""),0.0)</f>
        <v>0</v>
      </c>
    </row>
    <row r="1156">
      <c r="A1156" s="13" t="str">
        <f>IFERROR(__xludf.DUMMYFUNCTION("""COMPUTED_VALUE"""),"2700")</f>
        <v>2700</v>
      </c>
      <c r="B1156" s="13" t="str">
        <f>IFERROR(__xludf.DUMMYFUNCTION("""COMPUTED_VALUE"""),"Pueblo County School District 70")</f>
        <v>Pueblo County School District 70</v>
      </c>
      <c r="C1156" s="14" t="str">
        <f>IFERROR(__xludf.DUMMYFUNCTION("""COMPUTED_VALUE"""),"07153")</f>
        <v>07153</v>
      </c>
      <c r="D1156" s="13" t="str">
        <f>IFERROR(__xludf.DUMMYFUNCTION("""COMPUTED_VALUE"""),"PRAIRIE WINDS ELEMENTARY")</f>
        <v>PRAIRIE WINDS ELEMENTARY</v>
      </c>
      <c r="E1156" s="13" t="str">
        <f>IFERROR(__xludf.DUMMYFUNCTION("""COMPUTED_VALUE"""),"Group 1")</f>
        <v>Group 1</v>
      </c>
      <c r="F1156" s="13" t="str">
        <f>IFERROR(__xludf.DUMMYFUNCTION("""COMPUTED_VALUE"""),"2024 - 2025")</f>
        <v>2024 - 2025</v>
      </c>
      <c r="G1156" s="13" t="str">
        <f>IFERROR(__xludf.DUMMYFUNCTION("""COMPUTED_VALUE"""),"2023 - 2024")</f>
        <v>2023 - 2024</v>
      </c>
      <c r="H1156" s="13">
        <f>IFERROR(__xludf.DUMMYFUNCTION("""COMPUTED_VALUE"""),72.77)</f>
        <v>72.77</v>
      </c>
      <c r="I1156" s="15">
        <f>IFERROR(__xludf.DUMMYFUNCTION("""COMPUTED_VALUE"""),27.230000000000004)</f>
        <v>27.23</v>
      </c>
    </row>
    <row r="1157">
      <c r="A1157" s="13" t="str">
        <f>IFERROR(__xludf.DUMMYFUNCTION("""COMPUTED_VALUE"""),"2700")</f>
        <v>2700</v>
      </c>
      <c r="B1157" s="13" t="str">
        <f>IFERROR(__xludf.DUMMYFUNCTION("""COMPUTED_VALUE"""),"Pueblo County School District 70")</f>
        <v>Pueblo County School District 70</v>
      </c>
      <c r="C1157" s="14" t="str">
        <f>IFERROR(__xludf.DUMMYFUNCTION("""COMPUTED_VALUE"""),"09130")</f>
        <v>09130</v>
      </c>
      <c r="D1157" s="13" t="str">
        <f>IFERROR(__xludf.DUMMYFUNCTION("""COMPUTED_VALUE"""),"VINELAND ELEMENTARY SCHOOL")</f>
        <v>VINELAND ELEMENTARY SCHOOL</v>
      </c>
      <c r="E1157" s="13" t="str">
        <f>IFERROR(__xludf.DUMMYFUNCTION("""COMPUTED_VALUE"""),"Group 1")</f>
        <v>Group 1</v>
      </c>
      <c r="F1157" s="13" t="str">
        <f>IFERROR(__xludf.DUMMYFUNCTION("""COMPUTED_VALUE"""),"2024 - 2025")</f>
        <v>2024 - 2025</v>
      </c>
      <c r="G1157" s="13" t="str">
        <f>IFERROR(__xludf.DUMMYFUNCTION("""COMPUTED_VALUE"""),"2023 - 2024")</f>
        <v>2023 - 2024</v>
      </c>
      <c r="H1157" s="13">
        <f>IFERROR(__xludf.DUMMYFUNCTION("""COMPUTED_VALUE"""),72.77)</f>
        <v>72.77</v>
      </c>
      <c r="I1157" s="15">
        <f>IFERROR(__xludf.DUMMYFUNCTION("""COMPUTED_VALUE"""),27.230000000000004)</f>
        <v>27.23</v>
      </c>
    </row>
    <row r="1158">
      <c r="A1158" s="13" t="str">
        <f>IFERROR(__xludf.DUMMYFUNCTION("""COMPUTED_VALUE"""),"2700")</f>
        <v>2700</v>
      </c>
      <c r="B1158" s="13" t="str">
        <f>IFERROR(__xludf.DUMMYFUNCTION("""COMPUTED_VALUE"""),"Pueblo County School District 70")</f>
        <v>Pueblo County School District 70</v>
      </c>
      <c r="C1158" s="14" t="str">
        <f>IFERROR(__xludf.DUMMYFUNCTION("""COMPUTED_VALUE"""),"07214")</f>
        <v>07214</v>
      </c>
      <c r="D1158" s="13" t="str">
        <f>IFERROR(__xludf.DUMMYFUNCTION("""COMPUTED_VALUE"""),"PUEBLO WEST HIGH SCHOOL")</f>
        <v>PUEBLO WEST HIGH SCHOOL</v>
      </c>
      <c r="E1158" s="13" t="str">
        <f>IFERROR(__xludf.DUMMYFUNCTION("""COMPUTED_VALUE"""),"Group 10")</f>
        <v>Group 10</v>
      </c>
      <c r="F1158" s="13" t="str">
        <f>IFERROR(__xludf.DUMMYFUNCTION("""COMPUTED_VALUE"""),"2024 - 2025")</f>
        <v>2024 - 2025</v>
      </c>
      <c r="G1158" s="13" t="str">
        <f>IFERROR(__xludf.DUMMYFUNCTION("""COMPUTED_VALUE"""),"2023 - 2024")</f>
        <v>2023 - 2024</v>
      </c>
      <c r="H1158" s="13">
        <f>IFERROR(__xludf.DUMMYFUNCTION("""COMPUTED_VALUE"""),51.92)</f>
        <v>51.92</v>
      </c>
      <c r="I1158" s="15">
        <f>IFERROR(__xludf.DUMMYFUNCTION("""COMPUTED_VALUE"""),48.08)</f>
        <v>48.08</v>
      </c>
    </row>
    <row r="1159">
      <c r="A1159" s="13" t="str">
        <f>IFERROR(__xludf.DUMMYFUNCTION("""COMPUTED_VALUE"""),"2700")</f>
        <v>2700</v>
      </c>
      <c r="B1159" s="13" t="str">
        <f>IFERROR(__xludf.DUMMYFUNCTION("""COMPUTED_VALUE"""),"Pueblo County School District 70")</f>
        <v>Pueblo County School District 70</v>
      </c>
      <c r="C1159" s="14" t="str">
        <f>IFERROR(__xludf.DUMMYFUNCTION("""COMPUTED_VALUE"""),"07534")</f>
        <v>07534</v>
      </c>
      <c r="D1159" s="13" t="str">
        <f>IFERROR(__xludf.DUMMYFUNCTION("""COMPUTED_VALUE"""),"RYE HIGH SCHOOL")</f>
        <v>RYE HIGH SCHOOL</v>
      </c>
      <c r="E1159" s="13" t="str">
        <f>IFERROR(__xludf.DUMMYFUNCTION("""COMPUTED_VALUE"""),"Group 10")</f>
        <v>Group 10</v>
      </c>
      <c r="F1159" s="13" t="str">
        <f>IFERROR(__xludf.DUMMYFUNCTION("""COMPUTED_VALUE"""),"2024 - 2025")</f>
        <v>2024 - 2025</v>
      </c>
      <c r="G1159" s="13" t="str">
        <f>IFERROR(__xludf.DUMMYFUNCTION("""COMPUTED_VALUE"""),"2023 - 2024")</f>
        <v>2023 - 2024</v>
      </c>
      <c r="H1159" s="13">
        <f>IFERROR(__xludf.DUMMYFUNCTION("""COMPUTED_VALUE"""),51.92)</f>
        <v>51.92</v>
      </c>
      <c r="I1159" s="15">
        <f>IFERROR(__xludf.DUMMYFUNCTION("""COMPUTED_VALUE"""),48.08)</f>
        <v>48.08</v>
      </c>
    </row>
    <row r="1160">
      <c r="A1160" s="13" t="str">
        <f>IFERROR(__xludf.DUMMYFUNCTION("""COMPUTED_VALUE"""),"2700")</f>
        <v>2700</v>
      </c>
      <c r="B1160" s="13" t="str">
        <f>IFERROR(__xludf.DUMMYFUNCTION("""COMPUTED_VALUE"""),"Pueblo County School District 70")</f>
        <v>Pueblo County School District 70</v>
      </c>
      <c r="C1160" s="14" t="str">
        <f>IFERROR(__xludf.DUMMYFUNCTION("""COMPUTED_VALUE"""),"00852")</f>
        <v>00852</v>
      </c>
      <c r="D1160" s="13" t="str">
        <f>IFERROR(__xludf.DUMMYFUNCTION("""COMPUTED_VALUE"""),"BEULAH ELEMENTARY SCHOOL")</f>
        <v>BEULAH ELEMENTARY SCHOOL</v>
      </c>
      <c r="E1160" s="13" t="str">
        <f>IFERROR(__xludf.DUMMYFUNCTION("""COMPUTED_VALUE"""),"Group 11")</f>
        <v>Group 11</v>
      </c>
      <c r="F1160" s="13" t="str">
        <f>IFERROR(__xludf.DUMMYFUNCTION("""COMPUTED_VALUE"""),"2024 - 2025")</f>
        <v>2024 - 2025</v>
      </c>
      <c r="G1160" s="13" t="str">
        <f>IFERROR(__xludf.DUMMYFUNCTION("""COMPUTED_VALUE"""),"2023 - 2024")</f>
        <v>2023 - 2024</v>
      </c>
      <c r="H1160" s="13">
        <f>IFERROR(__xludf.DUMMYFUNCTION("""COMPUTED_VALUE"""),73.87)</f>
        <v>73.87</v>
      </c>
      <c r="I1160" s="15">
        <f>IFERROR(__xludf.DUMMYFUNCTION("""COMPUTED_VALUE"""),26.129999999999995)</f>
        <v>26.13</v>
      </c>
    </row>
    <row r="1161">
      <c r="A1161" s="13" t="str">
        <f>IFERROR(__xludf.DUMMYFUNCTION("""COMPUTED_VALUE"""),"2700")</f>
        <v>2700</v>
      </c>
      <c r="B1161" s="13" t="str">
        <f>IFERROR(__xludf.DUMMYFUNCTION("""COMPUTED_VALUE"""),"Pueblo County School District 70")</f>
        <v>Pueblo County School District 70</v>
      </c>
      <c r="C1161" s="14" t="str">
        <f>IFERROR(__xludf.DUMMYFUNCTION("""COMPUTED_VALUE"""),"06354")</f>
        <v>06354</v>
      </c>
      <c r="D1161" s="13" t="str">
        <f>IFERROR(__xludf.DUMMYFUNCTION("""COMPUTED_VALUE"""),"NORTH MESA ELEMENTARY SCHOOL")</f>
        <v>NORTH MESA ELEMENTARY SCHOOL</v>
      </c>
      <c r="E1161" s="13" t="str">
        <f>IFERROR(__xludf.DUMMYFUNCTION("""COMPUTED_VALUE"""),"Group 11")</f>
        <v>Group 11</v>
      </c>
      <c r="F1161" s="13" t="str">
        <f>IFERROR(__xludf.DUMMYFUNCTION("""COMPUTED_VALUE"""),"2024 - 2025")</f>
        <v>2024 - 2025</v>
      </c>
      <c r="G1161" s="13" t="str">
        <f>IFERROR(__xludf.DUMMYFUNCTION("""COMPUTED_VALUE"""),"2023 - 2024")</f>
        <v>2023 - 2024</v>
      </c>
      <c r="H1161" s="13">
        <f>IFERROR(__xludf.DUMMYFUNCTION("""COMPUTED_VALUE"""),73.87)</f>
        <v>73.87</v>
      </c>
      <c r="I1161" s="15">
        <f>IFERROR(__xludf.DUMMYFUNCTION("""COMPUTED_VALUE"""),26.129999999999995)</f>
        <v>26.13</v>
      </c>
    </row>
    <row r="1162">
      <c r="A1162" s="13" t="str">
        <f>IFERROR(__xludf.DUMMYFUNCTION("""COMPUTED_VALUE"""),"2700")</f>
        <v>2700</v>
      </c>
      <c r="B1162" s="13" t="str">
        <f>IFERROR(__xludf.DUMMYFUNCTION("""COMPUTED_VALUE"""),"Pueblo County School District 70")</f>
        <v>Pueblo County School District 70</v>
      </c>
      <c r="C1162" s="14" t="str">
        <f>IFERROR(__xludf.DUMMYFUNCTION("""COMPUTED_VALUE"""),"07532")</f>
        <v>07532</v>
      </c>
      <c r="D1162" s="13" t="str">
        <f>IFERROR(__xludf.DUMMYFUNCTION("""COMPUTED_VALUE"""),"CRAVER MIDDLE SCHOOL")</f>
        <v>CRAVER MIDDLE SCHOOL</v>
      </c>
      <c r="E1162" s="13" t="str">
        <f>IFERROR(__xludf.DUMMYFUNCTION("""COMPUTED_VALUE"""),"Group 2")</f>
        <v>Group 2</v>
      </c>
      <c r="F1162" s="13" t="str">
        <f>IFERROR(__xludf.DUMMYFUNCTION("""COMPUTED_VALUE"""),"2024 - 2025")</f>
        <v>2024 - 2025</v>
      </c>
      <c r="G1162" s="13" t="str">
        <f>IFERROR(__xludf.DUMMYFUNCTION("""COMPUTED_VALUE"""),"2023 - 2024")</f>
        <v>2023 - 2024</v>
      </c>
      <c r="H1162" s="13">
        <f>IFERROR(__xludf.DUMMYFUNCTION("""COMPUTED_VALUE"""),65.46)</f>
        <v>65.46</v>
      </c>
      <c r="I1162" s="15">
        <f>IFERROR(__xludf.DUMMYFUNCTION("""COMPUTED_VALUE"""),34.540000000000006)</f>
        <v>34.54</v>
      </c>
    </row>
    <row r="1163">
      <c r="A1163" s="13" t="str">
        <f>IFERROR(__xludf.DUMMYFUNCTION("""COMPUTED_VALUE"""),"2700")</f>
        <v>2700</v>
      </c>
      <c r="B1163" s="13" t="str">
        <f>IFERROR(__xludf.DUMMYFUNCTION("""COMPUTED_VALUE"""),"Pueblo County School District 70")</f>
        <v>Pueblo County School District 70</v>
      </c>
      <c r="C1163" s="14" t="str">
        <f>IFERROR(__xludf.DUMMYFUNCTION("""COMPUTED_VALUE"""),"00025")</f>
        <v>00025</v>
      </c>
      <c r="D1163" s="13" t="str">
        <f>IFERROR(__xludf.DUMMYFUNCTION("""COMPUTED_VALUE"""),"SKY VIEW MIDDLE SCHOOL")</f>
        <v>SKY VIEW MIDDLE SCHOOL</v>
      </c>
      <c r="E1163" s="13" t="str">
        <f>IFERROR(__xludf.DUMMYFUNCTION("""COMPUTED_VALUE"""),"Group 3")</f>
        <v>Group 3</v>
      </c>
      <c r="F1163" s="13" t="str">
        <f>IFERROR(__xludf.DUMMYFUNCTION("""COMPUTED_VALUE"""),"2024 - 2025")</f>
        <v>2024 - 2025</v>
      </c>
      <c r="G1163" s="13" t="str">
        <f>IFERROR(__xludf.DUMMYFUNCTION("""COMPUTED_VALUE"""),"2023 - 2024")</f>
        <v>2023 - 2024</v>
      </c>
      <c r="H1163" s="13">
        <f>IFERROR(__xludf.DUMMYFUNCTION("""COMPUTED_VALUE"""),53.7)</f>
        <v>53.7</v>
      </c>
      <c r="I1163" s="15">
        <f>IFERROR(__xludf.DUMMYFUNCTION("""COMPUTED_VALUE"""),46.3)</f>
        <v>46.3</v>
      </c>
    </row>
    <row r="1164">
      <c r="A1164" s="13" t="str">
        <f>IFERROR(__xludf.DUMMYFUNCTION("""COMPUTED_VALUE"""),"2700")</f>
        <v>2700</v>
      </c>
      <c r="B1164" s="13" t="str">
        <f>IFERROR(__xludf.DUMMYFUNCTION("""COMPUTED_VALUE"""),"Pueblo County School District 70")</f>
        <v>Pueblo County School District 70</v>
      </c>
      <c r="C1164" s="14" t="str">
        <f>IFERROR(__xludf.DUMMYFUNCTION("""COMPUTED_VALUE"""),"07530")</f>
        <v>07530</v>
      </c>
      <c r="D1164" s="13" t="str">
        <f>IFERROR(__xludf.DUMMYFUNCTION("""COMPUTED_VALUE"""),"RYE ELEMENTARY SCHOOL")</f>
        <v>RYE ELEMENTARY SCHOOL</v>
      </c>
      <c r="E1164" s="13" t="str">
        <f>IFERROR(__xludf.DUMMYFUNCTION("""COMPUTED_VALUE"""),"Group 4")</f>
        <v>Group 4</v>
      </c>
      <c r="F1164" s="13" t="str">
        <f>IFERROR(__xludf.DUMMYFUNCTION("""COMPUTED_VALUE"""),"2024 - 2025")</f>
        <v>2024 - 2025</v>
      </c>
      <c r="G1164" s="13" t="str">
        <f>IFERROR(__xludf.DUMMYFUNCTION("""COMPUTED_VALUE"""),"2023 - 2024")</f>
        <v>2023 - 2024</v>
      </c>
      <c r="H1164" s="13">
        <f>IFERROR(__xludf.DUMMYFUNCTION("""COMPUTED_VALUE"""),68.5)</f>
        <v>68.5</v>
      </c>
      <c r="I1164" s="15">
        <f>IFERROR(__xludf.DUMMYFUNCTION("""COMPUTED_VALUE"""),31.5)</f>
        <v>31.5</v>
      </c>
    </row>
    <row r="1165">
      <c r="A1165" s="13" t="str">
        <f>IFERROR(__xludf.DUMMYFUNCTION("""COMPUTED_VALUE"""),"2700")</f>
        <v>2700</v>
      </c>
      <c r="B1165" s="13" t="str">
        <f>IFERROR(__xludf.DUMMYFUNCTION("""COMPUTED_VALUE"""),"Pueblo County School District 70")</f>
        <v>Pueblo County School District 70</v>
      </c>
      <c r="C1165" s="14" t="str">
        <f>IFERROR(__xludf.DUMMYFUNCTION("""COMPUTED_VALUE"""),"00472")</f>
        <v>00472</v>
      </c>
      <c r="D1165" s="13" t="str">
        <f>IFERROR(__xludf.DUMMYFUNCTION("""COMPUTED_VALUE"""),"AVONDALE ELEMENTARY SCHOOL")</f>
        <v>AVONDALE ELEMENTARY SCHOOL</v>
      </c>
      <c r="E1165" s="13" t="str">
        <f>IFERROR(__xludf.DUMMYFUNCTION("""COMPUTED_VALUE"""),"Group 5")</f>
        <v>Group 5</v>
      </c>
      <c r="F1165" s="13" t="str">
        <f>IFERROR(__xludf.DUMMYFUNCTION("""COMPUTED_VALUE"""),"2024 - 2025")</f>
        <v>2024 - 2025</v>
      </c>
      <c r="G1165" s="13" t="str">
        <f>IFERROR(__xludf.DUMMYFUNCTION("""COMPUTED_VALUE"""),"2023 - 2024")</f>
        <v>2023 - 2024</v>
      </c>
      <c r="H1165" s="13">
        <f>IFERROR(__xludf.DUMMYFUNCTION("""COMPUTED_VALUE"""),99.2)</f>
        <v>99.2</v>
      </c>
      <c r="I1165" s="15">
        <f>IFERROR(__xludf.DUMMYFUNCTION("""COMPUTED_VALUE"""),0.7999999999999972)</f>
        <v>0.8</v>
      </c>
    </row>
    <row r="1166">
      <c r="A1166" s="13" t="str">
        <f>IFERROR(__xludf.DUMMYFUNCTION("""COMPUTED_VALUE"""),"2700")</f>
        <v>2700</v>
      </c>
      <c r="B1166" s="13" t="str">
        <f>IFERROR(__xludf.DUMMYFUNCTION("""COMPUTED_VALUE"""),"Pueblo County School District 70")</f>
        <v>Pueblo County School District 70</v>
      </c>
      <c r="C1166" s="14" t="str">
        <f>IFERROR(__xludf.DUMMYFUNCTION("""COMPUTED_VALUE"""),"07210")</f>
        <v>07210</v>
      </c>
      <c r="D1166" s="13" t="str">
        <f>IFERROR(__xludf.DUMMYFUNCTION("""COMPUTED_VALUE"""),"LIBERTY POINT ELEMENTARY SCHOOL")</f>
        <v>LIBERTY POINT ELEMENTARY SCHOOL</v>
      </c>
      <c r="E1166" s="13" t="str">
        <f>IFERROR(__xludf.DUMMYFUNCTION("""COMPUTED_VALUE"""),"Group 5")</f>
        <v>Group 5</v>
      </c>
      <c r="F1166" s="13" t="str">
        <f>IFERROR(__xludf.DUMMYFUNCTION("""COMPUTED_VALUE"""),"2024 - 2025")</f>
        <v>2024 - 2025</v>
      </c>
      <c r="G1166" s="13" t="str">
        <f>IFERROR(__xludf.DUMMYFUNCTION("""COMPUTED_VALUE"""),"2023 - 2024")</f>
        <v>2023 - 2024</v>
      </c>
      <c r="H1166" s="13">
        <f>IFERROR(__xludf.DUMMYFUNCTION("""COMPUTED_VALUE"""),99.2)</f>
        <v>99.2</v>
      </c>
      <c r="I1166" s="15">
        <f>IFERROR(__xludf.DUMMYFUNCTION("""COMPUTED_VALUE"""),0.7999999999999972)</f>
        <v>0.8</v>
      </c>
    </row>
    <row r="1167">
      <c r="A1167" s="13" t="str">
        <f>IFERROR(__xludf.DUMMYFUNCTION("""COMPUTED_VALUE"""),"2700")</f>
        <v>2700</v>
      </c>
      <c r="B1167" s="13" t="str">
        <f>IFERROR(__xludf.DUMMYFUNCTION("""COMPUTED_VALUE"""),"Pueblo County School District 70")</f>
        <v>Pueblo County School District 70</v>
      </c>
      <c r="C1167" s="14" t="str">
        <f>IFERROR(__xludf.DUMMYFUNCTION("""COMPUTED_VALUE"""),"00026")</f>
        <v>00026</v>
      </c>
      <c r="D1167" s="13" t="str">
        <f>IFERROR(__xludf.DUMMYFUNCTION("""COMPUTED_VALUE"""),"DESERT SAGE ELEMENTARY SCHOOL")</f>
        <v>DESERT SAGE ELEMENTARY SCHOOL</v>
      </c>
      <c r="E1167" s="13" t="str">
        <f>IFERROR(__xludf.DUMMYFUNCTION("""COMPUTED_VALUE"""),"Group 6")</f>
        <v>Group 6</v>
      </c>
      <c r="F1167" s="13" t="str">
        <f>IFERROR(__xludf.DUMMYFUNCTION("""COMPUTED_VALUE"""),"2024 - 2025")</f>
        <v>2024 - 2025</v>
      </c>
      <c r="G1167" s="13" t="str">
        <f>IFERROR(__xludf.DUMMYFUNCTION("""COMPUTED_VALUE"""),"2023 - 2024")</f>
        <v>2023 - 2024</v>
      </c>
      <c r="H1167" s="13">
        <f>IFERROR(__xludf.DUMMYFUNCTION("""COMPUTED_VALUE"""),81.58)</f>
        <v>81.58</v>
      </c>
      <c r="I1167" s="15">
        <f>IFERROR(__xludf.DUMMYFUNCTION("""COMPUTED_VALUE"""),18.42)</f>
        <v>18.42</v>
      </c>
    </row>
    <row r="1168">
      <c r="A1168" s="13" t="str">
        <f>IFERROR(__xludf.DUMMYFUNCTION("""COMPUTED_VALUE"""),"2700")</f>
        <v>2700</v>
      </c>
      <c r="B1168" s="13" t="str">
        <f>IFERROR(__xludf.DUMMYFUNCTION("""COMPUTED_VALUE"""),"Pueblo County School District 70")</f>
        <v>Pueblo County School District 70</v>
      </c>
      <c r="C1168" s="14" t="str">
        <f>IFERROR(__xludf.DUMMYFUNCTION("""COMPUTED_VALUE"""),"07212")</f>
        <v>07212</v>
      </c>
      <c r="D1168" s="13" t="str">
        <f>IFERROR(__xludf.DUMMYFUNCTION("""COMPUTED_VALUE"""),"LIBERTY POINT INTERNATIONAL SCHOOL")</f>
        <v>LIBERTY POINT INTERNATIONAL SCHOOL</v>
      </c>
      <c r="E1168" s="13" t="str">
        <f>IFERROR(__xludf.DUMMYFUNCTION("""COMPUTED_VALUE"""),"Group 6")</f>
        <v>Group 6</v>
      </c>
      <c r="F1168" s="13" t="str">
        <f>IFERROR(__xludf.DUMMYFUNCTION("""COMPUTED_VALUE"""),"2024 - 2025")</f>
        <v>2024 - 2025</v>
      </c>
      <c r="G1168" s="13" t="str">
        <f>IFERROR(__xludf.DUMMYFUNCTION("""COMPUTED_VALUE"""),"2023 - 2024")</f>
        <v>2023 - 2024</v>
      </c>
      <c r="H1168" s="13">
        <f>IFERROR(__xludf.DUMMYFUNCTION("""COMPUTED_VALUE"""),81.58)</f>
        <v>81.58</v>
      </c>
      <c r="I1168" s="15">
        <f>IFERROR(__xludf.DUMMYFUNCTION("""COMPUTED_VALUE"""),18.42)</f>
        <v>18.42</v>
      </c>
    </row>
    <row r="1169">
      <c r="A1169" s="13" t="str">
        <f>IFERROR(__xludf.DUMMYFUNCTION("""COMPUTED_VALUE"""),"2700")</f>
        <v>2700</v>
      </c>
      <c r="B1169" s="13" t="str">
        <f>IFERROR(__xludf.DUMMYFUNCTION("""COMPUTED_VALUE"""),"Pueblo County School District 70")</f>
        <v>Pueblo County School District 70</v>
      </c>
      <c r="C1169" s="14" t="str">
        <f>IFERROR(__xludf.DUMMYFUNCTION("""COMPUTED_VALUE"""),"07886")</f>
        <v>07886</v>
      </c>
      <c r="D1169" s="13" t="str">
        <f>IFERROR(__xludf.DUMMYFUNCTION("""COMPUTED_VALUE"""),"SIERRA VISTA ELEMENTARY SCHOOL")</f>
        <v>SIERRA VISTA ELEMENTARY SCHOOL</v>
      </c>
      <c r="E1169" s="13" t="str">
        <f>IFERROR(__xludf.DUMMYFUNCTION("""COMPUTED_VALUE"""),"Group 7")</f>
        <v>Group 7</v>
      </c>
      <c r="F1169" s="13" t="str">
        <f>IFERROR(__xludf.DUMMYFUNCTION("""COMPUTED_VALUE"""),"2024 - 2025")</f>
        <v>2024 - 2025</v>
      </c>
      <c r="G1169" s="13" t="str">
        <f>IFERROR(__xludf.DUMMYFUNCTION("""COMPUTED_VALUE"""),"2023 - 2024")</f>
        <v>2023 - 2024</v>
      </c>
      <c r="H1169" s="13">
        <f>IFERROR(__xludf.DUMMYFUNCTION("""COMPUTED_VALUE"""),97.38)</f>
        <v>97.38</v>
      </c>
      <c r="I1169" s="15">
        <f>IFERROR(__xludf.DUMMYFUNCTION("""COMPUTED_VALUE"""),2.6200000000000045)</f>
        <v>2.62</v>
      </c>
    </row>
    <row r="1170">
      <c r="A1170" s="13" t="str">
        <f>IFERROR(__xludf.DUMMYFUNCTION("""COMPUTED_VALUE"""),"2700")</f>
        <v>2700</v>
      </c>
      <c r="B1170" s="13" t="str">
        <f>IFERROR(__xludf.DUMMYFUNCTION("""COMPUTED_VALUE"""),"Pueblo County School District 70")</f>
        <v>Pueblo County School District 70</v>
      </c>
      <c r="C1170" s="14" t="str">
        <f>IFERROR(__xludf.DUMMYFUNCTION("""COMPUTED_VALUE"""),"00856")</f>
        <v>00856</v>
      </c>
      <c r="D1170" s="13" t="str">
        <f>IFERROR(__xludf.DUMMYFUNCTION("""COMPUTED_VALUE"""),"BEULAH MIDDLE SCHOOL")</f>
        <v>BEULAH MIDDLE SCHOOL</v>
      </c>
      <c r="E1170" s="13" t="str">
        <f>IFERROR(__xludf.DUMMYFUNCTION("""COMPUTED_VALUE"""),"Group 8")</f>
        <v>Group 8</v>
      </c>
      <c r="F1170" s="13" t="str">
        <f>IFERROR(__xludf.DUMMYFUNCTION("""COMPUTED_VALUE"""),"2024 - 2025")</f>
        <v>2024 - 2025</v>
      </c>
      <c r="G1170" s="13" t="str">
        <f>IFERROR(__xludf.DUMMYFUNCTION("""COMPUTED_VALUE"""),"2023 - 2024")</f>
        <v>2023 - 2024</v>
      </c>
      <c r="H1170" s="13">
        <f>IFERROR(__xludf.DUMMYFUNCTION("""COMPUTED_VALUE"""),80.3)</f>
        <v>80.3</v>
      </c>
      <c r="I1170" s="15">
        <f>IFERROR(__xludf.DUMMYFUNCTION("""COMPUTED_VALUE"""),19.700000000000003)</f>
        <v>19.7</v>
      </c>
    </row>
    <row r="1171">
      <c r="A1171" s="13" t="str">
        <f>IFERROR(__xludf.DUMMYFUNCTION("""COMPUTED_VALUE"""),"2700")</f>
        <v>2700</v>
      </c>
      <c r="B1171" s="13" t="str">
        <f>IFERROR(__xludf.DUMMYFUNCTION("""COMPUTED_VALUE"""),"Pueblo County School District 70")</f>
        <v>Pueblo County School District 70</v>
      </c>
      <c r="C1171" s="14" t="str">
        <f>IFERROR(__xludf.DUMMYFUNCTION("""COMPUTED_VALUE"""),"07086")</f>
        <v>07086</v>
      </c>
      <c r="D1171" s="13" t="str">
        <f>IFERROR(__xludf.DUMMYFUNCTION("""COMPUTED_VALUE"""),"PLEASANT VIEW MIDDLE SCHOOL")</f>
        <v>PLEASANT VIEW MIDDLE SCHOOL</v>
      </c>
      <c r="E1171" s="13" t="str">
        <f>IFERROR(__xludf.DUMMYFUNCTION("""COMPUTED_VALUE"""),"Group 8")</f>
        <v>Group 8</v>
      </c>
      <c r="F1171" s="13" t="str">
        <f>IFERROR(__xludf.DUMMYFUNCTION("""COMPUTED_VALUE"""),"2024 - 2025")</f>
        <v>2024 - 2025</v>
      </c>
      <c r="G1171" s="13" t="str">
        <f>IFERROR(__xludf.DUMMYFUNCTION("""COMPUTED_VALUE"""),"2023 - 2024")</f>
        <v>2023 - 2024</v>
      </c>
      <c r="H1171" s="13">
        <f>IFERROR(__xludf.DUMMYFUNCTION("""COMPUTED_VALUE"""),80.3)</f>
        <v>80.3</v>
      </c>
      <c r="I1171" s="15">
        <f>IFERROR(__xludf.DUMMYFUNCTION("""COMPUTED_VALUE"""),19.700000000000003)</f>
        <v>19.7</v>
      </c>
    </row>
    <row r="1172">
      <c r="A1172" s="13" t="str">
        <f>IFERROR(__xludf.DUMMYFUNCTION("""COMPUTED_VALUE"""),"2700")</f>
        <v>2700</v>
      </c>
      <c r="B1172" s="13" t="str">
        <f>IFERROR(__xludf.DUMMYFUNCTION("""COMPUTED_VALUE"""),"Pueblo County School District 70")</f>
        <v>Pueblo County School District 70</v>
      </c>
      <c r="C1172" s="14" t="str">
        <f>IFERROR(__xludf.DUMMYFUNCTION("""COMPUTED_VALUE"""),"09134")</f>
        <v>09134</v>
      </c>
      <c r="D1172" s="13" t="str">
        <f>IFERROR(__xludf.DUMMYFUNCTION("""COMPUTED_VALUE"""),"VINELAND MIDDLE SCHOOL")</f>
        <v>VINELAND MIDDLE SCHOOL</v>
      </c>
      <c r="E1172" s="13" t="str">
        <f>IFERROR(__xludf.DUMMYFUNCTION("""COMPUTED_VALUE"""),"Group 8")</f>
        <v>Group 8</v>
      </c>
      <c r="F1172" s="13" t="str">
        <f>IFERROR(__xludf.DUMMYFUNCTION("""COMPUTED_VALUE"""),"2024 - 2025")</f>
        <v>2024 - 2025</v>
      </c>
      <c r="G1172" s="13" t="str">
        <f>IFERROR(__xludf.DUMMYFUNCTION("""COMPUTED_VALUE"""),"2023 - 2024")</f>
        <v>2023 - 2024</v>
      </c>
      <c r="H1172" s="13">
        <f>IFERROR(__xludf.DUMMYFUNCTION("""COMPUTED_VALUE"""),80.3)</f>
        <v>80.3</v>
      </c>
      <c r="I1172" s="15">
        <f>IFERROR(__xludf.DUMMYFUNCTION("""COMPUTED_VALUE"""),19.700000000000003)</f>
        <v>19.7</v>
      </c>
    </row>
    <row r="1173">
      <c r="A1173" s="13" t="str">
        <f>IFERROR(__xludf.DUMMYFUNCTION("""COMPUTED_VALUE"""),"2700")</f>
        <v>2700</v>
      </c>
      <c r="B1173" s="13" t="str">
        <f>IFERROR(__xludf.DUMMYFUNCTION("""COMPUTED_VALUE"""),"Pueblo County School District 70")</f>
        <v>Pueblo County School District 70</v>
      </c>
      <c r="C1173" s="14" t="str">
        <f>IFERROR(__xludf.DUMMYFUNCTION("""COMPUTED_VALUE"""),"09084")</f>
        <v>09084</v>
      </c>
      <c r="D1173" s="13" t="str">
        <f>IFERROR(__xludf.DUMMYFUNCTION("""COMPUTED_VALUE"""),"Villa Bella Expeditionary School")</f>
        <v>Villa Bella Expeditionary School</v>
      </c>
      <c r="E1173" s="13" t="str">
        <f>IFERROR(__xludf.DUMMYFUNCTION("""COMPUTED_VALUE"""),"Group 8")</f>
        <v>Group 8</v>
      </c>
      <c r="F1173" s="13" t="str">
        <f>IFERROR(__xludf.DUMMYFUNCTION("""COMPUTED_VALUE"""),"2024 - 2025")</f>
        <v>2024 - 2025</v>
      </c>
      <c r="G1173" s="13" t="str">
        <f>IFERROR(__xludf.DUMMYFUNCTION("""COMPUTED_VALUE"""),"2023 - 2024")</f>
        <v>2023 - 2024</v>
      </c>
      <c r="H1173" s="13">
        <f>IFERROR(__xludf.DUMMYFUNCTION("""COMPUTED_VALUE"""),80.3)</f>
        <v>80.3</v>
      </c>
      <c r="I1173" s="15">
        <f>IFERROR(__xludf.DUMMYFUNCTION("""COMPUTED_VALUE"""),19.700000000000003)</f>
        <v>19.7</v>
      </c>
    </row>
    <row r="1174">
      <c r="A1174" s="13" t="str">
        <f>IFERROR(__xludf.DUMMYFUNCTION("""COMPUTED_VALUE"""),"2700")</f>
        <v>2700</v>
      </c>
      <c r="B1174" s="13" t="str">
        <f>IFERROR(__xludf.DUMMYFUNCTION("""COMPUTED_VALUE"""),"Pueblo County School District 70")</f>
        <v>Pueblo County School District 70</v>
      </c>
      <c r="C1174" s="14" t="str">
        <f>IFERROR(__xludf.DUMMYFUNCTION("""COMPUTED_VALUE"""),"01377")</f>
        <v>01377</v>
      </c>
      <c r="D1174" s="13" t="str">
        <f>IFERROR(__xludf.DUMMYFUNCTION("""COMPUTED_VALUE"""),"CEDAR RIDGE ELEMENTARY")</f>
        <v>CEDAR RIDGE ELEMENTARY</v>
      </c>
      <c r="E1174" s="13" t="str">
        <f>IFERROR(__xludf.DUMMYFUNCTION("""COMPUTED_VALUE"""),"Group 9")</f>
        <v>Group 9</v>
      </c>
      <c r="F1174" s="13" t="str">
        <f>IFERROR(__xludf.DUMMYFUNCTION("""COMPUTED_VALUE"""),"2024 - 2025")</f>
        <v>2024 - 2025</v>
      </c>
      <c r="G1174" s="13" t="str">
        <f>IFERROR(__xludf.DUMMYFUNCTION("""COMPUTED_VALUE"""),"2023 - 2024")</f>
        <v>2023 - 2024</v>
      </c>
      <c r="H1174" s="13">
        <f>IFERROR(__xludf.DUMMYFUNCTION("""COMPUTED_VALUE"""),60.27)</f>
        <v>60.27</v>
      </c>
      <c r="I1174" s="15">
        <f>IFERROR(__xludf.DUMMYFUNCTION("""COMPUTED_VALUE"""),39.73)</f>
        <v>39.73</v>
      </c>
    </row>
    <row r="1175">
      <c r="A1175" s="13" t="str">
        <f>IFERROR(__xludf.DUMMYFUNCTION("""COMPUTED_VALUE"""),"2700")</f>
        <v>2700</v>
      </c>
      <c r="B1175" s="13" t="str">
        <f>IFERROR(__xludf.DUMMYFUNCTION("""COMPUTED_VALUE"""),"Pueblo County School District 70")</f>
        <v>Pueblo County School District 70</v>
      </c>
      <c r="C1175" s="14" t="str">
        <f>IFERROR(__xludf.DUMMYFUNCTION("""COMPUTED_VALUE"""),"07208")</f>
        <v>07208</v>
      </c>
      <c r="D1175" s="13" t="str">
        <f>IFERROR(__xludf.DUMMYFUNCTION("""COMPUTED_VALUE"""),"PUEBLO COUNTY HIGH SCHOOL")</f>
        <v>PUEBLO COUNTY HIGH SCHOOL</v>
      </c>
      <c r="E1175" s="13" t="str">
        <f>IFERROR(__xludf.DUMMYFUNCTION("""COMPUTED_VALUE"""),"Group 9")</f>
        <v>Group 9</v>
      </c>
      <c r="F1175" s="13" t="str">
        <f>IFERROR(__xludf.DUMMYFUNCTION("""COMPUTED_VALUE"""),"2024 - 2025")</f>
        <v>2024 - 2025</v>
      </c>
      <c r="G1175" s="13" t="str">
        <f>IFERROR(__xludf.DUMMYFUNCTION("""COMPUTED_VALUE"""),"2023 - 2024")</f>
        <v>2023 - 2024</v>
      </c>
      <c r="H1175" s="13">
        <f>IFERROR(__xludf.DUMMYFUNCTION("""COMPUTED_VALUE"""),60.27)</f>
        <v>60.27</v>
      </c>
      <c r="I1175" s="15">
        <f>IFERROR(__xludf.DUMMYFUNCTION("""COMPUTED_VALUE"""),39.73)</f>
        <v>39.73</v>
      </c>
    </row>
    <row r="1176">
      <c r="A1176" s="13" t="str">
        <f>IFERROR(__xludf.DUMMYFUNCTION("""COMPUTED_VALUE"""),"2700")</f>
        <v>2700</v>
      </c>
      <c r="B1176" s="13" t="str">
        <f>IFERROR(__xludf.DUMMYFUNCTION("""COMPUTED_VALUE"""),"Pueblo County School District 70")</f>
        <v>Pueblo County School District 70</v>
      </c>
      <c r="C1176" s="14" t="str">
        <f>IFERROR(__xludf.DUMMYFUNCTION("""COMPUTED_VALUE"""),"08110")</f>
        <v>08110</v>
      </c>
      <c r="D1176" s="13" t="str">
        <f>IFERROR(__xludf.DUMMYFUNCTION("""COMPUTED_VALUE"""),"SOUTH MESA ELEMENTARY SCHOOL")</f>
        <v>SOUTH MESA ELEMENTARY SCHOOL</v>
      </c>
      <c r="E1176" s="13" t="str">
        <f>IFERROR(__xludf.DUMMYFUNCTION("""COMPUTED_VALUE"""),"Group 9")</f>
        <v>Group 9</v>
      </c>
      <c r="F1176" s="13" t="str">
        <f>IFERROR(__xludf.DUMMYFUNCTION("""COMPUTED_VALUE"""),"2024 - 2025")</f>
        <v>2024 - 2025</v>
      </c>
      <c r="G1176" s="13" t="str">
        <f>IFERROR(__xludf.DUMMYFUNCTION("""COMPUTED_VALUE"""),"2023 - 2024")</f>
        <v>2023 - 2024</v>
      </c>
      <c r="H1176" s="13">
        <f>IFERROR(__xludf.DUMMYFUNCTION("""COMPUTED_VALUE"""),60.27)</f>
        <v>60.27</v>
      </c>
      <c r="I1176" s="15">
        <f>IFERROR(__xludf.DUMMYFUNCTION("""COMPUTED_VALUE"""),39.73)</f>
        <v>39.73</v>
      </c>
    </row>
    <row r="1177">
      <c r="A1177" s="13" t="str">
        <f>IFERROR(__xludf.DUMMYFUNCTION("""COMPUTED_VALUE"""),"2710")</f>
        <v>2710</v>
      </c>
      <c r="B1177" s="13" t="str">
        <f>IFERROR(__xludf.DUMMYFUNCTION("""COMPUTED_VALUE"""),"MEEKER RE1")</f>
        <v>MEEKER RE1</v>
      </c>
      <c r="C1177" s="14" t="str">
        <f>IFERROR(__xludf.DUMMYFUNCTION("""COMPUTED_VALUE"""),"05754")</f>
        <v>05754</v>
      </c>
      <c r="D1177" s="13" t="str">
        <f>IFERROR(__xludf.DUMMYFUNCTION("""COMPUTED_VALUE"""),"BARONE MIDDLE SCHOOL")</f>
        <v>BARONE MIDDLE SCHOOL</v>
      </c>
      <c r="E1177" s="13" t="str">
        <f>IFERROR(__xludf.DUMMYFUNCTION("""COMPUTED_VALUE"""),"Group 1")</f>
        <v>Group 1</v>
      </c>
      <c r="F1177" s="13" t="str">
        <f>IFERROR(__xludf.DUMMYFUNCTION("""COMPUTED_VALUE"""),"2024 - 2025")</f>
        <v>2024 - 2025</v>
      </c>
      <c r="G1177" s="13" t="str">
        <f>IFERROR(__xludf.DUMMYFUNCTION("""COMPUTED_VALUE"""),"2023 - 2024")</f>
        <v>2023 - 2024</v>
      </c>
      <c r="H1177" s="13">
        <f>IFERROR(__xludf.DUMMYFUNCTION("""COMPUTED_VALUE"""),47.66)</f>
        <v>47.66</v>
      </c>
      <c r="I1177" s="15">
        <f>IFERROR(__xludf.DUMMYFUNCTION("""COMPUTED_VALUE"""),52.34)</f>
        <v>52.34</v>
      </c>
    </row>
    <row r="1178">
      <c r="A1178" s="13" t="str">
        <f>IFERROR(__xludf.DUMMYFUNCTION("""COMPUTED_VALUE"""),"2710")</f>
        <v>2710</v>
      </c>
      <c r="B1178" s="13" t="str">
        <f>IFERROR(__xludf.DUMMYFUNCTION("""COMPUTED_VALUE"""),"MEEKER RE1")</f>
        <v>MEEKER RE1</v>
      </c>
      <c r="C1178" s="14" t="str">
        <f>IFERROR(__xludf.DUMMYFUNCTION("""COMPUTED_VALUE"""),"05750")</f>
        <v>05750</v>
      </c>
      <c r="D1178" s="13" t="str">
        <f>IFERROR(__xludf.DUMMYFUNCTION("""COMPUTED_VALUE"""),"MEEKER ELEMENTARY SCHOOL")</f>
        <v>MEEKER ELEMENTARY SCHOOL</v>
      </c>
      <c r="E1178" s="13" t="str">
        <f>IFERROR(__xludf.DUMMYFUNCTION("""COMPUTED_VALUE"""),"Group 2")</f>
        <v>Group 2</v>
      </c>
      <c r="F1178" s="13" t="str">
        <f>IFERROR(__xludf.DUMMYFUNCTION("""COMPUTED_VALUE"""),"2024 - 2025")</f>
        <v>2024 - 2025</v>
      </c>
      <c r="G1178" s="13" t="str">
        <f>IFERROR(__xludf.DUMMYFUNCTION("""COMPUTED_VALUE"""),"2023 - 2024")</f>
        <v>2023 - 2024</v>
      </c>
      <c r="H1178" s="13">
        <f>IFERROR(__xludf.DUMMYFUNCTION("""COMPUTED_VALUE"""),50.78)</f>
        <v>50.78</v>
      </c>
      <c r="I1178" s="15">
        <f>IFERROR(__xludf.DUMMYFUNCTION("""COMPUTED_VALUE"""),49.22)</f>
        <v>49.22</v>
      </c>
    </row>
    <row r="1179">
      <c r="A1179" s="13" t="str">
        <f>IFERROR(__xludf.DUMMYFUNCTION("""COMPUTED_VALUE"""),"2710")</f>
        <v>2710</v>
      </c>
      <c r="B1179" s="13" t="str">
        <f>IFERROR(__xludf.DUMMYFUNCTION("""COMPUTED_VALUE"""),"MEEKER RE1")</f>
        <v>MEEKER RE1</v>
      </c>
      <c r="C1179" s="14" t="str">
        <f>IFERROR(__xludf.DUMMYFUNCTION("""COMPUTED_VALUE"""),"05762")</f>
        <v>05762</v>
      </c>
      <c r="D1179" s="13" t="str">
        <f>IFERROR(__xludf.DUMMYFUNCTION("""COMPUTED_VALUE"""),"MEEKER HIGH SCHOOL")</f>
        <v>MEEKER HIGH SCHOOL</v>
      </c>
      <c r="E1179" s="13" t="str">
        <f>IFERROR(__xludf.DUMMYFUNCTION("""COMPUTED_VALUE"""),"Group 3")</f>
        <v>Group 3</v>
      </c>
      <c r="F1179" s="13" t="str">
        <f>IFERROR(__xludf.DUMMYFUNCTION("""COMPUTED_VALUE"""),"2024 - 2025")</f>
        <v>2024 - 2025</v>
      </c>
      <c r="G1179" s="13" t="str">
        <f>IFERROR(__xludf.DUMMYFUNCTION("""COMPUTED_VALUE"""),"2023 - 2024")</f>
        <v>2023 - 2024</v>
      </c>
      <c r="H1179" s="13">
        <f>IFERROR(__xludf.DUMMYFUNCTION("""COMPUTED_VALUE"""),44.7)</f>
        <v>44.7</v>
      </c>
      <c r="I1179" s="15">
        <f>IFERROR(__xludf.DUMMYFUNCTION("""COMPUTED_VALUE"""),55.3)</f>
        <v>55.3</v>
      </c>
    </row>
    <row r="1180">
      <c r="A1180" s="13" t="str">
        <f>IFERROR(__xludf.DUMMYFUNCTION("""COMPUTED_VALUE"""),"2730")</f>
        <v>2730</v>
      </c>
      <c r="B1180" s="13" t="str">
        <f>IFERROR(__xludf.DUMMYFUNCTION("""COMPUTED_VALUE"""),"DEL NORTE C-7")</f>
        <v>DEL NORTE C-7</v>
      </c>
      <c r="C1180" s="14" t="str">
        <f>IFERROR(__xludf.DUMMYFUNCTION("""COMPUTED_VALUE"""),"02148")</f>
        <v>02148</v>
      </c>
      <c r="D1180" s="13" t="str">
        <f>IFERROR(__xludf.DUMMYFUNCTION("""COMPUTED_VALUE"""),"Del Norte Elementary")</f>
        <v>Del Norte Elementary</v>
      </c>
      <c r="E1180" s="13" t="str">
        <f>IFERROR(__xludf.DUMMYFUNCTION("""COMPUTED_VALUE"""),"Group 1")</f>
        <v>Group 1</v>
      </c>
      <c r="F1180" s="13" t="str">
        <f>IFERROR(__xludf.DUMMYFUNCTION("""COMPUTED_VALUE"""),"2024 - 2025")</f>
        <v>2024 - 2025</v>
      </c>
      <c r="G1180" s="13" t="str">
        <f>IFERROR(__xludf.DUMMYFUNCTION("""COMPUTED_VALUE"""),"2023 - 2024")</f>
        <v>2023 - 2024</v>
      </c>
      <c r="H1180" s="13">
        <f>IFERROR(__xludf.DUMMYFUNCTION("""COMPUTED_VALUE"""),83.06)</f>
        <v>83.06</v>
      </c>
      <c r="I1180" s="15">
        <f>IFERROR(__xludf.DUMMYFUNCTION("""COMPUTED_VALUE"""),16.939999999999998)</f>
        <v>16.94</v>
      </c>
    </row>
    <row r="1181">
      <c r="A1181" s="13" t="str">
        <f>IFERROR(__xludf.DUMMYFUNCTION("""COMPUTED_VALUE"""),"2730")</f>
        <v>2730</v>
      </c>
      <c r="B1181" s="13" t="str">
        <f>IFERROR(__xludf.DUMMYFUNCTION("""COMPUTED_VALUE"""),"DEL NORTE C-7")</f>
        <v>DEL NORTE C-7</v>
      </c>
      <c r="C1181" s="14" t="str">
        <f>IFERROR(__xludf.DUMMYFUNCTION("""COMPUTED_VALUE"""),"02150")</f>
        <v>02150</v>
      </c>
      <c r="D1181" s="13" t="str">
        <f>IFERROR(__xludf.DUMMYFUNCTION("""COMPUTED_VALUE"""),"Del Norte JR/SR High School")</f>
        <v>Del Norte JR/SR High School</v>
      </c>
      <c r="E1181" s="13" t="str">
        <f>IFERROR(__xludf.DUMMYFUNCTION("""COMPUTED_VALUE"""),"Group 2")</f>
        <v>Group 2</v>
      </c>
      <c r="F1181" s="13" t="str">
        <f>IFERROR(__xludf.DUMMYFUNCTION("""COMPUTED_VALUE"""),"2024 - 2025")</f>
        <v>2024 - 2025</v>
      </c>
      <c r="G1181" s="13" t="str">
        <f>IFERROR(__xludf.DUMMYFUNCTION("""COMPUTED_VALUE"""),"2023 - 2024")</f>
        <v>2023 - 2024</v>
      </c>
      <c r="H1181" s="13">
        <f>IFERROR(__xludf.DUMMYFUNCTION("""COMPUTED_VALUE"""),73.38)</f>
        <v>73.38</v>
      </c>
      <c r="I1181" s="15">
        <f>IFERROR(__xludf.DUMMYFUNCTION("""COMPUTED_VALUE"""),26.620000000000005)</f>
        <v>26.62</v>
      </c>
    </row>
    <row r="1182">
      <c r="A1182" s="13" t="str">
        <f>IFERROR(__xludf.DUMMYFUNCTION("""COMPUTED_VALUE"""),"2740")</f>
        <v>2740</v>
      </c>
      <c r="B1182" s="13" t="str">
        <f>IFERROR(__xludf.DUMMYFUNCTION("""COMPUTED_VALUE"""),"MONTE VISTA C-8")</f>
        <v>MONTE VISTA C-8</v>
      </c>
      <c r="C1182" s="14" t="str">
        <f>IFERROR(__xludf.DUMMYFUNCTION("""COMPUTED_VALUE"""),"05579")</f>
        <v>05579</v>
      </c>
      <c r="D1182" s="13" t="str">
        <f>IFERROR(__xludf.DUMMYFUNCTION("""COMPUTED_VALUE"""),"MARSH ELEMENTARY SCHOOL")</f>
        <v>MARSH ELEMENTARY SCHOOL</v>
      </c>
      <c r="E1182" s="13" t="str">
        <f>IFERROR(__xludf.DUMMYFUNCTION("""COMPUTED_VALUE"""),"Group 1")</f>
        <v>Group 1</v>
      </c>
      <c r="F1182" s="13" t="str">
        <f>IFERROR(__xludf.DUMMYFUNCTION("""COMPUTED_VALUE"""),"2024 - 2025")</f>
        <v>2024 - 2025</v>
      </c>
      <c r="G1182" s="13" t="str">
        <f>IFERROR(__xludf.DUMMYFUNCTION("""COMPUTED_VALUE"""),"2023 - 2024")</f>
        <v>2023 - 2024</v>
      </c>
      <c r="H1182" s="13">
        <f>IFERROR(__xludf.DUMMYFUNCTION("""COMPUTED_VALUE"""),100.0)</f>
        <v>100</v>
      </c>
      <c r="I1182" s="15">
        <f>IFERROR(__xludf.DUMMYFUNCTION("""COMPUTED_VALUE"""),0.0)</f>
        <v>0</v>
      </c>
    </row>
    <row r="1183">
      <c r="A1183" s="13" t="str">
        <f>IFERROR(__xludf.DUMMYFUNCTION("""COMPUTED_VALUE"""),"2740")</f>
        <v>2740</v>
      </c>
      <c r="B1183" s="13" t="str">
        <f>IFERROR(__xludf.DUMMYFUNCTION("""COMPUTED_VALUE"""),"MONTE VISTA C-8")</f>
        <v>MONTE VISTA C-8</v>
      </c>
      <c r="C1183" s="14" t="str">
        <f>IFERROR(__xludf.DUMMYFUNCTION("""COMPUTED_VALUE"""),"06036")</f>
        <v>06036</v>
      </c>
      <c r="D1183" s="13" t="str">
        <f>IFERROR(__xludf.DUMMYFUNCTION("""COMPUTED_VALUE"""),"BILL METZ ELEMENTARY SCHOOL")</f>
        <v>BILL METZ ELEMENTARY SCHOOL</v>
      </c>
      <c r="E1183" s="13" t="str">
        <f>IFERROR(__xludf.DUMMYFUNCTION("""COMPUTED_VALUE"""),"Group 1")</f>
        <v>Group 1</v>
      </c>
      <c r="F1183" s="13" t="str">
        <f>IFERROR(__xludf.DUMMYFUNCTION("""COMPUTED_VALUE"""),"2024 - 2025")</f>
        <v>2024 - 2025</v>
      </c>
      <c r="G1183" s="13" t="str">
        <f>IFERROR(__xludf.DUMMYFUNCTION("""COMPUTED_VALUE"""),"2023 - 2024")</f>
        <v>2023 - 2024</v>
      </c>
      <c r="H1183" s="13">
        <f>IFERROR(__xludf.DUMMYFUNCTION("""COMPUTED_VALUE"""),100.0)</f>
        <v>100</v>
      </c>
      <c r="I1183" s="15">
        <f>IFERROR(__xludf.DUMMYFUNCTION("""COMPUTED_VALUE"""),0.0)</f>
        <v>0</v>
      </c>
    </row>
    <row r="1184">
      <c r="A1184" s="13" t="str">
        <f>IFERROR(__xludf.DUMMYFUNCTION("""COMPUTED_VALUE"""),"2740")</f>
        <v>2740</v>
      </c>
      <c r="B1184" s="13" t="str">
        <f>IFERROR(__xludf.DUMMYFUNCTION("""COMPUTED_VALUE"""),"MONTE VISTA C-8")</f>
        <v>MONTE VISTA C-8</v>
      </c>
      <c r="C1184" s="14" t="str">
        <f>IFERROR(__xludf.DUMMYFUNCTION("""COMPUTED_VALUE"""),"06044")</f>
        <v>06044</v>
      </c>
      <c r="D1184" s="13" t="str">
        <f>IFERROR(__xludf.DUMMYFUNCTION("""COMPUTED_VALUE"""),"MONTE VISTA MIDDLE SCHOOL")</f>
        <v>MONTE VISTA MIDDLE SCHOOL</v>
      </c>
      <c r="E1184" s="13" t="str">
        <f>IFERROR(__xludf.DUMMYFUNCTION("""COMPUTED_VALUE"""),"Group 1")</f>
        <v>Group 1</v>
      </c>
      <c r="F1184" s="13" t="str">
        <f>IFERROR(__xludf.DUMMYFUNCTION("""COMPUTED_VALUE"""),"2024 - 2025")</f>
        <v>2024 - 2025</v>
      </c>
      <c r="G1184" s="13" t="str">
        <f>IFERROR(__xludf.DUMMYFUNCTION("""COMPUTED_VALUE"""),"2023 - 2024")</f>
        <v>2023 - 2024</v>
      </c>
      <c r="H1184" s="13">
        <f>IFERROR(__xludf.DUMMYFUNCTION("""COMPUTED_VALUE"""),100.0)</f>
        <v>100</v>
      </c>
      <c r="I1184" s="15">
        <f>IFERROR(__xludf.DUMMYFUNCTION("""COMPUTED_VALUE"""),0.0)</f>
        <v>0</v>
      </c>
    </row>
    <row r="1185">
      <c r="A1185" s="13" t="str">
        <f>IFERROR(__xludf.DUMMYFUNCTION("""COMPUTED_VALUE"""),"2740")</f>
        <v>2740</v>
      </c>
      <c r="B1185" s="13" t="str">
        <f>IFERROR(__xludf.DUMMYFUNCTION("""COMPUTED_VALUE"""),"MONTE VISTA C-8")</f>
        <v>MONTE VISTA C-8</v>
      </c>
      <c r="C1185" s="14" t="str">
        <f>IFERROR(__xludf.DUMMYFUNCTION("""COMPUTED_VALUE"""),"06046")</f>
        <v>06046</v>
      </c>
      <c r="D1185" s="13" t="str">
        <f>IFERROR(__xludf.DUMMYFUNCTION("""COMPUTED_VALUE"""),"MONTE VISTA SENIOR HIGH SCHOOL")</f>
        <v>MONTE VISTA SENIOR HIGH SCHOOL</v>
      </c>
      <c r="E1185" s="13" t="str">
        <f>IFERROR(__xludf.DUMMYFUNCTION("""COMPUTED_VALUE"""),"Group 1")</f>
        <v>Group 1</v>
      </c>
      <c r="F1185" s="13" t="str">
        <f>IFERROR(__xludf.DUMMYFUNCTION("""COMPUTED_VALUE"""),"2024 - 2025")</f>
        <v>2024 - 2025</v>
      </c>
      <c r="G1185" s="13" t="str">
        <f>IFERROR(__xludf.DUMMYFUNCTION("""COMPUTED_VALUE"""),"2023 - 2024")</f>
        <v>2023 - 2024</v>
      </c>
      <c r="H1185" s="13">
        <f>IFERROR(__xludf.DUMMYFUNCTION("""COMPUTED_VALUE"""),100.0)</f>
        <v>100</v>
      </c>
      <c r="I1185" s="15">
        <f>IFERROR(__xludf.DUMMYFUNCTION("""COMPUTED_VALUE"""),0.0)</f>
        <v>0</v>
      </c>
    </row>
    <row r="1186">
      <c r="A1186" s="13" t="str">
        <f>IFERROR(__xludf.DUMMYFUNCTION("""COMPUTED_VALUE"""),"2740")</f>
        <v>2740</v>
      </c>
      <c r="B1186" s="13" t="str">
        <f>IFERROR(__xludf.DUMMYFUNCTION("""COMPUTED_VALUE"""),"MONTE VISTA C-8")</f>
        <v>MONTE VISTA C-8</v>
      </c>
      <c r="C1186" s="14" t="str">
        <f>IFERROR(__xludf.DUMMYFUNCTION("""COMPUTED_VALUE"""),"06030")</f>
        <v>06030</v>
      </c>
      <c r="D1186" s="13" t="str">
        <f>IFERROR(__xludf.DUMMYFUNCTION("""COMPUTED_VALUE"""),"Byron Syring Delta Center")</f>
        <v>Byron Syring Delta Center</v>
      </c>
      <c r="E1186" s="13" t="str">
        <f>IFERROR(__xludf.DUMMYFUNCTION("""COMPUTED_VALUE"""),"Group 1")</f>
        <v>Group 1</v>
      </c>
      <c r="F1186" s="13" t="str">
        <f>IFERROR(__xludf.DUMMYFUNCTION("""COMPUTED_VALUE"""),"2024 - 2025")</f>
        <v>2024 - 2025</v>
      </c>
      <c r="G1186" s="13" t="str">
        <f>IFERROR(__xludf.DUMMYFUNCTION("""COMPUTED_VALUE"""),"2023 - 2024")</f>
        <v>2023 - 2024</v>
      </c>
      <c r="H1186" s="13">
        <f>IFERROR(__xludf.DUMMYFUNCTION("""COMPUTED_VALUE"""),100.0)</f>
        <v>100</v>
      </c>
      <c r="I1186" s="15">
        <f>IFERROR(__xludf.DUMMYFUNCTION("""COMPUTED_VALUE"""),0.0)</f>
        <v>0</v>
      </c>
    </row>
    <row r="1187">
      <c r="A1187" s="13" t="str">
        <f>IFERROR(__xludf.DUMMYFUNCTION("""COMPUTED_VALUE"""),"2750")</f>
        <v>2750</v>
      </c>
      <c r="B1187" s="13" t="str">
        <f>IFERROR(__xludf.DUMMYFUNCTION("""COMPUTED_VALUE"""),"SARGENT RE-33J")</f>
        <v>SARGENT RE-33J</v>
      </c>
      <c r="C1187" s="14" t="str">
        <f>IFERROR(__xludf.DUMMYFUNCTION("""COMPUTED_VALUE"""),"07660")</f>
        <v>07660</v>
      </c>
      <c r="D1187" s="13" t="str">
        <f>IFERROR(__xludf.DUMMYFUNCTION("""COMPUTED_VALUE"""),"SARGENT ELEMENTARY SCHOOL")</f>
        <v>SARGENT ELEMENTARY SCHOOL</v>
      </c>
      <c r="E1187" s="13" t="str">
        <f>IFERROR(__xludf.DUMMYFUNCTION("""COMPUTED_VALUE"""),"Group 1")</f>
        <v>Group 1</v>
      </c>
      <c r="F1187" s="13" t="str">
        <f>IFERROR(__xludf.DUMMYFUNCTION("""COMPUTED_VALUE"""),"2024 - 2025")</f>
        <v>2024 - 2025</v>
      </c>
      <c r="G1187" s="13" t="str">
        <f>IFERROR(__xludf.DUMMYFUNCTION("""COMPUTED_VALUE"""),"2023 - 2024")</f>
        <v>2023 - 2024</v>
      </c>
      <c r="H1187" s="13">
        <f>IFERROR(__xludf.DUMMYFUNCTION("""COMPUTED_VALUE"""),61.42)</f>
        <v>61.42</v>
      </c>
      <c r="I1187" s="15">
        <f>IFERROR(__xludf.DUMMYFUNCTION("""COMPUTED_VALUE"""),38.58)</f>
        <v>38.58</v>
      </c>
    </row>
    <row r="1188">
      <c r="A1188" s="13" t="str">
        <f>IFERROR(__xludf.DUMMYFUNCTION("""COMPUTED_VALUE"""),"2750")</f>
        <v>2750</v>
      </c>
      <c r="B1188" s="13" t="str">
        <f>IFERROR(__xludf.DUMMYFUNCTION("""COMPUTED_VALUE"""),"SARGENT RE-33J")</f>
        <v>SARGENT RE-33J</v>
      </c>
      <c r="C1188" s="14" t="str">
        <f>IFERROR(__xludf.DUMMYFUNCTION("""COMPUTED_VALUE"""),"07668")</f>
        <v>07668</v>
      </c>
      <c r="D1188" s="13" t="str">
        <f>IFERROR(__xludf.DUMMYFUNCTION("""COMPUTED_VALUE"""),"SARGENT MIDDLE SCHOOL")</f>
        <v>SARGENT MIDDLE SCHOOL</v>
      </c>
      <c r="E1188" s="13" t="str">
        <f>IFERROR(__xludf.DUMMYFUNCTION("""COMPUTED_VALUE"""),"Group 1")</f>
        <v>Group 1</v>
      </c>
      <c r="F1188" s="13" t="str">
        <f>IFERROR(__xludf.DUMMYFUNCTION("""COMPUTED_VALUE"""),"2024 - 2025")</f>
        <v>2024 - 2025</v>
      </c>
      <c r="G1188" s="13" t="str">
        <f>IFERROR(__xludf.DUMMYFUNCTION("""COMPUTED_VALUE"""),"2023 - 2024")</f>
        <v>2023 - 2024</v>
      </c>
      <c r="H1188" s="13">
        <f>IFERROR(__xludf.DUMMYFUNCTION("""COMPUTED_VALUE"""),61.42)</f>
        <v>61.42</v>
      </c>
      <c r="I1188" s="15">
        <f>IFERROR(__xludf.DUMMYFUNCTION("""COMPUTED_VALUE"""),38.58)</f>
        <v>38.58</v>
      </c>
    </row>
    <row r="1189">
      <c r="A1189" s="13" t="str">
        <f>IFERROR(__xludf.DUMMYFUNCTION("""COMPUTED_VALUE"""),"2750")</f>
        <v>2750</v>
      </c>
      <c r="B1189" s="13" t="str">
        <f>IFERROR(__xludf.DUMMYFUNCTION("""COMPUTED_VALUE"""),"SARGENT RE-33J")</f>
        <v>SARGENT RE-33J</v>
      </c>
      <c r="C1189" s="14" t="str">
        <f>IFERROR(__xludf.DUMMYFUNCTION("""COMPUTED_VALUE"""),"07664")</f>
        <v>07664</v>
      </c>
      <c r="D1189" s="13" t="str">
        <f>IFERROR(__xludf.DUMMYFUNCTION("""COMPUTED_VALUE"""),"SARGENT SENIOR HIGH SCHOOL")</f>
        <v>SARGENT SENIOR HIGH SCHOOL</v>
      </c>
      <c r="E1189" s="13" t="str">
        <f>IFERROR(__xludf.DUMMYFUNCTION("""COMPUTED_VALUE"""),"Group 2")</f>
        <v>Group 2</v>
      </c>
      <c r="F1189" s="13" t="str">
        <f>IFERROR(__xludf.DUMMYFUNCTION("""COMPUTED_VALUE"""),"2024 - 2025")</f>
        <v>2024 - 2025</v>
      </c>
      <c r="G1189" s="13" t="str">
        <f>IFERROR(__xludf.DUMMYFUNCTION("""COMPUTED_VALUE"""),"2023 - 2024")</f>
        <v>2023 - 2024</v>
      </c>
      <c r="H1189" s="13">
        <f>IFERROR(__xludf.DUMMYFUNCTION("""COMPUTED_VALUE"""),52.66)</f>
        <v>52.66</v>
      </c>
      <c r="I1189" s="15">
        <f>IFERROR(__xludf.DUMMYFUNCTION("""COMPUTED_VALUE"""),47.34)</f>
        <v>47.34</v>
      </c>
    </row>
    <row r="1190">
      <c r="A1190" s="13" t="str">
        <f>IFERROR(__xludf.DUMMYFUNCTION("""COMPUTED_VALUE"""),"2790")</f>
        <v>2790</v>
      </c>
      <c r="B1190" s="13" t="str">
        <f>IFERROR(__xludf.DUMMYFUNCTION("""COMPUTED_VALUE"""),"MOUNTAIN VALLEY RE 1")</f>
        <v>MOUNTAIN VALLEY RE 1</v>
      </c>
      <c r="C1190" s="14" t="str">
        <f>IFERROR(__xludf.DUMMYFUNCTION("""COMPUTED_VALUE"""),"06146")</f>
        <v>06146</v>
      </c>
      <c r="D1190" s="13" t="str">
        <f>IFERROR(__xludf.DUMMYFUNCTION("""COMPUTED_VALUE"""),"MOUNTAIN VALLEY SCHOOL")</f>
        <v>MOUNTAIN VALLEY SCHOOL</v>
      </c>
      <c r="E1190" s="13" t="str">
        <f>IFERROR(__xludf.DUMMYFUNCTION("""COMPUTED_VALUE"""),"Group 1")</f>
        <v>Group 1</v>
      </c>
      <c r="F1190" s="13" t="str">
        <f>IFERROR(__xludf.DUMMYFUNCTION("""COMPUTED_VALUE"""),"2024 - 2025")</f>
        <v>2024 - 2025</v>
      </c>
      <c r="G1190" s="13" t="str">
        <f>IFERROR(__xludf.DUMMYFUNCTION("""COMPUTED_VALUE"""),"2023 - 2024")</f>
        <v>2023 - 2024</v>
      </c>
      <c r="H1190" s="13">
        <f>IFERROR(__xludf.DUMMYFUNCTION("""COMPUTED_VALUE"""),100.0)</f>
        <v>100</v>
      </c>
      <c r="I1190" s="15">
        <f>IFERROR(__xludf.DUMMYFUNCTION("""COMPUTED_VALUE"""),0.0)</f>
        <v>0</v>
      </c>
    </row>
    <row r="1191">
      <c r="A1191" s="13" t="str">
        <f>IFERROR(__xludf.DUMMYFUNCTION("""COMPUTED_VALUE"""),"2800")</f>
        <v>2800</v>
      </c>
      <c r="B1191" s="13" t="str">
        <f>IFERROR(__xludf.DUMMYFUNCTION("""COMPUTED_VALUE"""),"MOFFAT 2")</f>
        <v>MOFFAT 2</v>
      </c>
      <c r="C1191" s="14" t="str">
        <f>IFERROR(__xludf.DUMMYFUNCTION("""COMPUTED_VALUE"""),"05958")</f>
        <v>05958</v>
      </c>
      <c r="D1191" s="13" t="str">
        <f>IFERROR(__xludf.DUMMYFUNCTION("""COMPUTED_VALUE"""),"MOFFAT PK-12 SCHOOL")</f>
        <v>MOFFAT PK-12 SCHOOL</v>
      </c>
      <c r="E1191" s="13" t="str">
        <f>IFERROR(__xludf.DUMMYFUNCTION("""COMPUTED_VALUE"""),"Group 1")</f>
        <v>Group 1</v>
      </c>
      <c r="F1191" s="13" t="str">
        <f>IFERROR(__xludf.DUMMYFUNCTION("""COMPUTED_VALUE"""),"2024 - 2025")</f>
        <v>2024 - 2025</v>
      </c>
      <c r="G1191" s="13" t="str">
        <f>IFERROR(__xludf.DUMMYFUNCTION("""COMPUTED_VALUE"""),"2023 - 2024")</f>
        <v>2023 - 2024</v>
      </c>
      <c r="H1191" s="13">
        <f>IFERROR(__xludf.DUMMYFUNCTION("""COMPUTED_VALUE"""),100.0)</f>
        <v>100</v>
      </c>
      <c r="I1191" s="15">
        <f>IFERROR(__xludf.DUMMYFUNCTION("""COMPUTED_VALUE"""),0.0)</f>
        <v>0</v>
      </c>
    </row>
    <row r="1192">
      <c r="A1192" s="13" t="str">
        <f>IFERROR(__xludf.DUMMYFUNCTION("""COMPUTED_VALUE"""),"2800")</f>
        <v>2800</v>
      </c>
      <c r="B1192" s="13" t="str">
        <f>IFERROR(__xludf.DUMMYFUNCTION("""COMPUTED_VALUE"""),"MOFFAT 2")</f>
        <v>MOFFAT 2</v>
      </c>
      <c r="C1192" s="14" t="str">
        <f>IFERROR(__xludf.DUMMYFUNCTION("""COMPUTED_VALUE"""),"02018")</f>
        <v>02018</v>
      </c>
      <c r="D1192" s="13" t="str">
        <f>IFERROR(__xludf.DUMMYFUNCTION("""COMPUTED_VALUE"""),"Crestone Charter School")</f>
        <v>Crestone Charter School</v>
      </c>
      <c r="E1192" s="13" t="str">
        <f>IFERROR(__xludf.DUMMYFUNCTION("""COMPUTED_VALUE"""),"Group 1")</f>
        <v>Group 1</v>
      </c>
      <c r="F1192" s="13" t="str">
        <f>IFERROR(__xludf.DUMMYFUNCTION("""COMPUTED_VALUE"""),"2024 - 2025")</f>
        <v>2024 - 2025</v>
      </c>
      <c r="G1192" s="13" t="str">
        <f>IFERROR(__xludf.DUMMYFUNCTION("""COMPUTED_VALUE"""),"2023 - 2024")</f>
        <v>2023 - 2024</v>
      </c>
      <c r="H1192" s="13">
        <f>IFERROR(__xludf.DUMMYFUNCTION("""COMPUTED_VALUE"""),100.0)</f>
        <v>100</v>
      </c>
      <c r="I1192" s="15">
        <f>IFERROR(__xludf.DUMMYFUNCTION("""COMPUTED_VALUE"""),0.0)</f>
        <v>0</v>
      </c>
    </row>
    <row r="1193">
      <c r="A1193" s="13" t="str">
        <f>IFERROR(__xludf.DUMMYFUNCTION("""COMPUTED_VALUE"""),"2810")</f>
        <v>2810</v>
      </c>
      <c r="B1193" s="13" t="str">
        <f>IFERROR(__xludf.DUMMYFUNCTION("""COMPUTED_VALUE"""),"CENTER 26 JT")</f>
        <v>CENTER 26 JT</v>
      </c>
      <c r="C1193" s="14" t="str">
        <f>IFERROR(__xludf.DUMMYFUNCTION("""COMPUTED_VALUE"""),"00051")</f>
        <v>00051</v>
      </c>
      <c r="D1193" s="13" t="str">
        <f>IFERROR(__xludf.DUMMYFUNCTION("""COMPUTED_VALUE"""),"THE ACADEMIC RECOVERY CENTER OF SAN LUIS VALLEY")</f>
        <v>THE ACADEMIC RECOVERY CENTER OF SAN LUIS VALLEY</v>
      </c>
      <c r="E1193" s="13" t="str">
        <f>IFERROR(__xludf.DUMMYFUNCTION("""COMPUTED_VALUE"""),"Group 1")</f>
        <v>Group 1</v>
      </c>
      <c r="F1193" s="13" t="str">
        <f>IFERROR(__xludf.DUMMYFUNCTION("""COMPUTED_VALUE"""),"2024 - 2025")</f>
        <v>2024 - 2025</v>
      </c>
      <c r="G1193" s="13" t="str">
        <f>IFERROR(__xludf.DUMMYFUNCTION("""COMPUTED_VALUE"""),"2023 - 2024")</f>
        <v>2023 - 2024</v>
      </c>
      <c r="H1193" s="13">
        <f>IFERROR(__xludf.DUMMYFUNCTION("""COMPUTED_VALUE"""),100.0)</f>
        <v>100</v>
      </c>
      <c r="I1193" s="15">
        <f>IFERROR(__xludf.DUMMYFUNCTION("""COMPUTED_VALUE"""),0.0)</f>
        <v>0</v>
      </c>
    </row>
    <row r="1194">
      <c r="A1194" s="13" t="str">
        <f>IFERROR(__xludf.DUMMYFUNCTION("""COMPUTED_VALUE"""),"2810")</f>
        <v>2810</v>
      </c>
      <c r="B1194" s="13" t="str">
        <f>IFERROR(__xludf.DUMMYFUNCTION("""COMPUTED_VALUE"""),"CENTER 26 JT")</f>
        <v>CENTER 26 JT</v>
      </c>
      <c r="C1194" s="14" t="str">
        <f>IFERROR(__xludf.DUMMYFUNCTION("""COMPUTED_VALUE"""),"01412")</f>
        <v>01412</v>
      </c>
      <c r="D1194" s="13" t="str">
        <f>IFERROR(__xludf.DUMMYFUNCTION("""COMPUTED_VALUE"""),"HASKIN ELEMENTARY SCHOOL")</f>
        <v>HASKIN ELEMENTARY SCHOOL</v>
      </c>
      <c r="E1194" s="13" t="str">
        <f>IFERROR(__xludf.DUMMYFUNCTION("""COMPUTED_VALUE"""),"Group 2")</f>
        <v>Group 2</v>
      </c>
      <c r="F1194" s="13" t="str">
        <f>IFERROR(__xludf.DUMMYFUNCTION("""COMPUTED_VALUE"""),"2024 - 2025")</f>
        <v>2024 - 2025</v>
      </c>
      <c r="G1194" s="13" t="str">
        <f>IFERROR(__xludf.DUMMYFUNCTION("""COMPUTED_VALUE"""),"2023 - 2024")</f>
        <v>2023 - 2024</v>
      </c>
      <c r="H1194" s="13">
        <f>IFERROR(__xludf.DUMMYFUNCTION("""COMPUTED_VALUE"""),100.0)</f>
        <v>100</v>
      </c>
      <c r="I1194" s="15">
        <f>IFERROR(__xludf.DUMMYFUNCTION("""COMPUTED_VALUE"""),0.0)</f>
        <v>0</v>
      </c>
    </row>
    <row r="1195">
      <c r="A1195" s="13" t="str">
        <f>IFERROR(__xludf.DUMMYFUNCTION("""COMPUTED_VALUE"""),"2810")</f>
        <v>2810</v>
      </c>
      <c r="B1195" s="13" t="str">
        <f>IFERROR(__xludf.DUMMYFUNCTION("""COMPUTED_VALUE"""),"CENTER 26 JT")</f>
        <v>CENTER 26 JT</v>
      </c>
      <c r="C1195" s="14" t="str">
        <f>IFERROR(__xludf.DUMMYFUNCTION("""COMPUTED_VALUE"""),"01420")</f>
        <v>01420</v>
      </c>
      <c r="D1195" s="13" t="str">
        <f>IFERROR(__xludf.DUMMYFUNCTION("""COMPUTED_VALUE"""),"CENTER HIGH SCHOOL")</f>
        <v>CENTER HIGH SCHOOL</v>
      </c>
      <c r="E1195" s="13" t="str">
        <f>IFERROR(__xludf.DUMMYFUNCTION("""COMPUTED_VALUE"""),"Group 2")</f>
        <v>Group 2</v>
      </c>
      <c r="F1195" s="13" t="str">
        <f>IFERROR(__xludf.DUMMYFUNCTION("""COMPUTED_VALUE"""),"2024 - 2025")</f>
        <v>2024 - 2025</v>
      </c>
      <c r="G1195" s="13" t="str">
        <f>IFERROR(__xludf.DUMMYFUNCTION("""COMPUTED_VALUE"""),"2023 - 2024")</f>
        <v>2023 - 2024</v>
      </c>
      <c r="H1195" s="13">
        <f>IFERROR(__xludf.DUMMYFUNCTION("""COMPUTED_VALUE"""),100.0)</f>
        <v>100</v>
      </c>
      <c r="I1195" s="15">
        <f>IFERROR(__xludf.DUMMYFUNCTION("""COMPUTED_VALUE"""),0.0)</f>
        <v>0</v>
      </c>
    </row>
    <row r="1196">
      <c r="A1196" s="13" t="str">
        <f>IFERROR(__xludf.DUMMYFUNCTION("""COMPUTED_VALUE"""),"2810")</f>
        <v>2810</v>
      </c>
      <c r="B1196" s="13" t="str">
        <f>IFERROR(__xludf.DUMMYFUNCTION("""COMPUTED_VALUE"""),"CENTER 26 JT")</f>
        <v>CENTER 26 JT</v>
      </c>
      <c r="C1196" s="14" t="str">
        <f>IFERROR(__xludf.DUMMYFUNCTION("""COMPUTED_VALUE"""),"01416")</f>
        <v>01416</v>
      </c>
      <c r="D1196" s="13" t="str">
        <f>IFERROR(__xludf.DUMMYFUNCTION("""COMPUTED_VALUE"""),"SKOGLUND MIDDLE SCHOOL")</f>
        <v>SKOGLUND MIDDLE SCHOOL</v>
      </c>
      <c r="E1196" s="13" t="str">
        <f>IFERROR(__xludf.DUMMYFUNCTION("""COMPUTED_VALUE"""),"Group 3")</f>
        <v>Group 3</v>
      </c>
      <c r="F1196" s="13" t="str">
        <f>IFERROR(__xludf.DUMMYFUNCTION("""COMPUTED_VALUE"""),"2024 - 2025")</f>
        <v>2024 - 2025</v>
      </c>
      <c r="G1196" s="13" t="str">
        <f>IFERROR(__xludf.DUMMYFUNCTION("""COMPUTED_VALUE"""),"2023 - 2024")</f>
        <v>2023 - 2024</v>
      </c>
      <c r="H1196" s="13">
        <f>IFERROR(__xludf.DUMMYFUNCTION("""COMPUTED_VALUE"""),100.0)</f>
        <v>100</v>
      </c>
      <c r="I1196" s="15">
        <f>IFERROR(__xludf.DUMMYFUNCTION("""COMPUTED_VALUE"""),0.0)</f>
        <v>0</v>
      </c>
    </row>
    <row r="1197">
      <c r="A1197" s="13" t="str">
        <f>IFERROR(__xludf.DUMMYFUNCTION("""COMPUTED_VALUE"""),"2820")</f>
        <v>2820</v>
      </c>
      <c r="B1197" s="13" t="str">
        <f>IFERROR(__xludf.DUMMYFUNCTION("""COMPUTED_VALUE"""),"SILVERTON 1")</f>
        <v>SILVERTON 1</v>
      </c>
      <c r="C1197" s="14" t="str">
        <f>IFERROR(__xludf.DUMMYFUNCTION("""COMPUTED_VALUE"""),"07904")</f>
        <v>07904</v>
      </c>
      <c r="D1197" s="13" t="str">
        <f>IFERROR(__xludf.DUMMYFUNCTION("""COMPUTED_VALUE"""),"SILVERTON HIGH SCHOOL")</f>
        <v>SILVERTON HIGH SCHOOL</v>
      </c>
      <c r="E1197" s="13" t="str">
        <f>IFERROR(__xludf.DUMMYFUNCTION("""COMPUTED_VALUE"""),"Group 1")</f>
        <v>Group 1</v>
      </c>
      <c r="F1197" s="13" t="str">
        <f>IFERROR(__xludf.DUMMYFUNCTION("""COMPUTED_VALUE"""),"2024 - 2025")</f>
        <v>2024 - 2025</v>
      </c>
      <c r="G1197" s="13" t="str">
        <f>IFERROR(__xludf.DUMMYFUNCTION("""COMPUTED_VALUE"""),"2023 - 2024")</f>
        <v>2023 - 2024</v>
      </c>
      <c r="H1197" s="13">
        <f>IFERROR(__xludf.DUMMYFUNCTION("""COMPUTED_VALUE"""),98.46)</f>
        <v>98.46</v>
      </c>
      <c r="I1197" s="15">
        <f>IFERROR(__xludf.DUMMYFUNCTION("""COMPUTED_VALUE"""),1.5400000000000063)</f>
        <v>1.54</v>
      </c>
    </row>
    <row r="1198">
      <c r="A1198" s="13" t="str">
        <f>IFERROR(__xludf.DUMMYFUNCTION("""COMPUTED_VALUE"""),"2830")</f>
        <v>2830</v>
      </c>
      <c r="B1198" s="13" t="str">
        <f>IFERROR(__xludf.DUMMYFUNCTION("""COMPUTED_VALUE"""),"TELLURIDE SCHOOL DISTRICT R-1")</f>
        <v>TELLURIDE SCHOOL DISTRICT R-1</v>
      </c>
      <c r="C1198" s="14" t="str">
        <f>IFERROR(__xludf.DUMMYFUNCTION("""COMPUTED_VALUE"""),"08811")</f>
        <v>08811</v>
      </c>
      <c r="D1198" s="13" t="str">
        <f>IFERROR(__xludf.DUMMYFUNCTION("""COMPUTED_VALUE"""),"TELLURIDE ELEMENTARY SCHOOL")</f>
        <v>TELLURIDE ELEMENTARY SCHOOL</v>
      </c>
      <c r="E1198" s="13" t="str">
        <f>IFERROR(__xludf.DUMMYFUNCTION("""COMPUTED_VALUE"""),"Group 1")</f>
        <v>Group 1</v>
      </c>
      <c r="F1198" s="13" t="str">
        <f>IFERROR(__xludf.DUMMYFUNCTION("""COMPUTED_VALUE"""),"2024 - 2025")</f>
        <v>2024 - 2025</v>
      </c>
      <c r="G1198" s="13" t="str">
        <f>IFERROR(__xludf.DUMMYFUNCTION("""COMPUTED_VALUE"""),"2023 - 2024")</f>
        <v>2023 - 2024</v>
      </c>
      <c r="H1198" s="13">
        <f>IFERROR(__xludf.DUMMYFUNCTION("""COMPUTED_VALUE"""),44.05)</f>
        <v>44.05</v>
      </c>
      <c r="I1198" s="15">
        <f>IFERROR(__xludf.DUMMYFUNCTION("""COMPUTED_VALUE"""),55.95)</f>
        <v>55.95</v>
      </c>
    </row>
    <row r="1199">
      <c r="A1199" s="13" t="str">
        <f>IFERROR(__xludf.DUMMYFUNCTION("""COMPUTED_VALUE"""),"2840")</f>
        <v>2840</v>
      </c>
      <c r="B1199" s="13" t="str">
        <f>IFERROR(__xludf.DUMMYFUNCTION("""COMPUTED_VALUE"""),"NORWOOD R-2J")</f>
        <v>NORWOOD R-2J</v>
      </c>
      <c r="C1199" s="14" t="str">
        <f>IFERROR(__xludf.DUMMYFUNCTION("""COMPUTED_VALUE"""),"06422")</f>
        <v>06422</v>
      </c>
      <c r="D1199" s="13" t="str">
        <f>IFERROR(__xludf.DUMMYFUNCTION("""COMPUTED_VALUE"""),"NORWOOD PUBLIC SCHOOLS")</f>
        <v>NORWOOD PUBLIC SCHOOLS</v>
      </c>
      <c r="E1199" s="13" t="str">
        <f>IFERROR(__xludf.DUMMYFUNCTION("""COMPUTED_VALUE"""),"Group 1")</f>
        <v>Group 1</v>
      </c>
      <c r="F1199" s="13" t="str">
        <f>IFERROR(__xludf.DUMMYFUNCTION("""COMPUTED_VALUE"""),"2024 - 2025")</f>
        <v>2024 - 2025</v>
      </c>
      <c r="G1199" s="13" t="str">
        <f>IFERROR(__xludf.DUMMYFUNCTION("""COMPUTED_VALUE"""),"2023 - 2024")</f>
        <v>2023 - 2024</v>
      </c>
      <c r="H1199" s="13">
        <f>IFERROR(__xludf.DUMMYFUNCTION("""COMPUTED_VALUE"""),55.41)</f>
        <v>55.41</v>
      </c>
      <c r="I1199" s="15">
        <f>IFERROR(__xludf.DUMMYFUNCTION("""COMPUTED_VALUE"""),44.59)</f>
        <v>44.59</v>
      </c>
    </row>
    <row r="1200">
      <c r="A1200" s="13" t="str">
        <f>IFERROR(__xludf.DUMMYFUNCTION("""COMPUTED_VALUE"""),"2862")</f>
        <v>2862</v>
      </c>
      <c r="B1200" s="13" t="str">
        <f>IFERROR(__xludf.DUMMYFUNCTION("""COMPUTED_VALUE"""),"JULESBURG RE-1")</f>
        <v>JULESBURG RE-1</v>
      </c>
      <c r="C1200" s="14" t="str">
        <f>IFERROR(__xludf.DUMMYFUNCTION("""COMPUTED_VALUE"""),"04488")</f>
        <v>04488</v>
      </c>
      <c r="D1200" s="13" t="str">
        <f>IFERROR(__xludf.DUMMYFUNCTION("""COMPUTED_VALUE"""),"JULESBURG ELEMENTARY SCHOOL")</f>
        <v>JULESBURG ELEMENTARY SCHOOL</v>
      </c>
      <c r="E1200" s="13" t="str">
        <f>IFERROR(__xludf.DUMMYFUNCTION("""COMPUTED_VALUE"""),"Group 1")</f>
        <v>Group 1</v>
      </c>
      <c r="F1200" s="13" t="str">
        <f>IFERROR(__xludf.DUMMYFUNCTION("""COMPUTED_VALUE"""),"2024 - 2025")</f>
        <v>2024 - 2025</v>
      </c>
      <c r="G1200" s="13" t="str">
        <f>IFERROR(__xludf.DUMMYFUNCTION("""COMPUTED_VALUE"""),"2023 - 2024")</f>
        <v>2023 - 2024</v>
      </c>
      <c r="H1200" s="13">
        <f>IFERROR(__xludf.DUMMYFUNCTION("""COMPUTED_VALUE"""),94.96)</f>
        <v>94.96</v>
      </c>
      <c r="I1200" s="15">
        <f>IFERROR(__xludf.DUMMYFUNCTION("""COMPUTED_VALUE"""),5.040000000000006)</f>
        <v>5.04</v>
      </c>
    </row>
    <row r="1201">
      <c r="A1201" s="13" t="str">
        <f>IFERROR(__xludf.DUMMYFUNCTION("""COMPUTED_VALUE"""),"2862")</f>
        <v>2862</v>
      </c>
      <c r="B1201" s="13" t="str">
        <f>IFERROR(__xludf.DUMMYFUNCTION("""COMPUTED_VALUE"""),"JULESBURG RE-1")</f>
        <v>JULESBURG RE-1</v>
      </c>
      <c r="C1201" s="14" t="str">
        <f>IFERROR(__xludf.DUMMYFUNCTION("""COMPUTED_VALUE"""),"04492")</f>
        <v>04492</v>
      </c>
      <c r="D1201" s="13" t="str">
        <f>IFERROR(__xludf.DUMMYFUNCTION("""COMPUTED_VALUE"""),"JULESBURG HIGH SCHOOL")</f>
        <v>JULESBURG HIGH SCHOOL</v>
      </c>
      <c r="E1201" s="13" t="str">
        <f>IFERROR(__xludf.DUMMYFUNCTION("""COMPUTED_VALUE"""),"Group 2")</f>
        <v>Group 2</v>
      </c>
      <c r="F1201" s="13" t="str">
        <f>IFERROR(__xludf.DUMMYFUNCTION("""COMPUTED_VALUE"""),"2024 - 2025")</f>
        <v>2024 - 2025</v>
      </c>
      <c r="G1201" s="13" t="str">
        <f>IFERROR(__xludf.DUMMYFUNCTION("""COMPUTED_VALUE"""),"2023 - 2024")</f>
        <v>2023 - 2024</v>
      </c>
      <c r="H1201" s="13">
        <f>IFERROR(__xludf.DUMMYFUNCTION("""COMPUTED_VALUE"""),66.8)</f>
        <v>66.8</v>
      </c>
      <c r="I1201" s="15">
        <f>IFERROR(__xludf.DUMMYFUNCTION("""COMPUTED_VALUE"""),33.2)</f>
        <v>33.2</v>
      </c>
    </row>
    <row r="1202">
      <c r="A1202" s="13" t="str">
        <f>IFERROR(__xludf.DUMMYFUNCTION("""COMPUTED_VALUE"""),"2865")</f>
        <v>2865</v>
      </c>
      <c r="B1202" s="13" t="str">
        <f>IFERROR(__xludf.DUMMYFUNCTION("""COMPUTED_VALUE"""),"Revere School District")</f>
        <v>Revere School District</v>
      </c>
      <c r="C1202" s="14" t="str">
        <f>IFERROR(__xludf.DUMMYFUNCTION("""COMPUTED_VALUE"""),"07299")</f>
        <v>07299</v>
      </c>
      <c r="D1202" s="13" t="str">
        <f>IFERROR(__xludf.DUMMYFUNCTION("""COMPUTED_VALUE"""),"Revere Lil' Raiders")</f>
        <v>Revere Lil' Raiders</v>
      </c>
      <c r="E1202" s="13" t="str">
        <f>IFERROR(__xludf.DUMMYFUNCTION("""COMPUTED_VALUE"""),"Group 1")</f>
        <v>Group 1</v>
      </c>
      <c r="F1202" s="13" t="str">
        <f>IFERROR(__xludf.DUMMYFUNCTION("""COMPUTED_VALUE"""),"2024 - 2025")</f>
        <v>2024 - 2025</v>
      </c>
      <c r="G1202" s="13" t="str">
        <f>IFERROR(__xludf.DUMMYFUNCTION("""COMPUTED_VALUE"""),"2023 - 2024")</f>
        <v>2023 - 2024</v>
      </c>
      <c r="H1202" s="13">
        <f>IFERROR(__xludf.DUMMYFUNCTION("""COMPUTED_VALUE"""),53.33)</f>
        <v>53.33</v>
      </c>
      <c r="I1202" s="15">
        <f>IFERROR(__xludf.DUMMYFUNCTION("""COMPUTED_VALUE"""),46.67)</f>
        <v>46.67</v>
      </c>
    </row>
    <row r="1203">
      <c r="A1203" s="13" t="str">
        <f>IFERROR(__xludf.DUMMYFUNCTION("""COMPUTED_VALUE"""),"2865")</f>
        <v>2865</v>
      </c>
      <c r="B1203" s="13" t="str">
        <f>IFERROR(__xludf.DUMMYFUNCTION("""COMPUTED_VALUE"""),"Revere School District")</f>
        <v>Revere School District</v>
      </c>
      <c r="C1203" s="14" t="str">
        <f>IFERROR(__xludf.DUMMYFUNCTION("""COMPUTED_VALUE"""),"07050")</f>
        <v>07050</v>
      </c>
      <c r="D1203" s="13" t="str">
        <f>IFERROR(__xludf.DUMMYFUNCTION("""COMPUTED_VALUE"""),"Revere Elementary School")</f>
        <v>Revere Elementary School</v>
      </c>
      <c r="E1203" s="13" t="str">
        <f>IFERROR(__xludf.DUMMYFUNCTION("""COMPUTED_VALUE"""),"Group 2")</f>
        <v>Group 2</v>
      </c>
      <c r="F1203" s="13" t="str">
        <f>IFERROR(__xludf.DUMMYFUNCTION("""COMPUTED_VALUE"""),"2024 - 2025")</f>
        <v>2024 - 2025</v>
      </c>
      <c r="G1203" s="13" t="str">
        <f>IFERROR(__xludf.DUMMYFUNCTION("""COMPUTED_VALUE"""),"2023 - 2024")</f>
        <v>2023 - 2024</v>
      </c>
      <c r="H1203" s="13">
        <f>IFERROR(__xludf.DUMMYFUNCTION("""COMPUTED_VALUE"""),72.34)</f>
        <v>72.34</v>
      </c>
      <c r="I1203" s="15">
        <f>IFERROR(__xludf.DUMMYFUNCTION("""COMPUTED_VALUE"""),27.659999999999997)</f>
        <v>27.66</v>
      </c>
    </row>
    <row r="1204">
      <c r="A1204" s="13" t="str">
        <f>IFERROR(__xludf.DUMMYFUNCTION("""COMPUTED_VALUE"""),"2865")</f>
        <v>2865</v>
      </c>
      <c r="B1204" s="13" t="str">
        <f>IFERROR(__xludf.DUMMYFUNCTION("""COMPUTED_VALUE"""),"Revere School District")</f>
        <v>Revere School District</v>
      </c>
      <c r="C1204" s="14" t="str">
        <f>IFERROR(__xludf.DUMMYFUNCTION("""COMPUTED_VALUE"""),"07322")</f>
        <v>07322</v>
      </c>
      <c r="D1204" s="13" t="str">
        <f>IFERROR(__xludf.DUMMYFUNCTION("""COMPUTED_VALUE"""),"REVERE JUNIOR-SENIOR HIGH SCHOOL")</f>
        <v>REVERE JUNIOR-SENIOR HIGH SCHOOL</v>
      </c>
      <c r="E1204" s="13" t="str">
        <f>IFERROR(__xludf.DUMMYFUNCTION("""COMPUTED_VALUE"""),"Group 3")</f>
        <v>Group 3</v>
      </c>
      <c r="F1204" s="13" t="str">
        <f>IFERROR(__xludf.DUMMYFUNCTION("""COMPUTED_VALUE"""),"2024 - 2025")</f>
        <v>2024 - 2025</v>
      </c>
      <c r="G1204" s="13" t="str">
        <f>IFERROR(__xludf.DUMMYFUNCTION("""COMPUTED_VALUE"""),"2023 - 2024")</f>
        <v>2023 - 2024</v>
      </c>
      <c r="H1204" s="13">
        <f>IFERROR(__xludf.DUMMYFUNCTION("""COMPUTED_VALUE"""),66.67)</f>
        <v>66.67</v>
      </c>
      <c r="I1204" s="15">
        <f>IFERROR(__xludf.DUMMYFUNCTION("""COMPUTED_VALUE"""),33.33)</f>
        <v>33.33</v>
      </c>
    </row>
    <row r="1205">
      <c r="A1205" s="13" t="str">
        <f>IFERROR(__xludf.DUMMYFUNCTION("""COMPUTED_VALUE"""),"3000")</f>
        <v>3000</v>
      </c>
      <c r="B1205" s="13" t="str">
        <f>IFERROR(__xludf.DUMMYFUNCTION("""COMPUTED_VALUE"""),"SUMMIT RE-1")</f>
        <v>SUMMIT RE-1</v>
      </c>
      <c r="C1205" s="14" t="str">
        <f>IFERROR(__xludf.DUMMYFUNCTION("""COMPUTED_VALUE"""),"08375")</f>
        <v>08375</v>
      </c>
      <c r="D1205" s="13" t="str">
        <f>IFERROR(__xludf.DUMMYFUNCTION("""COMPUTED_VALUE"""),"SNOWY PEAKS HIGH SCHOOL")</f>
        <v>SNOWY PEAKS HIGH SCHOOL</v>
      </c>
      <c r="E1205" s="13" t="str">
        <f>IFERROR(__xludf.DUMMYFUNCTION("""COMPUTED_VALUE"""),"Group 1")</f>
        <v>Group 1</v>
      </c>
      <c r="F1205" s="13" t="str">
        <f>IFERROR(__xludf.DUMMYFUNCTION("""COMPUTED_VALUE"""),"2024 - 2025")</f>
        <v>2024 - 2025</v>
      </c>
      <c r="G1205" s="13" t="str">
        <f>IFERROR(__xludf.DUMMYFUNCTION("""COMPUTED_VALUE"""),"2023 - 2024")</f>
        <v>2023 - 2024</v>
      </c>
      <c r="H1205" s="13">
        <f>IFERROR(__xludf.DUMMYFUNCTION("""COMPUTED_VALUE"""),51.2)</f>
        <v>51.2</v>
      </c>
      <c r="I1205" s="15">
        <f>IFERROR(__xludf.DUMMYFUNCTION("""COMPUTED_VALUE"""),48.8)</f>
        <v>48.8</v>
      </c>
    </row>
    <row r="1206">
      <c r="A1206" s="13" t="str">
        <f>IFERROR(__xludf.DUMMYFUNCTION("""COMPUTED_VALUE"""),"3010")</f>
        <v>3010</v>
      </c>
      <c r="B1206" s="13" t="str">
        <f>IFERROR(__xludf.DUMMYFUNCTION("""COMPUTED_VALUE"""),"CRIPPLE CREEK-VICTOR RE-1")</f>
        <v>CRIPPLE CREEK-VICTOR RE-1</v>
      </c>
      <c r="C1206" s="14" t="str">
        <f>IFERROR(__xludf.DUMMYFUNCTION("""COMPUTED_VALUE"""),"09080")</f>
        <v>09080</v>
      </c>
      <c r="D1206" s="13" t="str">
        <f>IFERROR(__xludf.DUMMYFUNCTION("""COMPUTED_VALUE"""),"CRESSON ELEMENTARY SCHOOL")</f>
        <v>CRESSON ELEMENTARY SCHOOL</v>
      </c>
      <c r="E1206" s="13" t="str">
        <f>IFERROR(__xludf.DUMMYFUNCTION("""COMPUTED_VALUE"""),"Group 1")</f>
        <v>Group 1</v>
      </c>
      <c r="F1206" s="13" t="str">
        <f>IFERROR(__xludf.DUMMYFUNCTION("""COMPUTED_VALUE"""),"2024 - 2025")</f>
        <v>2024 - 2025</v>
      </c>
      <c r="G1206" s="13" t="str">
        <f>IFERROR(__xludf.DUMMYFUNCTION("""COMPUTED_VALUE"""),"2023 - 2024")</f>
        <v>2023 - 2024</v>
      </c>
      <c r="H1206" s="13">
        <f>IFERROR(__xludf.DUMMYFUNCTION("""COMPUTED_VALUE"""),83.15)</f>
        <v>83.15</v>
      </c>
      <c r="I1206" s="15">
        <f>IFERROR(__xludf.DUMMYFUNCTION("""COMPUTED_VALUE"""),16.849999999999994)</f>
        <v>16.85</v>
      </c>
    </row>
    <row r="1207">
      <c r="A1207" s="13" t="str">
        <f>IFERROR(__xludf.DUMMYFUNCTION("""COMPUTED_VALUE"""),"3010")</f>
        <v>3010</v>
      </c>
      <c r="B1207" s="13" t="str">
        <f>IFERROR(__xludf.DUMMYFUNCTION("""COMPUTED_VALUE"""),"CRIPPLE CREEK-VICTOR RE-1")</f>
        <v>CRIPPLE CREEK-VICTOR RE-1</v>
      </c>
      <c r="C1207" s="14" t="str">
        <f>IFERROR(__xludf.DUMMYFUNCTION("""COMPUTED_VALUE"""),"02024")</f>
        <v>02024</v>
      </c>
      <c r="D1207" s="13" t="str">
        <f>IFERROR(__xludf.DUMMYFUNCTION("""COMPUTED_VALUE"""),"CRIPPLE CREEK-VICTOR JUNIOR-SENIOR HIGH SCHOOL")</f>
        <v>CRIPPLE CREEK-VICTOR JUNIOR-SENIOR HIGH SCHOOL</v>
      </c>
      <c r="E1207" s="13" t="str">
        <f>IFERROR(__xludf.DUMMYFUNCTION("""COMPUTED_VALUE"""),"Group 2")</f>
        <v>Group 2</v>
      </c>
      <c r="F1207" s="13" t="str">
        <f>IFERROR(__xludf.DUMMYFUNCTION("""COMPUTED_VALUE"""),"2024 - 2025")</f>
        <v>2024 - 2025</v>
      </c>
      <c r="G1207" s="13" t="str">
        <f>IFERROR(__xludf.DUMMYFUNCTION("""COMPUTED_VALUE"""),"2023 - 2024")</f>
        <v>2023 - 2024</v>
      </c>
      <c r="H1207" s="13">
        <f>IFERROR(__xludf.DUMMYFUNCTION("""COMPUTED_VALUE"""),91.58)</f>
        <v>91.58</v>
      </c>
      <c r="I1207" s="15">
        <f>IFERROR(__xludf.DUMMYFUNCTION("""COMPUTED_VALUE"""),8.420000000000002)</f>
        <v>8.42</v>
      </c>
    </row>
    <row r="1208">
      <c r="A1208" s="13" t="str">
        <f>IFERROR(__xludf.DUMMYFUNCTION("""COMPUTED_VALUE"""),"3020")</f>
        <v>3020</v>
      </c>
      <c r="B1208" s="13" t="str">
        <f>IFERROR(__xludf.DUMMYFUNCTION("""COMPUTED_VALUE"""),"WOODLAND PARK RE-2")</f>
        <v>WOODLAND PARK RE-2</v>
      </c>
      <c r="C1208" s="14" t="str">
        <f>IFERROR(__xludf.DUMMYFUNCTION("""COMPUTED_VALUE"""),"08379")</f>
        <v>08379</v>
      </c>
      <c r="D1208" s="13" t="str">
        <f>IFERROR(__xludf.DUMMYFUNCTION("""COMPUTED_VALUE"""),"SUMMIT ELEMENTARY SCHOOL")</f>
        <v>SUMMIT ELEMENTARY SCHOOL</v>
      </c>
      <c r="E1208" s="13" t="str">
        <f>IFERROR(__xludf.DUMMYFUNCTION("""COMPUTED_VALUE"""),"Group 1")</f>
        <v>Group 1</v>
      </c>
      <c r="F1208" s="13" t="str">
        <f>IFERROR(__xludf.DUMMYFUNCTION("""COMPUTED_VALUE"""),"2024 - 2025")</f>
        <v>2024 - 2025</v>
      </c>
      <c r="G1208" s="13" t="str">
        <f>IFERROR(__xludf.DUMMYFUNCTION("""COMPUTED_VALUE"""),"2023 - 2024")</f>
        <v>2023 - 2024</v>
      </c>
      <c r="H1208" s="13">
        <f>IFERROR(__xludf.DUMMYFUNCTION("""COMPUTED_VALUE"""),63.25)</f>
        <v>63.25</v>
      </c>
      <c r="I1208" s="15">
        <f>IFERROR(__xludf.DUMMYFUNCTION("""COMPUTED_VALUE"""),36.75)</f>
        <v>36.75</v>
      </c>
    </row>
    <row r="1209">
      <c r="A1209" s="13" t="str">
        <f>IFERROR(__xludf.DUMMYFUNCTION("""COMPUTED_VALUE"""),"3020")</f>
        <v>3020</v>
      </c>
      <c r="B1209" s="13" t="str">
        <f>IFERROR(__xludf.DUMMYFUNCTION("""COMPUTED_VALUE"""),"WOODLAND PARK RE-2")</f>
        <v>WOODLAND PARK RE-2</v>
      </c>
      <c r="C1209" s="14" t="str">
        <f>IFERROR(__xludf.DUMMYFUNCTION("""COMPUTED_VALUE"""),"09694")</f>
        <v>09694</v>
      </c>
      <c r="D1209" s="13" t="str">
        <f>IFERROR(__xludf.DUMMYFUNCTION("""COMPUTED_VALUE"""),"WOODLAND PARK MIDDLE SCHOOL")</f>
        <v>WOODLAND PARK MIDDLE SCHOOL</v>
      </c>
      <c r="E1209" s="13" t="str">
        <f>IFERROR(__xludf.DUMMYFUNCTION("""COMPUTED_VALUE"""),"Group 2")</f>
        <v>Group 2</v>
      </c>
      <c r="F1209" s="13" t="str">
        <f>IFERROR(__xludf.DUMMYFUNCTION("""COMPUTED_VALUE"""),"2024 - 2025")</f>
        <v>2024 - 2025</v>
      </c>
      <c r="G1209" s="13" t="str">
        <f>IFERROR(__xludf.DUMMYFUNCTION("""COMPUTED_VALUE"""),"2023 - 2024")</f>
        <v>2023 - 2024</v>
      </c>
      <c r="H1209" s="13">
        <f>IFERROR(__xludf.DUMMYFUNCTION("""COMPUTED_VALUE"""),53.94)</f>
        <v>53.94</v>
      </c>
      <c r="I1209" s="15">
        <f>IFERROR(__xludf.DUMMYFUNCTION("""COMPUTED_VALUE"""),46.06)</f>
        <v>46.06</v>
      </c>
    </row>
    <row r="1210">
      <c r="A1210" s="13" t="str">
        <f>IFERROR(__xludf.DUMMYFUNCTION("""COMPUTED_VALUE"""),"3020")</f>
        <v>3020</v>
      </c>
      <c r="B1210" s="13" t="str">
        <f>IFERROR(__xludf.DUMMYFUNCTION("""COMPUTED_VALUE"""),"WOODLAND PARK RE-2")</f>
        <v>WOODLAND PARK RE-2</v>
      </c>
      <c r="C1210" s="14" t="str">
        <f>IFERROR(__xludf.DUMMYFUNCTION("""COMPUTED_VALUE"""),"09698")</f>
        <v>09698</v>
      </c>
      <c r="D1210" s="13" t="str">
        <f>IFERROR(__xludf.DUMMYFUNCTION("""COMPUTED_VALUE"""),"COLUMBINE ELEMENTARY SCHOOL")</f>
        <v>COLUMBINE ELEMENTARY SCHOOL</v>
      </c>
      <c r="E1210" s="13" t="str">
        <f>IFERROR(__xludf.DUMMYFUNCTION("""COMPUTED_VALUE"""),"Group 2")</f>
        <v>Group 2</v>
      </c>
      <c r="F1210" s="13" t="str">
        <f>IFERROR(__xludf.DUMMYFUNCTION("""COMPUTED_VALUE"""),"2024 - 2025")</f>
        <v>2024 - 2025</v>
      </c>
      <c r="G1210" s="13" t="str">
        <f>IFERROR(__xludf.DUMMYFUNCTION("""COMPUTED_VALUE"""),"2023 - 2024")</f>
        <v>2023 - 2024</v>
      </c>
      <c r="H1210" s="13">
        <f>IFERROR(__xludf.DUMMYFUNCTION("""COMPUTED_VALUE"""),53.94)</f>
        <v>53.94</v>
      </c>
      <c r="I1210" s="15">
        <f>IFERROR(__xludf.DUMMYFUNCTION("""COMPUTED_VALUE"""),46.06)</f>
        <v>46.06</v>
      </c>
    </row>
    <row r="1211">
      <c r="A1211" s="13" t="str">
        <f>IFERROR(__xludf.DUMMYFUNCTION("""COMPUTED_VALUE"""),"3020")</f>
        <v>3020</v>
      </c>
      <c r="B1211" s="13" t="str">
        <f>IFERROR(__xludf.DUMMYFUNCTION("""COMPUTED_VALUE"""),"WOODLAND PARK RE-2")</f>
        <v>WOODLAND PARK RE-2</v>
      </c>
      <c r="C1211" s="14" t="str">
        <f>IFERROR(__xludf.DUMMYFUNCTION("""COMPUTED_VALUE"""),"09696")</f>
        <v>09696</v>
      </c>
      <c r="D1211" s="13" t="str">
        <f>IFERROR(__xludf.DUMMYFUNCTION("""COMPUTED_VALUE"""),"WOODLAND PARK HIGH SCHOOL")</f>
        <v>WOODLAND PARK HIGH SCHOOL</v>
      </c>
      <c r="E1211" s="13" t="str">
        <f>IFERROR(__xludf.DUMMYFUNCTION("""COMPUTED_VALUE"""),"Group 4")</f>
        <v>Group 4</v>
      </c>
      <c r="F1211" s="13" t="str">
        <f>IFERROR(__xludf.DUMMYFUNCTION("""COMPUTED_VALUE"""),"2024 - 2025")</f>
        <v>2024 - 2025</v>
      </c>
      <c r="G1211" s="13" t="str">
        <f>IFERROR(__xludf.DUMMYFUNCTION("""COMPUTED_VALUE"""),"2023 - 2024")</f>
        <v>2023 - 2024</v>
      </c>
      <c r="H1211" s="13">
        <f>IFERROR(__xludf.DUMMYFUNCTION("""COMPUTED_VALUE"""),45.58)</f>
        <v>45.58</v>
      </c>
      <c r="I1211" s="15">
        <f>IFERROR(__xludf.DUMMYFUNCTION("""COMPUTED_VALUE"""),54.42)</f>
        <v>54.42</v>
      </c>
    </row>
    <row r="1212">
      <c r="A1212" s="13" t="str">
        <f>IFERROR(__xludf.DUMMYFUNCTION("""COMPUTED_VALUE"""),"3020")</f>
        <v>3020</v>
      </c>
      <c r="B1212" s="13" t="str">
        <f>IFERROR(__xludf.DUMMYFUNCTION("""COMPUTED_VALUE"""),"WOODLAND PARK RE-2")</f>
        <v>WOODLAND PARK RE-2</v>
      </c>
      <c r="C1212" s="14" t="str">
        <f>IFERROR(__xludf.DUMMYFUNCTION("""COMPUTED_VALUE"""),"08257")</f>
        <v>08257</v>
      </c>
      <c r="D1212" s="13" t="str">
        <f>IFERROR(__xludf.DUMMYFUNCTION("""COMPUTED_VALUE"""),"Merit Academy")</f>
        <v>Merit Academy</v>
      </c>
      <c r="E1212" s="13" t="str">
        <f>IFERROR(__xludf.DUMMYFUNCTION("""COMPUTED_VALUE"""),"Group 4")</f>
        <v>Group 4</v>
      </c>
      <c r="F1212" s="13" t="str">
        <f>IFERROR(__xludf.DUMMYFUNCTION("""COMPUTED_VALUE"""),"2024 - 2025")</f>
        <v>2024 - 2025</v>
      </c>
      <c r="G1212" s="13" t="str">
        <f>IFERROR(__xludf.DUMMYFUNCTION("""COMPUTED_VALUE"""),"2023 - 2024")</f>
        <v>2023 - 2024</v>
      </c>
      <c r="H1212" s="13">
        <f>IFERROR(__xludf.DUMMYFUNCTION("""COMPUTED_VALUE"""),45.58)</f>
        <v>45.58</v>
      </c>
      <c r="I1212" s="15">
        <f>IFERROR(__xludf.DUMMYFUNCTION("""COMPUTED_VALUE"""),54.42)</f>
        <v>54.42</v>
      </c>
    </row>
    <row r="1213">
      <c r="A1213" s="13" t="str">
        <f>IFERROR(__xludf.DUMMYFUNCTION("""COMPUTED_VALUE"""),"3030")</f>
        <v>3030</v>
      </c>
      <c r="B1213" s="13" t="str">
        <f>IFERROR(__xludf.DUMMYFUNCTION("""COMPUTED_VALUE"""),"AKRON R-1")</f>
        <v>AKRON R-1</v>
      </c>
      <c r="C1213" s="14" t="str">
        <f>IFERROR(__xludf.DUMMYFUNCTION("""COMPUTED_VALUE"""),"00086")</f>
        <v>00086</v>
      </c>
      <c r="D1213" s="13" t="str">
        <f>IFERROR(__xludf.DUMMYFUNCTION("""COMPUTED_VALUE"""),"AKRON ELEMENTARY SCHOOL")</f>
        <v>AKRON ELEMENTARY SCHOOL</v>
      </c>
      <c r="E1213" s="13" t="str">
        <f>IFERROR(__xludf.DUMMYFUNCTION("""COMPUTED_VALUE"""),"Group 1")</f>
        <v>Group 1</v>
      </c>
      <c r="F1213" s="13" t="str">
        <f>IFERROR(__xludf.DUMMYFUNCTION("""COMPUTED_VALUE"""),"2024 - 2025")</f>
        <v>2024 - 2025</v>
      </c>
      <c r="G1213" s="13" t="str">
        <f>IFERROR(__xludf.DUMMYFUNCTION("""COMPUTED_VALUE"""),"2023 - 2024")</f>
        <v>2023 - 2024</v>
      </c>
      <c r="H1213" s="13">
        <f>IFERROR(__xludf.DUMMYFUNCTION("""COMPUTED_VALUE"""),74.85)</f>
        <v>74.85</v>
      </c>
      <c r="I1213" s="15">
        <f>IFERROR(__xludf.DUMMYFUNCTION("""COMPUTED_VALUE"""),25.150000000000006)</f>
        <v>25.15</v>
      </c>
    </row>
    <row r="1214">
      <c r="A1214" s="13" t="str">
        <f>IFERROR(__xludf.DUMMYFUNCTION("""COMPUTED_VALUE"""),"3030")</f>
        <v>3030</v>
      </c>
      <c r="B1214" s="13" t="str">
        <f>IFERROR(__xludf.DUMMYFUNCTION("""COMPUTED_VALUE"""),"AKRON R-1")</f>
        <v>AKRON R-1</v>
      </c>
      <c r="C1214" s="14" t="str">
        <f>IFERROR(__xludf.DUMMYFUNCTION("""COMPUTED_VALUE"""),"00090")</f>
        <v>00090</v>
      </c>
      <c r="D1214" s="13" t="str">
        <f>IFERROR(__xludf.DUMMYFUNCTION("""COMPUTED_VALUE"""),"AKRON HIGH SCHOOL")</f>
        <v>AKRON HIGH SCHOOL</v>
      </c>
      <c r="E1214" s="13" t="str">
        <f>IFERROR(__xludf.DUMMYFUNCTION("""COMPUTED_VALUE"""),"Group 2")</f>
        <v>Group 2</v>
      </c>
      <c r="F1214" s="13" t="str">
        <f>IFERROR(__xludf.DUMMYFUNCTION("""COMPUTED_VALUE"""),"2024 - 2025")</f>
        <v>2024 - 2025</v>
      </c>
      <c r="G1214" s="13" t="str">
        <f>IFERROR(__xludf.DUMMYFUNCTION("""COMPUTED_VALUE"""),"2023 - 2024")</f>
        <v>2023 - 2024</v>
      </c>
      <c r="H1214" s="13">
        <f>IFERROR(__xludf.DUMMYFUNCTION("""COMPUTED_VALUE"""),60.51)</f>
        <v>60.51</v>
      </c>
      <c r="I1214" s="15">
        <f>IFERROR(__xludf.DUMMYFUNCTION("""COMPUTED_VALUE"""),39.49)</f>
        <v>39.49</v>
      </c>
    </row>
    <row r="1215">
      <c r="A1215" s="13" t="str">
        <f>IFERROR(__xludf.DUMMYFUNCTION("""COMPUTED_VALUE"""),"3040")</f>
        <v>3040</v>
      </c>
      <c r="B1215" s="13" t="str">
        <f>IFERROR(__xludf.DUMMYFUNCTION("""COMPUTED_VALUE"""),"ARICKAREE R-2")</f>
        <v>ARICKAREE R-2</v>
      </c>
      <c r="C1215" s="14" t="str">
        <f>IFERROR(__xludf.DUMMYFUNCTION("""COMPUTED_VALUE"""),"00304")</f>
        <v>00304</v>
      </c>
      <c r="D1215" s="13" t="str">
        <f>IFERROR(__xludf.DUMMYFUNCTION("""COMPUTED_VALUE"""),"ARICKAREE ELEMENTARY SCHOOL")</f>
        <v>ARICKAREE ELEMENTARY SCHOOL</v>
      </c>
      <c r="E1215" s="13" t="str">
        <f>IFERROR(__xludf.DUMMYFUNCTION("""COMPUTED_VALUE"""),"Group 1")</f>
        <v>Group 1</v>
      </c>
      <c r="F1215" s="13" t="str">
        <f>IFERROR(__xludf.DUMMYFUNCTION("""COMPUTED_VALUE"""),"2024 - 2025")</f>
        <v>2024 - 2025</v>
      </c>
      <c r="G1215" s="13" t="str">
        <f>IFERROR(__xludf.DUMMYFUNCTION("""COMPUTED_VALUE"""),"2023 - 2024")</f>
        <v>2023 - 2024</v>
      </c>
      <c r="H1215" s="13">
        <f>IFERROR(__xludf.DUMMYFUNCTION("""COMPUTED_VALUE"""),62.53)</f>
        <v>62.53</v>
      </c>
      <c r="I1215" s="15">
        <f>IFERROR(__xludf.DUMMYFUNCTION("""COMPUTED_VALUE"""),37.47)</f>
        <v>37.47</v>
      </c>
    </row>
    <row r="1216">
      <c r="A1216" s="13" t="str">
        <f>IFERROR(__xludf.DUMMYFUNCTION("""COMPUTED_VALUE"""),"3040")</f>
        <v>3040</v>
      </c>
      <c r="B1216" s="13" t="str">
        <f>IFERROR(__xludf.DUMMYFUNCTION("""COMPUTED_VALUE"""),"ARICKAREE R-2")</f>
        <v>ARICKAREE R-2</v>
      </c>
      <c r="C1216" s="14" t="str">
        <f>IFERROR(__xludf.DUMMYFUNCTION("""COMPUTED_VALUE"""),"00308")</f>
        <v>00308</v>
      </c>
      <c r="D1216" s="13" t="str">
        <f>IFERROR(__xludf.DUMMYFUNCTION("""COMPUTED_VALUE"""),"ARICKAREE UNDIVIDED HIGH SCHOOL")</f>
        <v>ARICKAREE UNDIVIDED HIGH SCHOOL</v>
      </c>
      <c r="E1216" s="13" t="str">
        <f>IFERROR(__xludf.DUMMYFUNCTION("""COMPUTED_VALUE"""),"Group 1")</f>
        <v>Group 1</v>
      </c>
      <c r="F1216" s="13" t="str">
        <f>IFERROR(__xludf.DUMMYFUNCTION("""COMPUTED_VALUE"""),"2024 - 2025")</f>
        <v>2024 - 2025</v>
      </c>
      <c r="G1216" s="13" t="str">
        <f>IFERROR(__xludf.DUMMYFUNCTION("""COMPUTED_VALUE"""),"2023 - 2024")</f>
        <v>2023 - 2024</v>
      </c>
      <c r="H1216" s="13">
        <f>IFERROR(__xludf.DUMMYFUNCTION("""COMPUTED_VALUE"""),62.53)</f>
        <v>62.53</v>
      </c>
      <c r="I1216" s="15">
        <f>IFERROR(__xludf.DUMMYFUNCTION("""COMPUTED_VALUE"""),37.47)</f>
        <v>37.47</v>
      </c>
    </row>
    <row r="1217">
      <c r="A1217" s="13" t="str">
        <f>IFERROR(__xludf.DUMMYFUNCTION("""COMPUTED_VALUE"""),"3050")</f>
        <v>3050</v>
      </c>
      <c r="B1217" s="13" t="str">
        <f>IFERROR(__xludf.DUMMYFUNCTION("""COMPUTED_VALUE"""),"OTIS R-3")</f>
        <v>OTIS R-3</v>
      </c>
      <c r="C1217" s="14" t="str">
        <f>IFERROR(__xludf.DUMMYFUNCTION("""COMPUTED_VALUE"""),"06582")</f>
        <v>06582</v>
      </c>
      <c r="D1217" s="13" t="str">
        <f>IFERROR(__xludf.DUMMYFUNCTION("""COMPUTED_VALUE"""),"OTIS ELEMENTARY SCHOOL")</f>
        <v>OTIS ELEMENTARY SCHOOL</v>
      </c>
      <c r="E1217" s="13" t="str">
        <f>IFERROR(__xludf.DUMMYFUNCTION("""COMPUTED_VALUE"""),"Group 1")</f>
        <v>Group 1</v>
      </c>
      <c r="F1217" s="13" t="str">
        <f>IFERROR(__xludf.DUMMYFUNCTION("""COMPUTED_VALUE"""),"2024 - 2025")</f>
        <v>2024 - 2025</v>
      </c>
      <c r="G1217" s="13" t="str">
        <f>IFERROR(__xludf.DUMMYFUNCTION("""COMPUTED_VALUE"""),"2023 - 2024")</f>
        <v>2023 - 2024</v>
      </c>
      <c r="H1217" s="13">
        <f>IFERROR(__xludf.DUMMYFUNCTION("""COMPUTED_VALUE"""),62.93)</f>
        <v>62.93</v>
      </c>
      <c r="I1217" s="15">
        <f>IFERROR(__xludf.DUMMYFUNCTION("""COMPUTED_VALUE"""),37.07)</f>
        <v>37.07</v>
      </c>
    </row>
    <row r="1218">
      <c r="A1218" s="13" t="str">
        <f>IFERROR(__xludf.DUMMYFUNCTION("""COMPUTED_VALUE"""),"3050")</f>
        <v>3050</v>
      </c>
      <c r="B1218" s="13" t="str">
        <f>IFERROR(__xludf.DUMMYFUNCTION("""COMPUTED_VALUE"""),"OTIS R-3")</f>
        <v>OTIS R-3</v>
      </c>
      <c r="C1218" s="14" t="str">
        <f>IFERROR(__xludf.DUMMYFUNCTION("""COMPUTED_VALUE"""),"06586")</f>
        <v>06586</v>
      </c>
      <c r="D1218" s="13" t="str">
        <f>IFERROR(__xludf.DUMMYFUNCTION("""COMPUTED_VALUE"""),"OTIS JUNIOR-SENIOR HIGH SCHOOL")</f>
        <v>OTIS JUNIOR-SENIOR HIGH SCHOOL</v>
      </c>
      <c r="E1218" s="13" t="str">
        <f>IFERROR(__xludf.DUMMYFUNCTION("""COMPUTED_VALUE"""),"Group 2")</f>
        <v>Group 2</v>
      </c>
      <c r="F1218" s="13" t="str">
        <f>IFERROR(__xludf.DUMMYFUNCTION("""COMPUTED_VALUE"""),"2024 - 2025")</f>
        <v>2024 - 2025</v>
      </c>
      <c r="G1218" s="13" t="str">
        <f>IFERROR(__xludf.DUMMYFUNCTION("""COMPUTED_VALUE"""),"2023 - 2024")</f>
        <v>2023 - 2024</v>
      </c>
      <c r="H1218" s="13">
        <f>IFERROR(__xludf.DUMMYFUNCTION("""COMPUTED_VALUE"""),51.76)</f>
        <v>51.76</v>
      </c>
      <c r="I1218" s="15">
        <f>IFERROR(__xludf.DUMMYFUNCTION("""COMPUTED_VALUE"""),48.24)</f>
        <v>48.24</v>
      </c>
    </row>
    <row r="1219">
      <c r="A1219" s="13" t="str">
        <f>IFERROR(__xludf.DUMMYFUNCTION("""COMPUTED_VALUE"""),"3060")</f>
        <v>3060</v>
      </c>
      <c r="B1219" s="13" t="str">
        <f>IFERROR(__xludf.DUMMYFUNCTION("""COMPUTED_VALUE"""),"LONE STAR 101")</f>
        <v>LONE STAR 101</v>
      </c>
      <c r="C1219" s="14" t="str">
        <f>IFERROR(__xludf.DUMMYFUNCTION("""COMPUTED_VALUE"""),"05238")</f>
        <v>05238</v>
      </c>
      <c r="D1219" s="13" t="str">
        <f>IFERROR(__xludf.DUMMYFUNCTION("""COMPUTED_VALUE"""),"LONE STAR MIDDLE SCHOOL")</f>
        <v>LONE STAR MIDDLE SCHOOL</v>
      </c>
      <c r="E1219" s="13" t="str">
        <f>IFERROR(__xludf.DUMMYFUNCTION("""COMPUTED_VALUE"""),"Group 1")</f>
        <v>Group 1</v>
      </c>
      <c r="F1219" s="13" t="str">
        <f>IFERROR(__xludf.DUMMYFUNCTION("""COMPUTED_VALUE"""),"2024 - 2025")</f>
        <v>2024 - 2025</v>
      </c>
      <c r="G1219" s="13" t="str">
        <f>IFERROR(__xludf.DUMMYFUNCTION("""COMPUTED_VALUE"""),"2023 - 2024")</f>
        <v>2023 - 2024</v>
      </c>
      <c r="H1219" s="13">
        <f>IFERROR(__xludf.DUMMYFUNCTION("""COMPUTED_VALUE"""),67.38)</f>
        <v>67.38</v>
      </c>
      <c r="I1219" s="15">
        <f>IFERROR(__xludf.DUMMYFUNCTION("""COMPUTED_VALUE"""),32.620000000000005)</f>
        <v>32.62</v>
      </c>
    </row>
    <row r="1220">
      <c r="A1220" s="13" t="str">
        <f>IFERROR(__xludf.DUMMYFUNCTION("""COMPUTED_VALUE"""),"3060")</f>
        <v>3060</v>
      </c>
      <c r="B1220" s="13" t="str">
        <f>IFERROR(__xludf.DUMMYFUNCTION("""COMPUTED_VALUE"""),"LONE STAR 101")</f>
        <v>LONE STAR 101</v>
      </c>
      <c r="C1220" s="14" t="str">
        <f>IFERROR(__xludf.DUMMYFUNCTION("""COMPUTED_VALUE"""),"05254")</f>
        <v>05254</v>
      </c>
      <c r="D1220" s="13" t="str">
        <f>IFERROR(__xludf.DUMMYFUNCTION("""COMPUTED_VALUE"""),"LONE STAR ELEMENTARY SCHOOL")</f>
        <v>LONE STAR ELEMENTARY SCHOOL</v>
      </c>
      <c r="E1220" s="13" t="str">
        <f>IFERROR(__xludf.DUMMYFUNCTION("""COMPUTED_VALUE"""),"Group 2")</f>
        <v>Group 2</v>
      </c>
      <c r="F1220" s="13" t="str">
        <f>IFERROR(__xludf.DUMMYFUNCTION("""COMPUTED_VALUE"""),"2024 - 2025")</f>
        <v>2024 - 2025</v>
      </c>
      <c r="G1220" s="13" t="str">
        <f>IFERROR(__xludf.DUMMYFUNCTION("""COMPUTED_VALUE"""),"2023 - 2024")</f>
        <v>2023 - 2024</v>
      </c>
      <c r="H1220" s="13">
        <f>IFERROR(__xludf.DUMMYFUNCTION("""COMPUTED_VALUE"""),60.0)</f>
        <v>60</v>
      </c>
      <c r="I1220" s="15">
        <f>IFERROR(__xludf.DUMMYFUNCTION("""COMPUTED_VALUE"""),40.0)</f>
        <v>40</v>
      </c>
    </row>
    <row r="1221">
      <c r="A1221" s="13" t="str">
        <f>IFERROR(__xludf.DUMMYFUNCTION("""COMPUTED_VALUE"""),"3070")</f>
        <v>3070</v>
      </c>
      <c r="B1221" s="13" t="str">
        <f>IFERROR(__xludf.DUMMYFUNCTION("""COMPUTED_VALUE"""),"WOODLIN R-104")</f>
        <v>WOODLIN R-104</v>
      </c>
      <c r="C1221" s="14" t="str">
        <f>IFERROR(__xludf.DUMMYFUNCTION("""COMPUTED_VALUE"""),"09700")</f>
        <v>09700</v>
      </c>
      <c r="D1221" s="13" t="str">
        <f>IFERROR(__xludf.DUMMYFUNCTION("""COMPUTED_VALUE"""),"WOODLIN ELEMENTARY SCHOOL")</f>
        <v>WOODLIN ELEMENTARY SCHOOL</v>
      </c>
      <c r="E1221" s="13" t="str">
        <f>IFERROR(__xludf.DUMMYFUNCTION("""COMPUTED_VALUE"""),"Group 1")</f>
        <v>Group 1</v>
      </c>
      <c r="F1221" s="13" t="str">
        <f>IFERROR(__xludf.DUMMYFUNCTION("""COMPUTED_VALUE"""),"2024 - 2025")</f>
        <v>2024 - 2025</v>
      </c>
      <c r="G1221" s="13" t="str">
        <f>IFERROR(__xludf.DUMMYFUNCTION("""COMPUTED_VALUE"""),"2023 - 2024")</f>
        <v>2023 - 2024</v>
      </c>
      <c r="H1221" s="13">
        <f>IFERROR(__xludf.DUMMYFUNCTION("""COMPUTED_VALUE"""),76.0)</f>
        <v>76</v>
      </c>
      <c r="I1221" s="15">
        <f>IFERROR(__xludf.DUMMYFUNCTION("""COMPUTED_VALUE"""),24.0)</f>
        <v>24</v>
      </c>
    </row>
    <row r="1222">
      <c r="A1222" s="13" t="str">
        <f>IFERROR(__xludf.DUMMYFUNCTION("""COMPUTED_VALUE"""),"3070")</f>
        <v>3070</v>
      </c>
      <c r="B1222" s="13" t="str">
        <f>IFERROR(__xludf.DUMMYFUNCTION("""COMPUTED_VALUE"""),"WOODLIN R-104")</f>
        <v>WOODLIN R-104</v>
      </c>
      <c r="C1222" s="14" t="str">
        <f>IFERROR(__xludf.DUMMYFUNCTION("""COMPUTED_VALUE"""),"09704")</f>
        <v>09704</v>
      </c>
      <c r="D1222" s="13" t="str">
        <f>IFERROR(__xludf.DUMMYFUNCTION("""COMPUTED_VALUE"""),"WOODLIN UNDIVIDED HIGH SCHOOL")</f>
        <v>WOODLIN UNDIVIDED HIGH SCHOOL</v>
      </c>
      <c r="E1222" s="13" t="str">
        <f>IFERROR(__xludf.DUMMYFUNCTION("""COMPUTED_VALUE"""),"Group 1")</f>
        <v>Group 1</v>
      </c>
      <c r="F1222" s="13" t="str">
        <f>IFERROR(__xludf.DUMMYFUNCTION("""COMPUTED_VALUE"""),"2024 - 2025")</f>
        <v>2024 - 2025</v>
      </c>
      <c r="G1222" s="13" t="str">
        <f>IFERROR(__xludf.DUMMYFUNCTION("""COMPUTED_VALUE"""),"2023 - 2024")</f>
        <v>2023 - 2024</v>
      </c>
      <c r="H1222" s="13">
        <f>IFERROR(__xludf.DUMMYFUNCTION("""COMPUTED_VALUE"""),76.0)</f>
        <v>76</v>
      </c>
      <c r="I1222" s="15">
        <f>IFERROR(__xludf.DUMMYFUNCTION("""COMPUTED_VALUE"""),24.0)</f>
        <v>24</v>
      </c>
    </row>
    <row r="1223">
      <c r="A1223" s="13" t="str">
        <f>IFERROR(__xludf.DUMMYFUNCTION("""COMPUTED_VALUE"""),"3080")</f>
        <v>3080</v>
      </c>
      <c r="B1223" s="13" t="str">
        <f>IFERROR(__xludf.DUMMYFUNCTION("""COMPUTED_VALUE"""),"WELD COUNTY RE-1")</f>
        <v>WELD COUNTY RE-1</v>
      </c>
      <c r="C1223" s="14" t="str">
        <f>IFERROR(__xludf.DUMMYFUNCTION("""COMPUTED_VALUE"""),"04854")</f>
        <v>04854</v>
      </c>
      <c r="D1223" s="13" t="str">
        <f>IFERROR(__xludf.DUMMYFUNCTION("""COMPUTED_VALUE"""),"NORTH VALLEY MIDDLE SCHOOL")</f>
        <v>NORTH VALLEY MIDDLE SCHOOL</v>
      </c>
      <c r="E1223" s="13" t="str">
        <f>IFERROR(__xludf.DUMMYFUNCTION("""COMPUTED_VALUE"""),"Group 1")</f>
        <v>Group 1</v>
      </c>
      <c r="F1223" s="13" t="str">
        <f>IFERROR(__xludf.DUMMYFUNCTION("""COMPUTED_VALUE"""),"2024 - 2025")</f>
        <v>2024 - 2025</v>
      </c>
      <c r="G1223" s="13" t="str">
        <f>IFERROR(__xludf.DUMMYFUNCTION("""COMPUTED_VALUE"""),"2023 - 2024")</f>
        <v>2023 - 2024</v>
      </c>
      <c r="H1223" s="13">
        <f>IFERROR(__xludf.DUMMYFUNCTION("""COMPUTED_VALUE"""),98.77)</f>
        <v>98.77</v>
      </c>
      <c r="I1223" s="15">
        <f>IFERROR(__xludf.DUMMYFUNCTION("""COMPUTED_VALUE"""),1.230000000000004)</f>
        <v>1.23</v>
      </c>
    </row>
    <row r="1224">
      <c r="A1224" s="13" t="str">
        <f>IFERROR(__xludf.DUMMYFUNCTION("""COMPUTED_VALUE"""),"3080")</f>
        <v>3080</v>
      </c>
      <c r="B1224" s="13" t="str">
        <f>IFERROR(__xludf.DUMMYFUNCTION("""COMPUTED_VALUE"""),"WELD COUNTY RE-1")</f>
        <v>WELD COUNTY RE-1</v>
      </c>
      <c r="C1224" s="14" t="str">
        <f>IFERROR(__xludf.DUMMYFUNCTION("""COMPUTED_VALUE"""),"09032")</f>
        <v>09032</v>
      </c>
      <c r="D1224" s="13" t="str">
        <f>IFERROR(__xludf.DUMMYFUNCTION("""COMPUTED_VALUE"""),"VALLEY HIGH SCHOOL")</f>
        <v>VALLEY HIGH SCHOOL</v>
      </c>
      <c r="E1224" s="13" t="str">
        <f>IFERROR(__xludf.DUMMYFUNCTION("""COMPUTED_VALUE"""),"Group 2")</f>
        <v>Group 2</v>
      </c>
      <c r="F1224" s="13" t="str">
        <f>IFERROR(__xludf.DUMMYFUNCTION("""COMPUTED_VALUE"""),"2024 - 2025")</f>
        <v>2024 - 2025</v>
      </c>
      <c r="G1224" s="13" t="str">
        <f>IFERROR(__xludf.DUMMYFUNCTION("""COMPUTED_VALUE"""),"2023 - 2024")</f>
        <v>2023 - 2024</v>
      </c>
      <c r="H1224" s="13">
        <f>IFERROR(__xludf.DUMMYFUNCTION("""COMPUTED_VALUE"""),93.04)</f>
        <v>93.04</v>
      </c>
      <c r="I1224" s="15">
        <f>IFERROR(__xludf.DUMMYFUNCTION("""COMPUTED_VALUE"""),6.959999999999994)</f>
        <v>6.96</v>
      </c>
    </row>
    <row r="1225">
      <c r="A1225" s="13" t="str">
        <f>IFERROR(__xludf.DUMMYFUNCTION("""COMPUTED_VALUE"""),"3080")</f>
        <v>3080</v>
      </c>
      <c r="B1225" s="13" t="str">
        <f>IFERROR(__xludf.DUMMYFUNCTION("""COMPUTED_VALUE"""),"WELD COUNTY RE-1")</f>
        <v>WELD COUNTY RE-1</v>
      </c>
      <c r="C1225" s="14" t="str">
        <f>IFERROR(__xludf.DUMMYFUNCTION("""COMPUTED_VALUE"""),"03398")</f>
        <v>03398</v>
      </c>
      <c r="D1225" s="13" t="str">
        <f>IFERROR(__xludf.DUMMYFUNCTION("""COMPUTED_VALUE"""),"GILCREST ELEMENTARY SCHOOL")</f>
        <v>GILCREST ELEMENTARY SCHOOL</v>
      </c>
      <c r="E1225" s="13" t="str">
        <f>IFERROR(__xludf.DUMMYFUNCTION("""COMPUTED_VALUE"""),"Group 3")</f>
        <v>Group 3</v>
      </c>
      <c r="F1225" s="13" t="str">
        <f>IFERROR(__xludf.DUMMYFUNCTION("""COMPUTED_VALUE"""),"2024 - 2025")</f>
        <v>2024 - 2025</v>
      </c>
      <c r="G1225" s="13" t="str">
        <f>IFERROR(__xludf.DUMMYFUNCTION("""COMPUTED_VALUE"""),"2023 - 2024")</f>
        <v>2023 - 2024</v>
      </c>
      <c r="H1225" s="13">
        <f>IFERROR(__xludf.DUMMYFUNCTION("""COMPUTED_VALUE"""),97.47)</f>
        <v>97.47</v>
      </c>
      <c r="I1225" s="15">
        <f>IFERROR(__xludf.DUMMYFUNCTION("""COMPUTED_VALUE"""),2.530000000000001)</f>
        <v>2.53</v>
      </c>
    </row>
    <row r="1226">
      <c r="A1226" s="13" t="str">
        <f>IFERROR(__xludf.DUMMYFUNCTION("""COMPUTED_VALUE"""),"3080")</f>
        <v>3080</v>
      </c>
      <c r="B1226" s="13" t="str">
        <f>IFERROR(__xludf.DUMMYFUNCTION("""COMPUTED_VALUE"""),"WELD COUNTY RE-1")</f>
        <v>WELD COUNTY RE-1</v>
      </c>
      <c r="C1226" s="14" t="str">
        <f>IFERROR(__xludf.DUMMYFUNCTION("""COMPUTED_VALUE"""),"04852")</f>
        <v>04852</v>
      </c>
      <c r="D1226" s="13" t="str">
        <f>IFERROR(__xludf.DUMMYFUNCTION("""COMPUTED_VALUE"""),"PETE MIRICH ELEMENTARY SCHOOL")</f>
        <v>PETE MIRICH ELEMENTARY SCHOOL</v>
      </c>
      <c r="E1226" s="13" t="str">
        <f>IFERROR(__xludf.DUMMYFUNCTION("""COMPUTED_VALUE"""),"Group 3")</f>
        <v>Group 3</v>
      </c>
      <c r="F1226" s="13" t="str">
        <f>IFERROR(__xludf.DUMMYFUNCTION("""COMPUTED_VALUE"""),"2024 - 2025")</f>
        <v>2024 - 2025</v>
      </c>
      <c r="G1226" s="13" t="str">
        <f>IFERROR(__xludf.DUMMYFUNCTION("""COMPUTED_VALUE"""),"2023 - 2024")</f>
        <v>2023 - 2024</v>
      </c>
      <c r="H1226" s="13">
        <f>IFERROR(__xludf.DUMMYFUNCTION("""COMPUTED_VALUE"""),97.47)</f>
        <v>97.47</v>
      </c>
      <c r="I1226" s="15">
        <f>IFERROR(__xludf.DUMMYFUNCTION("""COMPUTED_VALUE"""),2.530000000000001)</f>
        <v>2.53</v>
      </c>
    </row>
    <row r="1227">
      <c r="A1227" s="13" t="str">
        <f>IFERROR(__xludf.DUMMYFUNCTION("""COMPUTED_VALUE"""),"3080")</f>
        <v>3080</v>
      </c>
      <c r="B1227" s="13" t="str">
        <f>IFERROR(__xludf.DUMMYFUNCTION("""COMPUTED_VALUE"""),"WELD COUNTY RE-1")</f>
        <v>WELD COUNTY RE-1</v>
      </c>
      <c r="C1227" s="14" t="str">
        <f>IFERROR(__xludf.DUMMYFUNCTION("""COMPUTED_VALUE"""),"07056")</f>
        <v>07056</v>
      </c>
      <c r="D1227" s="13" t="str">
        <f>IFERROR(__xludf.DUMMYFUNCTION("""COMPUTED_VALUE"""),"PLATTEVILLE ELEMENTARY SCHOOL")</f>
        <v>PLATTEVILLE ELEMENTARY SCHOOL</v>
      </c>
      <c r="E1227" s="13" t="str">
        <f>IFERROR(__xludf.DUMMYFUNCTION("""COMPUTED_VALUE"""),"Group 3")</f>
        <v>Group 3</v>
      </c>
      <c r="F1227" s="13" t="str">
        <f>IFERROR(__xludf.DUMMYFUNCTION("""COMPUTED_VALUE"""),"2024 - 2025")</f>
        <v>2024 - 2025</v>
      </c>
      <c r="G1227" s="13" t="str">
        <f>IFERROR(__xludf.DUMMYFUNCTION("""COMPUTED_VALUE"""),"2023 - 2024")</f>
        <v>2023 - 2024</v>
      </c>
      <c r="H1227" s="13">
        <f>IFERROR(__xludf.DUMMYFUNCTION("""COMPUTED_VALUE"""),97.47)</f>
        <v>97.47</v>
      </c>
      <c r="I1227" s="15">
        <f>IFERROR(__xludf.DUMMYFUNCTION("""COMPUTED_VALUE"""),2.530000000000001)</f>
        <v>2.53</v>
      </c>
    </row>
    <row r="1228">
      <c r="A1228" s="13" t="str">
        <f>IFERROR(__xludf.DUMMYFUNCTION("""COMPUTED_VALUE"""),"3080")</f>
        <v>3080</v>
      </c>
      <c r="B1228" s="13" t="str">
        <f>IFERROR(__xludf.DUMMYFUNCTION("""COMPUTED_VALUE"""),"WELD COUNTY RE-1")</f>
        <v>WELD COUNTY RE-1</v>
      </c>
      <c r="C1228" s="14" t="str">
        <f>IFERROR(__xludf.DUMMYFUNCTION("""COMPUTED_VALUE"""),"07058")</f>
        <v>07058</v>
      </c>
      <c r="D1228" s="13" t="str">
        <f>IFERROR(__xludf.DUMMYFUNCTION("""COMPUTED_VALUE"""),"SOUTH VALLEY MIDDLE SCHOOL")</f>
        <v>SOUTH VALLEY MIDDLE SCHOOL</v>
      </c>
      <c r="E1228" s="13" t="str">
        <f>IFERROR(__xludf.DUMMYFUNCTION("""COMPUTED_VALUE"""),"Group 3")</f>
        <v>Group 3</v>
      </c>
      <c r="F1228" s="13" t="str">
        <f>IFERROR(__xludf.DUMMYFUNCTION("""COMPUTED_VALUE"""),"2024 - 2025")</f>
        <v>2024 - 2025</v>
      </c>
      <c r="G1228" s="13" t="str">
        <f>IFERROR(__xludf.DUMMYFUNCTION("""COMPUTED_VALUE"""),"2023 - 2024")</f>
        <v>2023 - 2024</v>
      </c>
      <c r="H1228" s="13">
        <f>IFERROR(__xludf.DUMMYFUNCTION("""COMPUTED_VALUE"""),97.47)</f>
        <v>97.47</v>
      </c>
      <c r="I1228" s="15">
        <f>IFERROR(__xludf.DUMMYFUNCTION("""COMPUTED_VALUE"""),2.530000000000001)</f>
        <v>2.53</v>
      </c>
    </row>
    <row r="1229">
      <c r="A1229" s="13" t="str">
        <f>IFERROR(__xludf.DUMMYFUNCTION("""COMPUTED_VALUE"""),"3085")</f>
        <v>3085</v>
      </c>
      <c r="B1229" s="13" t="str">
        <f>IFERROR(__xludf.DUMMYFUNCTION("""COMPUTED_VALUE"""),"EATON RE-2")</f>
        <v>EATON RE-2</v>
      </c>
      <c r="C1229" s="14" t="str">
        <f>IFERROR(__xludf.DUMMYFUNCTION("""COMPUTED_VALUE"""),"03286")</f>
        <v>03286</v>
      </c>
      <c r="D1229" s="13" t="str">
        <f>IFERROR(__xludf.DUMMYFUNCTION("""COMPUTED_VALUE"""),"GALETON ELEMENTARY SCHOOL")</f>
        <v>GALETON ELEMENTARY SCHOOL</v>
      </c>
      <c r="E1229" s="13" t="str">
        <f>IFERROR(__xludf.DUMMYFUNCTION("""COMPUTED_VALUE"""),"Group 1")</f>
        <v>Group 1</v>
      </c>
      <c r="F1229" s="13" t="str">
        <f>IFERROR(__xludf.DUMMYFUNCTION("""COMPUTED_VALUE"""),"2024 - 2025")</f>
        <v>2024 - 2025</v>
      </c>
      <c r="G1229" s="13" t="str">
        <f>IFERROR(__xludf.DUMMYFUNCTION("""COMPUTED_VALUE"""),"2023 - 2024")</f>
        <v>2023 - 2024</v>
      </c>
      <c r="H1229" s="13">
        <f>IFERROR(__xludf.DUMMYFUNCTION("""COMPUTED_VALUE"""),67.44)</f>
        <v>67.44</v>
      </c>
      <c r="I1229" s="15">
        <f>IFERROR(__xludf.DUMMYFUNCTION("""COMPUTED_VALUE"""),32.56)</f>
        <v>32.56</v>
      </c>
    </row>
    <row r="1230">
      <c r="A1230" s="13" t="str">
        <f>IFERROR(__xludf.DUMMYFUNCTION("""COMPUTED_VALUE"""),"3085")</f>
        <v>3085</v>
      </c>
      <c r="B1230" s="13" t="str">
        <f>IFERROR(__xludf.DUMMYFUNCTION("""COMPUTED_VALUE"""),"EATON RE-2")</f>
        <v>EATON RE-2</v>
      </c>
      <c r="C1230" s="14" t="str">
        <f>IFERROR(__xludf.DUMMYFUNCTION("""COMPUTED_VALUE"""),"02448")</f>
        <v>02448</v>
      </c>
      <c r="D1230" s="13" t="str">
        <f>IFERROR(__xludf.DUMMYFUNCTION("""COMPUTED_VALUE"""),"EATON ELEMENTARY SCHOOL")</f>
        <v>EATON ELEMENTARY SCHOOL</v>
      </c>
      <c r="E1230" s="13" t="str">
        <f>IFERROR(__xludf.DUMMYFUNCTION("""COMPUTED_VALUE"""),"Group 2")</f>
        <v>Group 2</v>
      </c>
      <c r="F1230" s="13" t="str">
        <f>IFERROR(__xludf.DUMMYFUNCTION("""COMPUTED_VALUE"""),"2024 - 2025")</f>
        <v>2024 - 2025</v>
      </c>
      <c r="G1230" s="13" t="str">
        <f>IFERROR(__xludf.DUMMYFUNCTION("""COMPUTED_VALUE"""),"2023 - 2024")</f>
        <v>2023 - 2024</v>
      </c>
      <c r="H1230" s="13">
        <f>IFERROR(__xludf.DUMMYFUNCTION("""COMPUTED_VALUE"""),55.92)</f>
        <v>55.92</v>
      </c>
      <c r="I1230" s="15">
        <f>IFERROR(__xludf.DUMMYFUNCTION("""COMPUTED_VALUE"""),44.08)</f>
        <v>44.08</v>
      </c>
    </row>
    <row r="1231">
      <c r="A1231" s="13" t="str">
        <f>IFERROR(__xludf.DUMMYFUNCTION("""COMPUTED_VALUE"""),"3085")</f>
        <v>3085</v>
      </c>
      <c r="B1231" s="13" t="str">
        <f>IFERROR(__xludf.DUMMYFUNCTION("""COMPUTED_VALUE"""),"EATON RE-2")</f>
        <v>EATON RE-2</v>
      </c>
      <c r="C1231" s="14" t="str">
        <f>IFERROR(__xludf.DUMMYFUNCTION("""COMPUTED_VALUE"""),"00754")</f>
        <v>00754</v>
      </c>
      <c r="D1231" s="13" t="str">
        <f>IFERROR(__xludf.DUMMYFUNCTION("""COMPUTED_VALUE"""),"BENJAMIN EATON")</f>
        <v>BENJAMIN EATON</v>
      </c>
      <c r="E1231" s="13" t="str">
        <f>IFERROR(__xludf.DUMMYFUNCTION("""COMPUTED_VALUE"""),"Group 3")</f>
        <v>Group 3</v>
      </c>
      <c r="F1231" s="13" t="str">
        <f>IFERROR(__xludf.DUMMYFUNCTION("""COMPUTED_VALUE"""),"2024 - 2025")</f>
        <v>2024 - 2025</v>
      </c>
      <c r="G1231" s="13" t="str">
        <f>IFERROR(__xludf.DUMMYFUNCTION("""COMPUTED_VALUE"""),"2023 - 2024")</f>
        <v>2023 - 2024</v>
      </c>
      <c r="H1231" s="13">
        <f>IFERROR(__xludf.DUMMYFUNCTION("""COMPUTED_VALUE"""),41.6)</f>
        <v>41.6</v>
      </c>
      <c r="I1231" s="15">
        <f>IFERROR(__xludf.DUMMYFUNCTION("""COMPUTED_VALUE"""),58.4)</f>
        <v>58.4</v>
      </c>
    </row>
    <row r="1232">
      <c r="A1232" s="13" t="str">
        <f>IFERROR(__xludf.DUMMYFUNCTION("""COMPUTED_VALUE"""),"3085")</f>
        <v>3085</v>
      </c>
      <c r="B1232" s="13" t="str">
        <f>IFERROR(__xludf.DUMMYFUNCTION("""COMPUTED_VALUE"""),"EATON RE-2")</f>
        <v>EATON RE-2</v>
      </c>
      <c r="C1232" s="14" t="str">
        <f>IFERROR(__xludf.DUMMYFUNCTION("""COMPUTED_VALUE"""),"02456")</f>
        <v>02456</v>
      </c>
      <c r="D1232" s="13" t="str">
        <f>IFERROR(__xludf.DUMMYFUNCTION("""COMPUTED_VALUE"""),"EATON HIGH SCHOOL")</f>
        <v>EATON HIGH SCHOOL</v>
      </c>
      <c r="E1232" s="13" t="str">
        <f>IFERROR(__xludf.DUMMYFUNCTION("""COMPUTED_VALUE"""),"Group 3")</f>
        <v>Group 3</v>
      </c>
      <c r="F1232" s="13" t="str">
        <f>IFERROR(__xludf.DUMMYFUNCTION("""COMPUTED_VALUE"""),"2024 - 2025")</f>
        <v>2024 - 2025</v>
      </c>
      <c r="G1232" s="13" t="str">
        <f>IFERROR(__xludf.DUMMYFUNCTION("""COMPUTED_VALUE"""),"2023 - 2024")</f>
        <v>2023 - 2024</v>
      </c>
      <c r="H1232" s="13">
        <f>IFERROR(__xludf.DUMMYFUNCTION("""COMPUTED_VALUE"""),41.6)</f>
        <v>41.6</v>
      </c>
      <c r="I1232" s="15">
        <f>IFERROR(__xludf.DUMMYFUNCTION("""COMPUTED_VALUE"""),58.4)</f>
        <v>58.4</v>
      </c>
    </row>
    <row r="1233">
      <c r="A1233" s="13" t="str">
        <f>IFERROR(__xludf.DUMMYFUNCTION("""COMPUTED_VALUE"""),"3085")</f>
        <v>3085</v>
      </c>
      <c r="B1233" s="13" t="str">
        <f>IFERROR(__xludf.DUMMYFUNCTION("""COMPUTED_VALUE"""),"EATON RE-2")</f>
        <v>EATON RE-2</v>
      </c>
      <c r="C1233" s="14" t="str">
        <f>IFERROR(__xludf.DUMMYFUNCTION("""COMPUTED_VALUE"""),"02452")</f>
        <v>02452</v>
      </c>
      <c r="D1233" s="13" t="str">
        <f>IFERROR(__xludf.DUMMYFUNCTION("""COMPUTED_VALUE"""),"EATON MIDDLE SCHOOL")</f>
        <v>EATON MIDDLE SCHOOL</v>
      </c>
      <c r="E1233" s="13" t="str">
        <f>IFERROR(__xludf.DUMMYFUNCTION("""COMPUTED_VALUE"""),"Group 4")</f>
        <v>Group 4</v>
      </c>
      <c r="F1233" s="13" t="str">
        <f>IFERROR(__xludf.DUMMYFUNCTION("""COMPUTED_VALUE"""),"2024 - 2025")</f>
        <v>2024 - 2025</v>
      </c>
      <c r="G1233" s="13" t="str">
        <f>IFERROR(__xludf.DUMMYFUNCTION("""COMPUTED_VALUE"""),"2023 - 2024")</f>
        <v>2023 - 2024</v>
      </c>
      <c r="H1233" s="13">
        <f>IFERROR(__xludf.DUMMYFUNCTION("""COMPUTED_VALUE"""),46.1)</f>
        <v>46.1</v>
      </c>
      <c r="I1233" s="15">
        <f>IFERROR(__xludf.DUMMYFUNCTION("""COMPUTED_VALUE"""),53.9)</f>
        <v>53.9</v>
      </c>
    </row>
    <row r="1234">
      <c r="A1234" s="13" t="str">
        <f>IFERROR(__xludf.DUMMYFUNCTION("""COMPUTED_VALUE"""),"3090")</f>
        <v>3090</v>
      </c>
      <c r="B1234" s="13" t="str">
        <f>IFERROR(__xludf.DUMMYFUNCTION("""COMPUTED_VALUE"""),"WELD COUNTY SCH DIST RE-3J")</f>
        <v>WELD COUNTY SCH DIST RE-3J</v>
      </c>
      <c r="C1234" s="14" t="str">
        <f>IFERROR(__xludf.DUMMYFUNCTION("""COMPUTED_VALUE"""),"01446")</f>
        <v>01446</v>
      </c>
      <c r="D1234" s="13" t="str">
        <f>IFERROR(__xludf.DUMMYFUNCTION("""COMPUTED_VALUE"""),"WELD CENTRAL SENIOR HIGH SCHOOL")</f>
        <v>WELD CENTRAL SENIOR HIGH SCHOOL</v>
      </c>
      <c r="E1234" s="13" t="str">
        <f>IFERROR(__xludf.DUMMYFUNCTION("""COMPUTED_VALUE"""),"Group 1")</f>
        <v>Group 1</v>
      </c>
      <c r="F1234" s="13" t="str">
        <f>IFERROR(__xludf.DUMMYFUNCTION("""COMPUTED_VALUE"""),"2024 - 2025")</f>
        <v>2024 - 2025</v>
      </c>
      <c r="G1234" s="13" t="str">
        <f>IFERROR(__xludf.DUMMYFUNCTION("""COMPUTED_VALUE"""),"2023 - 2024")</f>
        <v>2023 - 2024</v>
      </c>
      <c r="H1234" s="13">
        <f>IFERROR(__xludf.DUMMYFUNCTION("""COMPUTED_VALUE"""),60.45)</f>
        <v>60.45</v>
      </c>
      <c r="I1234" s="15">
        <f>IFERROR(__xludf.DUMMYFUNCTION("""COMPUTED_VALUE"""),39.55)</f>
        <v>39.55</v>
      </c>
    </row>
    <row r="1235">
      <c r="A1235" s="13" t="str">
        <f>IFERROR(__xludf.DUMMYFUNCTION("""COMPUTED_VALUE"""),"3090")</f>
        <v>3090</v>
      </c>
      <c r="B1235" s="13" t="str">
        <f>IFERROR(__xludf.DUMMYFUNCTION("""COMPUTED_VALUE"""),"WELD COUNTY SCH DIST RE-3J")</f>
        <v>WELD COUNTY SCH DIST RE-3J</v>
      </c>
      <c r="C1235" s="14" t="str">
        <f>IFERROR(__xludf.DUMMYFUNCTION("""COMPUTED_VALUE"""),"04526")</f>
        <v>04526</v>
      </c>
      <c r="D1235" s="13" t="str">
        <f>IFERROR(__xludf.DUMMYFUNCTION("""COMPUTED_VALUE"""),"HOFF ELEMENTARY SCHOOL")</f>
        <v>HOFF ELEMENTARY SCHOOL</v>
      </c>
      <c r="E1235" s="13" t="str">
        <f>IFERROR(__xludf.DUMMYFUNCTION("""COMPUTED_VALUE"""),"Group 2")</f>
        <v>Group 2</v>
      </c>
      <c r="F1235" s="13" t="str">
        <f>IFERROR(__xludf.DUMMYFUNCTION("""COMPUTED_VALUE"""),"2024 - 2025")</f>
        <v>2024 - 2025</v>
      </c>
      <c r="G1235" s="13" t="str">
        <f>IFERROR(__xludf.DUMMYFUNCTION("""COMPUTED_VALUE"""),"2023 - 2024")</f>
        <v>2023 - 2024</v>
      </c>
      <c r="H1235" s="13">
        <f>IFERROR(__xludf.DUMMYFUNCTION("""COMPUTED_VALUE"""),75.39)</f>
        <v>75.39</v>
      </c>
      <c r="I1235" s="15">
        <f>IFERROR(__xludf.DUMMYFUNCTION("""COMPUTED_VALUE"""),24.61)</f>
        <v>24.61</v>
      </c>
    </row>
    <row r="1236">
      <c r="A1236" s="13" t="str">
        <f>IFERROR(__xludf.DUMMYFUNCTION("""COMPUTED_VALUE"""),"3090")</f>
        <v>3090</v>
      </c>
      <c r="B1236" s="13" t="str">
        <f>IFERROR(__xludf.DUMMYFUNCTION("""COMPUTED_VALUE"""),"WELD COUNTY SCH DIST RE-3J")</f>
        <v>WELD COUNTY SCH DIST RE-3J</v>
      </c>
      <c r="C1236" s="14" t="str">
        <f>IFERROR(__xludf.DUMMYFUNCTION("""COMPUTED_VALUE"""),"09347")</f>
        <v>09347</v>
      </c>
      <c r="D1236" s="13" t="str">
        <f>IFERROR(__xludf.DUMMYFUNCTION("""COMPUTED_VALUE"""),"WELD CENTRAL MIDDLE SCHOOL")</f>
        <v>WELD CENTRAL MIDDLE SCHOOL</v>
      </c>
      <c r="E1236" s="13" t="str">
        <f>IFERROR(__xludf.DUMMYFUNCTION("""COMPUTED_VALUE"""),"Group 2")</f>
        <v>Group 2</v>
      </c>
      <c r="F1236" s="13" t="str">
        <f>IFERROR(__xludf.DUMMYFUNCTION("""COMPUTED_VALUE"""),"2024 - 2025")</f>
        <v>2024 - 2025</v>
      </c>
      <c r="G1236" s="13" t="str">
        <f>IFERROR(__xludf.DUMMYFUNCTION("""COMPUTED_VALUE"""),"2023 - 2024")</f>
        <v>2023 - 2024</v>
      </c>
      <c r="H1236" s="13">
        <f>IFERROR(__xludf.DUMMYFUNCTION("""COMPUTED_VALUE"""),75.39)</f>
        <v>75.39</v>
      </c>
      <c r="I1236" s="15">
        <f>IFERROR(__xludf.DUMMYFUNCTION("""COMPUTED_VALUE"""),24.61)</f>
        <v>24.61</v>
      </c>
    </row>
    <row r="1237">
      <c r="A1237" s="13" t="str">
        <f>IFERROR(__xludf.DUMMYFUNCTION("""COMPUTED_VALUE"""),"3090")</f>
        <v>3090</v>
      </c>
      <c r="B1237" s="13" t="str">
        <f>IFERROR(__xludf.DUMMYFUNCTION("""COMPUTED_VALUE"""),"WELD COUNTY SCH DIST RE-3J")</f>
        <v>WELD COUNTY SCH DIST RE-3J</v>
      </c>
      <c r="C1237" s="14" t="str">
        <f>IFERROR(__xludf.DUMMYFUNCTION("""COMPUTED_VALUE"""),"05855")</f>
        <v>05855</v>
      </c>
      <c r="D1237" s="13" t="str">
        <f>IFERROR(__xludf.DUMMYFUNCTION("""COMPUTED_VALUE"""),"Meadow Ridge Elementary School")</f>
        <v>Meadow Ridge Elementary School</v>
      </c>
      <c r="E1237" s="13" t="str">
        <f>IFERROR(__xludf.DUMMYFUNCTION("""COMPUTED_VALUE"""),"Group 2")</f>
        <v>Group 2</v>
      </c>
      <c r="F1237" s="13" t="str">
        <f>IFERROR(__xludf.DUMMYFUNCTION("""COMPUTED_VALUE"""),"2024 - 2025")</f>
        <v>2024 - 2025</v>
      </c>
      <c r="G1237" s="13" t="str">
        <f>IFERROR(__xludf.DUMMYFUNCTION("""COMPUTED_VALUE"""),"2023 - 2024")</f>
        <v>2023 - 2024</v>
      </c>
      <c r="H1237" s="13">
        <f>IFERROR(__xludf.DUMMYFUNCTION("""COMPUTED_VALUE"""),75.39)</f>
        <v>75.39</v>
      </c>
      <c r="I1237" s="15">
        <f>IFERROR(__xludf.DUMMYFUNCTION("""COMPUTED_VALUE"""),24.61)</f>
        <v>24.61</v>
      </c>
    </row>
    <row r="1238">
      <c r="A1238" s="13" t="str">
        <f>IFERROR(__xludf.DUMMYFUNCTION("""COMPUTED_VALUE"""),"3090")</f>
        <v>3090</v>
      </c>
      <c r="B1238" s="13" t="str">
        <f>IFERROR(__xludf.DUMMYFUNCTION("""COMPUTED_VALUE"""),"WELD COUNTY SCH DIST RE-3J")</f>
        <v>WELD COUNTY SCH DIST RE-3J</v>
      </c>
      <c r="C1238" s="14" t="str">
        <f>IFERROR(__xludf.DUMMYFUNCTION("""COMPUTED_VALUE"""),"03090")</f>
        <v>03090</v>
      </c>
      <c r="D1238" s="13" t="str">
        <f>IFERROR(__xludf.DUMMYFUNCTION("""COMPUTED_VALUE"""),"LOCHBUIE ELEMENTARY SCHOOL")</f>
        <v>LOCHBUIE ELEMENTARY SCHOOL</v>
      </c>
      <c r="E1238" s="13" t="str">
        <f>IFERROR(__xludf.DUMMYFUNCTION("""COMPUTED_VALUE"""),"Group 3")</f>
        <v>Group 3</v>
      </c>
      <c r="F1238" s="13" t="str">
        <f>IFERROR(__xludf.DUMMYFUNCTION("""COMPUTED_VALUE"""),"2024 - 2025")</f>
        <v>2024 - 2025</v>
      </c>
      <c r="G1238" s="13" t="str">
        <f>IFERROR(__xludf.DUMMYFUNCTION("""COMPUTED_VALUE"""),"2023 - 2024")</f>
        <v>2023 - 2024</v>
      </c>
      <c r="H1238" s="13">
        <f>IFERROR(__xludf.DUMMYFUNCTION("""COMPUTED_VALUE"""),90.56)</f>
        <v>90.56</v>
      </c>
      <c r="I1238" s="15">
        <f>IFERROR(__xludf.DUMMYFUNCTION("""COMPUTED_VALUE"""),9.439999999999998)</f>
        <v>9.44</v>
      </c>
    </row>
    <row r="1239">
      <c r="A1239" s="13" t="str">
        <f>IFERROR(__xludf.DUMMYFUNCTION("""COMPUTED_VALUE"""),"3090")</f>
        <v>3090</v>
      </c>
      <c r="B1239" s="13" t="str">
        <f>IFERROR(__xludf.DUMMYFUNCTION("""COMPUTED_VALUE"""),"WELD COUNTY SCH DIST RE-3J")</f>
        <v>WELD COUNTY SCH DIST RE-3J</v>
      </c>
      <c r="C1239" s="14" t="str">
        <f>IFERROR(__xludf.DUMMYFUNCTION("""COMPUTED_VALUE"""),"04148")</f>
        <v>04148</v>
      </c>
      <c r="D1239" s="13" t="str">
        <f>IFERROR(__xludf.DUMMYFUNCTION("""COMPUTED_VALUE"""),"HUDSON ACADEMY OF ARTS AND SCIENCES")</f>
        <v>HUDSON ACADEMY OF ARTS AND SCIENCES</v>
      </c>
      <c r="E1239" s="13" t="str">
        <f>IFERROR(__xludf.DUMMYFUNCTION("""COMPUTED_VALUE"""),"Group 4")</f>
        <v>Group 4</v>
      </c>
      <c r="F1239" s="13" t="str">
        <f>IFERROR(__xludf.DUMMYFUNCTION("""COMPUTED_VALUE"""),"2024 - 2025")</f>
        <v>2024 - 2025</v>
      </c>
      <c r="G1239" s="13" t="str">
        <f>IFERROR(__xludf.DUMMYFUNCTION("""COMPUTED_VALUE"""),"2023 - 2024")</f>
        <v>2023 - 2024</v>
      </c>
      <c r="H1239" s="13">
        <f>IFERROR(__xludf.DUMMYFUNCTION("""COMPUTED_VALUE"""),97.46)</f>
        <v>97.46</v>
      </c>
      <c r="I1239" s="15">
        <f>IFERROR(__xludf.DUMMYFUNCTION("""COMPUTED_VALUE"""),2.5400000000000063)</f>
        <v>2.54</v>
      </c>
    </row>
    <row r="1240">
      <c r="A1240" s="13" t="str">
        <f>IFERROR(__xludf.DUMMYFUNCTION("""COMPUTED_VALUE"""),"3100")</f>
        <v>3100</v>
      </c>
      <c r="B1240" s="13" t="str">
        <f>IFERROR(__xludf.DUMMYFUNCTION("""COMPUTED_VALUE"""),"WELD RE-4 AU")</f>
        <v>WELD RE-4 AU</v>
      </c>
      <c r="C1240" s="14" t="str">
        <f>IFERROR(__xludf.DUMMYFUNCTION("""COMPUTED_VALUE"""),"06750")</f>
        <v>06750</v>
      </c>
      <c r="D1240" s="13" t="str">
        <f>IFERROR(__xludf.DUMMYFUNCTION("""COMPUTED_VALUE"""),"MOUNTAIN VIEW ELEMENTARY SCHOOL")</f>
        <v>MOUNTAIN VIEW ELEMENTARY SCHOOL</v>
      </c>
      <c r="E1240" s="13" t="str">
        <f>IFERROR(__xludf.DUMMYFUNCTION("""COMPUTED_VALUE"""),"Group 1")</f>
        <v>Group 1</v>
      </c>
      <c r="F1240" s="13" t="str">
        <f>IFERROR(__xludf.DUMMYFUNCTION("""COMPUTED_VALUE"""),"2024 - 2025")</f>
        <v>2024 - 2025</v>
      </c>
      <c r="G1240" s="13" t="str">
        <f>IFERROR(__xludf.DUMMYFUNCTION("""COMPUTED_VALUE"""),"2023 - 2024")</f>
        <v>2023 - 2024</v>
      </c>
      <c r="H1240" s="13">
        <f>IFERROR(__xludf.DUMMYFUNCTION("""COMPUTED_VALUE"""),47.23)</f>
        <v>47.23</v>
      </c>
      <c r="I1240" s="15">
        <f>IFERROR(__xludf.DUMMYFUNCTION("""COMPUTED_VALUE"""),52.77)</f>
        <v>52.77</v>
      </c>
    </row>
    <row r="1241">
      <c r="A1241" s="13" t="str">
        <f>IFERROR(__xludf.DUMMYFUNCTION("""COMPUTED_VALUE"""),"3100")</f>
        <v>3100</v>
      </c>
      <c r="B1241" s="13" t="str">
        <f>IFERROR(__xludf.DUMMYFUNCTION("""COMPUTED_VALUE"""),"WELD RE-4 AU")</f>
        <v>WELD RE-4 AU</v>
      </c>
      <c r="C1241" s="14" t="str">
        <f>IFERROR(__xludf.DUMMYFUNCTION("""COMPUTED_VALUE"""),"07755")</f>
        <v>07755</v>
      </c>
      <c r="D1241" s="13" t="str">
        <f>IFERROR(__xludf.DUMMYFUNCTION("""COMPUTED_VALUE"""),"SEVERANCE MIDDLE SCHOOL")</f>
        <v>SEVERANCE MIDDLE SCHOOL</v>
      </c>
      <c r="E1241" s="13" t="str">
        <f>IFERROR(__xludf.DUMMYFUNCTION("""COMPUTED_VALUE"""),"Group 2")</f>
        <v>Group 2</v>
      </c>
      <c r="F1241" s="13" t="str">
        <f>IFERROR(__xludf.DUMMYFUNCTION("""COMPUTED_VALUE"""),"2024 - 2025")</f>
        <v>2024 - 2025</v>
      </c>
      <c r="G1241" s="13" t="str">
        <f>IFERROR(__xludf.DUMMYFUNCTION("""COMPUTED_VALUE"""),"2023 - 2024")</f>
        <v>2023 - 2024</v>
      </c>
      <c r="H1241" s="13">
        <f>IFERROR(__xludf.DUMMYFUNCTION("""COMPUTED_VALUE"""),41.39)</f>
        <v>41.39</v>
      </c>
      <c r="I1241" s="15">
        <f>IFERROR(__xludf.DUMMYFUNCTION("""COMPUTED_VALUE"""),58.61)</f>
        <v>58.61</v>
      </c>
    </row>
    <row r="1242">
      <c r="A1242" s="13" t="str">
        <f>IFERROR(__xludf.DUMMYFUNCTION("""COMPUTED_VALUE"""),"3100")</f>
        <v>3100</v>
      </c>
      <c r="B1242" s="13" t="str">
        <f>IFERROR(__xludf.DUMMYFUNCTION("""COMPUTED_VALUE"""),"WELD RE-4 AU")</f>
        <v>WELD RE-4 AU</v>
      </c>
      <c r="C1242" s="14" t="str">
        <f>IFERROR(__xludf.DUMMYFUNCTION("""COMPUTED_VALUE"""),"08459")</f>
        <v>08459</v>
      </c>
      <c r="D1242" s="13" t="str">
        <f>IFERROR(__xludf.DUMMYFUNCTION("""COMPUTED_VALUE"""),"RANGE VIEW ELEMENTARY SCHOOOL")</f>
        <v>RANGE VIEW ELEMENTARY SCHOOOL</v>
      </c>
      <c r="E1242" s="13" t="str">
        <f>IFERROR(__xludf.DUMMYFUNCTION("""COMPUTED_VALUE"""),"Group 2")</f>
        <v>Group 2</v>
      </c>
      <c r="F1242" s="13" t="str">
        <f>IFERROR(__xludf.DUMMYFUNCTION("""COMPUTED_VALUE"""),"2024 - 2025")</f>
        <v>2024 - 2025</v>
      </c>
      <c r="G1242" s="13" t="str">
        <f>IFERROR(__xludf.DUMMYFUNCTION("""COMPUTED_VALUE"""),"2023 - 2024")</f>
        <v>2023 - 2024</v>
      </c>
      <c r="H1242" s="13">
        <f>IFERROR(__xludf.DUMMYFUNCTION("""COMPUTED_VALUE"""),41.39)</f>
        <v>41.39</v>
      </c>
      <c r="I1242" s="15">
        <f>IFERROR(__xludf.DUMMYFUNCTION("""COMPUTED_VALUE"""),58.61)</f>
        <v>58.61</v>
      </c>
    </row>
    <row r="1243">
      <c r="A1243" s="13" t="str">
        <f>IFERROR(__xludf.DUMMYFUNCTION("""COMPUTED_VALUE"""),"3100")</f>
        <v>3100</v>
      </c>
      <c r="B1243" s="13" t="str">
        <f>IFERROR(__xludf.DUMMYFUNCTION("""COMPUTED_VALUE"""),"WELD RE-4 AU")</f>
        <v>WELD RE-4 AU</v>
      </c>
      <c r="C1243" s="14" t="str">
        <f>IFERROR(__xludf.DUMMYFUNCTION("""COMPUTED_VALUE"""),"08886")</f>
        <v>08886</v>
      </c>
      <c r="D1243" s="13" t="str">
        <f>IFERROR(__xludf.DUMMYFUNCTION("""COMPUTED_VALUE"""),"TOZER ELEMENTARY SCHOOL")</f>
        <v>TOZER ELEMENTARY SCHOOL</v>
      </c>
      <c r="E1243" s="13" t="str">
        <f>IFERROR(__xludf.DUMMYFUNCTION("""COMPUTED_VALUE"""),"Group 3")</f>
        <v>Group 3</v>
      </c>
      <c r="F1243" s="13" t="str">
        <f>IFERROR(__xludf.DUMMYFUNCTION("""COMPUTED_VALUE"""),"2024 - 2025")</f>
        <v>2024 - 2025</v>
      </c>
      <c r="G1243" s="13" t="str">
        <f>IFERROR(__xludf.DUMMYFUNCTION("""COMPUTED_VALUE"""),"2023 - 2024")</f>
        <v>2023 - 2024</v>
      </c>
      <c r="H1243" s="13">
        <f>IFERROR(__xludf.DUMMYFUNCTION("""COMPUTED_VALUE"""),40.54)</f>
        <v>40.54</v>
      </c>
      <c r="I1243" s="15">
        <f>IFERROR(__xludf.DUMMYFUNCTION("""COMPUTED_VALUE"""),59.46)</f>
        <v>59.46</v>
      </c>
    </row>
    <row r="1244">
      <c r="A1244" s="13" t="str">
        <f>IFERROR(__xludf.DUMMYFUNCTION("""COMPUTED_VALUE"""),"3100")</f>
        <v>3100</v>
      </c>
      <c r="B1244" s="13" t="str">
        <f>IFERROR(__xludf.DUMMYFUNCTION("""COMPUTED_VALUE"""),"WELD RE-4 AU")</f>
        <v>WELD RE-4 AU</v>
      </c>
      <c r="C1244" s="14" t="str">
        <f>IFERROR(__xludf.DUMMYFUNCTION("""COMPUTED_VALUE"""),"09670")</f>
        <v>09670</v>
      </c>
      <c r="D1244" s="13" t="str">
        <f>IFERROR(__xludf.DUMMYFUNCTION("""COMPUTED_VALUE"""),"WINDSOR MIDDLE SCHOOL")</f>
        <v>WINDSOR MIDDLE SCHOOL</v>
      </c>
      <c r="E1244" s="13" t="str">
        <f>IFERROR(__xludf.DUMMYFUNCTION("""COMPUTED_VALUE"""),"Group 3")</f>
        <v>Group 3</v>
      </c>
      <c r="F1244" s="13" t="str">
        <f>IFERROR(__xludf.DUMMYFUNCTION("""COMPUTED_VALUE"""),"2024 - 2025")</f>
        <v>2024 - 2025</v>
      </c>
      <c r="G1244" s="13" t="str">
        <f>IFERROR(__xludf.DUMMYFUNCTION("""COMPUTED_VALUE"""),"2023 - 2024")</f>
        <v>2023 - 2024</v>
      </c>
      <c r="H1244" s="13">
        <f>IFERROR(__xludf.DUMMYFUNCTION("""COMPUTED_VALUE"""),40.54)</f>
        <v>40.54</v>
      </c>
      <c r="I1244" s="15">
        <f>IFERROR(__xludf.DUMMYFUNCTION("""COMPUTED_VALUE"""),59.46)</f>
        <v>59.46</v>
      </c>
    </row>
    <row r="1245">
      <c r="A1245" s="13" t="str">
        <f>IFERROR(__xludf.DUMMYFUNCTION("""COMPUTED_VALUE"""),"3100")</f>
        <v>3100</v>
      </c>
      <c r="B1245" s="13" t="str">
        <f>IFERROR(__xludf.DUMMYFUNCTION("""COMPUTED_VALUE"""),"WELD RE-4 AU")</f>
        <v>WELD RE-4 AU</v>
      </c>
      <c r="C1245" s="14" t="str">
        <f>IFERROR(__xludf.DUMMYFUNCTION("""COMPUTED_VALUE"""),"00055")</f>
        <v>00055</v>
      </c>
      <c r="D1245" s="13" t="str">
        <f>IFERROR(__xludf.DUMMYFUNCTION("""COMPUTED_VALUE"""),"GRANDVIEW ELEMENTARY")</f>
        <v>GRANDVIEW ELEMENTARY</v>
      </c>
      <c r="E1245" s="13" t="str">
        <f>IFERROR(__xludf.DUMMYFUNCTION("""COMPUTED_VALUE"""),"Group 4")</f>
        <v>Group 4</v>
      </c>
      <c r="F1245" s="13" t="str">
        <f>IFERROR(__xludf.DUMMYFUNCTION("""COMPUTED_VALUE"""),"2024 - 2025")</f>
        <v>2024 - 2025</v>
      </c>
      <c r="G1245" s="13" t="str">
        <f>IFERROR(__xludf.DUMMYFUNCTION("""COMPUTED_VALUE"""),"2023 - 2024")</f>
        <v>2023 - 2024</v>
      </c>
      <c r="H1245" s="13">
        <f>IFERROR(__xludf.DUMMYFUNCTION("""COMPUTED_VALUE"""),41.07)</f>
        <v>41.07</v>
      </c>
      <c r="I1245" s="15">
        <f>IFERROR(__xludf.DUMMYFUNCTION("""COMPUTED_VALUE"""),58.93)</f>
        <v>58.93</v>
      </c>
    </row>
    <row r="1246">
      <c r="A1246" s="13" t="str">
        <f>IFERROR(__xludf.DUMMYFUNCTION("""COMPUTED_VALUE"""),"3100")</f>
        <v>3100</v>
      </c>
      <c r="B1246" s="13" t="str">
        <f>IFERROR(__xludf.DUMMYFUNCTION("""COMPUTED_VALUE"""),"WELD RE-4 AU")</f>
        <v>WELD RE-4 AU</v>
      </c>
      <c r="C1246" s="14" t="str">
        <f>IFERROR(__xludf.DUMMYFUNCTION("""COMPUTED_VALUE"""),"07958")</f>
        <v>07958</v>
      </c>
      <c r="D1246" s="13" t="str">
        <f>IFERROR(__xludf.DUMMYFUNCTION("""COMPUTED_VALUE"""),"SKYVIEW ELEMENTARY SCHOOL")</f>
        <v>SKYVIEW ELEMENTARY SCHOOL</v>
      </c>
      <c r="E1246" s="13" t="str">
        <f>IFERROR(__xludf.DUMMYFUNCTION("""COMPUTED_VALUE"""),"Group 4")</f>
        <v>Group 4</v>
      </c>
      <c r="F1246" s="13" t="str">
        <f>IFERROR(__xludf.DUMMYFUNCTION("""COMPUTED_VALUE"""),"2024 - 2025")</f>
        <v>2024 - 2025</v>
      </c>
      <c r="G1246" s="13" t="str">
        <f>IFERROR(__xludf.DUMMYFUNCTION("""COMPUTED_VALUE"""),"2023 - 2024")</f>
        <v>2023 - 2024</v>
      </c>
      <c r="H1246" s="13">
        <f>IFERROR(__xludf.DUMMYFUNCTION("""COMPUTED_VALUE"""),41.07)</f>
        <v>41.07</v>
      </c>
      <c r="I1246" s="15">
        <f>IFERROR(__xludf.DUMMYFUNCTION("""COMPUTED_VALUE"""),58.93)</f>
        <v>58.93</v>
      </c>
    </row>
    <row r="1247">
      <c r="A1247" s="13" t="str">
        <f>IFERROR(__xludf.DUMMYFUNCTION("""COMPUTED_VALUE"""),"3110")</f>
        <v>3110</v>
      </c>
      <c r="B1247" s="13" t="str">
        <f>IFERROR(__xludf.DUMMYFUNCTION("""COMPUTED_VALUE"""),"JOHNSTOWN-MILLIKEN RE-5J")</f>
        <v>JOHNSTOWN-MILLIKEN RE-5J</v>
      </c>
      <c r="C1247" s="14" t="str">
        <f>IFERROR(__xludf.DUMMYFUNCTION("""COMPUTED_VALUE"""),"05902")</f>
        <v>05902</v>
      </c>
      <c r="D1247" s="13" t="str">
        <f>IFERROR(__xludf.DUMMYFUNCTION("""COMPUTED_VALUE"""),"MILLIKEN MIDDLE SCHOOL")</f>
        <v>MILLIKEN MIDDLE SCHOOL</v>
      </c>
      <c r="E1247" s="13" t="str">
        <f>IFERROR(__xludf.DUMMYFUNCTION("""COMPUTED_VALUE"""),"Group 1")</f>
        <v>Group 1</v>
      </c>
      <c r="F1247" s="13" t="str">
        <f>IFERROR(__xludf.DUMMYFUNCTION("""COMPUTED_VALUE"""),"2024 - 2025")</f>
        <v>2024 - 2025</v>
      </c>
      <c r="G1247" s="13" t="str">
        <f>IFERROR(__xludf.DUMMYFUNCTION("""COMPUTED_VALUE"""),"2023 - 2024")</f>
        <v>2023 - 2024</v>
      </c>
      <c r="H1247" s="13">
        <f>IFERROR(__xludf.DUMMYFUNCTION("""COMPUTED_VALUE"""),40.1)</f>
        <v>40.1</v>
      </c>
      <c r="I1247" s="15">
        <f>IFERROR(__xludf.DUMMYFUNCTION("""COMPUTED_VALUE"""),59.9)</f>
        <v>59.9</v>
      </c>
    </row>
    <row r="1248">
      <c r="A1248" s="13" t="str">
        <f>IFERROR(__xludf.DUMMYFUNCTION("""COMPUTED_VALUE"""),"3110")</f>
        <v>3110</v>
      </c>
      <c r="B1248" s="13" t="str">
        <f>IFERROR(__xludf.DUMMYFUNCTION("""COMPUTED_VALUE"""),"JOHNSTOWN-MILLIKEN RE-5J")</f>
        <v>JOHNSTOWN-MILLIKEN RE-5J</v>
      </c>
      <c r="C1248" s="14" t="str">
        <f>IFERROR(__xludf.DUMMYFUNCTION("""COMPUTED_VALUE"""),"06963")</f>
        <v>06963</v>
      </c>
      <c r="D1248" s="13" t="str">
        <f>IFERROR(__xludf.DUMMYFUNCTION("""COMPUTED_VALUE"""),"PIONEER RIDGE ELEMENTARY SCHOOL")</f>
        <v>PIONEER RIDGE ELEMENTARY SCHOOL</v>
      </c>
      <c r="E1248" s="13" t="str">
        <f>IFERROR(__xludf.DUMMYFUNCTION("""COMPUTED_VALUE"""),"Group 1")</f>
        <v>Group 1</v>
      </c>
      <c r="F1248" s="13" t="str">
        <f>IFERROR(__xludf.DUMMYFUNCTION("""COMPUTED_VALUE"""),"2024 - 2025")</f>
        <v>2024 - 2025</v>
      </c>
      <c r="G1248" s="13" t="str">
        <f>IFERROR(__xludf.DUMMYFUNCTION("""COMPUTED_VALUE"""),"2023 - 2024")</f>
        <v>2023 - 2024</v>
      </c>
      <c r="H1248" s="13">
        <f>IFERROR(__xludf.DUMMYFUNCTION("""COMPUTED_VALUE"""),40.1)</f>
        <v>40.1</v>
      </c>
      <c r="I1248" s="15">
        <f>IFERROR(__xludf.DUMMYFUNCTION("""COMPUTED_VALUE"""),59.9)</f>
        <v>59.9</v>
      </c>
    </row>
    <row r="1249">
      <c r="A1249" s="13" t="str">
        <f>IFERROR(__xludf.DUMMYFUNCTION("""COMPUTED_VALUE"""),"3110")</f>
        <v>3110</v>
      </c>
      <c r="B1249" s="13" t="str">
        <f>IFERROR(__xludf.DUMMYFUNCTION("""COMPUTED_VALUE"""),"JOHNSTOWN-MILLIKEN RE-5J")</f>
        <v>JOHNSTOWN-MILLIKEN RE-5J</v>
      </c>
      <c r="C1249" s="14" t="str">
        <f>IFERROR(__xludf.DUMMYFUNCTION("""COMPUTED_VALUE"""),"07490")</f>
        <v>07490</v>
      </c>
      <c r="D1249" s="13" t="str">
        <f>IFERROR(__xludf.DUMMYFUNCTION("""COMPUTED_VALUE"""),"ROOSEVELT HIGH SCHOOL")</f>
        <v>ROOSEVELT HIGH SCHOOL</v>
      </c>
      <c r="E1249" s="13" t="str">
        <f>IFERROR(__xludf.DUMMYFUNCTION("""COMPUTED_VALUE"""),"Group 1")</f>
        <v>Group 1</v>
      </c>
      <c r="F1249" s="13" t="str">
        <f>IFERROR(__xludf.DUMMYFUNCTION("""COMPUTED_VALUE"""),"2024 - 2025")</f>
        <v>2024 - 2025</v>
      </c>
      <c r="G1249" s="13" t="str">
        <f>IFERROR(__xludf.DUMMYFUNCTION("""COMPUTED_VALUE"""),"2023 - 2024")</f>
        <v>2023 - 2024</v>
      </c>
      <c r="H1249" s="13">
        <f>IFERROR(__xludf.DUMMYFUNCTION("""COMPUTED_VALUE"""),40.1)</f>
        <v>40.1</v>
      </c>
      <c r="I1249" s="15">
        <f>IFERROR(__xludf.DUMMYFUNCTION("""COMPUTED_VALUE"""),59.9)</f>
        <v>59.9</v>
      </c>
    </row>
    <row r="1250">
      <c r="A1250" s="13" t="str">
        <f>IFERROR(__xludf.DUMMYFUNCTION("""COMPUTED_VALUE"""),"3110")</f>
        <v>3110</v>
      </c>
      <c r="B1250" s="13" t="str">
        <f>IFERROR(__xludf.DUMMYFUNCTION("""COMPUTED_VALUE"""),"JOHNSTOWN-MILLIKEN RE-5J")</f>
        <v>JOHNSTOWN-MILLIKEN RE-5J</v>
      </c>
      <c r="C1250" s="14" t="str">
        <f>IFERROR(__xludf.DUMMYFUNCTION("""COMPUTED_VALUE"""),"04785")</f>
        <v>04785</v>
      </c>
      <c r="D1250" s="13" t="str">
        <f>IFERROR(__xludf.DUMMYFUNCTION("""COMPUTED_VALUE"""),"KNOWLEDGE QUEST ACADEMY")</f>
        <v>KNOWLEDGE QUEST ACADEMY</v>
      </c>
      <c r="E1250" s="13" t="str">
        <f>IFERROR(__xludf.DUMMYFUNCTION("""COMPUTED_VALUE"""),"Group 2")</f>
        <v>Group 2</v>
      </c>
      <c r="F1250" s="13" t="str">
        <f>IFERROR(__xludf.DUMMYFUNCTION("""COMPUTED_VALUE"""),"2024 - 2025")</f>
        <v>2024 - 2025</v>
      </c>
      <c r="G1250" s="13" t="str">
        <f>IFERROR(__xludf.DUMMYFUNCTION("""COMPUTED_VALUE"""),"2023 - 2024")</f>
        <v>2023 - 2024</v>
      </c>
      <c r="H1250" s="13">
        <f>IFERROR(__xludf.DUMMYFUNCTION("""COMPUTED_VALUE"""),44.05)</f>
        <v>44.05</v>
      </c>
      <c r="I1250" s="15">
        <f>IFERROR(__xludf.DUMMYFUNCTION("""COMPUTED_VALUE"""),55.95)</f>
        <v>55.95</v>
      </c>
    </row>
    <row r="1251">
      <c r="A1251" s="13" t="str">
        <f>IFERROR(__xludf.DUMMYFUNCTION("""COMPUTED_VALUE"""),"3110")</f>
        <v>3110</v>
      </c>
      <c r="B1251" s="13" t="str">
        <f>IFERROR(__xludf.DUMMYFUNCTION("""COMPUTED_VALUE"""),"JOHNSTOWN-MILLIKEN RE-5J")</f>
        <v>JOHNSTOWN-MILLIKEN RE-5J</v>
      </c>
      <c r="C1251" s="14" t="str">
        <f>IFERROR(__xludf.DUMMYFUNCTION("""COMPUTED_VALUE"""),"05078")</f>
        <v>05078</v>
      </c>
      <c r="D1251" s="13" t="str">
        <f>IFERROR(__xludf.DUMMYFUNCTION("""COMPUTED_VALUE"""),"Elwell Elementary School")</f>
        <v>Elwell Elementary School</v>
      </c>
      <c r="E1251" s="13" t="str">
        <f>IFERROR(__xludf.DUMMYFUNCTION("""COMPUTED_VALUE"""),"Group 2")</f>
        <v>Group 2</v>
      </c>
      <c r="F1251" s="13" t="str">
        <f>IFERROR(__xludf.DUMMYFUNCTION("""COMPUTED_VALUE"""),"2024 - 2025")</f>
        <v>2024 - 2025</v>
      </c>
      <c r="G1251" s="13" t="str">
        <f>IFERROR(__xludf.DUMMYFUNCTION("""COMPUTED_VALUE"""),"2023 - 2024")</f>
        <v>2023 - 2024</v>
      </c>
      <c r="H1251" s="13">
        <f>IFERROR(__xludf.DUMMYFUNCTION("""COMPUTED_VALUE"""),44.05)</f>
        <v>44.05</v>
      </c>
      <c r="I1251" s="15">
        <f>IFERROR(__xludf.DUMMYFUNCTION("""COMPUTED_VALUE"""),55.95)</f>
        <v>55.95</v>
      </c>
    </row>
    <row r="1252">
      <c r="A1252" s="13" t="str">
        <f>IFERROR(__xludf.DUMMYFUNCTION("""COMPUTED_VALUE"""),"3110")</f>
        <v>3110</v>
      </c>
      <c r="B1252" s="13" t="str">
        <f>IFERROR(__xludf.DUMMYFUNCTION("""COMPUTED_VALUE"""),"JOHNSTOWN-MILLIKEN RE-5J")</f>
        <v>JOHNSTOWN-MILLIKEN RE-5J</v>
      </c>
      <c r="C1252" s="14" t="str">
        <f>IFERROR(__xludf.DUMMYFUNCTION("""COMPUTED_VALUE"""),"05896")</f>
        <v>05896</v>
      </c>
      <c r="D1252" s="13" t="str">
        <f>IFERROR(__xludf.DUMMYFUNCTION("""COMPUTED_VALUE"""),"MILLIKEN ELEMENTARY SCHOOL")</f>
        <v>MILLIKEN ELEMENTARY SCHOOL</v>
      </c>
      <c r="E1252" s="13" t="str">
        <f>IFERROR(__xludf.DUMMYFUNCTION("""COMPUTED_VALUE"""),"Group 3")</f>
        <v>Group 3</v>
      </c>
      <c r="F1252" s="13" t="str">
        <f>IFERROR(__xludf.DUMMYFUNCTION("""COMPUTED_VALUE"""),"2024 - 2025")</f>
        <v>2024 - 2025</v>
      </c>
      <c r="G1252" s="13" t="str">
        <f>IFERROR(__xludf.DUMMYFUNCTION("""COMPUTED_VALUE"""),"2023 - 2024")</f>
        <v>2023 - 2024</v>
      </c>
      <c r="H1252" s="13">
        <f>IFERROR(__xludf.DUMMYFUNCTION("""COMPUTED_VALUE"""),75.95)</f>
        <v>75.95</v>
      </c>
      <c r="I1252" s="15">
        <f>IFERROR(__xludf.DUMMYFUNCTION("""COMPUTED_VALUE"""),24.049999999999997)</f>
        <v>24.05</v>
      </c>
    </row>
    <row r="1253">
      <c r="A1253" s="13" t="str">
        <f>IFERROR(__xludf.DUMMYFUNCTION("""COMPUTED_VALUE"""),"3120")</f>
        <v>3120</v>
      </c>
      <c r="B1253" s="13" t="str">
        <f>IFERROR(__xludf.DUMMYFUNCTION("""COMPUTED_VALUE"""),"GREELEY 6")</f>
        <v>GREELEY 6</v>
      </c>
      <c r="C1253" s="14" t="str">
        <f>IFERROR(__xludf.DUMMYFUNCTION("""COMPUTED_VALUE"""),"02850")</f>
        <v>02850</v>
      </c>
      <c r="D1253" s="13" t="str">
        <f>IFERROR(__xludf.DUMMYFUNCTION("""COMPUTED_VALUE"""),"UNIVERSITY SCHOOLS")</f>
        <v>UNIVERSITY SCHOOLS</v>
      </c>
      <c r="E1253" s="13" t="str">
        <f>IFERROR(__xludf.DUMMYFUNCTION("""COMPUTED_VALUE"""),"Group 1")</f>
        <v>Group 1</v>
      </c>
      <c r="F1253" s="13" t="str">
        <f>IFERROR(__xludf.DUMMYFUNCTION("""COMPUTED_VALUE"""),"2024 - 2025")</f>
        <v>2024 - 2025</v>
      </c>
      <c r="G1253" s="13" t="str">
        <f>IFERROR(__xludf.DUMMYFUNCTION("""COMPUTED_VALUE"""),"2023 - 2024")</f>
        <v>2023 - 2024</v>
      </c>
      <c r="H1253" s="13">
        <f>IFERROR(__xludf.DUMMYFUNCTION("""COMPUTED_VALUE"""),54.85)</f>
        <v>54.85</v>
      </c>
      <c r="I1253" s="15">
        <f>IFERROR(__xludf.DUMMYFUNCTION("""COMPUTED_VALUE"""),45.15)</f>
        <v>45.15</v>
      </c>
    </row>
    <row r="1254">
      <c r="A1254" s="13" t="str">
        <f>IFERROR(__xludf.DUMMYFUNCTION("""COMPUTED_VALUE"""),"3120")</f>
        <v>3120</v>
      </c>
      <c r="B1254" s="13" t="str">
        <f>IFERROR(__xludf.DUMMYFUNCTION("""COMPUTED_VALUE"""),"GREELEY 6")</f>
        <v>GREELEY 6</v>
      </c>
      <c r="C1254" s="14" t="str">
        <f>IFERROR(__xludf.DUMMYFUNCTION("""COMPUTED_VALUE"""),"07491")</f>
        <v>07491</v>
      </c>
      <c r="D1254" s="13" t="str">
        <f>IFERROR(__xludf.DUMMYFUNCTION("""COMPUTED_VALUE"""),"District 6 Online Academy")</f>
        <v>District 6 Online Academy</v>
      </c>
      <c r="E1254" s="13" t="str">
        <f>IFERROR(__xludf.DUMMYFUNCTION("""COMPUTED_VALUE"""),"Group 1")</f>
        <v>Group 1</v>
      </c>
      <c r="F1254" s="13" t="str">
        <f>IFERROR(__xludf.DUMMYFUNCTION("""COMPUTED_VALUE"""),"2024 - 2025")</f>
        <v>2024 - 2025</v>
      </c>
      <c r="G1254" s="13" t="str">
        <f>IFERROR(__xludf.DUMMYFUNCTION("""COMPUTED_VALUE"""),"2023 - 2024")</f>
        <v>2023 - 2024</v>
      </c>
      <c r="H1254" s="13">
        <f>IFERROR(__xludf.DUMMYFUNCTION("""COMPUTED_VALUE"""),54.85)</f>
        <v>54.85</v>
      </c>
      <c r="I1254" s="15">
        <f>IFERROR(__xludf.DUMMYFUNCTION("""COMPUTED_VALUE"""),45.15)</f>
        <v>45.15</v>
      </c>
    </row>
    <row r="1255">
      <c r="A1255" s="13" t="str">
        <f>IFERROR(__xludf.DUMMYFUNCTION("""COMPUTED_VALUE"""),"3120")</f>
        <v>3120</v>
      </c>
      <c r="B1255" s="13" t="str">
        <f>IFERROR(__xludf.DUMMYFUNCTION("""COMPUTED_VALUE"""),"GREELEY 6")</f>
        <v>GREELEY 6</v>
      </c>
      <c r="C1255" s="14" t="str">
        <f>IFERROR(__xludf.DUMMYFUNCTION("""COMPUTED_VALUE"""),"00054")</f>
        <v>00054</v>
      </c>
      <c r="D1255" s="13" t="str">
        <f>IFERROR(__xludf.DUMMYFUNCTION("""COMPUTED_VALUE"""),"BELLA ROMERO ACADEMY OF APPLIED TECHNOLOGY")</f>
        <v>BELLA ROMERO ACADEMY OF APPLIED TECHNOLOGY</v>
      </c>
      <c r="E1255" s="13" t="str">
        <f>IFERROR(__xludf.DUMMYFUNCTION("""COMPUTED_VALUE"""),"Group 2")</f>
        <v>Group 2</v>
      </c>
      <c r="F1255" s="13" t="str">
        <f>IFERROR(__xludf.DUMMYFUNCTION("""COMPUTED_VALUE"""),"2024 - 2025")</f>
        <v>2024 - 2025</v>
      </c>
      <c r="G1255" s="13" t="str">
        <f>IFERROR(__xludf.DUMMYFUNCTION("""COMPUTED_VALUE"""),"2023 - 2024")</f>
        <v>2023 - 2024</v>
      </c>
      <c r="H1255" s="13">
        <f>IFERROR(__xludf.DUMMYFUNCTION("""COMPUTED_VALUE"""),99.79)</f>
        <v>99.79</v>
      </c>
      <c r="I1255" s="15">
        <f>IFERROR(__xludf.DUMMYFUNCTION("""COMPUTED_VALUE"""),0.20999999999999375)</f>
        <v>0.21</v>
      </c>
    </row>
    <row r="1256">
      <c r="A1256" s="13" t="str">
        <f>IFERROR(__xludf.DUMMYFUNCTION("""COMPUTED_VALUE"""),"3120")</f>
        <v>3120</v>
      </c>
      <c r="B1256" s="13" t="str">
        <f>IFERROR(__xludf.DUMMYFUNCTION("""COMPUTED_VALUE"""),"GREELEY 6")</f>
        <v>GREELEY 6</v>
      </c>
      <c r="C1256" s="14" t="str">
        <f>IFERROR(__xludf.DUMMYFUNCTION("""COMPUTED_VALUE"""),"05985")</f>
        <v>05985</v>
      </c>
      <c r="D1256" s="13" t="str">
        <f>IFERROR(__xludf.DUMMYFUNCTION("""COMPUTED_VALUE"""),"MONFORT ELEMENTARY SCHOOL")</f>
        <v>MONFORT ELEMENTARY SCHOOL</v>
      </c>
      <c r="E1256" s="13" t="str">
        <f>IFERROR(__xludf.DUMMYFUNCTION("""COMPUTED_VALUE"""),"Group 2")</f>
        <v>Group 2</v>
      </c>
      <c r="F1256" s="13" t="str">
        <f>IFERROR(__xludf.DUMMYFUNCTION("""COMPUTED_VALUE"""),"2024 - 2025")</f>
        <v>2024 - 2025</v>
      </c>
      <c r="G1256" s="13" t="str">
        <f>IFERROR(__xludf.DUMMYFUNCTION("""COMPUTED_VALUE"""),"2023 - 2024")</f>
        <v>2023 - 2024</v>
      </c>
      <c r="H1256" s="13">
        <f>IFERROR(__xludf.DUMMYFUNCTION("""COMPUTED_VALUE"""),99.79)</f>
        <v>99.79</v>
      </c>
      <c r="I1256" s="15">
        <f>IFERROR(__xludf.DUMMYFUNCTION("""COMPUTED_VALUE"""),0.20999999999999375)</f>
        <v>0.21</v>
      </c>
    </row>
    <row r="1257">
      <c r="A1257" s="13" t="str">
        <f>IFERROR(__xludf.DUMMYFUNCTION("""COMPUTED_VALUE"""),"3120")</f>
        <v>3120</v>
      </c>
      <c r="B1257" s="13" t="str">
        <f>IFERROR(__xludf.DUMMYFUNCTION("""COMPUTED_VALUE"""),"GREELEY 6")</f>
        <v>GREELEY 6</v>
      </c>
      <c r="C1257" s="14" t="str">
        <f>IFERROR(__xludf.DUMMYFUNCTION("""COMPUTED_VALUE"""),"05660")</f>
        <v>05660</v>
      </c>
      <c r="D1257" s="13" t="str">
        <f>IFERROR(__xludf.DUMMYFUNCTION("""COMPUTED_VALUE"""),"MCAULIFFE ELEMENTARY SCHOOL")</f>
        <v>MCAULIFFE ELEMENTARY SCHOOL</v>
      </c>
      <c r="E1257" s="13" t="str">
        <f>IFERROR(__xludf.DUMMYFUNCTION("""COMPUTED_VALUE"""),"Group 3")</f>
        <v>Group 3</v>
      </c>
      <c r="F1257" s="13" t="str">
        <f>IFERROR(__xludf.DUMMYFUNCTION("""COMPUTED_VALUE"""),"2024 - 2025")</f>
        <v>2024 - 2025</v>
      </c>
      <c r="G1257" s="13" t="str">
        <f>IFERROR(__xludf.DUMMYFUNCTION("""COMPUTED_VALUE"""),"2023 - 2024")</f>
        <v>2023 - 2024</v>
      </c>
      <c r="H1257" s="13">
        <f>IFERROR(__xludf.DUMMYFUNCTION("""COMPUTED_VALUE"""),74.38)</f>
        <v>74.38</v>
      </c>
      <c r="I1257" s="15">
        <f>IFERROR(__xludf.DUMMYFUNCTION("""COMPUTED_VALUE"""),25.620000000000005)</f>
        <v>25.62</v>
      </c>
    </row>
    <row r="1258">
      <c r="A1258" s="13" t="str">
        <f>IFERROR(__xludf.DUMMYFUNCTION("""COMPUTED_VALUE"""),"3120")</f>
        <v>3120</v>
      </c>
      <c r="B1258" s="13" t="str">
        <f>IFERROR(__xludf.DUMMYFUNCTION("""COMPUTED_VALUE"""),"GREELEY 6")</f>
        <v>GREELEY 6</v>
      </c>
      <c r="C1258" s="14" t="str">
        <f>IFERROR(__xludf.DUMMYFUNCTION("""COMPUTED_VALUE"""),"06364")</f>
        <v>06364</v>
      </c>
      <c r="D1258" s="13" t="str">
        <f>IFERROR(__xludf.DUMMYFUNCTION("""COMPUTED_VALUE"""),"NORTHRIDGE HIGH SCHOOL")</f>
        <v>NORTHRIDGE HIGH SCHOOL</v>
      </c>
      <c r="E1258" s="13" t="str">
        <f>IFERROR(__xludf.DUMMYFUNCTION("""COMPUTED_VALUE"""),"Group 3")</f>
        <v>Group 3</v>
      </c>
      <c r="F1258" s="13" t="str">
        <f>IFERROR(__xludf.DUMMYFUNCTION("""COMPUTED_VALUE"""),"2024 - 2025")</f>
        <v>2024 - 2025</v>
      </c>
      <c r="G1258" s="13" t="str">
        <f>IFERROR(__xludf.DUMMYFUNCTION("""COMPUTED_VALUE"""),"2023 - 2024")</f>
        <v>2023 - 2024</v>
      </c>
      <c r="H1258" s="13">
        <f>IFERROR(__xludf.DUMMYFUNCTION("""COMPUTED_VALUE"""),74.38)</f>
        <v>74.38</v>
      </c>
      <c r="I1258" s="15">
        <f>IFERROR(__xludf.DUMMYFUNCTION("""COMPUTED_VALUE"""),25.620000000000005)</f>
        <v>25.62</v>
      </c>
    </row>
    <row r="1259">
      <c r="A1259" s="13" t="str">
        <f>IFERROR(__xludf.DUMMYFUNCTION("""COMPUTED_VALUE"""),"3120")</f>
        <v>3120</v>
      </c>
      <c r="B1259" s="13" t="str">
        <f>IFERROR(__xludf.DUMMYFUNCTION("""COMPUTED_VALUE"""),"GREELEY 6")</f>
        <v>GREELEY 6</v>
      </c>
      <c r="C1259" s="14" t="str">
        <f>IFERROR(__xludf.DUMMYFUNCTION("""COMPUTED_VALUE"""),"01500")</f>
        <v>01500</v>
      </c>
      <c r="D1259" s="13" t="str">
        <f>IFERROR(__xludf.DUMMYFUNCTION("""COMPUTED_VALUE"""),"CHAPPELOW K-8 MAGNET SCHOOL")</f>
        <v>CHAPPELOW K-8 MAGNET SCHOOL</v>
      </c>
      <c r="E1259" s="13" t="str">
        <f>IFERROR(__xludf.DUMMYFUNCTION("""COMPUTED_VALUE"""),"Group 4")</f>
        <v>Group 4</v>
      </c>
      <c r="F1259" s="13" t="str">
        <f>IFERROR(__xludf.DUMMYFUNCTION("""COMPUTED_VALUE"""),"2024 - 2025")</f>
        <v>2024 - 2025</v>
      </c>
      <c r="G1259" s="13" t="str">
        <f>IFERROR(__xludf.DUMMYFUNCTION("""COMPUTED_VALUE"""),"2023 - 2024")</f>
        <v>2023 - 2024</v>
      </c>
      <c r="H1259" s="13">
        <f>IFERROR(__xludf.DUMMYFUNCTION("""COMPUTED_VALUE"""),74.86)</f>
        <v>74.86</v>
      </c>
      <c r="I1259" s="15">
        <f>IFERROR(__xludf.DUMMYFUNCTION("""COMPUTED_VALUE"""),25.14)</f>
        <v>25.14</v>
      </c>
    </row>
    <row r="1260">
      <c r="A1260" s="13" t="str">
        <f>IFERROR(__xludf.DUMMYFUNCTION("""COMPUTED_VALUE"""),"3120")</f>
        <v>3120</v>
      </c>
      <c r="B1260" s="13" t="str">
        <f>IFERROR(__xludf.DUMMYFUNCTION("""COMPUTED_VALUE"""),"GREELEY 6")</f>
        <v>GREELEY 6</v>
      </c>
      <c r="C1260" s="14" t="str">
        <f>IFERROR(__xludf.DUMMYFUNCTION("""COMPUTED_VALUE"""),"03610")</f>
        <v>03610</v>
      </c>
      <c r="D1260" s="13" t="str">
        <f>IFERROR(__xludf.DUMMYFUNCTION("""COMPUTED_VALUE"""),"GREELEY CENTRAL HIGH SCHOOL")</f>
        <v>GREELEY CENTRAL HIGH SCHOOL</v>
      </c>
      <c r="E1260" s="13" t="str">
        <f>IFERROR(__xludf.DUMMYFUNCTION("""COMPUTED_VALUE"""),"Group 4")</f>
        <v>Group 4</v>
      </c>
      <c r="F1260" s="13" t="str">
        <f>IFERROR(__xludf.DUMMYFUNCTION("""COMPUTED_VALUE"""),"2024 - 2025")</f>
        <v>2024 - 2025</v>
      </c>
      <c r="G1260" s="13" t="str">
        <f>IFERROR(__xludf.DUMMYFUNCTION("""COMPUTED_VALUE"""),"2023 - 2024")</f>
        <v>2023 - 2024</v>
      </c>
      <c r="H1260" s="13">
        <f>IFERROR(__xludf.DUMMYFUNCTION("""COMPUTED_VALUE"""),74.86)</f>
        <v>74.86</v>
      </c>
      <c r="I1260" s="15">
        <f>IFERROR(__xludf.DUMMYFUNCTION("""COMPUTED_VALUE"""),25.14)</f>
        <v>25.14</v>
      </c>
    </row>
    <row r="1261">
      <c r="A1261" s="13" t="str">
        <f>IFERROR(__xludf.DUMMYFUNCTION("""COMPUTED_VALUE"""),"3120")</f>
        <v>3120</v>
      </c>
      <c r="B1261" s="13" t="str">
        <f>IFERROR(__xludf.DUMMYFUNCTION("""COMPUTED_VALUE"""),"GREELEY 6")</f>
        <v>GREELEY 6</v>
      </c>
      <c r="C1261" s="14" t="str">
        <f>IFERROR(__xludf.DUMMYFUNCTION("""COMPUTED_VALUE"""),"08965")</f>
        <v>08965</v>
      </c>
      <c r="D1261" s="13" t="str">
        <f>IFERROR(__xludf.DUMMYFUNCTION("""COMPUTED_VALUE"""),"UNION COLONY PREPARATORY SCHOOL")</f>
        <v>UNION COLONY PREPARATORY SCHOOL</v>
      </c>
      <c r="E1261" s="13" t="str">
        <f>IFERROR(__xludf.DUMMYFUNCTION("""COMPUTED_VALUE"""),"Group 4")</f>
        <v>Group 4</v>
      </c>
      <c r="F1261" s="13" t="str">
        <f>IFERROR(__xludf.DUMMYFUNCTION("""COMPUTED_VALUE"""),"2024 - 2025")</f>
        <v>2024 - 2025</v>
      </c>
      <c r="G1261" s="13" t="str">
        <f>IFERROR(__xludf.DUMMYFUNCTION("""COMPUTED_VALUE"""),"2023 - 2024")</f>
        <v>2023 - 2024</v>
      </c>
      <c r="H1261" s="13">
        <f>IFERROR(__xludf.DUMMYFUNCTION("""COMPUTED_VALUE"""),74.86)</f>
        <v>74.86</v>
      </c>
      <c r="I1261" s="15">
        <f>IFERROR(__xludf.DUMMYFUNCTION("""COMPUTED_VALUE"""),25.14)</f>
        <v>25.14</v>
      </c>
    </row>
    <row r="1262">
      <c r="A1262" s="13" t="str">
        <f>IFERROR(__xludf.DUMMYFUNCTION("""COMPUTED_VALUE"""),"3120")</f>
        <v>3120</v>
      </c>
      <c r="B1262" s="13" t="str">
        <f>IFERROR(__xludf.DUMMYFUNCTION("""COMPUTED_VALUE"""),"GREELEY 6")</f>
        <v>GREELEY 6</v>
      </c>
      <c r="C1262" s="14" t="str">
        <f>IFERROR(__xludf.DUMMYFUNCTION("""COMPUTED_VALUE"""),"02657")</f>
        <v>02657</v>
      </c>
      <c r="D1262" s="13" t="str">
        <f>IFERROR(__xludf.DUMMYFUNCTION("""COMPUTED_VALUE"""),"EARLY COLLEGE ACADEMY")</f>
        <v>EARLY COLLEGE ACADEMY</v>
      </c>
      <c r="E1262" s="13" t="str">
        <f>IFERROR(__xludf.DUMMYFUNCTION("""COMPUTED_VALUE"""),"Group 4")</f>
        <v>Group 4</v>
      </c>
      <c r="F1262" s="13" t="str">
        <f>IFERROR(__xludf.DUMMYFUNCTION("""COMPUTED_VALUE"""),"2024 - 2025")</f>
        <v>2024 - 2025</v>
      </c>
      <c r="G1262" s="13" t="str">
        <f>IFERROR(__xludf.DUMMYFUNCTION("""COMPUTED_VALUE"""),"2023 - 2024")</f>
        <v>2023 - 2024</v>
      </c>
      <c r="H1262" s="13">
        <f>IFERROR(__xludf.DUMMYFUNCTION("""COMPUTED_VALUE"""),74.86)</f>
        <v>74.86</v>
      </c>
      <c r="I1262" s="15">
        <f>IFERROR(__xludf.DUMMYFUNCTION("""COMPUTED_VALUE"""),25.14)</f>
        <v>25.14</v>
      </c>
    </row>
    <row r="1263">
      <c r="A1263" s="13" t="str">
        <f>IFERROR(__xludf.DUMMYFUNCTION("""COMPUTED_VALUE"""),"3120")</f>
        <v>3120</v>
      </c>
      <c r="B1263" s="13" t="str">
        <f>IFERROR(__xludf.DUMMYFUNCTION("""COMPUTED_VALUE"""),"GREELEY 6")</f>
        <v>GREELEY 6</v>
      </c>
      <c r="C1263" s="14" t="str">
        <f>IFERROR(__xludf.DUMMYFUNCTION("""COMPUTED_VALUE"""),"03173")</f>
        <v>03173</v>
      </c>
      <c r="D1263" s="13" t="str">
        <f>IFERROR(__xludf.DUMMYFUNCTION("""COMPUTED_VALUE"""),"FRED TJARDES SCHOOL OF INNOVATION")</f>
        <v>FRED TJARDES SCHOOL OF INNOVATION</v>
      </c>
      <c r="E1263" s="13" t="str">
        <f>IFERROR(__xludf.DUMMYFUNCTION("""COMPUTED_VALUE"""),"Group 4")</f>
        <v>Group 4</v>
      </c>
      <c r="F1263" s="13" t="str">
        <f>IFERROR(__xludf.DUMMYFUNCTION("""COMPUTED_VALUE"""),"2024 - 2025")</f>
        <v>2024 - 2025</v>
      </c>
      <c r="G1263" s="13" t="str">
        <f>IFERROR(__xludf.DUMMYFUNCTION("""COMPUTED_VALUE"""),"2023 - 2024")</f>
        <v>2023 - 2024</v>
      </c>
      <c r="H1263" s="13">
        <f>IFERROR(__xludf.DUMMYFUNCTION("""COMPUTED_VALUE"""),74.86)</f>
        <v>74.86</v>
      </c>
      <c r="I1263" s="15">
        <f>IFERROR(__xludf.DUMMYFUNCTION("""COMPUTED_VALUE"""),25.14)</f>
        <v>25.14</v>
      </c>
    </row>
    <row r="1264">
      <c r="A1264" s="13" t="str">
        <f>IFERROR(__xludf.DUMMYFUNCTION("""COMPUTED_VALUE"""),"3120")</f>
        <v>3120</v>
      </c>
      <c r="B1264" s="13" t="str">
        <f>IFERROR(__xludf.DUMMYFUNCTION("""COMPUTED_VALUE"""),"GREELEY 6")</f>
        <v>GREELEY 6</v>
      </c>
      <c r="C1264" s="14" t="str">
        <f>IFERROR(__xludf.DUMMYFUNCTION("""COMPUTED_VALUE"""),"00053")</f>
        <v>00053</v>
      </c>
      <c r="D1264" s="13" t="str">
        <f>IFERROR(__xludf.DUMMYFUNCTION("""COMPUTED_VALUE"""),"WINOGRAD K-8 ELEMENTARY SCHOOL")</f>
        <v>WINOGRAD K-8 ELEMENTARY SCHOOL</v>
      </c>
      <c r="E1264" s="13" t="str">
        <f>IFERROR(__xludf.DUMMYFUNCTION("""COMPUTED_VALUE"""),"Group 5")</f>
        <v>Group 5</v>
      </c>
      <c r="F1264" s="13" t="str">
        <f>IFERROR(__xludf.DUMMYFUNCTION("""COMPUTED_VALUE"""),"2024 - 2025")</f>
        <v>2024 - 2025</v>
      </c>
      <c r="G1264" s="13" t="str">
        <f>IFERROR(__xludf.DUMMYFUNCTION("""COMPUTED_VALUE"""),"2023 - 2024")</f>
        <v>2023 - 2024</v>
      </c>
      <c r="H1264" s="13">
        <f>IFERROR(__xludf.DUMMYFUNCTION("""COMPUTED_VALUE"""),83.46)</f>
        <v>83.46</v>
      </c>
      <c r="I1264" s="15">
        <f>IFERROR(__xludf.DUMMYFUNCTION("""COMPUTED_VALUE"""),16.540000000000006)</f>
        <v>16.54</v>
      </c>
    </row>
    <row r="1265">
      <c r="A1265" s="13" t="str">
        <f>IFERROR(__xludf.DUMMYFUNCTION("""COMPUTED_VALUE"""),"3120")</f>
        <v>3120</v>
      </c>
      <c r="B1265" s="13" t="str">
        <f>IFERROR(__xludf.DUMMYFUNCTION("""COMPUTED_VALUE"""),"GREELEY 6")</f>
        <v>GREELEY 6</v>
      </c>
      <c r="C1265" s="14" t="str">
        <f>IFERROR(__xludf.DUMMYFUNCTION("""COMPUTED_VALUE"""),"00052")</f>
        <v>00052</v>
      </c>
      <c r="D1265" s="13" t="str">
        <f>IFERROR(__xludf.DUMMYFUNCTION("""COMPUTED_VALUE"""),"HEIMAN ELEMENTARY SCHOOL")</f>
        <v>HEIMAN ELEMENTARY SCHOOL</v>
      </c>
      <c r="E1265" s="13" t="str">
        <f>IFERROR(__xludf.DUMMYFUNCTION("""COMPUTED_VALUE"""),"Group 6")</f>
        <v>Group 6</v>
      </c>
      <c r="F1265" s="13" t="str">
        <f>IFERROR(__xludf.DUMMYFUNCTION("""COMPUTED_VALUE"""),"2024 - 2025")</f>
        <v>2024 - 2025</v>
      </c>
      <c r="G1265" s="13" t="str">
        <f>IFERROR(__xludf.DUMMYFUNCTION("""COMPUTED_VALUE"""),"2023 - 2024")</f>
        <v>2023 - 2024</v>
      </c>
      <c r="H1265" s="13">
        <f>IFERROR(__xludf.DUMMYFUNCTION("""COMPUTED_VALUE"""),99.89)</f>
        <v>99.89</v>
      </c>
      <c r="I1265" s="15">
        <f>IFERROR(__xludf.DUMMYFUNCTION("""COMPUTED_VALUE"""),0.10999999999999943)</f>
        <v>0.11</v>
      </c>
    </row>
    <row r="1266">
      <c r="A1266" s="13" t="str">
        <f>IFERROR(__xludf.DUMMYFUNCTION("""COMPUTED_VALUE"""),"3120")</f>
        <v>3120</v>
      </c>
      <c r="B1266" s="13" t="str">
        <f>IFERROR(__xludf.DUMMYFUNCTION("""COMPUTED_VALUE"""),"GREELEY 6")</f>
        <v>GREELEY 6</v>
      </c>
      <c r="C1266" s="14" t="str">
        <f>IFERROR(__xludf.DUMMYFUNCTION("""COMPUTED_VALUE"""),"04356")</f>
        <v>04356</v>
      </c>
      <c r="D1266" s="13" t="str">
        <f>IFERROR(__xludf.DUMMYFUNCTION("""COMPUTED_VALUE"""),"JACKSON ELEMENTARY SCHOOL")</f>
        <v>JACKSON ELEMENTARY SCHOOL</v>
      </c>
      <c r="E1266" s="13" t="str">
        <f>IFERROR(__xludf.DUMMYFUNCTION("""COMPUTED_VALUE"""),"Group 6")</f>
        <v>Group 6</v>
      </c>
      <c r="F1266" s="13" t="str">
        <f>IFERROR(__xludf.DUMMYFUNCTION("""COMPUTED_VALUE"""),"2024 - 2025")</f>
        <v>2024 - 2025</v>
      </c>
      <c r="G1266" s="13" t="str">
        <f>IFERROR(__xludf.DUMMYFUNCTION("""COMPUTED_VALUE"""),"2023 - 2024")</f>
        <v>2023 - 2024</v>
      </c>
      <c r="H1266" s="13">
        <f>IFERROR(__xludf.DUMMYFUNCTION("""COMPUTED_VALUE"""),99.89)</f>
        <v>99.89</v>
      </c>
      <c r="I1266" s="15">
        <f>IFERROR(__xludf.DUMMYFUNCTION("""COMPUTED_VALUE"""),0.10999999999999943)</f>
        <v>0.11</v>
      </c>
    </row>
    <row r="1267">
      <c r="A1267" s="13" t="str">
        <f>IFERROR(__xludf.DUMMYFUNCTION("""COMPUTED_VALUE"""),"3120")</f>
        <v>3120</v>
      </c>
      <c r="B1267" s="13" t="str">
        <f>IFERROR(__xludf.DUMMYFUNCTION("""COMPUTED_VALUE"""),"GREELEY 6")</f>
        <v>GREELEY 6</v>
      </c>
      <c r="C1267" s="14" t="str">
        <f>IFERROR(__xludf.DUMMYFUNCTION("""COMPUTED_VALUE"""),"06774")</f>
        <v>06774</v>
      </c>
      <c r="D1267" s="13" t="str">
        <f>IFERROR(__xludf.DUMMYFUNCTION("""COMPUTED_VALUE"""),"MARTINEZ ELEMENTARY SCHOOL")</f>
        <v>MARTINEZ ELEMENTARY SCHOOL</v>
      </c>
      <c r="E1267" s="13" t="str">
        <f>IFERROR(__xludf.DUMMYFUNCTION("""COMPUTED_VALUE"""),"Group 6")</f>
        <v>Group 6</v>
      </c>
      <c r="F1267" s="13" t="str">
        <f>IFERROR(__xludf.DUMMYFUNCTION("""COMPUTED_VALUE"""),"2024 - 2025")</f>
        <v>2024 - 2025</v>
      </c>
      <c r="G1267" s="13" t="str">
        <f>IFERROR(__xludf.DUMMYFUNCTION("""COMPUTED_VALUE"""),"2023 - 2024")</f>
        <v>2023 - 2024</v>
      </c>
      <c r="H1267" s="13">
        <f>IFERROR(__xludf.DUMMYFUNCTION("""COMPUTED_VALUE"""),99.89)</f>
        <v>99.89</v>
      </c>
      <c r="I1267" s="15">
        <f>IFERROR(__xludf.DUMMYFUNCTION("""COMPUTED_VALUE"""),0.10999999999999943)</f>
        <v>0.11</v>
      </c>
    </row>
    <row r="1268">
      <c r="A1268" s="13" t="str">
        <f>IFERROR(__xludf.DUMMYFUNCTION("""COMPUTED_VALUE"""),"3120")</f>
        <v>3120</v>
      </c>
      <c r="B1268" s="13" t="str">
        <f>IFERROR(__xludf.DUMMYFUNCTION("""COMPUTED_VALUE"""),"GREELEY 6")</f>
        <v>GREELEY 6</v>
      </c>
      <c r="C1268" s="14" t="str">
        <f>IFERROR(__xludf.DUMMYFUNCTION("""COMPUTED_VALUE"""),"02222")</f>
        <v>02222</v>
      </c>
      <c r="D1268" s="13" t="str">
        <f>IFERROR(__xludf.DUMMYFUNCTION("""COMPUTED_VALUE"""),"DOS RIOS ELEMENTARY SCHOOL")</f>
        <v>DOS RIOS ELEMENTARY SCHOOL</v>
      </c>
      <c r="E1268" s="13" t="str">
        <f>IFERROR(__xludf.DUMMYFUNCTION("""COMPUTED_VALUE"""),"Group 7")</f>
        <v>Group 7</v>
      </c>
      <c r="F1268" s="13" t="str">
        <f>IFERROR(__xludf.DUMMYFUNCTION("""COMPUTED_VALUE"""),"2024 - 2025")</f>
        <v>2024 - 2025</v>
      </c>
      <c r="G1268" s="13" t="str">
        <f>IFERROR(__xludf.DUMMYFUNCTION("""COMPUTED_VALUE"""),"2023 - 2024")</f>
        <v>2023 - 2024</v>
      </c>
      <c r="H1268" s="13">
        <f>IFERROR(__xludf.DUMMYFUNCTION("""COMPUTED_VALUE"""),99.73)</f>
        <v>99.73</v>
      </c>
      <c r="I1268" s="15">
        <f>IFERROR(__xludf.DUMMYFUNCTION("""COMPUTED_VALUE"""),0.269999999999996)</f>
        <v>0.27</v>
      </c>
    </row>
    <row r="1269">
      <c r="A1269" s="13" t="str">
        <f>IFERROR(__xludf.DUMMYFUNCTION("""COMPUTED_VALUE"""),"3120")</f>
        <v>3120</v>
      </c>
      <c r="B1269" s="13" t="str">
        <f>IFERROR(__xludf.DUMMYFUNCTION("""COMPUTED_VALUE"""),"GREELEY 6")</f>
        <v>GREELEY 6</v>
      </c>
      <c r="C1269" s="14" t="str">
        <f>IFERROR(__xludf.DUMMYFUNCTION("""COMPUTED_VALUE"""),"03880")</f>
        <v>03880</v>
      </c>
      <c r="D1269" s="13" t="str">
        <f>IFERROR(__xludf.DUMMYFUNCTION("""COMPUTED_VALUE"""),"HEATH MIDDLE SCHOOL")</f>
        <v>HEATH MIDDLE SCHOOL</v>
      </c>
      <c r="E1269" s="13" t="str">
        <f>IFERROR(__xludf.DUMMYFUNCTION("""COMPUTED_VALUE"""),"Group 7")</f>
        <v>Group 7</v>
      </c>
      <c r="F1269" s="13" t="str">
        <f>IFERROR(__xludf.DUMMYFUNCTION("""COMPUTED_VALUE"""),"2024 - 2025")</f>
        <v>2024 - 2025</v>
      </c>
      <c r="G1269" s="13" t="str">
        <f>IFERROR(__xludf.DUMMYFUNCTION("""COMPUTED_VALUE"""),"2023 - 2024")</f>
        <v>2023 - 2024</v>
      </c>
      <c r="H1269" s="13">
        <f>IFERROR(__xludf.DUMMYFUNCTION("""COMPUTED_VALUE"""),99.73)</f>
        <v>99.73</v>
      </c>
      <c r="I1269" s="15">
        <f>IFERROR(__xludf.DUMMYFUNCTION("""COMPUTED_VALUE"""),0.269999999999996)</f>
        <v>0.27</v>
      </c>
    </row>
    <row r="1270">
      <c r="A1270" s="13" t="str">
        <f>IFERROR(__xludf.DUMMYFUNCTION("""COMPUTED_VALUE"""),"3120")</f>
        <v>3120</v>
      </c>
      <c r="B1270" s="13" t="str">
        <f>IFERROR(__xludf.DUMMYFUNCTION("""COMPUTED_VALUE"""),"GREELEY 6")</f>
        <v>GREELEY 6</v>
      </c>
      <c r="C1270" s="14" t="str">
        <f>IFERROR(__xludf.DUMMYFUNCTION("""COMPUTED_VALUE"""),"03614")</f>
        <v>03614</v>
      </c>
      <c r="D1270" s="13" t="str">
        <f>IFERROR(__xludf.DUMMYFUNCTION("""COMPUTED_VALUE"""),"GREELEY WEST HIGH SCHOOL")</f>
        <v>GREELEY WEST HIGH SCHOOL</v>
      </c>
      <c r="E1270" s="13" t="str">
        <f>IFERROR(__xludf.DUMMYFUNCTION("""COMPUTED_VALUE"""),"Group 8")</f>
        <v>Group 8</v>
      </c>
      <c r="F1270" s="13" t="str">
        <f>IFERROR(__xludf.DUMMYFUNCTION("""COMPUTED_VALUE"""),"2024 - 2025")</f>
        <v>2024 - 2025</v>
      </c>
      <c r="G1270" s="13" t="str">
        <f>IFERROR(__xludf.DUMMYFUNCTION("""COMPUTED_VALUE"""),"2023 - 2024")</f>
        <v>2023 - 2024</v>
      </c>
      <c r="H1270" s="13">
        <f>IFERROR(__xludf.DUMMYFUNCTION("""COMPUTED_VALUE"""),72.96)</f>
        <v>72.96</v>
      </c>
      <c r="I1270" s="15">
        <f>IFERROR(__xludf.DUMMYFUNCTION("""COMPUTED_VALUE"""),27.040000000000006)</f>
        <v>27.04</v>
      </c>
    </row>
    <row r="1271">
      <c r="A1271" s="13" t="str">
        <f>IFERROR(__xludf.DUMMYFUNCTION("""COMPUTED_VALUE"""),"3120")</f>
        <v>3120</v>
      </c>
      <c r="B1271" s="13" t="str">
        <f>IFERROR(__xludf.DUMMYFUNCTION("""COMPUTED_VALUE"""),"GREELEY 6")</f>
        <v>GREELEY 6</v>
      </c>
      <c r="C1271" s="14" t="str">
        <f>IFERROR(__xludf.DUMMYFUNCTION("""COMPUTED_VALUE"""),"09611")</f>
        <v>09611</v>
      </c>
      <c r="D1271" s="13" t="str">
        <f>IFERROR(__xludf.DUMMYFUNCTION("""COMPUTED_VALUE"""),"WEST RIDGE ACADEMY")</f>
        <v>WEST RIDGE ACADEMY</v>
      </c>
      <c r="E1271" s="13" t="str">
        <f>IFERROR(__xludf.DUMMYFUNCTION("""COMPUTED_VALUE"""),"Group 8")</f>
        <v>Group 8</v>
      </c>
      <c r="F1271" s="13" t="str">
        <f>IFERROR(__xludf.DUMMYFUNCTION("""COMPUTED_VALUE"""),"2024 - 2025")</f>
        <v>2024 - 2025</v>
      </c>
      <c r="G1271" s="13" t="str">
        <f>IFERROR(__xludf.DUMMYFUNCTION("""COMPUTED_VALUE"""),"2023 - 2024")</f>
        <v>2023 - 2024</v>
      </c>
      <c r="H1271" s="13">
        <f>IFERROR(__xludf.DUMMYFUNCTION("""COMPUTED_VALUE"""),72.96)</f>
        <v>72.96</v>
      </c>
      <c r="I1271" s="15">
        <f>IFERROR(__xludf.DUMMYFUNCTION("""COMPUTED_VALUE"""),27.040000000000006)</f>
        <v>27.04</v>
      </c>
    </row>
    <row r="1272">
      <c r="A1272" s="13" t="str">
        <f>IFERROR(__xludf.DUMMYFUNCTION("""COMPUTED_VALUE"""),"3120")</f>
        <v>3120</v>
      </c>
      <c r="B1272" s="13" t="str">
        <f>IFERROR(__xludf.DUMMYFUNCTION("""COMPUTED_VALUE"""),"GREELEY 6")</f>
        <v>GREELEY 6</v>
      </c>
      <c r="C1272" s="14" t="str">
        <f>IFERROR(__xludf.DUMMYFUNCTION("""COMPUTED_VALUE"""),"00988")</f>
        <v>00988</v>
      </c>
      <c r="D1272" s="13" t="str">
        <f>IFERROR(__xludf.DUMMYFUNCTION("""COMPUTED_VALUE"""),"BRENTWOOD MIDDLE SCHOOL")</f>
        <v>BRENTWOOD MIDDLE SCHOOL</v>
      </c>
      <c r="E1272" s="13" t="str">
        <f>IFERROR(__xludf.DUMMYFUNCTION("""COMPUTED_VALUE"""),"Group 9")</f>
        <v>Group 9</v>
      </c>
      <c r="F1272" s="13" t="str">
        <f>IFERROR(__xludf.DUMMYFUNCTION("""COMPUTED_VALUE"""),"2024 - 2025")</f>
        <v>2024 - 2025</v>
      </c>
      <c r="G1272" s="13" t="str">
        <f>IFERROR(__xludf.DUMMYFUNCTION("""COMPUTED_VALUE"""),"2023 - 2024")</f>
        <v>2023 - 2024</v>
      </c>
      <c r="H1272" s="13">
        <f>IFERROR(__xludf.DUMMYFUNCTION("""COMPUTED_VALUE"""),99.92)</f>
        <v>99.92</v>
      </c>
      <c r="I1272" s="15">
        <f>IFERROR(__xludf.DUMMYFUNCTION("""COMPUTED_VALUE"""),0.0799999999999983)</f>
        <v>0.08</v>
      </c>
    </row>
    <row r="1273">
      <c r="A1273" s="13" t="str">
        <f>IFERROR(__xludf.DUMMYFUNCTION("""COMPUTED_VALUE"""),"3120")</f>
        <v>3120</v>
      </c>
      <c r="B1273" s="13" t="str">
        <f>IFERROR(__xludf.DUMMYFUNCTION("""COMPUTED_VALUE"""),"GREELEY 6")</f>
        <v>GREELEY 6</v>
      </c>
      <c r="C1273" s="14" t="str">
        <f>IFERROR(__xludf.DUMMYFUNCTION("""COMPUTED_VALUE"""),"01384")</f>
        <v>01384</v>
      </c>
      <c r="D1273" s="13" t="str">
        <f>IFERROR(__xludf.DUMMYFUNCTION("""COMPUTED_VALUE"""),"CENTENNIAL ELEMENTARY SCHOOL")</f>
        <v>CENTENNIAL ELEMENTARY SCHOOL</v>
      </c>
      <c r="E1273" s="13" t="str">
        <f>IFERROR(__xludf.DUMMYFUNCTION("""COMPUTED_VALUE"""),"Group 9")</f>
        <v>Group 9</v>
      </c>
      <c r="F1273" s="13" t="str">
        <f>IFERROR(__xludf.DUMMYFUNCTION("""COMPUTED_VALUE"""),"2024 - 2025")</f>
        <v>2024 - 2025</v>
      </c>
      <c r="G1273" s="13" t="str">
        <f>IFERROR(__xludf.DUMMYFUNCTION("""COMPUTED_VALUE"""),"2023 - 2024")</f>
        <v>2023 - 2024</v>
      </c>
      <c r="H1273" s="13">
        <f>IFERROR(__xludf.DUMMYFUNCTION("""COMPUTED_VALUE"""),99.92)</f>
        <v>99.92</v>
      </c>
      <c r="I1273" s="15">
        <f>IFERROR(__xludf.DUMMYFUNCTION("""COMPUTED_VALUE"""),0.0799999999999983)</f>
        <v>0.08</v>
      </c>
    </row>
    <row r="1274">
      <c r="A1274" s="13" t="str">
        <f>IFERROR(__xludf.DUMMYFUNCTION("""COMPUTED_VALUE"""),"3120")</f>
        <v>3120</v>
      </c>
      <c r="B1274" s="13" t="str">
        <f>IFERROR(__xludf.DUMMYFUNCTION("""COMPUTED_VALUE"""),"GREELEY 6")</f>
        <v>GREELEY 6</v>
      </c>
      <c r="C1274" s="14" t="str">
        <f>IFERROR(__xludf.DUMMYFUNCTION("""COMPUTED_VALUE"""),"03162")</f>
        <v>03162</v>
      </c>
      <c r="D1274" s="13" t="str">
        <f>IFERROR(__xludf.DUMMYFUNCTION("""COMPUTED_VALUE"""),"FRANKLIN MIDDLE SCHOOL")</f>
        <v>FRANKLIN MIDDLE SCHOOL</v>
      </c>
      <c r="E1274" s="13" t="str">
        <f>IFERROR(__xludf.DUMMYFUNCTION("""COMPUTED_VALUE"""),"Group 9")</f>
        <v>Group 9</v>
      </c>
      <c r="F1274" s="13" t="str">
        <f>IFERROR(__xludf.DUMMYFUNCTION("""COMPUTED_VALUE"""),"2024 - 2025")</f>
        <v>2024 - 2025</v>
      </c>
      <c r="G1274" s="13" t="str">
        <f>IFERROR(__xludf.DUMMYFUNCTION("""COMPUTED_VALUE"""),"2023 - 2024")</f>
        <v>2023 - 2024</v>
      </c>
      <c r="H1274" s="13">
        <f>IFERROR(__xludf.DUMMYFUNCTION("""COMPUTED_VALUE"""),99.92)</f>
        <v>99.92</v>
      </c>
      <c r="I1274" s="15">
        <f>IFERROR(__xludf.DUMMYFUNCTION("""COMPUTED_VALUE"""),0.0799999999999983)</f>
        <v>0.08</v>
      </c>
    </row>
    <row r="1275">
      <c r="A1275" s="13" t="str">
        <f>IFERROR(__xludf.DUMMYFUNCTION("""COMPUTED_VALUE"""),"3120")</f>
        <v>3120</v>
      </c>
      <c r="B1275" s="13" t="str">
        <f>IFERROR(__xludf.DUMMYFUNCTION("""COMPUTED_VALUE"""),"GREELEY 6")</f>
        <v>GREELEY 6</v>
      </c>
      <c r="C1275" s="14" t="str">
        <f>IFERROR(__xludf.DUMMYFUNCTION("""COMPUTED_VALUE"""),"04425")</f>
        <v>04425</v>
      </c>
      <c r="D1275" s="13" t="str">
        <f>IFERROR(__xludf.DUMMYFUNCTION("""COMPUTED_VALUE"""),"JEFFERSON JUNIOR/SENIOR HIGH")</f>
        <v>JEFFERSON JUNIOR/SENIOR HIGH</v>
      </c>
      <c r="E1275" s="13" t="str">
        <f>IFERROR(__xludf.DUMMYFUNCTION("""COMPUTED_VALUE"""),"Group 9")</f>
        <v>Group 9</v>
      </c>
      <c r="F1275" s="13" t="str">
        <f>IFERROR(__xludf.DUMMYFUNCTION("""COMPUTED_VALUE"""),"2024 - 2025")</f>
        <v>2024 - 2025</v>
      </c>
      <c r="G1275" s="13" t="str">
        <f>IFERROR(__xludf.DUMMYFUNCTION("""COMPUTED_VALUE"""),"2023 - 2024")</f>
        <v>2023 - 2024</v>
      </c>
      <c r="H1275" s="13">
        <f>IFERROR(__xludf.DUMMYFUNCTION("""COMPUTED_VALUE"""),99.92)</f>
        <v>99.92</v>
      </c>
      <c r="I1275" s="15">
        <f>IFERROR(__xludf.DUMMYFUNCTION("""COMPUTED_VALUE"""),0.0799999999999983)</f>
        <v>0.08</v>
      </c>
    </row>
    <row r="1276">
      <c r="A1276" s="13" t="str">
        <f>IFERROR(__xludf.DUMMYFUNCTION("""COMPUTED_VALUE"""),"3120")</f>
        <v>3120</v>
      </c>
      <c r="B1276" s="13" t="str">
        <f>IFERROR(__xludf.DUMMYFUNCTION("""COMPUTED_VALUE"""),"GREELEY 6")</f>
        <v>GREELEY 6</v>
      </c>
      <c r="C1276" s="14" t="str">
        <f>IFERROR(__xludf.DUMMYFUNCTION("""COMPUTED_VALUE"""),"04438")</f>
        <v>04438</v>
      </c>
      <c r="D1276" s="13" t="str">
        <f>IFERROR(__xludf.DUMMYFUNCTION("""COMPUTED_VALUE"""),"PRAIRIE HEIGHTS MIDDLE SCHOOL")</f>
        <v>PRAIRIE HEIGHTS MIDDLE SCHOOL</v>
      </c>
      <c r="E1276" s="13" t="str">
        <f>IFERROR(__xludf.DUMMYFUNCTION("""COMPUTED_VALUE"""),"Group 9")</f>
        <v>Group 9</v>
      </c>
      <c r="F1276" s="13" t="str">
        <f>IFERROR(__xludf.DUMMYFUNCTION("""COMPUTED_VALUE"""),"2024 - 2025")</f>
        <v>2024 - 2025</v>
      </c>
      <c r="G1276" s="13" t="str">
        <f>IFERROR(__xludf.DUMMYFUNCTION("""COMPUTED_VALUE"""),"2023 - 2024")</f>
        <v>2023 - 2024</v>
      </c>
      <c r="H1276" s="13">
        <f>IFERROR(__xludf.DUMMYFUNCTION("""COMPUTED_VALUE"""),99.92)</f>
        <v>99.92</v>
      </c>
      <c r="I1276" s="15">
        <f>IFERROR(__xludf.DUMMYFUNCTION("""COMPUTED_VALUE"""),0.0799999999999983)</f>
        <v>0.08</v>
      </c>
    </row>
    <row r="1277">
      <c r="A1277" s="13" t="str">
        <f>IFERROR(__xludf.DUMMYFUNCTION("""COMPUTED_VALUE"""),"3120")</f>
        <v>3120</v>
      </c>
      <c r="B1277" s="13" t="str">
        <f>IFERROR(__xludf.DUMMYFUNCTION("""COMPUTED_VALUE"""),"GREELEY 6")</f>
        <v>GREELEY 6</v>
      </c>
      <c r="C1277" s="14" t="str">
        <f>IFERROR(__xludf.DUMMYFUNCTION("""COMPUTED_VALUE"""),"05412")</f>
        <v>05412</v>
      </c>
      <c r="D1277" s="13" t="str">
        <f>IFERROR(__xludf.DUMMYFUNCTION("""COMPUTED_VALUE"""),"MADISON ELEMENTARY SCHOOL")</f>
        <v>MADISON ELEMENTARY SCHOOL</v>
      </c>
      <c r="E1277" s="13" t="str">
        <f>IFERROR(__xludf.DUMMYFUNCTION("""COMPUTED_VALUE"""),"Group 9")</f>
        <v>Group 9</v>
      </c>
      <c r="F1277" s="13" t="str">
        <f>IFERROR(__xludf.DUMMYFUNCTION("""COMPUTED_VALUE"""),"2024 - 2025")</f>
        <v>2024 - 2025</v>
      </c>
      <c r="G1277" s="13" t="str">
        <f>IFERROR(__xludf.DUMMYFUNCTION("""COMPUTED_VALUE"""),"2023 - 2024")</f>
        <v>2023 - 2024</v>
      </c>
      <c r="H1277" s="13">
        <f>IFERROR(__xludf.DUMMYFUNCTION("""COMPUTED_VALUE"""),99.92)</f>
        <v>99.92</v>
      </c>
      <c r="I1277" s="15">
        <f>IFERROR(__xludf.DUMMYFUNCTION("""COMPUTED_VALUE"""),0.0799999999999983)</f>
        <v>0.08</v>
      </c>
    </row>
    <row r="1278">
      <c r="A1278" s="13" t="str">
        <f>IFERROR(__xludf.DUMMYFUNCTION("""COMPUTED_VALUE"""),"3120")</f>
        <v>3120</v>
      </c>
      <c r="B1278" s="13" t="str">
        <f>IFERROR(__xludf.DUMMYFUNCTION("""COMPUTED_VALUE"""),"GREELEY 6")</f>
        <v>GREELEY 6</v>
      </c>
      <c r="C1278" s="14" t="str">
        <f>IFERROR(__xludf.DUMMYFUNCTION("""COMPUTED_VALUE"""),"05620")</f>
        <v>05620</v>
      </c>
      <c r="D1278" s="13" t="str">
        <f>IFERROR(__xludf.DUMMYFUNCTION("""COMPUTED_VALUE"""),"MAPLEWOOD ELEMENTARY")</f>
        <v>MAPLEWOOD ELEMENTARY</v>
      </c>
      <c r="E1278" s="13" t="str">
        <f>IFERROR(__xludf.DUMMYFUNCTION("""COMPUTED_VALUE"""),"Group 9")</f>
        <v>Group 9</v>
      </c>
      <c r="F1278" s="13" t="str">
        <f>IFERROR(__xludf.DUMMYFUNCTION("""COMPUTED_VALUE"""),"2024 - 2025")</f>
        <v>2024 - 2025</v>
      </c>
      <c r="G1278" s="13" t="str">
        <f>IFERROR(__xludf.DUMMYFUNCTION("""COMPUTED_VALUE"""),"2023 - 2024")</f>
        <v>2023 - 2024</v>
      </c>
      <c r="H1278" s="13">
        <f>IFERROR(__xludf.DUMMYFUNCTION("""COMPUTED_VALUE"""),99.92)</f>
        <v>99.92</v>
      </c>
      <c r="I1278" s="15">
        <f>IFERROR(__xludf.DUMMYFUNCTION("""COMPUTED_VALUE"""),0.0799999999999983)</f>
        <v>0.08</v>
      </c>
    </row>
    <row r="1279">
      <c r="A1279" s="13" t="str">
        <f>IFERROR(__xludf.DUMMYFUNCTION("""COMPUTED_VALUE"""),"3120")</f>
        <v>3120</v>
      </c>
      <c r="B1279" s="13" t="str">
        <f>IFERROR(__xludf.DUMMYFUNCTION("""COMPUTED_VALUE"""),"GREELEY 6")</f>
        <v>GREELEY 6</v>
      </c>
      <c r="C1279" s="14" t="str">
        <f>IFERROR(__xludf.DUMMYFUNCTION("""COMPUTED_VALUE"""),"05752")</f>
        <v>05752</v>
      </c>
      <c r="D1279" s="13" t="str">
        <f>IFERROR(__xludf.DUMMYFUNCTION("""COMPUTED_VALUE"""),"MEEKER ELEMENTARY SCHOOL")</f>
        <v>MEEKER ELEMENTARY SCHOOL</v>
      </c>
      <c r="E1279" s="13" t="str">
        <f>IFERROR(__xludf.DUMMYFUNCTION("""COMPUTED_VALUE"""),"Group 9")</f>
        <v>Group 9</v>
      </c>
      <c r="F1279" s="13" t="str">
        <f>IFERROR(__xludf.DUMMYFUNCTION("""COMPUTED_VALUE"""),"2024 - 2025")</f>
        <v>2024 - 2025</v>
      </c>
      <c r="G1279" s="13" t="str">
        <f>IFERROR(__xludf.DUMMYFUNCTION("""COMPUTED_VALUE"""),"2023 - 2024")</f>
        <v>2023 - 2024</v>
      </c>
      <c r="H1279" s="13">
        <f>IFERROR(__xludf.DUMMYFUNCTION("""COMPUTED_VALUE"""),99.92)</f>
        <v>99.92</v>
      </c>
      <c r="I1279" s="15">
        <f>IFERROR(__xludf.DUMMYFUNCTION("""COMPUTED_VALUE"""),0.0799999999999983)</f>
        <v>0.08</v>
      </c>
    </row>
    <row r="1280">
      <c r="A1280" s="13" t="str">
        <f>IFERROR(__xludf.DUMMYFUNCTION("""COMPUTED_VALUE"""),"3120")</f>
        <v>3120</v>
      </c>
      <c r="B1280" s="13" t="str">
        <f>IFERROR(__xludf.DUMMYFUNCTION("""COMPUTED_VALUE"""),"GREELEY 6")</f>
        <v>GREELEY 6</v>
      </c>
      <c r="C1280" s="14" t="str">
        <f>IFERROR(__xludf.DUMMYFUNCTION("""COMPUTED_VALUE"""),"07700")</f>
        <v>07700</v>
      </c>
      <c r="D1280" s="13" t="str">
        <f>IFERROR(__xludf.DUMMYFUNCTION("""COMPUTED_VALUE"""),"SCOTT ELEMENTARY SCHOOL")</f>
        <v>SCOTT ELEMENTARY SCHOOL</v>
      </c>
      <c r="E1280" s="13" t="str">
        <f>IFERROR(__xludf.DUMMYFUNCTION("""COMPUTED_VALUE"""),"Group 9")</f>
        <v>Group 9</v>
      </c>
      <c r="F1280" s="13" t="str">
        <f>IFERROR(__xludf.DUMMYFUNCTION("""COMPUTED_VALUE"""),"2024 - 2025")</f>
        <v>2024 - 2025</v>
      </c>
      <c r="G1280" s="13" t="str">
        <f>IFERROR(__xludf.DUMMYFUNCTION("""COMPUTED_VALUE"""),"2023 - 2024")</f>
        <v>2023 - 2024</v>
      </c>
      <c r="H1280" s="13">
        <f>IFERROR(__xludf.DUMMYFUNCTION("""COMPUTED_VALUE"""),99.92)</f>
        <v>99.92</v>
      </c>
      <c r="I1280" s="15">
        <f>IFERROR(__xludf.DUMMYFUNCTION("""COMPUTED_VALUE"""),0.0799999999999983)</f>
        <v>0.08</v>
      </c>
    </row>
    <row r="1281">
      <c r="A1281" s="13" t="str">
        <f>IFERROR(__xludf.DUMMYFUNCTION("""COMPUTED_VALUE"""),"3120")</f>
        <v>3120</v>
      </c>
      <c r="B1281" s="13" t="str">
        <f>IFERROR(__xludf.DUMMYFUNCTION("""COMPUTED_VALUE"""),"GREELEY 6")</f>
        <v>GREELEY 6</v>
      </c>
      <c r="C1281" s="14" t="str">
        <f>IFERROR(__xludf.DUMMYFUNCTION("""COMPUTED_VALUE"""),"07814")</f>
        <v>07814</v>
      </c>
      <c r="D1281" s="13" t="str">
        <f>IFERROR(__xludf.DUMMYFUNCTION("""COMPUTED_VALUE"""),"SHAWSHEEN ELEMENTARY SCHOOL")</f>
        <v>SHAWSHEEN ELEMENTARY SCHOOL</v>
      </c>
      <c r="E1281" s="13" t="str">
        <f>IFERROR(__xludf.DUMMYFUNCTION("""COMPUTED_VALUE"""),"Group 9")</f>
        <v>Group 9</v>
      </c>
      <c r="F1281" s="13" t="str">
        <f>IFERROR(__xludf.DUMMYFUNCTION("""COMPUTED_VALUE"""),"2024 - 2025")</f>
        <v>2024 - 2025</v>
      </c>
      <c r="G1281" s="13" t="str">
        <f>IFERROR(__xludf.DUMMYFUNCTION("""COMPUTED_VALUE"""),"2023 - 2024")</f>
        <v>2023 - 2024</v>
      </c>
      <c r="H1281" s="13">
        <f>IFERROR(__xludf.DUMMYFUNCTION("""COMPUTED_VALUE"""),99.92)</f>
        <v>99.92</v>
      </c>
      <c r="I1281" s="15">
        <f>IFERROR(__xludf.DUMMYFUNCTION("""COMPUTED_VALUE"""),0.0799999999999983)</f>
        <v>0.08</v>
      </c>
    </row>
    <row r="1282">
      <c r="A1282" s="13" t="str">
        <f>IFERROR(__xludf.DUMMYFUNCTION("""COMPUTED_VALUE"""),"3120")</f>
        <v>3120</v>
      </c>
      <c r="B1282" s="13" t="str">
        <f>IFERROR(__xludf.DUMMYFUNCTION("""COMPUTED_VALUE"""),"GREELEY 6")</f>
        <v>GREELEY 6</v>
      </c>
      <c r="C1282" s="14" t="str">
        <f>IFERROR(__xludf.DUMMYFUNCTION("""COMPUTED_VALUE"""),"08975")</f>
        <v>08975</v>
      </c>
      <c r="D1282" s="13" t="str">
        <f>IFERROR(__xludf.DUMMYFUNCTION("""COMPUTED_VALUE"""),"UNION COLONY ELEMENTARY SCHOOL")</f>
        <v>UNION COLONY ELEMENTARY SCHOOL</v>
      </c>
      <c r="E1282" s="13" t="str">
        <f>IFERROR(__xludf.DUMMYFUNCTION("""COMPUTED_VALUE"""),"Group 9")</f>
        <v>Group 9</v>
      </c>
      <c r="F1282" s="13" t="str">
        <f>IFERROR(__xludf.DUMMYFUNCTION("""COMPUTED_VALUE"""),"2024 - 2025")</f>
        <v>2024 - 2025</v>
      </c>
      <c r="G1282" s="13" t="str">
        <f>IFERROR(__xludf.DUMMYFUNCTION("""COMPUTED_VALUE"""),"2023 - 2024")</f>
        <v>2023 - 2024</v>
      </c>
      <c r="H1282" s="13">
        <f>IFERROR(__xludf.DUMMYFUNCTION("""COMPUTED_VALUE"""),99.92)</f>
        <v>99.92</v>
      </c>
      <c r="I1282" s="15">
        <f>IFERROR(__xludf.DUMMYFUNCTION("""COMPUTED_VALUE"""),0.0799999999999983)</f>
        <v>0.08</v>
      </c>
    </row>
    <row r="1283">
      <c r="A1283" s="13" t="str">
        <f>IFERROR(__xludf.DUMMYFUNCTION("""COMPUTED_VALUE"""),"3120")</f>
        <v>3120</v>
      </c>
      <c r="B1283" s="13" t="str">
        <f>IFERROR(__xludf.DUMMYFUNCTION("""COMPUTED_VALUE"""),"GREELEY 6")</f>
        <v>GREELEY 6</v>
      </c>
      <c r="C1283" s="14" t="str">
        <f>IFERROR(__xludf.DUMMYFUNCTION("""COMPUTED_VALUE"""),"08467")</f>
        <v>08467</v>
      </c>
      <c r="D1283" s="13" t="str">
        <f>IFERROR(__xludf.DUMMYFUNCTION("""COMPUTED_VALUE"""),"SALIDA DEL SOL ACADEMY")</f>
        <v>SALIDA DEL SOL ACADEMY</v>
      </c>
      <c r="E1283" s="13" t="str">
        <f>IFERROR(__xludf.DUMMYFUNCTION("""COMPUTED_VALUE"""),"Group 9")</f>
        <v>Group 9</v>
      </c>
      <c r="F1283" s="13" t="str">
        <f>IFERROR(__xludf.DUMMYFUNCTION("""COMPUTED_VALUE"""),"2024 - 2025")</f>
        <v>2024 - 2025</v>
      </c>
      <c r="G1283" s="13" t="str">
        <f>IFERROR(__xludf.DUMMYFUNCTION("""COMPUTED_VALUE"""),"2023 - 2024")</f>
        <v>2023 - 2024</v>
      </c>
      <c r="H1283" s="13">
        <f>IFERROR(__xludf.DUMMYFUNCTION("""COMPUTED_VALUE"""),99.92)</f>
        <v>99.92</v>
      </c>
      <c r="I1283" s="15">
        <f>IFERROR(__xludf.DUMMYFUNCTION("""COMPUTED_VALUE"""),0.0799999999999983)</f>
        <v>0.08</v>
      </c>
    </row>
    <row r="1284">
      <c r="A1284" s="13" t="str">
        <f>IFERROR(__xludf.DUMMYFUNCTION("""COMPUTED_VALUE"""),"3120")</f>
        <v>3120</v>
      </c>
      <c r="B1284" s="13" t="str">
        <f>IFERROR(__xludf.DUMMYFUNCTION("""COMPUTED_VALUE"""),"GREELEY 6")</f>
        <v>GREELEY 6</v>
      </c>
      <c r="C1284" s="14" t="str">
        <f>IFERROR(__xludf.DUMMYFUNCTION("""COMPUTED_VALUE"""),"06248")</f>
        <v>06248</v>
      </c>
      <c r="D1284" s="13" t="str">
        <f>IFERROR(__xludf.DUMMYFUNCTION("""COMPUTED_VALUE"""),"Tointon Academy of Pre-Engineering")</f>
        <v>Tointon Academy of Pre-Engineering</v>
      </c>
      <c r="E1284" s="13" t="str">
        <f>IFERROR(__xludf.DUMMYFUNCTION("""COMPUTED_VALUE"""),"Group 9")</f>
        <v>Group 9</v>
      </c>
      <c r="F1284" s="13" t="str">
        <f>IFERROR(__xludf.DUMMYFUNCTION("""COMPUTED_VALUE"""),"2024 - 2025")</f>
        <v>2024 - 2025</v>
      </c>
      <c r="G1284" s="13" t="str">
        <f>IFERROR(__xludf.DUMMYFUNCTION("""COMPUTED_VALUE"""),"2023 - 2024")</f>
        <v>2023 - 2024</v>
      </c>
      <c r="H1284" s="13">
        <f>IFERROR(__xludf.DUMMYFUNCTION("""COMPUTED_VALUE"""),99.92)</f>
        <v>99.92</v>
      </c>
      <c r="I1284" s="15">
        <f>IFERROR(__xludf.DUMMYFUNCTION("""COMPUTED_VALUE"""),0.0799999999999983)</f>
        <v>0.08</v>
      </c>
    </row>
    <row r="1285">
      <c r="A1285" s="13" t="str">
        <f>IFERROR(__xludf.DUMMYFUNCTION("""COMPUTED_VALUE"""),"3130")</f>
        <v>3130</v>
      </c>
      <c r="B1285" s="13" t="str">
        <f>IFERROR(__xludf.DUMMYFUNCTION("""COMPUTED_VALUE"""),"PLATTE VALLEY RE-7")</f>
        <v>PLATTE VALLEY RE-7</v>
      </c>
      <c r="C1285" s="14" t="str">
        <f>IFERROR(__xludf.DUMMYFUNCTION("""COMPUTED_VALUE"""),"07052")</f>
        <v>07052</v>
      </c>
      <c r="D1285" s="13" t="str">
        <f>IFERROR(__xludf.DUMMYFUNCTION("""COMPUTED_VALUE"""),"PLATTE VALLEY ELEMENTARY SCHOOL")</f>
        <v>PLATTE VALLEY ELEMENTARY SCHOOL</v>
      </c>
      <c r="E1285" s="13" t="str">
        <f>IFERROR(__xludf.DUMMYFUNCTION("""COMPUTED_VALUE"""),"Group 1")</f>
        <v>Group 1</v>
      </c>
      <c r="F1285" s="13" t="str">
        <f>IFERROR(__xludf.DUMMYFUNCTION("""COMPUTED_VALUE"""),"2024 - 2025")</f>
        <v>2024 - 2025</v>
      </c>
      <c r="G1285" s="13" t="str">
        <f>IFERROR(__xludf.DUMMYFUNCTION("""COMPUTED_VALUE"""),"2023 - 2024")</f>
        <v>2023 - 2024</v>
      </c>
      <c r="H1285" s="13">
        <f>IFERROR(__xludf.DUMMYFUNCTION("""COMPUTED_VALUE"""),59.78)</f>
        <v>59.78</v>
      </c>
      <c r="I1285" s="15">
        <f>IFERROR(__xludf.DUMMYFUNCTION("""COMPUTED_VALUE"""),40.22)</f>
        <v>40.22</v>
      </c>
    </row>
    <row r="1286">
      <c r="A1286" s="13" t="str">
        <f>IFERROR(__xludf.DUMMYFUNCTION("""COMPUTED_VALUE"""),"3130")</f>
        <v>3130</v>
      </c>
      <c r="B1286" s="13" t="str">
        <f>IFERROR(__xludf.DUMMYFUNCTION("""COMPUTED_VALUE"""),"PLATTE VALLEY RE-7")</f>
        <v>PLATTE VALLEY RE-7</v>
      </c>
      <c r="C1286" s="14" t="str">
        <f>IFERROR(__xludf.DUMMYFUNCTION("""COMPUTED_VALUE"""),"04670")</f>
        <v>04670</v>
      </c>
      <c r="D1286" s="13" t="str">
        <f>IFERROR(__xludf.DUMMYFUNCTION("""COMPUTED_VALUE"""),"PLATTE VALLEY HIGH SCHOOL")</f>
        <v>PLATTE VALLEY HIGH SCHOOL</v>
      </c>
      <c r="E1286" s="13" t="str">
        <f>IFERROR(__xludf.DUMMYFUNCTION("""COMPUTED_VALUE"""),"Group 2")</f>
        <v>Group 2</v>
      </c>
      <c r="F1286" s="13" t="str">
        <f>IFERROR(__xludf.DUMMYFUNCTION("""COMPUTED_VALUE"""),"2024 - 2025")</f>
        <v>2024 - 2025</v>
      </c>
      <c r="G1286" s="13" t="str">
        <f>IFERROR(__xludf.DUMMYFUNCTION("""COMPUTED_VALUE"""),"2023 - 2024")</f>
        <v>2023 - 2024</v>
      </c>
      <c r="H1286" s="13">
        <f>IFERROR(__xludf.DUMMYFUNCTION("""COMPUTED_VALUE"""),51.1)</f>
        <v>51.1</v>
      </c>
      <c r="I1286" s="15">
        <f>IFERROR(__xludf.DUMMYFUNCTION("""COMPUTED_VALUE"""),48.9)</f>
        <v>48.9</v>
      </c>
    </row>
    <row r="1287">
      <c r="A1287" s="13" t="str">
        <f>IFERROR(__xludf.DUMMYFUNCTION("""COMPUTED_VALUE"""),"3130")</f>
        <v>3130</v>
      </c>
      <c r="B1287" s="13" t="str">
        <f>IFERROR(__xludf.DUMMYFUNCTION("""COMPUTED_VALUE"""),"PLATTE VALLEY RE-7")</f>
        <v>PLATTE VALLEY RE-7</v>
      </c>
      <c r="C1287" s="14" t="str">
        <f>IFERROR(__xludf.DUMMYFUNCTION("""COMPUTED_VALUE"""),"07054")</f>
        <v>07054</v>
      </c>
      <c r="D1287" s="13" t="str">
        <f>IFERROR(__xludf.DUMMYFUNCTION("""COMPUTED_VALUE"""),"PLATTE VALLEY MIDDLE SCHOOL")</f>
        <v>PLATTE VALLEY MIDDLE SCHOOL</v>
      </c>
      <c r="E1287" s="13" t="str">
        <f>IFERROR(__xludf.DUMMYFUNCTION("""COMPUTED_VALUE"""),"Group 3")</f>
        <v>Group 3</v>
      </c>
      <c r="F1287" s="13" t="str">
        <f>IFERROR(__xludf.DUMMYFUNCTION("""COMPUTED_VALUE"""),"2024 - 2025")</f>
        <v>2024 - 2025</v>
      </c>
      <c r="G1287" s="13" t="str">
        <f>IFERROR(__xludf.DUMMYFUNCTION("""COMPUTED_VALUE"""),"2023 - 2024")</f>
        <v>2023 - 2024</v>
      </c>
      <c r="H1287" s="13">
        <f>IFERROR(__xludf.DUMMYFUNCTION("""COMPUTED_VALUE"""),55.7)</f>
        <v>55.7</v>
      </c>
      <c r="I1287" s="15">
        <f>IFERROR(__xludf.DUMMYFUNCTION("""COMPUTED_VALUE"""),44.3)</f>
        <v>44.3</v>
      </c>
    </row>
    <row r="1288">
      <c r="A1288" s="13" t="str">
        <f>IFERROR(__xludf.DUMMYFUNCTION("""COMPUTED_VALUE"""),"3140")</f>
        <v>3140</v>
      </c>
      <c r="B1288" s="13" t="str">
        <f>IFERROR(__xludf.DUMMYFUNCTION("""COMPUTED_VALUE"""),"WELD COUNTY SCHOOL DISTRICT RE-8")</f>
        <v>WELD COUNTY SCHOOL DISTRICT RE-8</v>
      </c>
      <c r="C1288" s="14" t="str">
        <f>IFERROR(__xludf.DUMMYFUNCTION("""COMPUTED_VALUE"""),"03070")</f>
        <v>03070</v>
      </c>
      <c r="D1288" s="13" t="str">
        <f>IFERROR(__xludf.DUMMYFUNCTION("""COMPUTED_VALUE"""),"FORT LUPTON HIGH SCHOOL")</f>
        <v>FORT LUPTON HIGH SCHOOL</v>
      </c>
      <c r="E1288" s="13" t="str">
        <f>IFERROR(__xludf.DUMMYFUNCTION("""COMPUTED_VALUE"""),"Group 1")</f>
        <v>Group 1</v>
      </c>
      <c r="F1288" s="13" t="str">
        <f>IFERROR(__xludf.DUMMYFUNCTION("""COMPUTED_VALUE"""),"2024 - 2025")</f>
        <v>2024 - 2025</v>
      </c>
      <c r="G1288" s="13" t="str">
        <f>IFERROR(__xludf.DUMMYFUNCTION("""COMPUTED_VALUE"""),"2023 - 2024")</f>
        <v>2023 - 2024</v>
      </c>
      <c r="H1288" s="13">
        <f>IFERROR(__xludf.DUMMYFUNCTION("""COMPUTED_VALUE"""),56.35)</f>
        <v>56.35</v>
      </c>
      <c r="I1288" s="15">
        <f>IFERROR(__xludf.DUMMYFUNCTION("""COMPUTED_VALUE"""),43.65)</f>
        <v>43.65</v>
      </c>
    </row>
    <row r="1289">
      <c r="A1289" s="13" t="str">
        <f>IFERROR(__xludf.DUMMYFUNCTION("""COMPUTED_VALUE"""),"3140")</f>
        <v>3140</v>
      </c>
      <c r="B1289" s="13" t="str">
        <f>IFERROR(__xludf.DUMMYFUNCTION("""COMPUTED_VALUE"""),"WELD COUNTY SCHOOL DISTRICT RE-8")</f>
        <v>WELD COUNTY SCHOOL DISTRICT RE-8</v>
      </c>
      <c r="C1289" s="14" t="str">
        <f>IFERROR(__xludf.DUMMYFUNCTION("""COMPUTED_VALUE"""),"07219")</f>
        <v>07219</v>
      </c>
      <c r="D1289" s="13" t="str">
        <f>IFERROR(__xludf.DUMMYFUNCTION("""COMPUTED_VALUE"""),"KENNETH HOMYAK PK-8")</f>
        <v>KENNETH HOMYAK PK-8</v>
      </c>
      <c r="E1289" s="13" t="str">
        <f>IFERROR(__xludf.DUMMYFUNCTION("""COMPUTED_VALUE"""),"Group 1")</f>
        <v>Group 1</v>
      </c>
      <c r="F1289" s="13" t="str">
        <f>IFERROR(__xludf.DUMMYFUNCTION("""COMPUTED_VALUE"""),"2024 - 2025")</f>
        <v>2024 - 2025</v>
      </c>
      <c r="G1289" s="13" t="str">
        <f>IFERROR(__xludf.DUMMYFUNCTION("""COMPUTED_VALUE"""),"2023 - 2024")</f>
        <v>2023 - 2024</v>
      </c>
      <c r="H1289" s="13">
        <f>IFERROR(__xludf.DUMMYFUNCTION("""COMPUTED_VALUE"""),56.35)</f>
        <v>56.35</v>
      </c>
      <c r="I1289" s="15">
        <f>IFERROR(__xludf.DUMMYFUNCTION("""COMPUTED_VALUE"""),43.65)</f>
        <v>43.65</v>
      </c>
    </row>
    <row r="1290">
      <c r="A1290" s="13" t="str">
        <f>IFERROR(__xludf.DUMMYFUNCTION("""COMPUTED_VALUE"""),"3140")</f>
        <v>3140</v>
      </c>
      <c r="B1290" s="13" t="str">
        <f>IFERROR(__xludf.DUMMYFUNCTION("""COMPUTED_VALUE"""),"WELD COUNTY SCHOOL DISTRICT RE-8")</f>
        <v>WELD COUNTY SCHOOL DISTRICT RE-8</v>
      </c>
      <c r="C1290" s="14" t="str">
        <f>IFERROR(__xludf.DUMMYFUNCTION("""COMPUTED_VALUE"""),"08930")</f>
        <v>08930</v>
      </c>
      <c r="D1290" s="13" t="str">
        <f>IFERROR(__xludf.DUMMYFUNCTION("""COMPUTED_VALUE"""),"TWOMBLY ELEMENTARY SCHOOL")</f>
        <v>TWOMBLY ELEMENTARY SCHOOL</v>
      </c>
      <c r="E1290" s="13" t="str">
        <f>IFERROR(__xludf.DUMMYFUNCTION("""COMPUTED_VALUE"""),"Group 2")</f>
        <v>Group 2</v>
      </c>
      <c r="F1290" s="13" t="str">
        <f>IFERROR(__xludf.DUMMYFUNCTION("""COMPUTED_VALUE"""),"2024 - 2025")</f>
        <v>2024 - 2025</v>
      </c>
      <c r="G1290" s="13" t="str">
        <f>IFERROR(__xludf.DUMMYFUNCTION("""COMPUTED_VALUE"""),"2023 - 2024")</f>
        <v>2023 - 2024</v>
      </c>
      <c r="H1290" s="13">
        <f>IFERROR(__xludf.DUMMYFUNCTION("""COMPUTED_VALUE"""),79.14)</f>
        <v>79.14</v>
      </c>
      <c r="I1290" s="15">
        <f>IFERROR(__xludf.DUMMYFUNCTION("""COMPUTED_VALUE"""),20.86)</f>
        <v>20.86</v>
      </c>
    </row>
    <row r="1291">
      <c r="A1291" s="13" t="str">
        <f>IFERROR(__xludf.DUMMYFUNCTION("""COMPUTED_VALUE"""),"3140")</f>
        <v>3140</v>
      </c>
      <c r="B1291" s="13" t="str">
        <f>IFERROR(__xludf.DUMMYFUNCTION("""COMPUTED_VALUE"""),"WELD COUNTY SCHOOL DISTRICT RE-8")</f>
        <v>WELD COUNTY SCHOOL DISTRICT RE-8</v>
      </c>
      <c r="C1291" s="14" t="str">
        <f>IFERROR(__xludf.DUMMYFUNCTION("""COMPUTED_VALUE"""),"03066")</f>
        <v>03066</v>
      </c>
      <c r="D1291" s="13" t="str">
        <f>IFERROR(__xludf.DUMMYFUNCTION("""COMPUTED_VALUE"""),"FORT LUPTON MIDDLE SCHOOL")</f>
        <v>FORT LUPTON MIDDLE SCHOOL</v>
      </c>
      <c r="E1291" s="13" t="str">
        <f>IFERROR(__xludf.DUMMYFUNCTION("""COMPUTED_VALUE"""),"Group 3")</f>
        <v>Group 3</v>
      </c>
      <c r="F1291" s="13" t="str">
        <f>IFERROR(__xludf.DUMMYFUNCTION("""COMPUTED_VALUE"""),"2024 - 2025")</f>
        <v>2024 - 2025</v>
      </c>
      <c r="G1291" s="13" t="str">
        <f>IFERROR(__xludf.DUMMYFUNCTION("""COMPUTED_VALUE"""),"2023 - 2024")</f>
        <v>2023 - 2024</v>
      </c>
      <c r="H1291" s="13">
        <f>IFERROR(__xludf.DUMMYFUNCTION("""COMPUTED_VALUE"""),74.85)</f>
        <v>74.85</v>
      </c>
      <c r="I1291" s="15">
        <f>IFERROR(__xludf.DUMMYFUNCTION("""COMPUTED_VALUE"""),25.150000000000006)</f>
        <v>25.15</v>
      </c>
    </row>
    <row r="1292">
      <c r="A1292" s="13" t="str">
        <f>IFERROR(__xludf.DUMMYFUNCTION("""COMPUTED_VALUE"""),"3140")</f>
        <v>3140</v>
      </c>
      <c r="B1292" s="13" t="str">
        <f>IFERROR(__xludf.DUMMYFUNCTION("""COMPUTED_VALUE"""),"WELD COUNTY SCHOOL DISTRICT RE-8")</f>
        <v>WELD COUNTY SCHOOL DISTRICT RE-8</v>
      </c>
      <c r="C1292" s="14" t="str">
        <f>IFERROR(__xludf.DUMMYFUNCTION("""COMPUTED_VALUE"""),"05050")</f>
        <v>05050</v>
      </c>
      <c r="D1292" s="13" t="str">
        <f>IFERROR(__xludf.DUMMYFUNCTION("""COMPUTED_VALUE"""),"LEO WILLIAM BUTLER ELEMENTARY SCHOOL")</f>
        <v>LEO WILLIAM BUTLER ELEMENTARY SCHOOL</v>
      </c>
      <c r="E1292" s="13" t="str">
        <f>IFERROR(__xludf.DUMMYFUNCTION("""COMPUTED_VALUE"""),"Group 4")</f>
        <v>Group 4</v>
      </c>
      <c r="F1292" s="13" t="str">
        <f>IFERROR(__xludf.DUMMYFUNCTION("""COMPUTED_VALUE"""),"2024 - 2025")</f>
        <v>2024 - 2025</v>
      </c>
      <c r="G1292" s="13" t="str">
        <f>IFERROR(__xludf.DUMMYFUNCTION("""COMPUTED_VALUE"""),"2023 - 2024")</f>
        <v>2023 - 2024</v>
      </c>
      <c r="H1292" s="13">
        <f>IFERROR(__xludf.DUMMYFUNCTION("""COMPUTED_VALUE"""),82.37)</f>
        <v>82.37</v>
      </c>
      <c r="I1292" s="15">
        <f>IFERROR(__xludf.DUMMYFUNCTION("""COMPUTED_VALUE"""),17.629999999999995)</f>
        <v>17.63</v>
      </c>
    </row>
    <row r="1293">
      <c r="A1293" s="13" t="str">
        <f>IFERROR(__xludf.DUMMYFUNCTION("""COMPUTED_VALUE"""),"3145")</f>
        <v>3145</v>
      </c>
      <c r="B1293" s="13" t="str">
        <f>IFERROR(__xludf.DUMMYFUNCTION("""COMPUTED_VALUE"""),"AULT-HIGHLAND RE-9")</f>
        <v>AULT-HIGHLAND RE-9</v>
      </c>
      <c r="C1293" s="14" t="str">
        <f>IFERROR(__xludf.DUMMYFUNCTION("""COMPUTED_VALUE"""),"03962")</f>
        <v>03962</v>
      </c>
      <c r="D1293" s="13" t="str">
        <f>IFERROR(__xludf.DUMMYFUNCTION("""COMPUTED_VALUE"""),"HIGHLAND HIGH SCHOOL")</f>
        <v>HIGHLAND HIGH SCHOOL</v>
      </c>
      <c r="E1293" s="13" t="str">
        <f>IFERROR(__xludf.DUMMYFUNCTION("""COMPUTED_VALUE"""),"Group 1")</f>
        <v>Group 1</v>
      </c>
      <c r="F1293" s="13" t="str">
        <f>IFERROR(__xludf.DUMMYFUNCTION("""COMPUTED_VALUE"""),"2024 - 2025")</f>
        <v>2024 - 2025</v>
      </c>
      <c r="G1293" s="13" t="str">
        <f>IFERROR(__xludf.DUMMYFUNCTION("""COMPUTED_VALUE"""),"2023 - 2024")</f>
        <v>2023 - 2024</v>
      </c>
      <c r="H1293" s="13">
        <f>IFERROR(__xludf.DUMMYFUNCTION("""COMPUTED_VALUE"""),58.69)</f>
        <v>58.69</v>
      </c>
      <c r="I1293" s="15">
        <f>IFERROR(__xludf.DUMMYFUNCTION("""COMPUTED_VALUE"""),41.31)</f>
        <v>41.31</v>
      </c>
    </row>
    <row r="1294">
      <c r="A1294" s="13" t="str">
        <f>IFERROR(__xludf.DUMMYFUNCTION("""COMPUTED_VALUE"""),"3145")</f>
        <v>3145</v>
      </c>
      <c r="B1294" s="13" t="str">
        <f>IFERROR(__xludf.DUMMYFUNCTION("""COMPUTED_VALUE"""),"AULT-HIGHLAND RE-9")</f>
        <v>AULT-HIGHLAND RE-9</v>
      </c>
      <c r="C1294" s="14" t="str">
        <f>IFERROR(__xludf.DUMMYFUNCTION("""COMPUTED_VALUE"""),"03958")</f>
        <v>03958</v>
      </c>
      <c r="D1294" s="13" t="str">
        <f>IFERROR(__xludf.DUMMYFUNCTION("""COMPUTED_VALUE"""),"HIGHLAND ELEMENTARY SCHOOL")</f>
        <v>HIGHLAND ELEMENTARY SCHOOL</v>
      </c>
      <c r="E1294" s="13" t="str">
        <f>IFERROR(__xludf.DUMMYFUNCTION("""COMPUTED_VALUE"""),"Group 2")</f>
        <v>Group 2</v>
      </c>
      <c r="F1294" s="13" t="str">
        <f>IFERROR(__xludf.DUMMYFUNCTION("""COMPUTED_VALUE"""),"2024 - 2025")</f>
        <v>2024 - 2025</v>
      </c>
      <c r="G1294" s="13" t="str">
        <f>IFERROR(__xludf.DUMMYFUNCTION("""COMPUTED_VALUE"""),"2023 - 2024")</f>
        <v>2023 - 2024</v>
      </c>
      <c r="H1294" s="13">
        <f>IFERROR(__xludf.DUMMYFUNCTION("""COMPUTED_VALUE"""),61.81)</f>
        <v>61.81</v>
      </c>
      <c r="I1294" s="15">
        <f>IFERROR(__xludf.DUMMYFUNCTION("""COMPUTED_VALUE"""),38.19)</f>
        <v>38.19</v>
      </c>
    </row>
    <row r="1295">
      <c r="A1295" s="13" t="str">
        <f>IFERROR(__xludf.DUMMYFUNCTION("""COMPUTED_VALUE"""),"3145")</f>
        <v>3145</v>
      </c>
      <c r="B1295" s="13" t="str">
        <f>IFERROR(__xludf.DUMMYFUNCTION("""COMPUTED_VALUE"""),"AULT-HIGHLAND RE-9")</f>
        <v>AULT-HIGHLAND RE-9</v>
      </c>
      <c r="C1295" s="14" t="str">
        <f>IFERROR(__xludf.DUMMYFUNCTION("""COMPUTED_VALUE"""),"03961")</f>
        <v>03961</v>
      </c>
      <c r="D1295" s="13" t="str">
        <f>IFERROR(__xludf.DUMMYFUNCTION("""COMPUTED_VALUE"""),"HIGHLAND MIDDLE SCHOOL")</f>
        <v>HIGHLAND MIDDLE SCHOOL</v>
      </c>
      <c r="E1295" s="13" t="str">
        <f>IFERROR(__xludf.DUMMYFUNCTION("""COMPUTED_VALUE"""),"Group 2")</f>
        <v>Group 2</v>
      </c>
      <c r="F1295" s="13" t="str">
        <f>IFERROR(__xludf.DUMMYFUNCTION("""COMPUTED_VALUE"""),"2024 - 2025")</f>
        <v>2024 - 2025</v>
      </c>
      <c r="G1295" s="13" t="str">
        <f>IFERROR(__xludf.DUMMYFUNCTION("""COMPUTED_VALUE"""),"2023 - 2024")</f>
        <v>2023 - 2024</v>
      </c>
      <c r="H1295" s="13">
        <f>IFERROR(__xludf.DUMMYFUNCTION("""COMPUTED_VALUE"""),61.81)</f>
        <v>61.81</v>
      </c>
      <c r="I1295" s="15">
        <f>IFERROR(__xludf.DUMMYFUNCTION("""COMPUTED_VALUE"""),38.19)</f>
        <v>38.19</v>
      </c>
    </row>
    <row r="1296">
      <c r="A1296" s="13" t="str">
        <f>IFERROR(__xludf.DUMMYFUNCTION("""COMPUTED_VALUE"""),"3200")</f>
        <v>3200</v>
      </c>
      <c r="B1296" s="13" t="str">
        <f>IFERROR(__xludf.DUMMYFUNCTION("""COMPUTED_VALUE"""),"YUMA 1")</f>
        <v>YUMA 1</v>
      </c>
      <c r="C1296" s="14" t="str">
        <f>IFERROR(__xludf.DUMMYFUNCTION("""COMPUTED_VALUE"""),"09799")</f>
        <v>09799</v>
      </c>
      <c r="D1296" s="13" t="str">
        <f>IFERROR(__xludf.DUMMYFUNCTION("""COMPUTED_VALUE"""),"YUMA HIGH SCHOOL")</f>
        <v>YUMA HIGH SCHOOL</v>
      </c>
      <c r="E1296" s="13" t="str">
        <f>IFERROR(__xludf.DUMMYFUNCTION("""COMPUTED_VALUE"""),"Group 1")</f>
        <v>Group 1</v>
      </c>
      <c r="F1296" s="13" t="str">
        <f>IFERROR(__xludf.DUMMYFUNCTION("""COMPUTED_VALUE"""),"2024 - 2025")</f>
        <v>2024 - 2025</v>
      </c>
      <c r="G1296" s="13" t="str">
        <f>IFERROR(__xludf.DUMMYFUNCTION("""COMPUTED_VALUE"""),"2023 - 2024")</f>
        <v>2023 - 2024</v>
      </c>
      <c r="H1296" s="13">
        <f>IFERROR(__xludf.DUMMYFUNCTION("""COMPUTED_VALUE"""),69.5)</f>
        <v>69.5</v>
      </c>
      <c r="I1296" s="15">
        <f>IFERROR(__xludf.DUMMYFUNCTION("""COMPUTED_VALUE"""),30.5)</f>
        <v>30.5</v>
      </c>
    </row>
    <row r="1297">
      <c r="A1297" s="13" t="str">
        <f>IFERROR(__xludf.DUMMYFUNCTION("""COMPUTED_VALUE"""),"3200")</f>
        <v>3200</v>
      </c>
      <c r="B1297" s="13" t="str">
        <f>IFERROR(__xludf.DUMMYFUNCTION("""COMPUTED_VALUE"""),"YUMA 1")</f>
        <v>YUMA 1</v>
      </c>
      <c r="C1297" s="14" t="str">
        <f>IFERROR(__xludf.DUMMYFUNCTION("""COMPUTED_VALUE"""),"09795")</f>
        <v>09795</v>
      </c>
      <c r="D1297" s="13" t="str">
        <f>IFERROR(__xludf.DUMMYFUNCTION("""COMPUTED_VALUE"""),"KENNETH P MORRIS ELEMENTARY SCHOOL")</f>
        <v>KENNETH P MORRIS ELEMENTARY SCHOOL</v>
      </c>
      <c r="E1297" s="13" t="str">
        <f>IFERROR(__xludf.DUMMYFUNCTION("""COMPUTED_VALUE"""),"Group 2")</f>
        <v>Group 2</v>
      </c>
      <c r="F1297" s="13" t="str">
        <f>IFERROR(__xludf.DUMMYFUNCTION("""COMPUTED_VALUE"""),"2024 - 2025")</f>
        <v>2024 - 2025</v>
      </c>
      <c r="G1297" s="13" t="str">
        <f>IFERROR(__xludf.DUMMYFUNCTION("""COMPUTED_VALUE"""),"2023 - 2024")</f>
        <v>2023 - 2024</v>
      </c>
      <c r="H1297" s="13">
        <f>IFERROR(__xludf.DUMMYFUNCTION("""COMPUTED_VALUE"""),84.32)</f>
        <v>84.32</v>
      </c>
      <c r="I1297" s="15">
        <f>IFERROR(__xludf.DUMMYFUNCTION("""COMPUTED_VALUE"""),15.680000000000007)</f>
        <v>15.68</v>
      </c>
    </row>
    <row r="1298">
      <c r="A1298" s="13" t="str">
        <f>IFERROR(__xludf.DUMMYFUNCTION("""COMPUTED_VALUE"""),"3200")</f>
        <v>3200</v>
      </c>
      <c r="B1298" s="13" t="str">
        <f>IFERROR(__xludf.DUMMYFUNCTION("""COMPUTED_VALUE"""),"YUMA 1")</f>
        <v>YUMA 1</v>
      </c>
      <c r="C1298" s="14" t="str">
        <f>IFERROR(__xludf.DUMMYFUNCTION("""COMPUTED_VALUE"""),"09791")</f>
        <v>09791</v>
      </c>
      <c r="D1298" s="13" t="str">
        <f>IFERROR(__xludf.DUMMYFUNCTION("""COMPUTED_VALUE"""),"YUMA MIDDLE SCHOOL")</f>
        <v>YUMA MIDDLE SCHOOL</v>
      </c>
      <c r="E1298" s="13" t="str">
        <f>IFERROR(__xludf.DUMMYFUNCTION("""COMPUTED_VALUE"""),"Group 3")</f>
        <v>Group 3</v>
      </c>
      <c r="F1298" s="13" t="str">
        <f>IFERROR(__xludf.DUMMYFUNCTION("""COMPUTED_VALUE"""),"2024 - 2025")</f>
        <v>2024 - 2025</v>
      </c>
      <c r="G1298" s="13" t="str">
        <f>IFERROR(__xludf.DUMMYFUNCTION("""COMPUTED_VALUE"""),"2023 - 2024")</f>
        <v>2023 - 2024</v>
      </c>
      <c r="H1298" s="13">
        <f>IFERROR(__xludf.DUMMYFUNCTION("""COMPUTED_VALUE"""),85.76)</f>
        <v>85.76</v>
      </c>
      <c r="I1298" s="15">
        <f>IFERROR(__xludf.DUMMYFUNCTION("""COMPUTED_VALUE"""),14.239999999999995)</f>
        <v>14.24</v>
      </c>
    </row>
    <row r="1299">
      <c r="A1299" s="13" t="str">
        <f>IFERROR(__xludf.DUMMYFUNCTION("""COMPUTED_VALUE"""),"3210")</f>
        <v>3210</v>
      </c>
      <c r="B1299" s="13" t="str">
        <f>IFERROR(__xludf.DUMMYFUNCTION("""COMPUTED_VALUE"""),"WRAY RD-2")</f>
        <v>WRAY RD-2</v>
      </c>
      <c r="C1299" s="14" t="str">
        <f>IFERROR(__xludf.DUMMYFUNCTION("""COMPUTED_VALUE"""),"09733")</f>
        <v>09733</v>
      </c>
      <c r="D1299" s="13" t="str">
        <f>IFERROR(__xludf.DUMMYFUNCTION("""COMPUTED_VALUE"""),"WRAY HIGH SCHOOL")</f>
        <v>WRAY HIGH SCHOOL</v>
      </c>
      <c r="E1299" s="13" t="str">
        <f>IFERROR(__xludf.DUMMYFUNCTION("""COMPUTED_VALUE"""),"Group 1")</f>
        <v>Group 1</v>
      </c>
      <c r="F1299" s="13" t="str">
        <f>IFERROR(__xludf.DUMMYFUNCTION("""COMPUTED_VALUE"""),"2024 - 2025")</f>
        <v>2024 - 2025</v>
      </c>
      <c r="G1299" s="13" t="str">
        <f>IFERROR(__xludf.DUMMYFUNCTION("""COMPUTED_VALUE"""),"2023 - 2024")</f>
        <v>2023 - 2024</v>
      </c>
      <c r="H1299" s="13">
        <f>IFERROR(__xludf.DUMMYFUNCTION("""COMPUTED_VALUE"""),67.58)</f>
        <v>67.58</v>
      </c>
      <c r="I1299" s="15">
        <f>IFERROR(__xludf.DUMMYFUNCTION("""COMPUTED_VALUE"""),32.42)</f>
        <v>32.42</v>
      </c>
    </row>
    <row r="1300">
      <c r="A1300" s="13" t="str">
        <f>IFERROR(__xludf.DUMMYFUNCTION("""COMPUTED_VALUE"""),"3210")</f>
        <v>3210</v>
      </c>
      <c r="B1300" s="13" t="str">
        <f>IFERROR(__xludf.DUMMYFUNCTION("""COMPUTED_VALUE"""),"WRAY RD-2")</f>
        <v>WRAY RD-2</v>
      </c>
      <c r="C1300" s="14" t="str">
        <f>IFERROR(__xludf.DUMMYFUNCTION("""COMPUTED_VALUE"""),"09725")</f>
        <v>09725</v>
      </c>
      <c r="D1300" s="13" t="str">
        <f>IFERROR(__xludf.DUMMYFUNCTION("""COMPUTED_VALUE"""),"WRAY ELEMENTARY SCHOOL")</f>
        <v>WRAY ELEMENTARY SCHOOL</v>
      </c>
      <c r="E1300" s="13" t="str">
        <f>IFERROR(__xludf.DUMMYFUNCTION("""COMPUTED_VALUE"""),"Group 2")</f>
        <v>Group 2</v>
      </c>
      <c r="F1300" s="13" t="str">
        <f>IFERROR(__xludf.DUMMYFUNCTION("""COMPUTED_VALUE"""),"2024 - 2025")</f>
        <v>2024 - 2025</v>
      </c>
      <c r="G1300" s="13" t="str">
        <f>IFERROR(__xludf.DUMMYFUNCTION("""COMPUTED_VALUE"""),"2023 - 2024")</f>
        <v>2023 - 2024</v>
      </c>
      <c r="H1300" s="13">
        <f>IFERROR(__xludf.DUMMYFUNCTION("""COMPUTED_VALUE"""),81.97)</f>
        <v>81.97</v>
      </c>
      <c r="I1300" s="15">
        <f>IFERROR(__xludf.DUMMYFUNCTION("""COMPUTED_VALUE"""),18.03)</f>
        <v>18.03</v>
      </c>
    </row>
    <row r="1301">
      <c r="A1301" s="13" t="str">
        <f>IFERROR(__xludf.DUMMYFUNCTION("""COMPUTED_VALUE"""),"3220")</f>
        <v>3220</v>
      </c>
      <c r="B1301" s="13" t="str">
        <f>IFERROR(__xludf.DUMMYFUNCTION("""COMPUTED_VALUE"""),"IDALIA RJ-3")</f>
        <v>IDALIA RJ-3</v>
      </c>
      <c r="C1301" s="14" t="str">
        <f>IFERROR(__xludf.DUMMYFUNCTION("""COMPUTED_VALUE"""),"04231")</f>
        <v>04231</v>
      </c>
      <c r="D1301" s="13" t="str">
        <f>IFERROR(__xludf.DUMMYFUNCTION("""COMPUTED_VALUE"""),"IDALIA JR-SR HIGH SCHOOL")</f>
        <v>IDALIA JR-SR HIGH SCHOOL</v>
      </c>
      <c r="E1301" s="13" t="str">
        <f>IFERROR(__xludf.DUMMYFUNCTION("""COMPUTED_VALUE"""),"Group 1")</f>
        <v>Group 1</v>
      </c>
      <c r="F1301" s="13" t="str">
        <f>IFERROR(__xludf.DUMMYFUNCTION("""COMPUTED_VALUE"""),"2024 - 2025")</f>
        <v>2024 - 2025</v>
      </c>
      <c r="G1301" s="13" t="str">
        <f>IFERROR(__xludf.DUMMYFUNCTION("""COMPUTED_VALUE"""),"2023 - 2024")</f>
        <v>2023 - 2024</v>
      </c>
      <c r="H1301" s="13">
        <f>IFERROR(__xludf.DUMMYFUNCTION("""COMPUTED_VALUE"""),53.33)</f>
        <v>53.33</v>
      </c>
      <c r="I1301" s="15">
        <f>IFERROR(__xludf.DUMMYFUNCTION("""COMPUTED_VALUE"""),46.67)</f>
        <v>46.67</v>
      </c>
    </row>
    <row r="1302">
      <c r="A1302" s="13" t="str">
        <f>IFERROR(__xludf.DUMMYFUNCTION("""COMPUTED_VALUE"""),"3220")</f>
        <v>3220</v>
      </c>
      <c r="B1302" s="13" t="str">
        <f>IFERROR(__xludf.DUMMYFUNCTION("""COMPUTED_VALUE"""),"IDALIA RJ-3")</f>
        <v>IDALIA RJ-3</v>
      </c>
      <c r="C1302" s="14" t="str">
        <f>IFERROR(__xludf.DUMMYFUNCTION("""COMPUTED_VALUE"""),"04227")</f>
        <v>04227</v>
      </c>
      <c r="D1302" s="13" t="str">
        <f>IFERROR(__xludf.DUMMYFUNCTION("""COMPUTED_VALUE"""),"IDALIA ELEMENTARY SCHOOL")</f>
        <v>IDALIA ELEMENTARY SCHOOL</v>
      </c>
      <c r="E1302" s="13" t="str">
        <f>IFERROR(__xludf.DUMMYFUNCTION("""COMPUTED_VALUE"""),"Group 2")</f>
        <v>Group 2</v>
      </c>
      <c r="F1302" s="13" t="str">
        <f>IFERROR(__xludf.DUMMYFUNCTION("""COMPUTED_VALUE"""),"2024 - 2025")</f>
        <v>2024 - 2025</v>
      </c>
      <c r="G1302" s="13" t="str">
        <f>IFERROR(__xludf.DUMMYFUNCTION("""COMPUTED_VALUE"""),"2023 - 2024")</f>
        <v>2023 - 2024</v>
      </c>
      <c r="H1302" s="13">
        <f>IFERROR(__xludf.DUMMYFUNCTION("""COMPUTED_VALUE"""),67.17)</f>
        <v>67.17</v>
      </c>
      <c r="I1302" s="15">
        <f>IFERROR(__xludf.DUMMYFUNCTION("""COMPUTED_VALUE"""),32.83)</f>
        <v>32.83</v>
      </c>
    </row>
    <row r="1303">
      <c r="A1303" s="13" t="str">
        <f>IFERROR(__xludf.DUMMYFUNCTION("""COMPUTED_VALUE"""),"3230")</f>
        <v>3230</v>
      </c>
      <c r="B1303" s="13" t="str">
        <f>IFERROR(__xludf.DUMMYFUNCTION("""COMPUTED_VALUE"""),"LIBERTY J-4")</f>
        <v>LIBERTY J-4</v>
      </c>
      <c r="C1303" s="14" t="str">
        <f>IFERROR(__xludf.DUMMYFUNCTION("""COMPUTED_VALUE"""),"05123")</f>
        <v>05123</v>
      </c>
      <c r="D1303" s="13" t="str">
        <f>IFERROR(__xludf.DUMMYFUNCTION("""COMPUTED_VALUE"""),"LIBERTY SCHOOL")</f>
        <v>LIBERTY SCHOOL</v>
      </c>
      <c r="E1303" s="13" t="str">
        <f>IFERROR(__xludf.DUMMYFUNCTION("""COMPUTED_VALUE"""),"Group 1")</f>
        <v>Group 1</v>
      </c>
      <c r="F1303" s="13" t="str">
        <f>IFERROR(__xludf.DUMMYFUNCTION("""COMPUTED_VALUE"""),"2024 - 2025")</f>
        <v>2024 - 2025</v>
      </c>
      <c r="G1303" s="13" t="str">
        <f>IFERROR(__xludf.DUMMYFUNCTION("""COMPUTED_VALUE"""),"2023 - 2024")</f>
        <v>2023 - 2024</v>
      </c>
      <c r="H1303" s="13">
        <f>IFERROR(__xludf.DUMMYFUNCTION("""COMPUTED_VALUE"""),56.61)</f>
        <v>56.61</v>
      </c>
      <c r="I1303" s="15">
        <f>IFERROR(__xludf.DUMMYFUNCTION("""COMPUTED_VALUE"""),43.39)</f>
        <v>43.39</v>
      </c>
    </row>
    <row r="1304">
      <c r="A1304" s="13" t="str">
        <f>IFERROR(__xludf.DUMMYFUNCTION("""COMPUTED_VALUE"""),"4395")</f>
        <v>4395</v>
      </c>
      <c r="B1304" s="13" t="str">
        <f>IFERROR(__xludf.DUMMYFUNCTION("""COMPUTED_VALUE"""),"GUARDIAN ANGELS CHURCH")</f>
        <v>GUARDIAN ANGELS CHURCH</v>
      </c>
      <c r="C1304" s="14" t="str">
        <f>IFERROR(__xludf.DUMMYFUNCTION("""COMPUTED_VALUE"""),"04395")</f>
        <v>04395</v>
      </c>
      <c r="D1304" s="13" t="str">
        <f>IFERROR(__xludf.DUMMYFUNCTION("""COMPUTED_VALUE"""),"Guardian Angels")</f>
        <v>Guardian Angels</v>
      </c>
      <c r="E1304" s="13" t="str">
        <f>IFERROR(__xludf.DUMMYFUNCTION("""COMPUTED_VALUE"""),"Group 1")</f>
        <v>Group 1</v>
      </c>
      <c r="F1304" s="13" t="str">
        <f>IFERROR(__xludf.DUMMYFUNCTION("""COMPUTED_VALUE"""),"2024 - 2025")</f>
        <v>2024 - 2025</v>
      </c>
      <c r="G1304" s="13" t="str">
        <f>IFERROR(__xludf.DUMMYFUNCTION("""COMPUTED_VALUE"""),"2023 - 2024")</f>
        <v>2023 - 2024</v>
      </c>
      <c r="H1304" s="13">
        <f>IFERROR(__xludf.DUMMYFUNCTION("""COMPUTED_VALUE"""),80.0)</f>
        <v>80</v>
      </c>
      <c r="I1304" s="15">
        <f>IFERROR(__xludf.DUMMYFUNCTION("""COMPUTED_VALUE"""),20.0)</f>
        <v>20</v>
      </c>
    </row>
    <row r="1305">
      <c r="A1305" s="13" t="str">
        <f>IFERROR(__xludf.DUMMYFUNCTION("""COMPUTED_VALUE"""),"5230")</f>
        <v>5230</v>
      </c>
      <c r="B1305" s="13" t="str">
        <f>IFERROR(__xludf.DUMMYFUNCTION("""COMPUTED_VALUE"""),"Landmark Baptist School")</f>
        <v>Landmark Baptist School</v>
      </c>
      <c r="C1305" s="14" t="str">
        <f>IFERROR(__xludf.DUMMYFUNCTION("""COMPUTED_VALUE"""),"05230")</f>
        <v>05230</v>
      </c>
      <c r="D1305" s="13" t="str">
        <f>IFERROR(__xludf.DUMMYFUNCTION("""COMPUTED_VALUE"""),"Landmark Baptist School")</f>
        <v>Landmark Baptist School</v>
      </c>
      <c r="E1305" s="13" t="str">
        <f>IFERROR(__xludf.DUMMYFUNCTION("""COMPUTED_VALUE"""),"Group 1")</f>
        <v>Group 1</v>
      </c>
      <c r="F1305" s="13" t="str">
        <f>IFERROR(__xludf.DUMMYFUNCTION("""COMPUTED_VALUE"""),"2024 - 2025")</f>
        <v>2024 - 2025</v>
      </c>
      <c r="G1305" s="13" t="str">
        <f>IFERROR(__xludf.DUMMYFUNCTION("""COMPUTED_VALUE"""),"2023 - 2024")</f>
        <v>2023 - 2024</v>
      </c>
      <c r="H1305" s="13">
        <f>IFERROR(__xludf.DUMMYFUNCTION("""COMPUTED_VALUE"""),66.0)</f>
        <v>66</v>
      </c>
      <c r="I1305" s="15">
        <f>IFERROR(__xludf.DUMMYFUNCTION("""COMPUTED_VALUE"""),34.0)</f>
        <v>34</v>
      </c>
    </row>
    <row r="1306">
      <c r="A1306" s="13" t="str">
        <f>IFERROR(__xludf.DUMMYFUNCTION("""COMPUTED_VALUE"""),"6063")</f>
        <v>6063</v>
      </c>
      <c r="B1306" s="13" t="str">
        <f>IFERROR(__xludf.DUMMYFUNCTION("""COMPUTED_VALUE"""),"TENNYSON CENTER")</f>
        <v>TENNYSON CENTER</v>
      </c>
      <c r="C1306" s="14" t="str">
        <f>IFERROR(__xludf.DUMMYFUNCTION("""COMPUTED_VALUE"""),"06063")</f>
        <v>06063</v>
      </c>
      <c r="D1306" s="13" t="str">
        <f>IFERROR(__xludf.DUMMYFUNCTION("""COMPUTED_VALUE"""),"Tennyson Center-CCH")</f>
        <v>Tennyson Center-CCH</v>
      </c>
      <c r="E1306" s="13" t="str">
        <f>IFERROR(__xludf.DUMMYFUNCTION("""COMPUTED_VALUE"""),"Individual")</f>
        <v>Individual</v>
      </c>
      <c r="F1306" s="13" t="str">
        <f>IFERROR(__xludf.DUMMYFUNCTION("""COMPUTED_VALUE"""),"2024 - 2025")</f>
        <v>2024 - 2025</v>
      </c>
      <c r="G1306" s="13" t="str">
        <f>IFERROR(__xludf.DUMMYFUNCTION("""COMPUTED_VALUE"""),"2023 - 2024")</f>
        <v>2023 - 2024</v>
      </c>
      <c r="H1306" s="13">
        <f>IFERROR(__xludf.DUMMYFUNCTION("""COMPUTED_VALUE"""),72.0)</f>
        <v>72</v>
      </c>
      <c r="I1306" s="15">
        <f>IFERROR(__xludf.DUMMYFUNCTION("""COMPUTED_VALUE"""),28.0)</f>
        <v>28</v>
      </c>
    </row>
    <row r="1307">
      <c r="A1307" s="13" t="str">
        <f>IFERROR(__xludf.DUMMYFUNCTION("""COMPUTED_VALUE"""),"6107")</f>
        <v>6107</v>
      </c>
      <c r="B1307" s="13" t="str">
        <f>IFERROR(__xludf.DUMMYFUNCTION("""COMPUTED_VALUE"""),"MORGRIDGE ACADEMY")</f>
        <v>MORGRIDGE ACADEMY</v>
      </c>
      <c r="C1307" s="14" t="str">
        <f>IFERROR(__xludf.DUMMYFUNCTION("""COMPUTED_VALUE"""),"12759")</f>
        <v>12759</v>
      </c>
      <c r="D1307" s="13" t="str">
        <f>IFERROR(__xludf.DUMMYFUNCTION("""COMPUTED_VALUE"""),"Morgridge Academy")</f>
        <v>Morgridge Academy</v>
      </c>
      <c r="E1307" s="13" t="str">
        <f>IFERROR(__xludf.DUMMYFUNCTION("""COMPUTED_VALUE"""),"Group 1")</f>
        <v>Group 1</v>
      </c>
      <c r="F1307" s="13" t="str">
        <f>IFERROR(__xludf.DUMMYFUNCTION("""COMPUTED_VALUE"""),"2024 - 2025")</f>
        <v>2024 - 2025</v>
      </c>
      <c r="G1307" s="13" t="str">
        <f>IFERROR(__xludf.DUMMYFUNCTION("""COMPUTED_VALUE"""),"2023 - 2024")</f>
        <v>2023 - 2024</v>
      </c>
      <c r="H1307" s="13">
        <f>IFERROR(__xludf.DUMMYFUNCTION("""COMPUTED_VALUE"""),100.0)</f>
        <v>100</v>
      </c>
      <c r="I1307" s="15">
        <f>IFERROR(__xludf.DUMMYFUNCTION("""COMPUTED_VALUE"""),0.0)</f>
        <v>0</v>
      </c>
    </row>
    <row r="1308">
      <c r="A1308" s="13" t="str">
        <f>IFERROR(__xludf.DUMMYFUNCTION("""COMPUTED_VALUE"""),"8001")</f>
        <v>8001</v>
      </c>
      <c r="B1308" s="13" t="str">
        <f>IFERROR(__xludf.DUMMYFUNCTION("""COMPUTED_VALUE"""),"State of Colorado, Charter School Institute")</f>
        <v>State of Colorado, Charter School Institute</v>
      </c>
      <c r="C1308" s="14" t="str">
        <f>IFERROR(__xludf.DUMMYFUNCTION("""COMPUTED_VALUE"""),"02067")</f>
        <v>02067</v>
      </c>
      <c r="D1308" s="13" t="str">
        <f>IFERROR(__xludf.DUMMYFUNCTION("""COMPUTED_VALUE"""),"COLORADO EARLY COLLEGE FT. COLLINS (HS/MS)")</f>
        <v>COLORADO EARLY COLLEGE FT. COLLINS (HS/MS)</v>
      </c>
      <c r="E1308" s="13" t="str">
        <f>IFERROR(__xludf.DUMMYFUNCTION("""COMPUTED_VALUE"""),"Group 1")</f>
        <v>Group 1</v>
      </c>
      <c r="F1308" s="13" t="str">
        <f>IFERROR(__xludf.DUMMYFUNCTION("""COMPUTED_VALUE"""),"2024 - 2025")</f>
        <v>2024 - 2025</v>
      </c>
      <c r="G1308" s="13" t="str">
        <f>IFERROR(__xludf.DUMMYFUNCTION("""COMPUTED_VALUE"""),"2023 - 2024")</f>
        <v>2023 - 2024</v>
      </c>
      <c r="H1308" s="13">
        <f>IFERROR(__xludf.DUMMYFUNCTION("""COMPUTED_VALUE"""),43.81)</f>
        <v>43.81</v>
      </c>
      <c r="I1308" s="15">
        <f>IFERROR(__xludf.DUMMYFUNCTION("""COMPUTED_VALUE"""),56.19)</f>
        <v>56.19</v>
      </c>
    </row>
    <row r="1309">
      <c r="A1309" s="13" t="str">
        <f>IFERROR(__xludf.DUMMYFUNCTION("""COMPUTED_VALUE"""),"8001")</f>
        <v>8001</v>
      </c>
      <c r="B1309" s="13" t="str">
        <f>IFERROR(__xludf.DUMMYFUNCTION("""COMPUTED_VALUE"""),"State of Colorado, Charter School Institute")</f>
        <v>State of Colorado, Charter School Institute</v>
      </c>
      <c r="C1309" s="14" t="str">
        <f>IFERROR(__xludf.DUMMYFUNCTION("""COMPUTED_VALUE"""),"05499")</f>
        <v>05499</v>
      </c>
      <c r="D1309" s="13" t="str">
        <f>IFERROR(__xludf.DUMMYFUNCTION("""COMPUTED_VALUE"""),"Prospect Academy")</f>
        <v>Prospect Academy</v>
      </c>
      <c r="E1309" s="13" t="str">
        <f>IFERROR(__xludf.DUMMYFUNCTION("""COMPUTED_VALUE"""),"Group 1")</f>
        <v>Group 1</v>
      </c>
      <c r="F1309" s="13" t="str">
        <f>IFERROR(__xludf.DUMMYFUNCTION("""COMPUTED_VALUE"""),"2024 - 2025")</f>
        <v>2024 - 2025</v>
      </c>
      <c r="G1309" s="13" t="str">
        <f>IFERROR(__xludf.DUMMYFUNCTION("""COMPUTED_VALUE"""),"2023 - 2024")</f>
        <v>2023 - 2024</v>
      </c>
      <c r="H1309" s="13">
        <f>IFERROR(__xludf.DUMMYFUNCTION("""COMPUTED_VALUE"""),43.81)</f>
        <v>43.81</v>
      </c>
      <c r="I1309" s="15">
        <f>IFERROR(__xludf.DUMMYFUNCTION("""COMPUTED_VALUE"""),56.19)</f>
        <v>56.19</v>
      </c>
    </row>
    <row r="1310">
      <c r="A1310" s="13" t="str">
        <f>IFERROR(__xludf.DUMMYFUNCTION("""COMPUTED_VALUE"""),"8001")</f>
        <v>8001</v>
      </c>
      <c r="B1310" s="13" t="str">
        <f>IFERROR(__xludf.DUMMYFUNCTION("""COMPUTED_VALUE"""),"State of Colorado, Charter School Institute")</f>
        <v>State of Colorado, Charter School Institute</v>
      </c>
      <c r="C1310" s="14" t="str">
        <f>IFERROR(__xludf.DUMMYFUNCTION("""COMPUTED_VALUE"""),"06400")</f>
        <v>06400</v>
      </c>
      <c r="D1310" s="13" t="str">
        <f>IFERROR(__xludf.DUMMYFUNCTION("""COMPUTED_VALUE"""),"The STEAD School")</f>
        <v>The STEAD School</v>
      </c>
      <c r="E1310" s="13" t="str">
        <f>IFERROR(__xludf.DUMMYFUNCTION("""COMPUTED_VALUE"""),"Group 1")</f>
        <v>Group 1</v>
      </c>
      <c r="F1310" s="13" t="str">
        <f>IFERROR(__xludf.DUMMYFUNCTION("""COMPUTED_VALUE"""),"2024 - 2025")</f>
        <v>2024 - 2025</v>
      </c>
      <c r="G1310" s="13" t="str">
        <f>IFERROR(__xludf.DUMMYFUNCTION("""COMPUTED_VALUE"""),"2023 - 2024")</f>
        <v>2023 - 2024</v>
      </c>
      <c r="H1310" s="13">
        <f>IFERROR(__xludf.DUMMYFUNCTION("""COMPUTED_VALUE"""),43.81)</f>
        <v>43.81</v>
      </c>
      <c r="I1310" s="15">
        <f>IFERROR(__xludf.DUMMYFUNCTION("""COMPUTED_VALUE"""),56.19)</f>
        <v>56.19</v>
      </c>
    </row>
    <row r="1311">
      <c r="A1311" s="13" t="str">
        <f>IFERROR(__xludf.DUMMYFUNCTION("""COMPUTED_VALUE"""),"8001")</f>
        <v>8001</v>
      </c>
      <c r="B1311" s="13" t="str">
        <f>IFERROR(__xludf.DUMMYFUNCTION("""COMPUTED_VALUE"""),"State of Colorado, Charter School Institute")</f>
        <v>State of Colorado, Charter School Institute</v>
      </c>
      <c r="C1311" s="14" t="str">
        <f>IFERROR(__xludf.DUMMYFUNCTION("""COMPUTED_VALUE"""),"01795")</f>
        <v>01795</v>
      </c>
      <c r="D1311" s="13" t="str">
        <f>IFERROR(__xludf.DUMMYFUNCTION("""COMPUTED_VALUE"""),"Colorado Early Colleges Colorado Springs")</f>
        <v>Colorado Early Colleges Colorado Springs</v>
      </c>
      <c r="E1311" s="13" t="str">
        <f>IFERROR(__xludf.DUMMYFUNCTION("""COMPUTED_VALUE"""),"Group 1")</f>
        <v>Group 1</v>
      </c>
      <c r="F1311" s="13" t="str">
        <f>IFERROR(__xludf.DUMMYFUNCTION("""COMPUTED_VALUE"""),"2024 - 2025")</f>
        <v>2024 - 2025</v>
      </c>
      <c r="G1311" s="13" t="str">
        <f>IFERROR(__xludf.DUMMYFUNCTION("""COMPUTED_VALUE"""),"2023 - 2024")</f>
        <v>2023 - 2024</v>
      </c>
      <c r="H1311" s="13">
        <f>IFERROR(__xludf.DUMMYFUNCTION("""COMPUTED_VALUE"""),43.81)</f>
        <v>43.81</v>
      </c>
      <c r="I1311" s="15">
        <f>IFERROR(__xludf.DUMMYFUNCTION("""COMPUTED_VALUE"""),56.19)</f>
        <v>56.19</v>
      </c>
    </row>
    <row r="1312">
      <c r="A1312" s="13" t="str">
        <f>IFERROR(__xludf.DUMMYFUNCTION("""COMPUTED_VALUE"""),"8001")</f>
        <v>8001</v>
      </c>
      <c r="B1312" s="13" t="str">
        <f>IFERROR(__xludf.DUMMYFUNCTION("""COMPUTED_VALUE"""),"State of Colorado, Charter School Institute")</f>
        <v>State of Colorado, Charter School Institute</v>
      </c>
      <c r="C1312" s="14" t="str">
        <f>IFERROR(__xludf.DUMMYFUNCTION("""COMPUTED_VALUE"""),"00075")</f>
        <v>00075</v>
      </c>
      <c r="D1312" s="13" t="str">
        <f>IFERROR(__xludf.DUMMYFUNCTION("""COMPUTED_VALUE"""),"Animas High School")</f>
        <v>Animas High School</v>
      </c>
      <c r="E1312" s="13" t="str">
        <f>IFERROR(__xludf.DUMMYFUNCTION("""COMPUTED_VALUE"""),"Group 2")</f>
        <v>Group 2</v>
      </c>
      <c r="F1312" s="13" t="str">
        <f>IFERROR(__xludf.DUMMYFUNCTION("""COMPUTED_VALUE"""),"2024 - 2025")</f>
        <v>2024 - 2025</v>
      </c>
      <c r="G1312" s="13" t="str">
        <f>IFERROR(__xludf.DUMMYFUNCTION("""COMPUTED_VALUE"""),"2023 - 2024")</f>
        <v>2023 - 2024</v>
      </c>
      <c r="H1312" s="13">
        <f>IFERROR(__xludf.DUMMYFUNCTION("""COMPUTED_VALUE"""),49.33)</f>
        <v>49.33</v>
      </c>
      <c r="I1312" s="15">
        <f>IFERROR(__xludf.DUMMYFUNCTION("""COMPUTED_VALUE"""),50.67)</f>
        <v>50.67</v>
      </c>
    </row>
    <row r="1313">
      <c r="A1313" s="13" t="str">
        <f>IFERROR(__xludf.DUMMYFUNCTION("""COMPUTED_VALUE"""),"8001")</f>
        <v>8001</v>
      </c>
      <c r="B1313" s="13" t="str">
        <f>IFERROR(__xludf.DUMMYFUNCTION("""COMPUTED_VALUE"""),"State of Colorado, Charter School Institute")</f>
        <v>State of Colorado, Charter School Institute</v>
      </c>
      <c r="C1313" s="14" t="str">
        <f>IFERROR(__xludf.DUMMYFUNCTION("""COMPUTED_VALUE"""),"06914")</f>
        <v>06914</v>
      </c>
      <c r="D1313" s="13" t="str">
        <f>IFERROR(__xludf.DUMMYFUNCTION("""COMPUTED_VALUE"""),"THE PINNACLE CHARTER SCHOOL")</f>
        <v>THE PINNACLE CHARTER SCHOOL</v>
      </c>
      <c r="E1313" s="13" t="str">
        <f>IFERROR(__xludf.DUMMYFUNCTION("""COMPUTED_VALUE"""),"Group 3")</f>
        <v>Group 3</v>
      </c>
      <c r="F1313" s="13" t="str">
        <f>IFERROR(__xludf.DUMMYFUNCTION("""COMPUTED_VALUE"""),"2024 - 2025")</f>
        <v>2024 - 2025</v>
      </c>
      <c r="G1313" s="13" t="str">
        <f>IFERROR(__xludf.DUMMYFUNCTION("""COMPUTED_VALUE"""),"2023 - 2024")</f>
        <v>2023 - 2024</v>
      </c>
      <c r="H1313" s="13">
        <f>IFERROR(__xludf.DUMMYFUNCTION("""COMPUTED_VALUE"""),91.97)</f>
        <v>91.97</v>
      </c>
      <c r="I1313" s="15">
        <f>IFERROR(__xludf.DUMMYFUNCTION("""COMPUTED_VALUE"""),8.030000000000001)</f>
        <v>8.03</v>
      </c>
    </row>
    <row r="1314">
      <c r="A1314" s="13" t="str">
        <f>IFERROR(__xludf.DUMMYFUNCTION("""COMPUTED_VALUE"""),"8001")</f>
        <v>8001</v>
      </c>
      <c r="B1314" s="13" t="str">
        <f>IFERROR(__xludf.DUMMYFUNCTION("""COMPUTED_VALUE"""),"State of Colorado, Charter School Institute")</f>
        <v>State of Colorado, Charter School Institute</v>
      </c>
      <c r="C1314" s="14" t="str">
        <f>IFERROR(__xludf.DUMMYFUNCTION("""COMPUTED_VALUE"""),"06679")</f>
        <v>06679</v>
      </c>
      <c r="D1314" s="13" t="str">
        <f>IFERROR(__xludf.DUMMYFUNCTION("""COMPUTED_VALUE"""),"Pagosa Peak Open School")</f>
        <v>Pagosa Peak Open School</v>
      </c>
      <c r="E1314" s="13" t="str">
        <f>IFERROR(__xludf.DUMMYFUNCTION("""COMPUTED_VALUE"""),"Group 3")</f>
        <v>Group 3</v>
      </c>
      <c r="F1314" s="13" t="str">
        <f>IFERROR(__xludf.DUMMYFUNCTION("""COMPUTED_VALUE"""),"2024 - 2025")</f>
        <v>2024 - 2025</v>
      </c>
      <c r="G1314" s="13" t="str">
        <f>IFERROR(__xludf.DUMMYFUNCTION("""COMPUTED_VALUE"""),"2023 - 2024")</f>
        <v>2023 - 2024</v>
      </c>
      <c r="H1314" s="13">
        <f>IFERROR(__xludf.DUMMYFUNCTION("""COMPUTED_VALUE"""),91.97)</f>
        <v>91.97</v>
      </c>
      <c r="I1314" s="15">
        <f>IFERROR(__xludf.DUMMYFUNCTION("""COMPUTED_VALUE"""),8.030000000000001)</f>
        <v>8.03</v>
      </c>
    </row>
    <row r="1315">
      <c r="A1315" s="13" t="str">
        <f>IFERROR(__xludf.DUMMYFUNCTION("""COMPUTED_VALUE"""),"8001")</f>
        <v>8001</v>
      </c>
      <c r="B1315" s="13" t="str">
        <f>IFERROR(__xludf.DUMMYFUNCTION("""COMPUTED_VALUE"""),"State of Colorado, Charter School Institute")</f>
        <v>State of Colorado, Charter School Institute</v>
      </c>
      <c r="C1315" s="14" t="str">
        <f>IFERROR(__xludf.DUMMYFUNCTION("""COMPUTED_VALUE"""),"00657")</f>
        <v>00657</v>
      </c>
      <c r="D1315" s="13" t="str">
        <f>IFERROR(__xludf.DUMMYFUNCTION("""COMPUTED_VALUE"""),"ACADEMY OF ARTS AND KNOWLEDGE")</f>
        <v>ACADEMY OF ARTS AND KNOWLEDGE</v>
      </c>
      <c r="E1315" s="13" t="str">
        <f>IFERROR(__xludf.DUMMYFUNCTION("""COMPUTED_VALUE"""),"Group 4")</f>
        <v>Group 4</v>
      </c>
      <c r="F1315" s="13" t="str">
        <f>IFERROR(__xludf.DUMMYFUNCTION("""COMPUTED_VALUE"""),"2024 - 2025")</f>
        <v>2024 - 2025</v>
      </c>
      <c r="G1315" s="13" t="str">
        <f>IFERROR(__xludf.DUMMYFUNCTION("""COMPUTED_VALUE"""),"2023 - 2024")</f>
        <v>2023 - 2024</v>
      </c>
      <c r="H1315" s="13">
        <f>IFERROR(__xludf.DUMMYFUNCTION("""COMPUTED_VALUE"""),67.81)</f>
        <v>67.81</v>
      </c>
      <c r="I1315" s="15">
        <f>IFERROR(__xludf.DUMMYFUNCTION("""COMPUTED_VALUE"""),32.19)</f>
        <v>32.19</v>
      </c>
    </row>
    <row r="1316">
      <c r="A1316" s="13" t="str">
        <f>IFERROR(__xludf.DUMMYFUNCTION("""COMPUTED_VALUE"""),"8001")</f>
        <v>8001</v>
      </c>
      <c r="B1316" s="13" t="str">
        <f>IFERROR(__xludf.DUMMYFUNCTION("""COMPUTED_VALUE"""),"State of Colorado, Charter School Institute")</f>
        <v>State of Colorado, Charter School Institute</v>
      </c>
      <c r="C1316" s="14" t="str">
        <f>IFERROR(__xludf.DUMMYFUNCTION("""COMPUTED_VALUE"""),"00188")</f>
        <v>00188</v>
      </c>
      <c r="D1316" s="13" t="str">
        <f>IFERROR(__xludf.DUMMYFUNCTION("""COMPUTED_VALUE"""),"Colorado Skies Academy")</f>
        <v>Colorado Skies Academy</v>
      </c>
      <c r="E1316" s="13" t="str">
        <f>IFERROR(__xludf.DUMMYFUNCTION("""COMPUTED_VALUE"""),"Group 4")</f>
        <v>Group 4</v>
      </c>
      <c r="F1316" s="13" t="str">
        <f>IFERROR(__xludf.DUMMYFUNCTION("""COMPUTED_VALUE"""),"2024 - 2025")</f>
        <v>2024 - 2025</v>
      </c>
      <c r="G1316" s="13" t="str">
        <f>IFERROR(__xludf.DUMMYFUNCTION("""COMPUTED_VALUE"""),"2023 - 2024")</f>
        <v>2023 - 2024</v>
      </c>
      <c r="H1316" s="13">
        <f>IFERROR(__xludf.DUMMYFUNCTION("""COMPUTED_VALUE"""),67.81)</f>
        <v>67.81</v>
      </c>
      <c r="I1316" s="15">
        <f>IFERROR(__xludf.DUMMYFUNCTION("""COMPUTED_VALUE"""),32.19)</f>
        <v>32.19</v>
      </c>
    </row>
    <row r="1317">
      <c r="A1317" s="13" t="str">
        <f>IFERROR(__xludf.DUMMYFUNCTION("""COMPUTED_VALUE"""),"8001")</f>
        <v>8001</v>
      </c>
      <c r="B1317" s="13" t="str">
        <f>IFERROR(__xludf.DUMMYFUNCTION("""COMPUTED_VALUE"""),"State of Colorado, Charter School Institute")</f>
        <v>State of Colorado, Charter School Institute</v>
      </c>
      <c r="C1317" s="14" t="str">
        <f>IFERROR(__xludf.DUMMYFUNCTION("""COMPUTED_VALUE"""),"01882")</f>
        <v>01882</v>
      </c>
      <c r="D1317" s="13" t="str">
        <f>IFERROR(__xludf.DUMMYFUNCTION("""COMPUTED_VALUE"""),"COMMUNITY LEADERSHIP ACADEMY")</f>
        <v>COMMUNITY LEADERSHIP ACADEMY</v>
      </c>
      <c r="E1317" s="13" t="str">
        <f>IFERROR(__xludf.DUMMYFUNCTION("""COMPUTED_VALUE"""),"Group 5")</f>
        <v>Group 5</v>
      </c>
      <c r="F1317" s="13" t="str">
        <f>IFERROR(__xludf.DUMMYFUNCTION("""COMPUTED_VALUE"""),"2024 - 2025")</f>
        <v>2024 - 2025</v>
      </c>
      <c r="G1317" s="13" t="str">
        <f>IFERROR(__xludf.DUMMYFUNCTION("""COMPUTED_VALUE"""),"2023 - 2024")</f>
        <v>2023 - 2024</v>
      </c>
      <c r="H1317" s="13">
        <f>IFERROR(__xludf.DUMMYFUNCTION("""COMPUTED_VALUE"""),94.98)</f>
        <v>94.98</v>
      </c>
      <c r="I1317" s="15">
        <f>IFERROR(__xludf.DUMMYFUNCTION("""COMPUTED_VALUE"""),5.019999999999996)</f>
        <v>5.02</v>
      </c>
    </row>
    <row r="1318">
      <c r="A1318" s="13" t="str">
        <f>IFERROR(__xludf.DUMMYFUNCTION("""COMPUTED_VALUE"""),"8001")</f>
        <v>8001</v>
      </c>
      <c r="B1318" s="13" t="str">
        <f>IFERROR(__xludf.DUMMYFUNCTION("""COMPUTED_VALUE"""),"State of Colorado, Charter School Institute")</f>
        <v>State of Colorado, Charter School Institute</v>
      </c>
      <c r="C1318" s="14" t="str">
        <f>IFERROR(__xludf.DUMMYFUNCTION("""COMPUTED_VALUE"""),"07278")</f>
        <v>07278</v>
      </c>
      <c r="D1318" s="13" t="str">
        <f>IFERROR(__xludf.DUMMYFUNCTION("""COMPUTED_VALUE"""),"RICARDO FLORES MAGON ACADEMY")</f>
        <v>RICARDO FLORES MAGON ACADEMY</v>
      </c>
      <c r="E1318" s="13" t="str">
        <f>IFERROR(__xludf.DUMMYFUNCTION("""COMPUTED_VALUE"""),"Group 5")</f>
        <v>Group 5</v>
      </c>
      <c r="F1318" s="13" t="str">
        <f>IFERROR(__xludf.DUMMYFUNCTION("""COMPUTED_VALUE"""),"2024 - 2025")</f>
        <v>2024 - 2025</v>
      </c>
      <c r="G1318" s="13" t="str">
        <f>IFERROR(__xludf.DUMMYFUNCTION("""COMPUTED_VALUE"""),"2023 - 2024")</f>
        <v>2023 - 2024</v>
      </c>
      <c r="H1318" s="13">
        <f>IFERROR(__xludf.DUMMYFUNCTION("""COMPUTED_VALUE"""),94.98)</f>
        <v>94.98</v>
      </c>
      <c r="I1318" s="15">
        <f>IFERROR(__xludf.DUMMYFUNCTION("""COMPUTED_VALUE"""),5.019999999999996)</f>
        <v>5.02</v>
      </c>
    </row>
    <row r="1319">
      <c r="A1319" s="13" t="str">
        <f>IFERROR(__xludf.DUMMYFUNCTION("""COMPUTED_VALUE"""),"8001")</f>
        <v>8001</v>
      </c>
      <c r="B1319" s="13" t="str">
        <f>IFERROR(__xludf.DUMMYFUNCTION("""COMPUTED_VALUE"""),"State of Colorado, Charter School Institute")</f>
        <v>State of Colorado, Charter School Institute</v>
      </c>
      <c r="C1319" s="14" t="str">
        <f>IFERROR(__xludf.DUMMYFUNCTION("""COMPUTED_VALUE"""),"09037")</f>
        <v>09037</v>
      </c>
      <c r="D1319" s="13" t="str">
        <f>IFERROR(__xludf.DUMMYFUNCTION("""COMPUTED_VALUE"""),"VICTORY PREPARATORY ACADEMY HIGH STATE CHARTER SCHOOL")</f>
        <v>VICTORY PREPARATORY ACADEMY HIGH STATE CHARTER SCHOOL</v>
      </c>
      <c r="E1319" s="13" t="str">
        <f>IFERROR(__xludf.DUMMYFUNCTION("""COMPUTED_VALUE"""),"Group 5")</f>
        <v>Group 5</v>
      </c>
      <c r="F1319" s="13" t="str">
        <f>IFERROR(__xludf.DUMMYFUNCTION("""COMPUTED_VALUE"""),"2024 - 2025")</f>
        <v>2024 - 2025</v>
      </c>
      <c r="G1319" s="13" t="str">
        <f>IFERROR(__xludf.DUMMYFUNCTION("""COMPUTED_VALUE"""),"2023 - 2024")</f>
        <v>2023 - 2024</v>
      </c>
      <c r="H1319" s="13">
        <f>IFERROR(__xludf.DUMMYFUNCTION("""COMPUTED_VALUE"""),94.98)</f>
        <v>94.98</v>
      </c>
      <c r="I1319" s="15">
        <f>IFERROR(__xludf.DUMMYFUNCTION("""COMPUTED_VALUE"""),5.019999999999996)</f>
        <v>5.02</v>
      </c>
    </row>
    <row r="1320">
      <c r="A1320" s="13" t="str">
        <f>IFERROR(__xludf.DUMMYFUNCTION("""COMPUTED_VALUE"""),"8001")</f>
        <v>8001</v>
      </c>
      <c r="B1320" s="13" t="str">
        <f>IFERROR(__xludf.DUMMYFUNCTION("""COMPUTED_VALUE"""),"State of Colorado, Charter School Institute")</f>
        <v>State of Colorado, Charter School Institute</v>
      </c>
      <c r="C1320" s="14" t="str">
        <f>IFERROR(__xludf.DUMMYFUNCTION("""COMPUTED_VALUE"""),"05313")</f>
        <v>05313</v>
      </c>
      <c r="D1320" s="13" t="str">
        <f>IFERROR(__xludf.DUMMYFUNCTION("""COMPUTED_VALUE"""),"Kwiyagat Community Academy")</f>
        <v>Kwiyagat Community Academy</v>
      </c>
      <c r="E1320" s="13" t="str">
        <f>IFERROR(__xludf.DUMMYFUNCTION("""COMPUTED_VALUE"""),"Group 5")</f>
        <v>Group 5</v>
      </c>
      <c r="F1320" s="13" t="str">
        <f>IFERROR(__xludf.DUMMYFUNCTION("""COMPUTED_VALUE"""),"2024 - 2025")</f>
        <v>2024 - 2025</v>
      </c>
      <c r="G1320" s="13" t="str">
        <f>IFERROR(__xludf.DUMMYFUNCTION("""COMPUTED_VALUE"""),"2023 - 2024")</f>
        <v>2023 - 2024</v>
      </c>
      <c r="H1320" s="13">
        <f>IFERROR(__xludf.DUMMYFUNCTION("""COMPUTED_VALUE"""),94.98)</f>
        <v>94.98</v>
      </c>
      <c r="I1320" s="15">
        <f>IFERROR(__xludf.DUMMYFUNCTION("""COMPUTED_VALUE"""),5.019999999999996)</f>
        <v>5.02</v>
      </c>
    </row>
    <row r="1321">
      <c r="A1321" s="13" t="str">
        <f>IFERROR(__xludf.DUMMYFUNCTION("""COMPUTED_VALUE"""),"8001")</f>
        <v>8001</v>
      </c>
      <c r="B1321" s="13" t="str">
        <f>IFERROR(__xludf.DUMMYFUNCTION("""COMPUTED_VALUE"""),"State of Colorado, Charter School Institute")</f>
        <v>State of Colorado, Charter School Institute</v>
      </c>
      <c r="C1321" s="14" t="str">
        <f>IFERROR(__xludf.DUMMYFUNCTION("""COMPUTED_VALUE"""),"01505")</f>
        <v>01505</v>
      </c>
      <c r="D1321" s="13" t="str">
        <f>IFERROR(__xludf.DUMMYFUNCTION("""COMPUTED_VALUE"""),"Colorado Military Academy")</f>
        <v>Colorado Military Academy</v>
      </c>
      <c r="E1321" s="13" t="str">
        <f>IFERROR(__xludf.DUMMYFUNCTION("""COMPUTED_VALUE"""),"Group 5")</f>
        <v>Group 5</v>
      </c>
      <c r="F1321" s="13" t="str">
        <f>IFERROR(__xludf.DUMMYFUNCTION("""COMPUTED_VALUE"""),"2024 - 2025")</f>
        <v>2024 - 2025</v>
      </c>
      <c r="G1321" s="13" t="str">
        <f>IFERROR(__xludf.DUMMYFUNCTION("""COMPUTED_VALUE"""),"2023 - 2024")</f>
        <v>2023 - 2024</v>
      </c>
      <c r="H1321" s="13">
        <f>IFERROR(__xludf.DUMMYFUNCTION("""COMPUTED_VALUE"""),94.98)</f>
        <v>94.98</v>
      </c>
      <c r="I1321" s="15">
        <f>IFERROR(__xludf.DUMMYFUNCTION("""COMPUTED_VALUE"""),5.019999999999996)</f>
        <v>5.02</v>
      </c>
    </row>
    <row r="1322">
      <c r="A1322" s="13" t="str">
        <f>IFERROR(__xludf.DUMMYFUNCTION("""COMPUTED_VALUE"""),"8001")</f>
        <v>8001</v>
      </c>
      <c r="B1322" s="13" t="str">
        <f>IFERROR(__xludf.DUMMYFUNCTION("""COMPUTED_VALUE"""),"State of Colorado, Charter School Institute")</f>
        <v>State of Colorado, Charter School Institute</v>
      </c>
      <c r="C1322" s="14" t="str">
        <f>IFERROR(__xludf.DUMMYFUNCTION("""COMPUTED_VALUE"""),"03439")</f>
        <v>03439</v>
      </c>
      <c r="D1322" s="13" t="str">
        <f>IFERROR(__xludf.DUMMYFUNCTION("""COMPUTED_VALUE"""),"Global Village Academy - Northglenn")</f>
        <v>Global Village Academy - Northglenn</v>
      </c>
      <c r="E1322" s="13" t="str">
        <f>IFERROR(__xludf.DUMMYFUNCTION("""COMPUTED_VALUE"""),"Group 6")</f>
        <v>Group 6</v>
      </c>
      <c r="F1322" s="13" t="str">
        <f>IFERROR(__xludf.DUMMYFUNCTION("""COMPUTED_VALUE"""),"2024 - 2025")</f>
        <v>2024 - 2025</v>
      </c>
      <c r="G1322" s="13" t="str">
        <f>IFERROR(__xludf.DUMMYFUNCTION("""COMPUTED_VALUE"""),"2023 - 2024")</f>
        <v>2023 - 2024</v>
      </c>
      <c r="H1322" s="13">
        <f>IFERROR(__xludf.DUMMYFUNCTION("""COMPUTED_VALUE"""),60.16)</f>
        <v>60.16</v>
      </c>
      <c r="I1322" s="15">
        <f>IFERROR(__xludf.DUMMYFUNCTION("""COMPUTED_VALUE"""),39.84)</f>
        <v>39.84</v>
      </c>
    </row>
    <row r="1323">
      <c r="A1323" s="13" t="str">
        <f>IFERROR(__xludf.DUMMYFUNCTION("""COMPUTED_VALUE"""),"8001")</f>
        <v>8001</v>
      </c>
      <c r="B1323" s="13" t="str">
        <f>IFERROR(__xludf.DUMMYFUNCTION("""COMPUTED_VALUE"""),"State of Colorado, Charter School Institute")</f>
        <v>State of Colorado, Charter School Institute</v>
      </c>
      <c r="C1323" s="14" t="str">
        <f>IFERROR(__xludf.DUMMYFUNCTION("""COMPUTED_VALUE"""),"00493")</f>
        <v>00493</v>
      </c>
      <c r="D1323" s="13" t="str">
        <f>IFERROR(__xludf.DUMMYFUNCTION("""COMPUTED_VALUE"""),"Axis International Academy")</f>
        <v>Axis International Academy</v>
      </c>
      <c r="E1323" s="13" t="str">
        <f>IFERROR(__xludf.DUMMYFUNCTION("""COMPUTED_VALUE"""),"Group 6")</f>
        <v>Group 6</v>
      </c>
      <c r="F1323" s="13" t="str">
        <f>IFERROR(__xludf.DUMMYFUNCTION("""COMPUTED_VALUE"""),"2024 - 2025")</f>
        <v>2024 - 2025</v>
      </c>
      <c r="G1323" s="13" t="str">
        <f>IFERROR(__xludf.DUMMYFUNCTION("""COMPUTED_VALUE"""),"2023 - 2024")</f>
        <v>2023 - 2024</v>
      </c>
      <c r="H1323" s="13">
        <f>IFERROR(__xludf.DUMMYFUNCTION("""COMPUTED_VALUE"""),60.16)</f>
        <v>60.16</v>
      </c>
      <c r="I1323" s="15">
        <f>IFERROR(__xludf.DUMMYFUNCTION("""COMPUTED_VALUE"""),39.84)</f>
        <v>39.84</v>
      </c>
    </row>
    <row r="1324">
      <c r="A1324" s="13" t="str">
        <f>IFERROR(__xludf.DUMMYFUNCTION("""COMPUTED_VALUE"""),"8001")</f>
        <v>8001</v>
      </c>
      <c r="B1324" s="13" t="str">
        <f>IFERROR(__xludf.DUMMYFUNCTION("""COMPUTED_VALUE"""),"State of Colorado, Charter School Institute")</f>
        <v>State of Colorado, Charter School Institute</v>
      </c>
      <c r="C1324" s="14" t="str">
        <f>IFERROR(__xludf.DUMMYFUNCTION("""COMPUTED_VALUE"""),"09040")</f>
        <v>09040</v>
      </c>
      <c r="D1324" s="13" t="str">
        <f>IFERROR(__xludf.DUMMYFUNCTION("""COMPUTED_VALUE"""),"VICTORY PREPARATORY ACADEMY MIDDLE STATE CHARTER SCHOOL")</f>
        <v>VICTORY PREPARATORY ACADEMY MIDDLE STATE CHARTER SCHOOL</v>
      </c>
      <c r="E1324" s="13" t="str">
        <f>IFERROR(__xludf.DUMMYFUNCTION("""COMPUTED_VALUE"""),"Group 7")</f>
        <v>Group 7</v>
      </c>
      <c r="F1324" s="13" t="str">
        <f>IFERROR(__xludf.DUMMYFUNCTION("""COMPUTED_VALUE"""),"2024 - 2025")</f>
        <v>2024 - 2025</v>
      </c>
      <c r="G1324" s="13" t="str">
        <f>IFERROR(__xludf.DUMMYFUNCTION("""COMPUTED_VALUE"""),"2023 - 2024")</f>
        <v>2023 - 2024</v>
      </c>
      <c r="H1324" s="13">
        <f>IFERROR(__xludf.DUMMYFUNCTION("""COMPUTED_VALUE"""),99.14)</f>
        <v>99.14</v>
      </c>
      <c r="I1324" s="15">
        <f>IFERROR(__xludf.DUMMYFUNCTION("""COMPUTED_VALUE"""),0.8599999999999994)</f>
        <v>0.86</v>
      </c>
    </row>
    <row r="1325">
      <c r="A1325" s="13" t="str">
        <f>IFERROR(__xludf.DUMMYFUNCTION("""COMPUTED_VALUE"""),"8001")</f>
        <v>8001</v>
      </c>
      <c r="B1325" s="13" t="str">
        <f>IFERROR(__xludf.DUMMYFUNCTION("""COMPUTED_VALUE"""),"State of Colorado, Charter School Institute")</f>
        <v>State of Colorado, Charter School Institute</v>
      </c>
      <c r="C1325" s="14" t="str">
        <f>IFERROR(__xludf.DUMMYFUNCTION("""COMPUTED_VALUE"""),"04699")</f>
        <v>04699</v>
      </c>
      <c r="D1325" s="13" t="str">
        <f>IFERROR(__xludf.DUMMYFUNCTION("""COMPUTED_VALUE"""),"New America School - Thornton")</f>
        <v>New America School - Thornton</v>
      </c>
      <c r="E1325" s="13" t="str">
        <f>IFERROR(__xludf.DUMMYFUNCTION("""COMPUTED_VALUE"""),"Group 8")</f>
        <v>Group 8</v>
      </c>
      <c r="F1325" s="13" t="str">
        <f>IFERROR(__xludf.DUMMYFUNCTION("""COMPUTED_VALUE"""),"2024 - 2025")</f>
        <v>2024 - 2025</v>
      </c>
      <c r="G1325" s="13" t="str">
        <f>IFERROR(__xludf.DUMMYFUNCTION("""COMPUTED_VALUE"""),"2023 - 2024")</f>
        <v>2023 - 2024</v>
      </c>
      <c r="H1325" s="13">
        <f>IFERROR(__xludf.DUMMYFUNCTION("""COMPUTED_VALUE"""),57.12)</f>
        <v>57.12</v>
      </c>
      <c r="I1325" s="15">
        <f>IFERROR(__xludf.DUMMYFUNCTION("""COMPUTED_VALUE"""),42.88)</f>
        <v>42.88</v>
      </c>
    </row>
    <row r="1326">
      <c r="A1326" s="13" t="str">
        <f>IFERROR(__xludf.DUMMYFUNCTION("""COMPUTED_VALUE"""),"8001")</f>
        <v>8001</v>
      </c>
      <c r="B1326" s="13" t="str">
        <f>IFERROR(__xludf.DUMMYFUNCTION("""COMPUTED_VALUE"""),"State of Colorado, Charter School Institute")</f>
        <v>State of Colorado, Charter School Institute</v>
      </c>
      <c r="C1326" s="14" t="str">
        <f>IFERROR(__xludf.DUMMYFUNCTION("""COMPUTED_VALUE"""),"00015")</f>
        <v>00015</v>
      </c>
      <c r="D1326" s="13" t="str">
        <f>IFERROR(__xludf.DUMMYFUNCTION("""COMPUTED_VALUE"""),"Academy of Charter Schools")</f>
        <v>Academy of Charter Schools</v>
      </c>
      <c r="E1326" s="13" t="str">
        <f>IFERROR(__xludf.DUMMYFUNCTION("""COMPUTED_VALUE"""),"Group 8")</f>
        <v>Group 8</v>
      </c>
      <c r="F1326" s="13" t="str">
        <f>IFERROR(__xludf.DUMMYFUNCTION("""COMPUTED_VALUE"""),"2024 - 2025")</f>
        <v>2024 - 2025</v>
      </c>
      <c r="G1326" s="13" t="str">
        <f>IFERROR(__xludf.DUMMYFUNCTION("""COMPUTED_VALUE"""),"2023 - 2024")</f>
        <v>2023 - 2024</v>
      </c>
      <c r="H1326" s="13">
        <f>IFERROR(__xludf.DUMMYFUNCTION("""COMPUTED_VALUE"""),57.12)</f>
        <v>57.12</v>
      </c>
      <c r="I1326" s="15">
        <f>IFERROR(__xludf.DUMMYFUNCTION("""COMPUTED_VALUE"""),42.88)</f>
        <v>42.88</v>
      </c>
    </row>
    <row r="1327">
      <c r="A1327" s="13" t="str">
        <f>IFERROR(__xludf.DUMMYFUNCTION("""COMPUTED_VALUE"""),"8001")</f>
        <v>8001</v>
      </c>
      <c r="B1327" s="13" t="str">
        <f>IFERROR(__xludf.DUMMYFUNCTION("""COMPUTED_VALUE"""),"State of Colorado, Charter School Institute")</f>
        <v>State of Colorado, Charter School Institute</v>
      </c>
      <c r="C1327" s="14" t="str">
        <f>IFERROR(__xludf.DUMMYFUNCTION("""COMPUTED_VALUE"""),"06219")</f>
        <v>06219</v>
      </c>
      <c r="D1327" s="13" t="str">
        <f>IFERROR(__xludf.DUMMYFUNCTION("""COMPUTED_VALUE"""),"New America - Aurora")</f>
        <v>New America - Aurora</v>
      </c>
      <c r="E1327" s="13" t="str">
        <f>IFERROR(__xludf.DUMMYFUNCTION("""COMPUTED_VALUE"""),"Group 8")</f>
        <v>Group 8</v>
      </c>
      <c r="F1327" s="13" t="str">
        <f>IFERROR(__xludf.DUMMYFUNCTION("""COMPUTED_VALUE"""),"2024 - 2025")</f>
        <v>2024 - 2025</v>
      </c>
      <c r="G1327" s="13" t="str">
        <f>IFERROR(__xludf.DUMMYFUNCTION("""COMPUTED_VALUE"""),"2023 - 2024")</f>
        <v>2023 - 2024</v>
      </c>
      <c r="H1327" s="13">
        <f>IFERROR(__xludf.DUMMYFUNCTION("""COMPUTED_VALUE"""),57.12)</f>
        <v>57.12</v>
      </c>
      <c r="I1327" s="15">
        <f>IFERROR(__xludf.DUMMYFUNCTION("""COMPUTED_VALUE"""),42.88)</f>
        <v>42.88</v>
      </c>
    </row>
    <row r="1328">
      <c r="A1328" s="13" t="str">
        <f>IFERROR(__xludf.DUMMYFUNCTION("""COMPUTED_VALUE"""),"8001")</f>
        <v>8001</v>
      </c>
      <c r="B1328" s="13" t="str">
        <f>IFERROR(__xludf.DUMMYFUNCTION("""COMPUTED_VALUE"""),"State of Colorado, Charter School Institute")</f>
        <v>State of Colorado, Charter School Institute</v>
      </c>
      <c r="C1328" s="14" t="str">
        <f>IFERROR(__xludf.DUMMYFUNCTION("""COMPUTED_VALUE"""),"01633")</f>
        <v>01633</v>
      </c>
      <c r="D1328" s="13" t="str">
        <f>IFERROR(__xludf.DUMMYFUNCTION("""COMPUTED_VALUE"""),"Colorado Early College Aurora")</f>
        <v>Colorado Early College Aurora</v>
      </c>
      <c r="E1328" s="13" t="str">
        <f>IFERROR(__xludf.DUMMYFUNCTION("""COMPUTED_VALUE"""),"Group 8")</f>
        <v>Group 8</v>
      </c>
      <c r="F1328" s="13" t="str">
        <f>IFERROR(__xludf.DUMMYFUNCTION("""COMPUTED_VALUE"""),"2024 - 2025")</f>
        <v>2024 - 2025</v>
      </c>
      <c r="G1328" s="13" t="str">
        <f>IFERROR(__xludf.DUMMYFUNCTION("""COMPUTED_VALUE"""),"2023 - 2024")</f>
        <v>2023 - 2024</v>
      </c>
      <c r="H1328" s="13">
        <f>IFERROR(__xludf.DUMMYFUNCTION("""COMPUTED_VALUE"""),57.12)</f>
        <v>57.12</v>
      </c>
      <c r="I1328" s="15">
        <f>IFERROR(__xludf.DUMMYFUNCTION("""COMPUTED_VALUE"""),42.88)</f>
        <v>42.88</v>
      </c>
    </row>
    <row r="1329">
      <c r="A1329" s="13" t="str">
        <f>IFERROR(__xludf.DUMMYFUNCTION("""COMPUTED_VALUE"""),"8008")</f>
        <v>8008</v>
      </c>
      <c r="B1329" s="13" t="str">
        <f>IFERROR(__xludf.DUMMYFUNCTION("""COMPUTED_VALUE"""),"HOPE Online")</f>
        <v>HOPE Online</v>
      </c>
      <c r="C1329" s="14" t="str">
        <f>IFERROR(__xludf.DUMMYFUNCTION("""COMPUTED_VALUE"""),"03995")</f>
        <v>03995</v>
      </c>
      <c r="D1329" s="13" t="str">
        <f>IFERROR(__xludf.DUMMYFUNCTION("""COMPUTED_VALUE"""),"HOPE ONLINE LEARNING ACADEMY CO-OP")</f>
        <v>HOPE ONLINE LEARNING ACADEMY CO-OP</v>
      </c>
      <c r="E1329" s="13" t="str">
        <f>IFERROR(__xludf.DUMMYFUNCTION("""COMPUTED_VALUE"""),"Group 1")</f>
        <v>Group 1</v>
      </c>
      <c r="F1329" s="13" t="str">
        <f>IFERROR(__xludf.DUMMYFUNCTION("""COMPUTED_VALUE"""),"2024 - 2025")</f>
        <v>2024 - 2025</v>
      </c>
      <c r="G1329" s="13" t="str">
        <f>IFERROR(__xludf.DUMMYFUNCTION("""COMPUTED_VALUE"""),"2023 - 2024")</f>
        <v>2023 - 2024</v>
      </c>
      <c r="H1329" s="13">
        <f>IFERROR(__xludf.DUMMYFUNCTION("""COMPUTED_VALUE"""),99.52)</f>
        <v>99.52</v>
      </c>
      <c r="I1329" s="15">
        <f>IFERROR(__xludf.DUMMYFUNCTION("""COMPUTED_VALUE"""),0.480000000000004)</f>
        <v>0.48</v>
      </c>
    </row>
    <row r="1330">
      <c r="A1330" s="13" t="str">
        <f>IFERROR(__xludf.DUMMYFUNCTION("""COMPUTED_VALUE"""),"8011")</f>
        <v>8011</v>
      </c>
      <c r="B1330" s="13" t="str">
        <f>IFERROR(__xludf.DUMMYFUNCTION("""COMPUTED_VALUE"""),"Sky Ranch Academy")</f>
        <v>Sky Ranch Academy</v>
      </c>
      <c r="C1330" s="14" t="str">
        <f>IFERROR(__xludf.DUMMYFUNCTION("""COMPUTED_VALUE"""),"07796")</f>
        <v>07796</v>
      </c>
      <c r="D1330" s="13" t="str">
        <f>IFERROR(__xludf.DUMMYFUNCTION("""COMPUTED_VALUE"""),"Sky Ranch Academy")</f>
        <v>Sky Ranch Academy</v>
      </c>
      <c r="E1330" s="13" t="str">
        <f>IFERROR(__xludf.DUMMYFUNCTION("""COMPUTED_VALUE"""),"Group 1")</f>
        <v>Group 1</v>
      </c>
      <c r="F1330" s="13" t="str">
        <f>IFERROR(__xludf.DUMMYFUNCTION("""COMPUTED_VALUE"""),"2024 - 2025")</f>
        <v>2024 - 2025</v>
      </c>
      <c r="G1330" s="13" t="str">
        <f>IFERROR(__xludf.DUMMYFUNCTION("""COMPUTED_VALUE"""),"2023 - 2024")</f>
        <v>2023 - 2024</v>
      </c>
      <c r="H1330" s="13">
        <f>IFERROR(__xludf.DUMMYFUNCTION("""COMPUTED_VALUE"""),62.13)</f>
        <v>62.13</v>
      </c>
      <c r="I1330" s="15">
        <f>IFERROR(__xludf.DUMMYFUNCTION("""COMPUTED_VALUE"""),37.87)</f>
        <v>37.87</v>
      </c>
    </row>
    <row r="1331">
      <c r="A1331" s="13" t="str">
        <f>IFERROR(__xludf.DUMMYFUNCTION("""COMPUTED_VALUE"""),"8013")</f>
        <v>8013</v>
      </c>
      <c r="B1331" s="13" t="str">
        <f>IFERROR(__xludf.DUMMYFUNCTION("""COMPUTED_VALUE"""),"Swallows Charter Academy")</f>
        <v>Swallows Charter Academy</v>
      </c>
      <c r="C1331" s="14" t="str">
        <f>IFERROR(__xludf.DUMMYFUNCTION("""COMPUTED_VALUE"""),"07879")</f>
        <v>07879</v>
      </c>
      <c r="D1331" s="13" t="str">
        <f>IFERROR(__xludf.DUMMYFUNCTION("""COMPUTED_VALUE"""),"Swallows Charter Academy High School")</f>
        <v>Swallows Charter Academy High School</v>
      </c>
      <c r="E1331" s="13" t="str">
        <f>IFERROR(__xludf.DUMMYFUNCTION("""COMPUTED_VALUE"""),"Group 1")</f>
        <v>Group 1</v>
      </c>
      <c r="F1331" s="13" t="str">
        <f>IFERROR(__xludf.DUMMYFUNCTION("""COMPUTED_VALUE"""),"2024 - 2025")</f>
        <v>2024 - 2025</v>
      </c>
      <c r="G1331" s="13" t="str">
        <f>IFERROR(__xludf.DUMMYFUNCTION("""COMPUTED_VALUE"""),"2023 - 2024")</f>
        <v>2023 - 2024</v>
      </c>
      <c r="H1331" s="13">
        <f>IFERROR(__xludf.DUMMYFUNCTION("""COMPUTED_VALUE"""),43.54)</f>
        <v>43.54</v>
      </c>
      <c r="I1331" s="15">
        <f>IFERROR(__xludf.DUMMYFUNCTION("""COMPUTED_VALUE"""),56.46)</f>
        <v>56.46</v>
      </c>
    </row>
    <row r="1332">
      <c r="A1332" s="13" t="str">
        <f>IFERROR(__xludf.DUMMYFUNCTION("""COMPUTED_VALUE"""),"8013")</f>
        <v>8013</v>
      </c>
      <c r="B1332" s="13" t="str">
        <f>IFERROR(__xludf.DUMMYFUNCTION("""COMPUTED_VALUE"""),"Swallows Charter Academy")</f>
        <v>Swallows Charter Academy</v>
      </c>
      <c r="C1332" s="14" t="str">
        <f>IFERROR(__xludf.DUMMYFUNCTION("""COMPUTED_VALUE"""),"08420")</f>
        <v>08420</v>
      </c>
      <c r="D1332" s="13" t="str">
        <f>IFERROR(__xludf.DUMMYFUNCTION("""COMPUTED_VALUE"""),"Swallows Charter Academy")</f>
        <v>Swallows Charter Academy</v>
      </c>
      <c r="E1332" s="13" t="str">
        <f>IFERROR(__xludf.DUMMYFUNCTION("""COMPUTED_VALUE"""),"Group 1")</f>
        <v>Group 1</v>
      </c>
      <c r="F1332" s="13" t="str">
        <f>IFERROR(__xludf.DUMMYFUNCTION("""COMPUTED_VALUE"""),"2024 - 2025")</f>
        <v>2024 - 2025</v>
      </c>
      <c r="G1332" s="13" t="str">
        <f>IFERROR(__xludf.DUMMYFUNCTION("""COMPUTED_VALUE"""),"2023 - 2024")</f>
        <v>2023 - 2024</v>
      </c>
      <c r="H1332" s="13">
        <f>IFERROR(__xludf.DUMMYFUNCTION("""COMPUTED_VALUE"""),43.54)</f>
        <v>43.54</v>
      </c>
      <c r="I1332" s="15">
        <f>IFERROR(__xludf.DUMMYFUNCTION("""COMPUTED_VALUE"""),56.46)</f>
        <v>56.46</v>
      </c>
    </row>
    <row r="1333">
      <c r="A1333" s="13" t="str">
        <f>IFERROR(__xludf.DUMMYFUNCTION("""COMPUTED_VALUE"""),"8042")</f>
        <v>8042</v>
      </c>
      <c r="B1333" s="13" t="str">
        <f>IFERROR(__xludf.DUMMYFUNCTION("""COMPUTED_VALUE"""),"CharterChoice Collaborative")</f>
        <v>CharterChoice Collaborative</v>
      </c>
      <c r="C1333" s="14" t="str">
        <f>IFERROR(__xludf.DUMMYFUNCTION("""COMPUTED_VALUE"""),"02035")</f>
        <v>02035</v>
      </c>
      <c r="D1333" s="13" t="str">
        <f>IFERROR(__xludf.DUMMYFUNCTION("""COMPUTED_VALUE"""),"CROWN POINTE ACADEMY")</f>
        <v>CROWN POINTE ACADEMY</v>
      </c>
      <c r="E1333" s="13" t="str">
        <f>IFERROR(__xludf.DUMMYFUNCTION("""COMPUTED_VALUE"""),"Group 1")</f>
        <v>Group 1</v>
      </c>
      <c r="F1333" s="13" t="str">
        <f>IFERROR(__xludf.DUMMYFUNCTION("""COMPUTED_VALUE"""),"2024 - 2025")</f>
        <v>2024 - 2025</v>
      </c>
      <c r="G1333" s="13" t="str">
        <f>IFERROR(__xludf.DUMMYFUNCTION("""COMPUTED_VALUE"""),"2023 - 2024")</f>
        <v>2023 - 2024</v>
      </c>
      <c r="H1333" s="13">
        <f>IFERROR(__xludf.DUMMYFUNCTION("""COMPUTED_VALUE"""),100.0)</f>
        <v>100</v>
      </c>
      <c r="I1333" s="15">
        <f>IFERROR(__xludf.DUMMYFUNCTION("""COMPUTED_VALUE"""),0.0)</f>
        <v>0</v>
      </c>
    </row>
    <row r="1334">
      <c r="A1334" s="13" t="str">
        <f>IFERROR(__xludf.DUMMYFUNCTION("""COMPUTED_VALUE"""),"8042")</f>
        <v>8042</v>
      </c>
      <c r="B1334" s="13" t="str">
        <f>IFERROR(__xludf.DUMMYFUNCTION("""COMPUTED_VALUE"""),"CharterChoice Collaborative")</f>
        <v>CharterChoice Collaborative</v>
      </c>
      <c r="C1334" s="14" t="str">
        <f>IFERROR(__xludf.DUMMYFUNCTION("""COMPUTED_VALUE"""),"07471")</f>
        <v>07471</v>
      </c>
      <c r="D1334" s="13" t="str">
        <f>IFERROR(__xludf.DUMMYFUNCTION("""COMPUTED_VALUE"""),"ROCKY MOUNTAIN PREP - SOUTHWEST")</f>
        <v>ROCKY MOUNTAIN PREP - SOUTHWEST</v>
      </c>
      <c r="E1334" s="13" t="str">
        <f>IFERROR(__xludf.DUMMYFUNCTION("""COMPUTED_VALUE"""),"Group 1")</f>
        <v>Group 1</v>
      </c>
      <c r="F1334" s="13" t="str">
        <f>IFERROR(__xludf.DUMMYFUNCTION("""COMPUTED_VALUE"""),"2024 - 2025")</f>
        <v>2024 - 2025</v>
      </c>
      <c r="G1334" s="13" t="str">
        <f>IFERROR(__xludf.DUMMYFUNCTION("""COMPUTED_VALUE"""),"2023 - 2024")</f>
        <v>2023 - 2024</v>
      </c>
      <c r="H1334" s="13">
        <f>IFERROR(__xludf.DUMMYFUNCTION("""COMPUTED_VALUE"""),100.0)</f>
        <v>100</v>
      </c>
      <c r="I1334" s="15">
        <f>IFERROR(__xludf.DUMMYFUNCTION("""COMPUTED_VALUE"""),0.0)</f>
        <v>0</v>
      </c>
    </row>
    <row r="1335">
      <c r="A1335" s="13" t="str">
        <f>IFERROR(__xludf.DUMMYFUNCTION("""COMPUTED_VALUE"""),"8042")</f>
        <v>8042</v>
      </c>
      <c r="B1335" s="13" t="str">
        <f>IFERROR(__xludf.DUMMYFUNCTION("""COMPUTED_VALUE"""),"CharterChoice Collaborative")</f>
        <v>CharterChoice Collaborative</v>
      </c>
      <c r="C1335" s="14" t="str">
        <f>IFERROR(__xludf.DUMMYFUNCTION("""COMPUTED_VALUE"""),"00369")</f>
        <v>00369</v>
      </c>
      <c r="D1335" s="13" t="str">
        <f>IFERROR(__xludf.DUMMYFUNCTION("""COMPUTED_VALUE"""),"ATLAS PREP MIDDLE SCHOOL")</f>
        <v>ATLAS PREP MIDDLE SCHOOL</v>
      </c>
      <c r="E1335" s="13" t="str">
        <f>IFERROR(__xludf.DUMMYFUNCTION("""COMPUTED_VALUE"""),"Group 1")</f>
        <v>Group 1</v>
      </c>
      <c r="F1335" s="13" t="str">
        <f>IFERROR(__xludf.DUMMYFUNCTION("""COMPUTED_VALUE"""),"2024 - 2025")</f>
        <v>2024 - 2025</v>
      </c>
      <c r="G1335" s="13" t="str">
        <f>IFERROR(__xludf.DUMMYFUNCTION("""COMPUTED_VALUE"""),"2023 - 2024")</f>
        <v>2023 - 2024</v>
      </c>
      <c r="H1335" s="13">
        <f>IFERROR(__xludf.DUMMYFUNCTION("""COMPUTED_VALUE"""),100.0)</f>
        <v>100</v>
      </c>
      <c r="I1335" s="15">
        <f>IFERROR(__xludf.DUMMYFUNCTION("""COMPUTED_VALUE"""),0.0)</f>
        <v>0</v>
      </c>
    </row>
    <row r="1336">
      <c r="A1336" s="13" t="str">
        <f>IFERROR(__xludf.DUMMYFUNCTION("""COMPUTED_VALUE"""),"8042")</f>
        <v>8042</v>
      </c>
      <c r="B1336" s="13" t="str">
        <f>IFERROR(__xludf.DUMMYFUNCTION("""COMPUTED_VALUE"""),"CharterChoice Collaborative")</f>
        <v>CharterChoice Collaborative</v>
      </c>
      <c r="C1336" s="14" t="str">
        <f>IFERROR(__xludf.DUMMYFUNCTION("""COMPUTED_VALUE"""),"01371")</f>
        <v>01371</v>
      </c>
      <c r="D1336" s="13" t="str">
        <f>IFERROR(__xludf.DUMMYFUNCTION("""COMPUTED_VALUE"""),"COPERNI 3")</f>
        <v>COPERNI 3</v>
      </c>
      <c r="E1336" s="13" t="str">
        <f>IFERROR(__xludf.DUMMYFUNCTION("""COMPUTED_VALUE"""),"Group 1")</f>
        <v>Group 1</v>
      </c>
      <c r="F1336" s="13" t="str">
        <f>IFERROR(__xludf.DUMMYFUNCTION("""COMPUTED_VALUE"""),"2024 - 2025")</f>
        <v>2024 - 2025</v>
      </c>
      <c r="G1336" s="13" t="str">
        <f>IFERROR(__xludf.DUMMYFUNCTION("""COMPUTED_VALUE"""),"2023 - 2024")</f>
        <v>2023 - 2024</v>
      </c>
      <c r="H1336" s="13">
        <f>IFERROR(__xludf.DUMMYFUNCTION("""COMPUTED_VALUE"""),100.0)</f>
        <v>100</v>
      </c>
      <c r="I1336" s="15">
        <f>IFERROR(__xludf.DUMMYFUNCTION("""COMPUTED_VALUE"""),0.0)</f>
        <v>0</v>
      </c>
    </row>
    <row r="1337">
      <c r="A1337" s="13" t="str">
        <f>IFERROR(__xludf.DUMMYFUNCTION("""COMPUTED_VALUE"""),"8042")</f>
        <v>8042</v>
      </c>
      <c r="B1337" s="13" t="str">
        <f>IFERROR(__xludf.DUMMYFUNCTION("""COMPUTED_VALUE"""),"CharterChoice Collaborative")</f>
        <v>CharterChoice Collaborative</v>
      </c>
      <c r="C1337" s="14" t="str">
        <f>IFERROR(__xludf.DUMMYFUNCTION("""COMPUTED_VALUE"""),"08401")</f>
        <v>08401</v>
      </c>
      <c r="D1337" s="13" t="str">
        <f>IFERROR(__xludf.DUMMYFUNCTION("""COMPUTED_VALUE"""),"STRIVE PREP- RUBY HILL")</f>
        <v>STRIVE PREP- RUBY HILL</v>
      </c>
      <c r="E1337" s="13" t="str">
        <f>IFERROR(__xludf.DUMMYFUNCTION("""COMPUTED_VALUE"""),"Group 1")</f>
        <v>Group 1</v>
      </c>
      <c r="F1337" s="13" t="str">
        <f>IFERROR(__xludf.DUMMYFUNCTION("""COMPUTED_VALUE"""),"2024 - 2025")</f>
        <v>2024 - 2025</v>
      </c>
      <c r="G1337" s="13" t="str">
        <f>IFERROR(__xludf.DUMMYFUNCTION("""COMPUTED_VALUE"""),"2023 - 2024")</f>
        <v>2023 - 2024</v>
      </c>
      <c r="H1337" s="13">
        <f>IFERROR(__xludf.DUMMYFUNCTION("""COMPUTED_VALUE"""),100.0)</f>
        <v>100</v>
      </c>
      <c r="I1337" s="15">
        <f>IFERROR(__xludf.DUMMYFUNCTION("""COMPUTED_VALUE"""),0.0)</f>
        <v>0</v>
      </c>
    </row>
    <row r="1338">
      <c r="A1338" s="13" t="str">
        <f>IFERROR(__xludf.DUMMYFUNCTION("""COMPUTED_VALUE"""),"8042")</f>
        <v>8042</v>
      </c>
      <c r="B1338" s="13" t="str">
        <f>IFERROR(__xludf.DUMMYFUNCTION("""COMPUTED_VALUE"""),"CharterChoice Collaborative")</f>
        <v>CharterChoice Collaborative</v>
      </c>
      <c r="C1338" s="14" t="str">
        <f>IFERROR(__xludf.DUMMYFUNCTION("""COMPUTED_VALUE"""),"08085")</f>
        <v>08085</v>
      </c>
      <c r="D1338" s="13" t="str">
        <f>IFERROR(__xludf.DUMMYFUNCTION("""COMPUTED_VALUE"""),"STRIVE PREP- FEDERAL")</f>
        <v>STRIVE PREP- FEDERAL</v>
      </c>
      <c r="E1338" s="13" t="str">
        <f>IFERROR(__xludf.DUMMYFUNCTION("""COMPUTED_VALUE"""),"Group 1")</f>
        <v>Group 1</v>
      </c>
      <c r="F1338" s="13" t="str">
        <f>IFERROR(__xludf.DUMMYFUNCTION("""COMPUTED_VALUE"""),"2024 - 2025")</f>
        <v>2024 - 2025</v>
      </c>
      <c r="G1338" s="13" t="str">
        <f>IFERROR(__xludf.DUMMYFUNCTION("""COMPUTED_VALUE"""),"2023 - 2024")</f>
        <v>2023 - 2024</v>
      </c>
      <c r="H1338" s="13">
        <f>IFERROR(__xludf.DUMMYFUNCTION("""COMPUTED_VALUE"""),100.0)</f>
        <v>100</v>
      </c>
      <c r="I1338" s="15">
        <f>IFERROR(__xludf.DUMMYFUNCTION("""COMPUTED_VALUE"""),0.0)</f>
        <v>0</v>
      </c>
    </row>
    <row r="1339">
      <c r="A1339" s="13" t="str">
        <f>IFERROR(__xludf.DUMMYFUNCTION("""COMPUTED_VALUE"""),"8042")</f>
        <v>8042</v>
      </c>
      <c r="B1339" s="13" t="str">
        <f>IFERROR(__xludf.DUMMYFUNCTION("""COMPUTED_VALUE"""),"CharterChoice Collaborative")</f>
        <v>CharterChoice Collaborative</v>
      </c>
      <c r="C1339" s="14" t="str">
        <f>IFERROR(__xludf.DUMMYFUNCTION("""COMPUTED_VALUE"""),"09389")</f>
        <v>09389</v>
      </c>
      <c r="D1339" s="13" t="str">
        <f>IFERROR(__xludf.DUMMYFUNCTION("""COMPUTED_VALUE"""),"STRIVE PREP- WESTWOOD")</f>
        <v>STRIVE PREP- WESTWOOD</v>
      </c>
      <c r="E1339" s="13" t="str">
        <f>IFERROR(__xludf.DUMMYFUNCTION("""COMPUTED_VALUE"""),"Group 1")</f>
        <v>Group 1</v>
      </c>
      <c r="F1339" s="13" t="str">
        <f>IFERROR(__xludf.DUMMYFUNCTION("""COMPUTED_VALUE"""),"2024 - 2025")</f>
        <v>2024 - 2025</v>
      </c>
      <c r="G1339" s="13" t="str">
        <f>IFERROR(__xludf.DUMMYFUNCTION("""COMPUTED_VALUE"""),"2023 - 2024")</f>
        <v>2023 - 2024</v>
      </c>
      <c r="H1339" s="13">
        <f>IFERROR(__xludf.DUMMYFUNCTION("""COMPUTED_VALUE"""),100.0)</f>
        <v>100</v>
      </c>
      <c r="I1339" s="15">
        <f>IFERROR(__xludf.DUMMYFUNCTION("""COMPUTED_VALUE"""),0.0)</f>
        <v>0</v>
      </c>
    </row>
    <row r="1340">
      <c r="A1340" s="13" t="str">
        <f>IFERROR(__xludf.DUMMYFUNCTION("""COMPUTED_VALUE"""),"8042")</f>
        <v>8042</v>
      </c>
      <c r="B1340" s="13" t="str">
        <f>IFERROR(__xludf.DUMMYFUNCTION("""COMPUTED_VALUE"""),"CharterChoice Collaborative")</f>
        <v>CharterChoice Collaborative</v>
      </c>
      <c r="C1340" s="14" t="str">
        <f>IFERROR(__xludf.DUMMYFUNCTION("""COMPUTED_VALUE"""),"05994")</f>
        <v>05994</v>
      </c>
      <c r="D1340" s="13" t="str">
        <f>IFERROR(__xludf.DUMMYFUNCTION("""COMPUTED_VALUE"""),"MONTESSORI PEAKS CHARTER ACADEMY")</f>
        <v>MONTESSORI PEAKS CHARTER ACADEMY</v>
      </c>
      <c r="E1340" s="13" t="str">
        <f>IFERROR(__xludf.DUMMYFUNCTION("""COMPUTED_VALUE"""),"Group 2")</f>
        <v>Group 2</v>
      </c>
      <c r="F1340" s="13" t="str">
        <f>IFERROR(__xludf.DUMMYFUNCTION("""COMPUTED_VALUE"""),"2024 - 2025")</f>
        <v>2024 - 2025</v>
      </c>
      <c r="G1340" s="13" t="str">
        <f>IFERROR(__xludf.DUMMYFUNCTION("""COMPUTED_VALUE"""),"2023 - 2024")</f>
        <v>2023 - 2024</v>
      </c>
      <c r="H1340" s="13">
        <f>IFERROR(__xludf.DUMMYFUNCTION("""COMPUTED_VALUE"""),64.19)</f>
        <v>64.19</v>
      </c>
      <c r="I1340" s="15">
        <f>IFERROR(__xludf.DUMMYFUNCTION("""COMPUTED_VALUE"""),35.81)</f>
        <v>35.81</v>
      </c>
    </row>
    <row r="1341">
      <c r="A1341" s="13" t="str">
        <f>IFERROR(__xludf.DUMMYFUNCTION("""COMPUTED_VALUE"""),"8042")</f>
        <v>8042</v>
      </c>
      <c r="B1341" s="13" t="str">
        <f>IFERROR(__xludf.DUMMYFUNCTION("""COMPUTED_VALUE"""),"CharterChoice Collaborative")</f>
        <v>CharterChoice Collaborative</v>
      </c>
      <c r="C1341" s="14" t="str">
        <f>IFERROR(__xludf.DUMMYFUNCTION("""COMPUTED_VALUE"""),"09639")</f>
        <v>09639</v>
      </c>
      <c r="D1341" s="13" t="str">
        <f>IFERROR(__xludf.DUMMYFUNCTION("""COMPUTED_VALUE"""),"STRIVE PREP- SMART ACADEMY")</f>
        <v>STRIVE PREP- SMART ACADEMY</v>
      </c>
      <c r="E1341" s="13" t="str">
        <f>IFERROR(__xludf.DUMMYFUNCTION("""COMPUTED_VALUE"""),"Group 2")</f>
        <v>Group 2</v>
      </c>
      <c r="F1341" s="13" t="str">
        <f>IFERROR(__xludf.DUMMYFUNCTION("""COMPUTED_VALUE"""),"2024 - 2025")</f>
        <v>2024 - 2025</v>
      </c>
      <c r="G1341" s="13" t="str">
        <f>IFERROR(__xludf.DUMMYFUNCTION("""COMPUTED_VALUE"""),"2023 - 2024")</f>
        <v>2023 - 2024</v>
      </c>
      <c r="H1341" s="13">
        <f>IFERROR(__xludf.DUMMYFUNCTION("""COMPUTED_VALUE"""),64.19)</f>
        <v>64.19</v>
      </c>
      <c r="I1341" s="15">
        <f>IFERROR(__xludf.DUMMYFUNCTION("""COMPUTED_VALUE"""),35.81)</f>
        <v>35.81</v>
      </c>
    </row>
    <row r="1342">
      <c r="A1342" s="13" t="str">
        <f>IFERROR(__xludf.DUMMYFUNCTION("""COMPUTED_VALUE"""),"8042")</f>
        <v>8042</v>
      </c>
      <c r="B1342" s="13" t="str">
        <f>IFERROR(__xludf.DUMMYFUNCTION("""COMPUTED_VALUE"""),"CharterChoice Collaborative")</f>
        <v>CharterChoice Collaborative</v>
      </c>
      <c r="C1342" s="14" t="str">
        <f>IFERROR(__xludf.DUMMYFUNCTION("""COMPUTED_VALUE"""),"00469")</f>
        <v>00469</v>
      </c>
      <c r="D1342" s="13" t="str">
        <f>IFERROR(__xludf.DUMMYFUNCTION("""COMPUTED_VALUE"""),"ATLAS PREP HIGH SCHOOL")</f>
        <v>ATLAS PREP HIGH SCHOOL</v>
      </c>
      <c r="E1342" s="13" t="str">
        <f>IFERROR(__xludf.DUMMYFUNCTION("""COMPUTED_VALUE"""),"Group 3")</f>
        <v>Group 3</v>
      </c>
      <c r="F1342" s="13" t="str">
        <f>IFERROR(__xludf.DUMMYFUNCTION("""COMPUTED_VALUE"""),"2024 - 2025")</f>
        <v>2024 - 2025</v>
      </c>
      <c r="G1342" s="13" t="str">
        <f>IFERROR(__xludf.DUMMYFUNCTION("""COMPUTED_VALUE"""),"2023 - 2024")</f>
        <v>2023 - 2024</v>
      </c>
      <c r="H1342" s="13">
        <f>IFERROR(__xludf.DUMMYFUNCTION("""COMPUTED_VALUE"""),98.64)</f>
        <v>98.64</v>
      </c>
      <c r="I1342" s="15">
        <f>IFERROR(__xludf.DUMMYFUNCTION("""COMPUTED_VALUE"""),1.3599999999999994)</f>
        <v>1.36</v>
      </c>
    </row>
    <row r="1343">
      <c r="A1343" s="13" t="str">
        <f>IFERROR(__xludf.DUMMYFUNCTION("""COMPUTED_VALUE"""),"8042")</f>
        <v>8042</v>
      </c>
      <c r="B1343" s="13" t="str">
        <f>IFERROR(__xludf.DUMMYFUNCTION("""COMPUTED_VALUE"""),"CharterChoice Collaborative")</f>
        <v>CharterChoice Collaborative</v>
      </c>
      <c r="C1343" s="14" t="str">
        <f>IFERROR(__xludf.DUMMYFUNCTION("""COMPUTED_VALUE"""),"09336")</f>
        <v>09336</v>
      </c>
      <c r="D1343" s="13" t="str">
        <f>IFERROR(__xludf.DUMMYFUNCTION("""COMPUTED_VALUE"""),"STRIVE PREP- SUNNYSIDE")</f>
        <v>STRIVE PREP- SUNNYSIDE</v>
      </c>
      <c r="E1343" s="13" t="str">
        <f>IFERROR(__xludf.DUMMYFUNCTION("""COMPUTED_VALUE"""),"Group 3")</f>
        <v>Group 3</v>
      </c>
      <c r="F1343" s="13" t="str">
        <f>IFERROR(__xludf.DUMMYFUNCTION("""COMPUTED_VALUE"""),"2024 - 2025")</f>
        <v>2024 - 2025</v>
      </c>
      <c r="G1343" s="13" t="str">
        <f>IFERROR(__xludf.DUMMYFUNCTION("""COMPUTED_VALUE"""),"2023 - 2024")</f>
        <v>2023 - 2024</v>
      </c>
      <c r="H1343" s="13">
        <f>IFERROR(__xludf.DUMMYFUNCTION("""COMPUTED_VALUE"""),98.64)</f>
        <v>98.64</v>
      </c>
      <c r="I1343" s="15">
        <f>IFERROR(__xludf.DUMMYFUNCTION("""COMPUTED_VALUE"""),1.3599999999999994)</f>
        <v>1.36</v>
      </c>
    </row>
    <row r="1344">
      <c r="A1344" s="13" t="str">
        <f>IFERROR(__xludf.DUMMYFUNCTION("""COMPUTED_VALUE"""),"8042")</f>
        <v>8042</v>
      </c>
      <c r="B1344" s="13" t="str">
        <f>IFERROR(__xludf.DUMMYFUNCTION("""COMPUTED_VALUE"""),"CharterChoice Collaborative")</f>
        <v>CharterChoice Collaborative</v>
      </c>
      <c r="C1344" s="14" t="str">
        <f>IFERROR(__xludf.DUMMYFUNCTION("""COMPUTED_VALUE"""),"02026")</f>
        <v>02026</v>
      </c>
      <c r="D1344" s="13" t="str">
        <f>IFERROR(__xludf.DUMMYFUNCTION("""COMPUTED_VALUE"""),"DSST: Elevate Northeast High School")</f>
        <v>DSST: Elevate Northeast High School</v>
      </c>
      <c r="E1344" s="13" t="str">
        <f>IFERROR(__xludf.DUMMYFUNCTION("""COMPUTED_VALUE"""),"Group 3")</f>
        <v>Group 3</v>
      </c>
      <c r="F1344" s="13" t="str">
        <f>IFERROR(__xludf.DUMMYFUNCTION("""COMPUTED_VALUE"""),"2024 - 2025")</f>
        <v>2024 - 2025</v>
      </c>
      <c r="G1344" s="13" t="str">
        <f>IFERROR(__xludf.DUMMYFUNCTION("""COMPUTED_VALUE"""),"2023 - 2024")</f>
        <v>2023 - 2024</v>
      </c>
      <c r="H1344" s="13">
        <f>IFERROR(__xludf.DUMMYFUNCTION("""COMPUTED_VALUE"""),98.64)</f>
        <v>98.64</v>
      </c>
      <c r="I1344" s="15">
        <f>IFERROR(__xludf.DUMMYFUNCTION("""COMPUTED_VALUE"""),1.3599999999999994)</f>
        <v>1.36</v>
      </c>
    </row>
    <row r="1345">
      <c r="A1345" s="13" t="str">
        <f>IFERROR(__xludf.DUMMYFUNCTION("""COMPUTED_VALUE"""),"8042")</f>
        <v>8042</v>
      </c>
      <c r="B1345" s="13" t="str">
        <f>IFERROR(__xludf.DUMMYFUNCTION("""COMPUTED_VALUE"""),"CharterChoice Collaborative")</f>
        <v>CharterChoice Collaborative</v>
      </c>
      <c r="C1345" s="14" t="str">
        <f>IFERROR(__xludf.DUMMYFUNCTION("""COMPUTED_VALUE"""),"02190")</f>
        <v>02190</v>
      </c>
      <c r="D1345" s="13" t="str">
        <f>IFERROR(__xludf.DUMMYFUNCTION("""COMPUTED_VALUE"""),"DSST: Elevate Northeast Middle School")</f>
        <v>DSST: Elevate Northeast Middle School</v>
      </c>
      <c r="E1345" s="13" t="str">
        <f>IFERROR(__xludf.DUMMYFUNCTION("""COMPUTED_VALUE"""),"Group 3")</f>
        <v>Group 3</v>
      </c>
      <c r="F1345" s="13" t="str">
        <f>IFERROR(__xludf.DUMMYFUNCTION("""COMPUTED_VALUE"""),"2024 - 2025")</f>
        <v>2024 - 2025</v>
      </c>
      <c r="G1345" s="13" t="str">
        <f>IFERROR(__xludf.DUMMYFUNCTION("""COMPUTED_VALUE"""),"2023 - 2024")</f>
        <v>2023 - 2024</v>
      </c>
      <c r="H1345" s="13">
        <f>IFERROR(__xludf.DUMMYFUNCTION("""COMPUTED_VALUE"""),98.64)</f>
        <v>98.64</v>
      </c>
      <c r="I1345" s="15">
        <f>IFERROR(__xludf.DUMMYFUNCTION("""COMPUTED_VALUE"""),1.3599999999999994)</f>
        <v>1.36</v>
      </c>
    </row>
    <row r="1346">
      <c r="A1346" s="13" t="str">
        <f>IFERROR(__xludf.DUMMYFUNCTION("""COMPUTED_VALUE"""),"8042")</f>
        <v>8042</v>
      </c>
      <c r="B1346" s="13" t="str">
        <f>IFERROR(__xludf.DUMMYFUNCTION("""COMPUTED_VALUE"""),"CharterChoice Collaborative")</f>
        <v>CharterChoice Collaborative</v>
      </c>
      <c r="C1346" s="14" t="str">
        <f>IFERROR(__xludf.DUMMYFUNCTION("""COMPUTED_VALUE"""),"07241")</f>
        <v>07241</v>
      </c>
      <c r="D1346" s="13" t="str">
        <f>IFERROR(__xludf.DUMMYFUNCTION("""COMPUTED_VALUE"""),"ROCKY MOUNTAIN PREP - CREEKSIDE")</f>
        <v>ROCKY MOUNTAIN PREP - CREEKSIDE</v>
      </c>
      <c r="E1346" s="13" t="str">
        <f>IFERROR(__xludf.DUMMYFUNCTION("""COMPUTED_VALUE"""),"Group 4")</f>
        <v>Group 4</v>
      </c>
      <c r="F1346" s="13" t="str">
        <f>IFERROR(__xludf.DUMMYFUNCTION("""COMPUTED_VALUE"""),"2024 - 2025")</f>
        <v>2024 - 2025</v>
      </c>
      <c r="G1346" s="13" t="str">
        <f>IFERROR(__xludf.DUMMYFUNCTION("""COMPUTED_VALUE"""),"2023 - 2024")</f>
        <v>2023 - 2024</v>
      </c>
      <c r="H1346" s="13">
        <f>IFERROR(__xludf.DUMMYFUNCTION("""COMPUTED_VALUE"""),100.0)</f>
        <v>100</v>
      </c>
      <c r="I1346" s="15">
        <f>IFERROR(__xludf.DUMMYFUNCTION("""COMPUTED_VALUE"""),0.0)</f>
        <v>0</v>
      </c>
    </row>
    <row r="1347">
      <c r="A1347" s="13" t="str">
        <f>IFERROR(__xludf.DUMMYFUNCTION("""COMPUTED_VALUE"""),"8042")</f>
        <v>8042</v>
      </c>
      <c r="B1347" s="13" t="str">
        <f>IFERROR(__xludf.DUMMYFUNCTION("""COMPUTED_VALUE"""),"CharterChoice Collaborative")</f>
        <v>CharterChoice Collaborative</v>
      </c>
      <c r="C1347" s="14" t="str">
        <f>IFERROR(__xludf.DUMMYFUNCTION("""COMPUTED_VALUE"""),"01345")</f>
        <v>01345</v>
      </c>
      <c r="D1347" s="13" t="str">
        <f>IFERROR(__xludf.DUMMYFUNCTION("""COMPUTED_VALUE"""),"ROCKY MOUNTAIN PREP BERKLEY")</f>
        <v>ROCKY MOUNTAIN PREP BERKLEY</v>
      </c>
      <c r="E1347" s="13" t="str">
        <f>IFERROR(__xludf.DUMMYFUNCTION("""COMPUTED_VALUE"""),"Group 4")</f>
        <v>Group 4</v>
      </c>
      <c r="F1347" s="13" t="str">
        <f>IFERROR(__xludf.DUMMYFUNCTION("""COMPUTED_VALUE"""),"2024 - 2025")</f>
        <v>2024 - 2025</v>
      </c>
      <c r="G1347" s="13" t="str">
        <f>IFERROR(__xludf.DUMMYFUNCTION("""COMPUTED_VALUE"""),"2023 - 2024")</f>
        <v>2023 - 2024</v>
      </c>
      <c r="H1347" s="13">
        <f>IFERROR(__xludf.DUMMYFUNCTION("""COMPUTED_VALUE"""),100.0)</f>
        <v>100</v>
      </c>
      <c r="I1347" s="15">
        <f>IFERROR(__xludf.DUMMYFUNCTION("""COMPUTED_VALUE"""),0.0)</f>
        <v>0</v>
      </c>
    </row>
    <row r="1348">
      <c r="A1348" s="13" t="str">
        <f>IFERROR(__xludf.DUMMYFUNCTION("""COMPUTED_VALUE"""),"8042")</f>
        <v>8042</v>
      </c>
      <c r="B1348" s="13" t="str">
        <f>IFERROR(__xludf.DUMMYFUNCTION("""COMPUTED_VALUE"""),"CharterChoice Collaborative")</f>
        <v>CharterChoice Collaborative</v>
      </c>
      <c r="C1348" s="14" t="str">
        <f>IFERROR(__xludf.DUMMYFUNCTION("""COMPUTED_VALUE"""),"07233")</f>
        <v>07233</v>
      </c>
      <c r="D1348" s="13" t="str">
        <f>IFERROR(__xludf.DUMMYFUNCTION("""COMPUTED_VALUE"""),"ROCKY MOUNTAIN PREP- FLETCHER")</f>
        <v>ROCKY MOUNTAIN PREP- FLETCHER</v>
      </c>
      <c r="E1348" s="13" t="str">
        <f>IFERROR(__xludf.DUMMYFUNCTION("""COMPUTED_VALUE"""),"Group 4")</f>
        <v>Group 4</v>
      </c>
      <c r="F1348" s="13" t="str">
        <f>IFERROR(__xludf.DUMMYFUNCTION("""COMPUTED_VALUE"""),"2024 - 2025")</f>
        <v>2024 - 2025</v>
      </c>
      <c r="G1348" s="13" t="str">
        <f>IFERROR(__xludf.DUMMYFUNCTION("""COMPUTED_VALUE"""),"2023 - 2024")</f>
        <v>2023 - 2024</v>
      </c>
      <c r="H1348" s="13">
        <f>IFERROR(__xludf.DUMMYFUNCTION("""COMPUTED_VALUE"""),100.0)</f>
        <v>100</v>
      </c>
      <c r="I1348" s="15">
        <f>IFERROR(__xludf.DUMMYFUNCTION("""COMPUTED_VALUE"""),0.0)</f>
        <v>0</v>
      </c>
    </row>
    <row r="1349">
      <c r="A1349" s="13" t="str">
        <f>IFERROR(__xludf.DUMMYFUNCTION("""COMPUTED_VALUE"""),"8042")</f>
        <v>8042</v>
      </c>
      <c r="B1349" s="13" t="str">
        <f>IFERROR(__xludf.DUMMYFUNCTION("""COMPUTED_VALUE"""),"CharterChoice Collaborative")</f>
        <v>CharterChoice Collaborative</v>
      </c>
      <c r="C1349" s="14" t="str">
        <f>IFERROR(__xludf.DUMMYFUNCTION("""COMPUTED_VALUE"""),"05898")</f>
        <v>05898</v>
      </c>
      <c r="D1349" s="13" t="str">
        <f>IFERROR(__xludf.DUMMYFUNCTION("""COMPUTED_VALUE"""),"ATLAS PREP ELEMENTARY SCHOOL")</f>
        <v>ATLAS PREP ELEMENTARY SCHOOL</v>
      </c>
      <c r="E1349" s="13" t="str">
        <f>IFERROR(__xludf.DUMMYFUNCTION("""COMPUTED_VALUE"""),"Group 4")</f>
        <v>Group 4</v>
      </c>
      <c r="F1349" s="13" t="str">
        <f>IFERROR(__xludf.DUMMYFUNCTION("""COMPUTED_VALUE"""),"2024 - 2025")</f>
        <v>2024 - 2025</v>
      </c>
      <c r="G1349" s="13" t="str">
        <f>IFERROR(__xludf.DUMMYFUNCTION("""COMPUTED_VALUE"""),"2023 - 2024")</f>
        <v>2023 - 2024</v>
      </c>
      <c r="H1349" s="13">
        <f>IFERROR(__xludf.DUMMYFUNCTION("""COMPUTED_VALUE"""),100.0)</f>
        <v>100</v>
      </c>
      <c r="I1349" s="15">
        <f>IFERROR(__xludf.DUMMYFUNCTION("""COMPUTED_VALUE"""),0.0)</f>
        <v>0</v>
      </c>
    </row>
    <row r="1350">
      <c r="A1350" s="13" t="str">
        <f>IFERROR(__xludf.DUMMYFUNCTION("""COMPUTED_VALUE"""),"8042")</f>
        <v>8042</v>
      </c>
      <c r="B1350" s="13" t="str">
        <f>IFERROR(__xludf.DUMMYFUNCTION("""COMPUTED_VALUE"""),"CharterChoice Collaborative")</f>
        <v>CharterChoice Collaborative</v>
      </c>
      <c r="C1350" s="14" t="str">
        <f>IFERROR(__xludf.DUMMYFUNCTION("""COMPUTED_VALUE"""),"01748")</f>
        <v>01748</v>
      </c>
      <c r="D1350" s="13" t="str">
        <f>IFERROR(__xludf.DUMMYFUNCTION("""COMPUTED_VALUE"""),"COLORADO HIGH SCHOOL - OSAGE")</f>
        <v>COLORADO HIGH SCHOOL - OSAGE</v>
      </c>
      <c r="E1350" s="13" t="str">
        <f>IFERROR(__xludf.DUMMYFUNCTION("""COMPUTED_VALUE"""),"Group 6")</f>
        <v>Group 6</v>
      </c>
      <c r="F1350" s="13" t="str">
        <f>IFERROR(__xludf.DUMMYFUNCTION("""COMPUTED_VALUE"""),"2024 - 2025")</f>
        <v>2024 - 2025</v>
      </c>
      <c r="G1350" s="13" t="str">
        <f>IFERROR(__xludf.DUMMYFUNCTION("""COMPUTED_VALUE"""),"2023 - 2024")</f>
        <v>2023 - 2024</v>
      </c>
      <c r="H1350" s="13">
        <f>IFERROR(__xludf.DUMMYFUNCTION("""COMPUTED_VALUE"""),75.18)</f>
        <v>75.18</v>
      </c>
      <c r="I1350" s="15">
        <f>IFERROR(__xludf.DUMMYFUNCTION("""COMPUTED_VALUE"""),24.819999999999993)</f>
        <v>24.82</v>
      </c>
    </row>
    <row r="1351">
      <c r="A1351" s="13" t="str">
        <f>IFERROR(__xludf.DUMMYFUNCTION("""COMPUTED_VALUE"""),"8042")</f>
        <v>8042</v>
      </c>
      <c r="B1351" s="13" t="str">
        <f>IFERROR(__xludf.DUMMYFUNCTION("""COMPUTED_VALUE"""),"CharterChoice Collaborative")</f>
        <v>CharterChoice Collaborative</v>
      </c>
      <c r="C1351" s="14" t="str">
        <f>IFERROR(__xludf.DUMMYFUNCTION("""COMPUTED_VALUE"""),"02207")</f>
        <v>02207</v>
      </c>
      <c r="D1351" s="13" t="str">
        <f>IFERROR(__xludf.DUMMYFUNCTION("""COMPUTED_VALUE"""),"DOWNTOWN DENVER EXPEDITIONARY SCHOOL")</f>
        <v>DOWNTOWN DENVER EXPEDITIONARY SCHOOL</v>
      </c>
      <c r="E1351" s="13" t="str">
        <f>IFERROR(__xludf.DUMMYFUNCTION("""COMPUTED_VALUE"""),"Group 6")</f>
        <v>Group 6</v>
      </c>
      <c r="F1351" s="13" t="str">
        <f>IFERROR(__xludf.DUMMYFUNCTION("""COMPUTED_VALUE"""),"2024 - 2025")</f>
        <v>2024 - 2025</v>
      </c>
      <c r="G1351" s="13" t="str">
        <f>IFERROR(__xludf.DUMMYFUNCTION("""COMPUTED_VALUE"""),"2023 - 2024")</f>
        <v>2023 - 2024</v>
      </c>
      <c r="H1351" s="13">
        <f>IFERROR(__xludf.DUMMYFUNCTION("""COMPUTED_VALUE"""),75.18)</f>
        <v>75.18</v>
      </c>
      <c r="I1351" s="15">
        <f>IFERROR(__xludf.DUMMYFUNCTION("""COMPUTED_VALUE"""),24.819999999999993)</f>
        <v>24.82</v>
      </c>
    </row>
    <row r="1352">
      <c r="A1352" s="13" t="str">
        <f>IFERROR(__xludf.DUMMYFUNCTION("""COMPUTED_VALUE"""),"8042")</f>
        <v>8042</v>
      </c>
      <c r="B1352" s="13" t="str">
        <f>IFERROR(__xludf.DUMMYFUNCTION("""COMPUTED_VALUE"""),"CharterChoice Collaborative")</f>
        <v>CharterChoice Collaborative</v>
      </c>
      <c r="C1352" s="14" t="str">
        <f>IFERROR(__xludf.DUMMYFUNCTION("""COMPUTED_VALUE"""),"07463")</f>
        <v>07463</v>
      </c>
      <c r="D1352" s="13" t="str">
        <f>IFERROR(__xludf.DUMMYFUNCTION("""COMPUTED_VALUE"""),"ROCKY MOUNTAIN CLASSICAL ACADEMY")</f>
        <v>ROCKY MOUNTAIN CLASSICAL ACADEMY</v>
      </c>
      <c r="E1352" s="13" t="str">
        <f>IFERROR(__xludf.DUMMYFUNCTION("""COMPUTED_VALUE"""),"Group 7")</f>
        <v>Group 7</v>
      </c>
      <c r="F1352" s="13" t="str">
        <f>IFERROR(__xludf.DUMMYFUNCTION("""COMPUTED_VALUE"""),"2024 - 2025")</f>
        <v>2024 - 2025</v>
      </c>
      <c r="G1352" s="13" t="str">
        <f>IFERROR(__xludf.DUMMYFUNCTION("""COMPUTED_VALUE"""),"2023 - 2024")</f>
        <v>2023 - 2024</v>
      </c>
      <c r="H1352" s="13">
        <f>IFERROR(__xludf.DUMMYFUNCTION("""COMPUTED_VALUE"""),53.46)</f>
        <v>53.46</v>
      </c>
      <c r="I1352" s="15">
        <f>IFERROR(__xludf.DUMMYFUNCTION("""COMPUTED_VALUE"""),46.54)</f>
        <v>46.54</v>
      </c>
    </row>
    <row r="1353">
      <c r="A1353" s="13" t="str">
        <f>IFERROR(__xludf.DUMMYFUNCTION("""COMPUTED_VALUE"""),"8042")</f>
        <v>8042</v>
      </c>
      <c r="B1353" s="13" t="str">
        <f>IFERROR(__xludf.DUMMYFUNCTION("""COMPUTED_VALUE"""),"CharterChoice Collaborative")</f>
        <v>CharterChoice Collaborative</v>
      </c>
      <c r="C1353" s="14" t="str">
        <f>IFERROR(__xludf.DUMMYFUNCTION("""COMPUTED_VALUE"""),"05146")</f>
        <v>05146</v>
      </c>
      <c r="D1353" s="13" t="str">
        <f>IFERROR(__xludf.DUMMYFUNCTION("""COMPUTED_VALUE"""),"Eastlake High School of Colorado Springs")</f>
        <v>Eastlake High School of Colorado Springs</v>
      </c>
      <c r="E1353" s="13" t="str">
        <f>IFERROR(__xludf.DUMMYFUNCTION("""COMPUTED_VALUE"""),"Group 7")</f>
        <v>Group 7</v>
      </c>
      <c r="F1353" s="13" t="str">
        <f>IFERROR(__xludf.DUMMYFUNCTION("""COMPUTED_VALUE"""),"2024 - 2025")</f>
        <v>2024 - 2025</v>
      </c>
      <c r="G1353" s="13" t="str">
        <f>IFERROR(__xludf.DUMMYFUNCTION("""COMPUTED_VALUE"""),"2023 - 2024")</f>
        <v>2023 - 2024</v>
      </c>
      <c r="H1353" s="13">
        <f>IFERROR(__xludf.DUMMYFUNCTION("""COMPUTED_VALUE"""),53.46)</f>
        <v>53.46</v>
      </c>
      <c r="I1353" s="15">
        <f>IFERROR(__xludf.DUMMYFUNCTION("""COMPUTED_VALUE"""),46.54)</f>
        <v>46.54</v>
      </c>
    </row>
    <row r="1354">
      <c r="A1354" s="13" t="str">
        <f>IFERROR(__xludf.DUMMYFUNCTION("""COMPUTED_VALUE"""),"8042")</f>
        <v>8042</v>
      </c>
      <c r="B1354" s="13" t="str">
        <f>IFERROR(__xludf.DUMMYFUNCTION("""COMPUTED_VALUE"""),"CharterChoice Collaborative")</f>
        <v>CharterChoice Collaborative</v>
      </c>
      <c r="C1354" s="14" t="str">
        <f>IFERROR(__xludf.DUMMYFUNCTION("""COMPUTED_VALUE"""),"04509")</f>
        <v>04509</v>
      </c>
      <c r="D1354" s="13" t="str">
        <f>IFERROR(__xludf.DUMMYFUNCTION("""COMPUTED_VALUE"""),"KIPP Northeast Denver Leadership Academy")</f>
        <v>KIPP Northeast Denver Leadership Academy</v>
      </c>
      <c r="E1354" s="13" t="str">
        <f>IFERROR(__xludf.DUMMYFUNCTION("""COMPUTED_VALUE"""),"Group 7")</f>
        <v>Group 7</v>
      </c>
      <c r="F1354" s="13" t="str">
        <f>IFERROR(__xludf.DUMMYFUNCTION("""COMPUTED_VALUE"""),"2024 - 2025")</f>
        <v>2024 - 2025</v>
      </c>
      <c r="G1354" s="13" t="str">
        <f>IFERROR(__xludf.DUMMYFUNCTION("""COMPUTED_VALUE"""),"2023 - 2024")</f>
        <v>2023 - 2024</v>
      </c>
      <c r="H1354" s="13">
        <f>IFERROR(__xludf.DUMMYFUNCTION("""COMPUTED_VALUE"""),53.46)</f>
        <v>53.46</v>
      </c>
      <c r="I1354" s="15">
        <f>IFERROR(__xludf.DUMMYFUNCTION("""COMPUTED_VALUE"""),46.54)</f>
        <v>46.54</v>
      </c>
    </row>
    <row r="1355">
      <c r="A1355" s="13" t="str">
        <f>IFERROR(__xludf.DUMMYFUNCTION("""COMPUTED_VALUE"""),"8042")</f>
        <v>8042</v>
      </c>
      <c r="B1355" s="13" t="str">
        <f>IFERROR(__xludf.DUMMYFUNCTION("""COMPUTED_VALUE"""),"CharterChoice Collaborative")</f>
        <v>CharterChoice Collaborative</v>
      </c>
      <c r="C1355" s="14" t="str">
        <f>IFERROR(__xludf.DUMMYFUNCTION("""COMPUTED_VALUE"""),"01561")</f>
        <v>01561</v>
      </c>
      <c r="D1355" s="13" t="str">
        <f>IFERROR(__xludf.DUMMYFUNCTION("""COMPUTED_VALUE"""),"COLORADO HIGH SCHOOL CHARTER - GES")</f>
        <v>COLORADO HIGH SCHOOL CHARTER - GES</v>
      </c>
      <c r="E1355" s="13" t="str">
        <f>IFERROR(__xludf.DUMMYFUNCTION("""COMPUTED_VALUE"""),"Group 8")</f>
        <v>Group 8</v>
      </c>
      <c r="F1355" s="13" t="str">
        <f>IFERROR(__xludf.DUMMYFUNCTION("""COMPUTED_VALUE"""),"2024 - 2025")</f>
        <v>2024 - 2025</v>
      </c>
      <c r="G1355" s="13" t="str">
        <f>IFERROR(__xludf.DUMMYFUNCTION("""COMPUTED_VALUE"""),"2023 - 2024")</f>
        <v>2023 - 2024</v>
      </c>
      <c r="H1355" s="13">
        <f>IFERROR(__xludf.DUMMYFUNCTION("""COMPUTED_VALUE"""),62.48)</f>
        <v>62.48</v>
      </c>
      <c r="I1355" s="15">
        <f>IFERROR(__xludf.DUMMYFUNCTION("""COMPUTED_VALUE"""),37.52)</f>
        <v>37.52</v>
      </c>
    </row>
    <row r="1356">
      <c r="A1356" s="13" t="str">
        <f>IFERROR(__xludf.DUMMYFUNCTION("""COMPUTED_VALUE"""),"8042")</f>
        <v>8042</v>
      </c>
      <c r="B1356" s="13" t="str">
        <f>IFERROR(__xludf.DUMMYFUNCTION("""COMPUTED_VALUE"""),"CharterChoice Collaborative")</f>
        <v>CharterChoice Collaborative</v>
      </c>
      <c r="C1356" s="14" t="str">
        <f>IFERROR(__xludf.DUMMYFUNCTION("""COMPUTED_VALUE"""),"02799")</f>
        <v>02799</v>
      </c>
      <c r="D1356" s="13" t="str">
        <f>IFERROR(__xludf.DUMMYFUNCTION("""COMPUTED_VALUE"""),"EXCEL ACADEMY CHARTER SCHOOL")</f>
        <v>EXCEL ACADEMY CHARTER SCHOOL</v>
      </c>
      <c r="E1356" s="13" t="str">
        <f>IFERROR(__xludf.DUMMYFUNCTION("""COMPUTED_VALUE"""),"Group 8")</f>
        <v>Group 8</v>
      </c>
      <c r="F1356" s="13" t="str">
        <f>IFERROR(__xludf.DUMMYFUNCTION("""COMPUTED_VALUE"""),"2024 - 2025")</f>
        <v>2024 - 2025</v>
      </c>
      <c r="G1356" s="13" t="str">
        <f>IFERROR(__xludf.DUMMYFUNCTION("""COMPUTED_VALUE"""),"2023 - 2024")</f>
        <v>2023 - 2024</v>
      </c>
      <c r="H1356" s="13">
        <f>IFERROR(__xludf.DUMMYFUNCTION("""COMPUTED_VALUE"""),62.48)</f>
        <v>62.48</v>
      </c>
      <c r="I1356" s="15">
        <f>IFERROR(__xludf.DUMMYFUNCTION("""COMPUTED_VALUE"""),37.52)</f>
        <v>37.52</v>
      </c>
    </row>
    <row r="1357">
      <c r="A1357" s="13" t="str">
        <f>IFERROR(__xludf.DUMMYFUNCTION("""COMPUTED_VALUE"""),"8042")</f>
        <v>8042</v>
      </c>
      <c r="B1357" s="13" t="str">
        <f>IFERROR(__xludf.DUMMYFUNCTION("""COMPUTED_VALUE"""),"CharterChoice Collaborative")</f>
        <v>CharterChoice Collaborative</v>
      </c>
      <c r="C1357" s="14" t="str">
        <f>IFERROR(__xludf.DUMMYFUNCTION("""COMPUTED_VALUE"""),"07973")</f>
        <v>07973</v>
      </c>
      <c r="D1357" s="13" t="str">
        <f>IFERROR(__xludf.DUMMYFUNCTION("""COMPUTED_VALUE"""),"STRIVE PREP- RISE")</f>
        <v>STRIVE PREP- RISE</v>
      </c>
      <c r="E1357" s="13" t="str">
        <f>IFERROR(__xludf.DUMMYFUNCTION("""COMPUTED_VALUE"""),"Group 8")</f>
        <v>Group 8</v>
      </c>
      <c r="F1357" s="13" t="str">
        <f>IFERROR(__xludf.DUMMYFUNCTION("""COMPUTED_VALUE"""),"2024 - 2025")</f>
        <v>2024 - 2025</v>
      </c>
      <c r="G1357" s="13" t="str">
        <f>IFERROR(__xludf.DUMMYFUNCTION("""COMPUTED_VALUE"""),"2023 - 2024")</f>
        <v>2023 - 2024</v>
      </c>
      <c r="H1357" s="13">
        <f>IFERROR(__xludf.DUMMYFUNCTION("""COMPUTED_VALUE"""),62.48)</f>
        <v>62.48</v>
      </c>
      <c r="I1357" s="15">
        <f>IFERROR(__xludf.DUMMYFUNCTION("""COMPUTED_VALUE"""),37.52)</f>
        <v>37.52</v>
      </c>
    </row>
    <row r="1358">
      <c r="A1358" s="13" t="str">
        <f>IFERROR(__xludf.DUMMYFUNCTION("""COMPUTED_VALUE"""),"8042")</f>
        <v>8042</v>
      </c>
      <c r="B1358" s="13" t="str">
        <f>IFERROR(__xludf.DUMMYFUNCTION("""COMPUTED_VALUE"""),"CharterChoice Collaborative")</f>
        <v>CharterChoice Collaborative</v>
      </c>
      <c r="C1358" s="14" t="str">
        <f>IFERROR(__xludf.DUMMYFUNCTION("""COMPUTED_VALUE"""),"06226")</f>
        <v>06226</v>
      </c>
      <c r="D1358" s="13" t="str">
        <f>IFERROR(__xludf.DUMMYFUNCTION("""COMPUTED_VALUE"""),"CIVICA Colorado")</f>
        <v>CIVICA Colorado</v>
      </c>
      <c r="E1358" s="13" t="str">
        <f>IFERROR(__xludf.DUMMYFUNCTION("""COMPUTED_VALUE"""),"Group 8")</f>
        <v>Group 8</v>
      </c>
      <c r="F1358" s="13" t="str">
        <f>IFERROR(__xludf.DUMMYFUNCTION("""COMPUTED_VALUE"""),"2024 - 2025")</f>
        <v>2024 - 2025</v>
      </c>
      <c r="G1358" s="13" t="str">
        <f>IFERROR(__xludf.DUMMYFUNCTION("""COMPUTED_VALUE"""),"2023 - 2024")</f>
        <v>2023 - 2024</v>
      </c>
      <c r="H1358" s="13">
        <f>IFERROR(__xludf.DUMMYFUNCTION("""COMPUTED_VALUE"""),62.48)</f>
        <v>62.48</v>
      </c>
      <c r="I1358" s="15">
        <f>IFERROR(__xludf.DUMMYFUNCTION("""COMPUTED_VALUE"""),37.52)</f>
        <v>37.52</v>
      </c>
    </row>
    <row r="1359">
      <c r="C1359" s="14"/>
      <c r="I1359" s="15"/>
    </row>
    <row r="1360">
      <c r="C1360" s="14"/>
      <c r="I1360" s="15"/>
    </row>
    <row r="1361">
      <c r="C1361" s="14"/>
      <c r="I1361" s="15"/>
    </row>
    <row r="1362">
      <c r="C1362" s="14"/>
      <c r="I1362" s="15"/>
    </row>
    <row r="1363">
      <c r="C1363" s="14"/>
      <c r="I1363" s="15"/>
    </row>
    <row r="1364">
      <c r="C1364" s="14"/>
      <c r="I1364" s="15"/>
    </row>
    <row r="1365">
      <c r="C1365" s="14"/>
      <c r="I1365" s="15"/>
    </row>
    <row r="1366">
      <c r="C1366" s="14"/>
      <c r="I1366" s="15"/>
    </row>
    <row r="1367">
      <c r="C1367" s="14"/>
      <c r="I1367" s="15"/>
    </row>
    <row r="1368">
      <c r="C1368" s="14"/>
      <c r="I1368" s="15"/>
    </row>
    <row r="1369">
      <c r="C1369" s="14"/>
      <c r="I1369" s="15"/>
    </row>
    <row r="1370">
      <c r="C1370" s="14"/>
      <c r="I1370" s="15"/>
    </row>
    <row r="1371">
      <c r="C1371" s="14"/>
      <c r="I1371" s="15"/>
    </row>
    <row r="1372">
      <c r="C1372" s="14"/>
      <c r="I1372" s="15"/>
    </row>
    <row r="1373">
      <c r="C1373" s="14"/>
      <c r="I1373" s="15"/>
    </row>
    <row r="1374">
      <c r="C1374" s="14"/>
      <c r="I1374" s="15"/>
    </row>
    <row r="1375">
      <c r="C1375" s="14"/>
      <c r="I1375" s="15"/>
    </row>
    <row r="1376">
      <c r="C1376" s="14"/>
      <c r="I1376" s="15"/>
    </row>
    <row r="1377">
      <c r="C1377" s="14"/>
      <c r="I1377" s="15"/>
    </row>
    <row r="1378">
      <c r="C1378" s="14"/>
      <c r="I1378" s="15"/>
    </row>
    <row r="1379">
      <c r="C1379" s="14"/>
      <c r="I1379" s="15"/>
    </row>
    <row r="1380">
      <c r="C1380" s="14"/>
      <c r="I1380" s="15"/>
    </row>
    <row r="1381">
      <c r="C1381" s="14"/>
      <c r="I1381" s="15"/>
    </row>
    <row r="1382">
      <c r="C1382" s="14"/>
      <c r="I1382" s="15"/>
    </row>
    <row r="1383">
      <c r="C1383" s="14"/>
      <c r="I1383" s="15"/>
    </row>
    <row r="1384">
      <c r="C1384" s="14"/>
      <c r="I1384" s="15"/>
    </row>
    <row r="1385">
      <c r="C1385" s="14"/>
      <c r="I1385" s="15"/>
    </row>
    <row r="1386">
      <c r="C1386" s="14"/>
      <c r="I1386" s="15"/>
    </row>
    <row r="1387">
      <c r="C1387" s="14"/>
      <c r="I1387" s="15"/>
    </row>
    <row r="1388">
      <c r="C1388" s="14"/>
      <c r="I1388" s="15"/>
    </row>
    <row r="1389">
      <c r="C1389" s="14"/>
      <c r="I1389" s="15"/>
    </row>
    <row r="1390">
      <c r="C1390" s="14"/>
      <c r="I1390" s="15"/>
    </row>
    <row r="1391">
      <c r="C1391" s="14"/>
      <c r="I1391" s="15"/>
    </row>
    <row r="1392">
      <c r="C1392" s="14"/>
      <c r="I1392" s="15"/>
    </row>
    <row r="1393">
      <c r="C1393" s="14"/>
      <c r="I1393" s="15"/>
    </row>
    <row r="1394">
      <c r="C1394" s="14"/>
      <c r="I1394" s="15"/>
    </row>
    <row r="1395">
      <c r="C1395" s="14"/>
      <c r="I1395" s="15"/>
    </row>
    <row r="1396">
      <c r="C1396" s="14"/>
      <c r="I1396" s="15"/>
    </row>
    <row r="1397">
      <c r="C1397" s="14"/>
      <c r="I1397" s="15"/>
    </row>
    <row r="1398">
      <c r="C1398" s="14"/>
      <c r="I1398" s="15"/>
    </row>
    <row r="1399">
      <c r="C1399" s="14"/>
      <c r="I1399" s="15"/>
    </row>
    <row r="1400">
      <c r="C1400" s="14"/>
      <c r="I1400" s="15"/>
    </row>
    <row r="1401">
      <c r="C1401" s="14"/>
      <c r="I1401" s="15"/>
    </row>
    <row r="1402">
      <c r="C1402" s="14"/>
      <c r="I1402" s="15"/>
    </row>
    <row r="1403">
      <c r="C1403" s="14"/>
      <c r="I1403" s="15"/>
    </row>
    <row r="1404">
      <c r="C1404" s="14"/>
      <c r="I1404" s="15"/>
    </row>
    <row r="1405">
      <c r="C1405" s="14"/>
      <c r="I1405" s="15"/>
    </row>
    <row r="1406">
      <c r="C1406" s="14"/>
      <c r="I1406" s="15"/>
    </row>
    <row r="1407">
      <c r="C1407" s="14"/>
      <c r="I1407" s="15"/>
    </row>
    <row r="1408">
      <c r="C1408" s="14"/>
      <c r="I1408" s="15"/>
    </row>
    <row r="1409">
      <c r="C1409" s="14"/>
      <c r="I1409" s="15"/>
    </row>
    <row r="1410">
      <c r="C1410" s="14"/>
      <c r="I1410" s="15"/>
    </row>
    <row r="1411">
      <c r="C1411" s="14"/>
      <c r="I1411" s="15"/>
    </row>
    <row r="1412">
      <c r="C1412" s="14"/>
      <c r="I1412" s="15"/>
    </row>
    <row r="1413">
      <c r="C1413" s="14"/>
      <c r="I1413" s="15"/>
    </row>
    <row r="1414">
      <c r="C1414" s="14"/>
      <c r="I1414" s="15"/>
    </row>
    <row r="1415">
      <c r="C1415" s="14"/>
      <c r="I1415" s="15"/>
    </row>
    <row r="1416">
      <c r="C1416" s="14"/>
      <c r="I1416" s="15"/>
    </row>
    <row r="1417">
      <c r="C1417" s="14"/>
      <c r="I1417" s="15"/>
    </row>
    <row r="1418">
      <c r="C1418" s="14"/>
      <c r="I1418" s="15"/>
    </row>
    <row r="1419">
      <c r="C1419" s="14"/>
      <c r="I1419" s="15"/>
    </row>
    <row r="1420">
      <c r="C1420" s="14"/>
      <c r="I1420" s="15"/>
    </row>
    <row r="1421">
      <c r="C1421" s="14"/>
      <c r="I1421" s="15"/>
    </row>
    <row r="1422">
      <c r="C1422" s="14"/>
      <c r="I1422" s="15"/>
    </row>
    <row r="1423">
      <c r="C1423" s="14"/>
      <c r="I1423" s="15"/>
    </row>
    <row r="1424">
      <c r="C1424" s="14"/>
      <c r="I1424" s="15"/>
    </row>
    <row r="1425">
      <c r="C1425" s="14"/>
      <c r="I1425" s="15"/>
    </row>
    <row r="1426">
      <c r="C1426" s="14"/>
      <c r="I1426" s="15"/>
    </row>
    <row r="1427">
      <c r="C1427" s="14"/>
      <c r="I1427" s="15"/>
    </row>
    <row r="1428">
      <c r="C1428" s="14"/>
      <c r="I1428" s="15"/>
    </row>
    <row r="1429">
      <c r="C1429" s="14"/>
      <c r="I1429" s="15"/>
    </row>
    <row r="1430">
      <c r="C1430" s="14"/>
      <c r="I1430" s="15"/>
    </row>
    <row r="1431">
      <c r="C1431" s="14"/>
      <c r="I1431" s="15"/>
    </row>
    <row r="1432">
      <c r="C1432" s="14"/>
      <c r="I1432" s="15"/>
    </row>
    <row r="1433">
      <c r="C1433" s="14"/>
      <c r="I1433" s="15"/>
    </row>
    <row r="1434">
      <c r="C1434" s="14"/>
      <c r="I1434" s="15"/>
    </row>
    <row r="1435">
      <c r="C1435" s="14"/>
      <c r="I1435" s="15"/>
    </row>
    <row r="1436">
      <c r="C1436" s="14"/>
      <c r="I1436" s="15"/>
    </row>
    <row r="1437">
      <c r="C1437" s="14"/>
      <c r="I1437" s="15"/>
    </row>
    <row r="1438">
      <c r="C1438" s="14"/>
      <c r="I1438" s="15"/>
    </row>
    <row r="1439">
      <c r="C1439" s="14"/>
      <c r="I1439" s="15"/>
    </row>
    <row r="1440">
      <c r="C1440" s="14"/>
      <c r="I1440" s="15"/>
    </row>
    <row r="1441">
      <c r="C1441" s="14"/>
      <c r="I1441" s="15"/>
    </row>
    <row r="1442">
      <c r="C1442" s="14"/>
      <c r="I1442" s="15"/>
    </row>
    <row r="1443">
      <c r="C1443" s="14"/>
      <c r="I1443" s="15"/>
    </row>
    <row r="1444">
      <c r="C1444" s="14"/>
      <c r="I1444" s="15"/>
    </row>
    <row r="1445">
      <c r="C1445" s="14"/>
      <c r="I1445" s="15"/>
    </row>
    <row r="1446">
      <c r="C1446" s="14"/>
      <c r="I1446" s="15"/>
    </row>
    <row r="1447">
      <c r="C1447" s="14"/>
      <c r="I1447" s="15"/>
    </row>
    <row r="1448">
      <c r="C1448" s="14"/>
      <c r="I1448" s="15"/>
    </row>
    <row r="1449">
      <c r="C1449" s="14"/>
      <c r="I1449" s="15"/>
    </row>
    <row r="1450">
      <c r="C1450" s="14"/>
      <c r="I1450" s="15"/>
    </row>
    <row r="1451">
      <c r="C1451" s="14"/>
      <c r="I1451" s="15"/>
    </row>
    <row r="1452">
      <c r="C1452" s="14"/>
      <c r="I1452" s="15"/>
    </row>
    <row r="1453">
      <c r="C1453" s="14"/>
      <c r="I1453" s="15"/>
    </row>
    <row r="1454">
      <c r="C1454" s="14"/>
      <c r="I1454" s="15"/>
    </row>
    <row r="1455">
      <c r="C1455" s="14"/>
      <c r="I1455" s="15"/>
    </row>
    <row r="1456">
      <c r="C1456" s="14"/>
      <c r="I1456" s="15"/>
    </row>
    <row r="1457">
      <c r="C1457" s="14"/>
      <c r="I1457" s="15"/>
    </row>
    <row r="1458">
      <c r="C1458" s="14"/>
      <c r="I1458" s="15"/>
    </row>
    <row r="1459">
      <c r="C1459" s="14"/>
      <c r="I1459" s="15"/>
    </row>
    <row r="1460">
      <c r="C1460" s="14"/>
      <c r="I1460" s="15"/>
    </row>
    <row r="1461">
      <c r="C1461" s="14"/>
      <c r="I1461" s="15"/>
    </row>
    <row r="1462">
      <c r="C1462" s="14"/>
      <c r="I1462" s="15"/>
    </row>
    <row r="1463">
      <c r="C1463" s="14"/>
      <c r="I1463" s="15"/>
    </row>
    <row r="1464">
      <c r="C1464" s="14"/>
      <c r="I1464" s="15"/>
    </row>
    <row r="1465">
      <c r="C1465" s="14"/>
      <c r="I1465" s="15"/>
    </row>
    <row r="1466">
      <c r="C1466" s="14"/>
      <c r="I1466" s="15"/>
    </row>
    <row r="1467">
      <c r="C1467" s="14"/>
      <c r="I1467" s="15"/>
    </row>
    <row r="1468">
      <c r="C1468" s="14"/>
      <c r="I1468" s="15"/>
    </row>
    <row r="1469">
      <c r="C1469" s="14"/>
      <c r="I1469" s="15"/>
    </row>
    <row r="1470">
      <c r="C1470" s="14"/>
      <c r="I1470" s="15"/>
    </row>
    <row r="1471">
      <c r="C1471" s="14"/>
      <c r="I1471" s="15"/>
    </row>
    <row r="1472">
      <c r="C1472" s="14"/>
      <c r="I1472" s="15"/>
    </row>
    <row r="1473">
      <c r="C1473" s="14"/>
      <c r="I1473" s="15"/>
    </row>
    <row r="1474">
      <c r="C1474" s="14"/>
      <c r="I1474" s="15"/>
    </row>
    <row r="1475">
      <c r="C1475" s="14"/>
      <c r="I1475" s="15"/>
    </row>
    <row r="1476">
      <c r="C1476" s="14"/>
      <c r="I1476" s="15"/>
    </row>
    <row r="1477">
      <c r="C1477" s="14"/>
      <c r="I1477" s="15"/>
    </row>
    <row r="1478">
      <c r="C1478" s="14"/>
      <c r="I1478" s="15"/>
    </row>
    <row r="1479">
      <c r="C1479" s="14"/>
      <c r="I1479" s="15"/>
    </row>
    <row r="1480">
      <c r="C1480" s="14"/>
      <c r="I1480" s="15"/>
    </row>
    <row r="1481">
      <c r="C1481" s="14"/>
      <c r="I1481" s="15"/>
    </row>
    <row r="1482">
      <c r="C1482" s="14"/>
      <c r="I1482" s="15"/>
    </row>
    <row r="1483">
      <c r="C1483" s="14"/>
      <c r="I1483" s="15"/>
    </row>
    <row r="1484">
      <c r="C1484" s="14"/>
      <c r="I1484" s="15"/>
    </row>
    <row r="1485">
      <c r="C1485" s="14"/>
      <c r="I1485" s="15"/>
    </row>
    <row r="1486">
      <c r="C1486" s="14"/>
      <c r="I1486" s="15"/>
    </row>
    <row r="1487">
      <c r="C1487" s="14"/>
      <c r="I1487" s="15"/>
    </row>
    <row r="1488">
      <c r="C1488" s="14"/>
      <c r="I1488" s="15"/>
    </row>
    <row r="1489">
      <c r="C1489" s="14"/>
      <c r="I1489" s="15"/>
    </row>
    <row r="1490">
      <c r="C1490" s="14"/>
      <c r="I1490" s="15"/>
    </row>
    <row r="1491">
      <c r="C1491" s="14"/>
      <c r="I1491" s="15"/>
    </row>
    <row r="1492">
      <c r="C1492" s="14"/>
      <c r="I1492" s="15"/>
    </row>
    <row r="1493">
      <c r="C1493" s="14"/>
      <c r="I1493" s="15"/>
    </row>
    <row r="1494">
      <c r="C1494" s="14"/>
      <c r="I1494" s="15"/>
    </row>
    <row r="1495">
      <c r="C1495" s="14"/>
      <c r="I1495" s="15"/>
    </row>
    <row r="1496">
      <c r="C1496" s="14"/>
      <c r="I1496" s="15"/>
    </row>
    <row r="1497">
      <c r="C1497" s="14"/>
      <c r="I1497" s="15"/>
    </row>
    <row r="1498">
      <c r="C1498" s="14"/>
      <c r="I1498" s="15"/>
    </row>
    <row r="1499">
      <c r="C1499" s="14"/>
      <c r="I1499" s="15"/>
    </row>
    <row r="1500">
      <c r="C1500" s="14"/>
      <c r="I1500" s="15"/>
    </row>
    <row r="1501">
      <c r="C1501" s="14"/>
      <c r="I1501" s="15"/>
    </row>
    <row r="1502">
      <c r="C1502" s="14"/>
      <c r="I1502" s="15"/>
    </row>
    <row r="1503">
      <c r="C1503" s="14"/>
      <c r="I1503" s="15"/>
    </row>
    <row r="1504">
      <c r="C1504" s="14"/>
      <c r="I1504" s="15"/>
    </row>
    <row r="1505">
      <c r="C1505" s="14"/>
      <c r="I1505" s="15"/>
    </row>
    <row r="1506">
      <c r="C1506" s="14"/>
      <c r="I1506" s="15"/>
    </row>
    <row r="1507">
      <c r="C1507" s="14"/>
      <c r="I1507" s="15"/>
    </row>
    <row r="1508">
      <c r="C1508" s="14"/>
      <c r="I1508" s="15"/>
    </row>
    <row r="1509">
      <c r="C1509" s="14"/>
      <c r="I1509" s="15"/>
    </row>
    <row r="1510">
      <c r="C1510" s="14"/>
      <c r="I1510" s="15"/>
    </row>
    <row r="1511">
      <c r="C1511" s="14"/>
      <c r="I1511" s="15"/>
    </row>
    <row r="1512">
      <c r="C1512" s="14"/>
      <c r="I1512" s="15"/>
    </row>
    <row r="1513">
      <c r="C1513" s="14"/>
      <c r="I1513" s="15"/>
    </row>
    <row r="1514">
      <c r="C1514" s="14"/>
      <c r="I1514" s="15"/>
    </row>
    <row r="1515">
      <c r="C1515" s="14"/>
      <c r="I1515" s="15"/>
    </row>
    <row r="1516">
      <c r="C1516" s="14"/>
      <c r="I1516" s="15"/>
    </row>
    <row r="1517">
      <c r="C1517" s="14"/>
      <c r="I1517" s="15"/>
    </row>
    <row r="1518">
      <c r="C1518" s="14"/>
      <c r="I1518" s="15"/>
    </row>
    <row r="1519">
      <c r="C1519" s="14"/>
      <c r="I1519" s="15"/>
    </row>
    <row r="1520">
      <c r="C1520" s="14"/>
      <c r="I1520" s="15"/>
    </row>
    <row r="1521">
      <c r="C1521" s="14"/>
      <c r="I1521" s="15"/>
    </row>
    <row r="1522">
      <c r="C1522" s="14"/>
      <c r="I1522" s="15"/>
    </row>
    <row r="1523">
      <c r="C1523" s="14"/>
      <c r="I1523" s="15"/>
    </row>
    <row r="1524">
      <c r="C1524" s="14"/>
      <c r="I1524" s="15"/>
    </row>
    <row r="1525">
      <c r="C1525" s="14"/>
      <c r="I1525" s="15"/>
    </row>
    <row r="1526">
      <c r="C1526" s="14"/>
      <c r="I1526" s="15"/>
    </row>
    <row r="1527">
      <c r="C1527" s="14"/>
      <c r="I1527" s="15"/>
    </row>
    <row r="1528">
      <c r="C1528" s="14"/>
      <c r="I1528" s="15"/>
    </row>
    <row r="1529">
      <c r="C1529" s="14"/>
      <c r="I1529" s="15"/>
    </row>
    <row r="1530">
      <c r="C1530" s="14"/>
      <c r="I1530" s="15"/>
    </row>
    <row r="1531">
      <c r="C1531" s="14"/>
      <c r="I1531" s="15"/>
    </row>
    <row r="1532">
      <c r="C1532" s="14"/>
      <c r="I1532" s="15"/>
    </row>
    <row r="1533">
      <c r="C1533" s="14"/>
      <c r="I1533" s="15"/>
    </row>
    <row r="1534">
      <c r="C1534" s="14"/>
      <c r="I1534" s="15"/>
    </row>
    <row r="1535">
      <c r="C1535" s="14"/>
      <c r="I1535" s="15"/>
    </row>
    <row r="1536">
      <c r="C1536" s="14"/>
      <c r="I1536" s="15"/>
    </row>
    <row r="1537">
      <c r="C1537" s="14"/>
      <c r="I1537" s="15"/>
    </row>
    <row r="1538">
      <c r="C1538" s="14"/>
      <c r="I1538" s="15"/>
    </row>
    <row r="1539">
      <c r="C1539" s="14"/>
      <c r="I1539" s="15"/>
    </row>
    <row r="1540">
      <c r="C1540" s="14"/>
      <c r="I1540" s="15"/>
    </row>
    <row r="1541">
      <c r="C1541" s="14"/>
      <c r="I1541" s="15"/>
    </row>
    <row r="1542">
      <c r="C1542" s="14"/>
      <c r="I1542" s="15"/>
    </row>
    <row r="1543">
      <c r="C1543" s="14"/>
      <c r="I1543" s="15"/>
    </row>
    <row r="1544">
      <c r="C1544" s="14"/>
      <c r="I1544" s="15"/>
    </row>
    <row r="1545">
      <c r="C1545" s="14"/>
      <c r="I1545" s="15"/>
    </row>
    <row r="1546">
      <c r="C1546" s="14"/>
      <c r="I1546" s="15"/>
    </row>
    <row r="1547">
      <c r="C1547" s="14"/>
      <c r="I1547" s="15"/>
    </row>
    <row r="1548">
      <c r="C1548" s="14"/>
      <c r="I1548" s="15"/>
    </row>
    <row r="1549">
      <c r="C1549" s="14"/>
      <c r="I1549" s="15"/>
    </row>
    <row r="1550">
      <c r="C1550" s="14"/>
      <c r="I1550" s="15"/>
    </row>
    <row r="1551">
      <c r="C1551" s="14"/>
      <c r="I1551" s="15"/>
    </row>
    <row r="1552">
      <c r="C1552" s="14"/>
      <c r="I1552" s="15"/>
    </row>
    <row r="1553">
      <c r="C1553" s="14"/>
      <c r="I1553" s="15"/>
    </row>
    <row r="1554">
      <c r="C1554" s="14"/>
      <c r="I1554" s="15"/>
    </row>
    <row r="1555">
      <c r="C1555" s="14"/>
      <c r="I1555" s="15"/>
    </row>
    <row r="1556">
      <c r="C1556" s="14"/>
      <c r="I1556" s="15"/>
    </row>
    <row r="1557">
      <c r="C1557" s="14"/>
      <c r="I1557" s="15"/>
    </row>
    <row r="1558">
      <c r="C1558" s="14"/>
      <c r="I1558" s="15"/>
    </row>
    <row r="1559">
      <c r="C1559" s="14"/>
      <c r="I1559" s="15"/>
    </row>
    <row r="1560">
      <c r="C1560" s="14"/>
      <c r="I1560" s="15"/>
    </row>
    <row r="1561">
      <c r="C1561" s="14"/>
      <c r="I1561" s="15"/>
    </row>
    <row r="1562">
      <c r="C1562" s="14"/>
      <c r="I1562" s="15"/>
    </row>
    <row r="1563">
      <c r="C1563" s="14"/>
      <c r="I1563" s="15"/>
    </row>
    <row r="1564">
      <c r="C1564" s="14"/>
      <c r="I1564" s="15"/>
    </row>
    <row r="1565">
      <c r="C1565" s="14"/>
      <c r="I1565" s="15"/>
    </row>
    <row r="1566">
      <c r="C1566" s="14"/>
      <c r="I1566" s="15"/>
    </row>
    <row r="1567">
      <c r="C1567" s="14"/>
      <c r="I1567" s="15"/>
    </row>
    <row r="1568">
      <c r="C1568" s="14"/>
      <c r="I1568" s="15"/>
    </row>
    <row r="1569">
      <c r="C1569" s="14"/>
      <c r="I1569" s="15"/>
    </row>
    <row r="1570">
      <c r="C1570" s="14"/>
      <c r="I1570" s="15"/>
    </row>
    <row r="1571">
      <c r="C1571" s="14"/>
      <c r="I1571" s="15"/>
    </row>
    <row r="1572">
      <c r="C1572" s="14"/>
      <c r="I1572" s="15"/>
    </row>
    <row r="1573">
      <c r="C1573" s="14"/>
      <c r="I1573" s="15"/>
    </row>
    <row r="1574">
      <c r="C1574" s="14"/>
      <c r="I1574" s="15"/>
    </row>
    <row r="1575">
      <c r="C1575" s="14"/>
      <c r="I1575" s="15"/>
    </row>
    <row r="1576">
      <c r="C1576" s="14"/>
      <c r="I1576" s="15"/>
    </row>
    <row r="1577">
      <c r="C1577" s="14"/>
      <c r="I1577" s="15"/>
    </row>
    <row r="1578">
      <c r="C1578" s="14"/>
      <c r="I1578" s="15"/>
    </row>
    <row r="1579">
      <c r="C1579" s="14"/>
      <c r="I1579" s="15"/>
    </row>
    <row r="1580">
      <c r="C1580" s="14"/>
      <c r="I1580" s="15"/>
    </row>
    <row r="1581">
      <c r="C1581" s="14"/>
      <c r="I1581" s="15"/>
    </row>
    <row r="1582">
      <c r="C1582" s="14"/>
      <c r="I1582" s="15"/>
    </row>
    <row r="1583">
      <c r="C1583" s="14"/>
      <c r="I1583" s="15"/>
    </row>
    <row r="1584">
      <c r="C1584" s="14"/>
      <c r="I1584" s="15"/>
    </row>
    <row r="1585">
      <c r="C1585" s="14"/>
      <c r="I1585" s="15"/>
    </row>
    <row r="1586">
      <c r="C1586" s="14"/>
      <c r="I1586" s="15"/>
    </row>
    <row r="1587">
      <c r="C1587" s="14"/>
      <c r="I1587" s="15"/>
    </row>
    <row r="1588">
      <c r="C1588" s="14"/>
      <c r="I1588" s="15"/>
    </row>
    <row r="1589">
      <c r="C1589" s="14"/>
      <c r="I1589" s="15"/>
    </row>
    <row r="1590">
      <c r="C1590" s="14"/>
      <c r="I1590" s="15"/>
    </row>
    <row r="1591">
      <c r="C1591" s="14"/>
      <c r="I1591" s="15"/>
    </row>
    <row r="1592">
      <c r="C1592" s="14"/>
      <c r="I1592" s="15"/>
    </row>
    <row r="1593">
      <c r="C1593" s="14"/>
      <c r="I1593" s="15"/>
    </row>
    <row r="1594">
      <c r="C1594" s="14"/>
      <c r="I1594" s="15"/>
    </row>
    <row r="1595">
      <c r="C1595" s="14"/>
      <c r="I1595" s="15"/>
    </row>
    <row r="1596">
      <c r="C1596" s="14"/>
      <c r="I1596" s="15"/>
    </row>
    <row r="1597">
      <c r="C1597" s="14"/>
      <c r="I1597" s="15"/>
    </row>
    <row r="1598">
      <c r="C1598" s="14"/>
      <c r="I1598" s="15"/>
    </row>
    <row r="1599">
      <c r="C1599" s="14"/>
      <c r="I1599" s="15"/>
    </row>
    <row r="1600">
      <c r="C1600" s="14"/>
      <c r="I1600" s="15"/>
    </row>
    <row r="1601">
      <c r="C1601" s="14"/>
      <c r="I1601" s="15"/>
    </row>
    <row r="1602">
      <c r="C1602" s="14"/>
      <c r="I1602" s="15"/>
    </row>
    <row r="1603">
      <c r="C1603" s="14"/>
      <c r="I1603" s="15"/>
    </row>
    <row r="1604">
      <c r="C1604" s="14"/>
      <c r="I1604" s="15"/>
    </row>
    <row r="1605">
      <c r="C1605" s="14"/>
      <c r="I1605" s="15"/>
    </row>
    <row r="1606">
      <c r="C1606" s="14"/>
      <c r="I1606" s="15"/>
    </row>
    <row r="1607">
      <c r="C1607" s="14"/>
      <c r="I1607" s="15"/>
    </row>
    <row r="1608">
      <c r="C1608" s="14"/>
      <c r="I1608" s="15"/>
    </row>
    <row r="1609">
      <c r="C1609" s="14"/>
      <c r="I1609" s="15"/>
    </row>
    <row r="1610">
      <c r="C1610" s="14"/>
      <c r="I1610" s="15"/>
    </row>
    <row r="1611">
      <c r="C1611" s="14"/>
      <c r="I1611" s="15"/>
    </row>
    <row r="1612">
      <c r="C1612" s="14"/>
      <c r="I1612" s="15"/>
    </row>
    <row r="1613">
      <c r="C1613" s="14"/>
      <c r="I1613" s="15"/>
    </row>
    <row r="1614">
      <c r="C1614" s="14"/>
      <c r="I1614" s="15"/>
    </row>
    <row r="1615">
      <c r="C1615" s="14"/>
      <c r="I1615" s="15"/>
    </row>
    <row r="1616">
      <c r="C1616" s="14"/>
      <c r="I1616" s="15"/>
    </row>
    <row r="1617">
      <c r="C1617" s="14"/>
      <c r="I1617" s="15"/>
    </row>
    <row r="1618">
      <c r="C1618" s="14"/>
      <c r="I1618" s="15"/>
    </row>
    <row r="1619">
      <c r="C1619" s="14"/>
      <c r="I1619" s="15"/>
    </row>
    <row r="1620">
      <c r="C1620" s="14"/>
      <c r="I1620" s="15"/>
    </row>
    <row r="1621">
      <c r="C1621" s="14"/>
      <c r="I1621" s="15"/>
    </row>
    <row r="1622">
      <c r="C1622" s="14"/>
      <c r="I1622" s="15"/>
    </row>
    <row r="1623">
      <c r="C1623" s="14"/>
      <c r="I1623" s="15"/>
    </row>
    <row r="1624">
      <c r="C1624" s="14"/>
      <c r="I1624" s="15"/>
    </row>
    <row r="1625">
      <c r="C1625" s="14"/>
      <c r="I1625" s="15"/>
    </row>
    <row r="1626">
      <c r="C1626" s="14"/>
      <c r="I1626" s="15"/>
    </row>
    <row r="1627">
      <c r="C1627" s="14"/>
      <c r="I1627" s="15"/>
    </row>
    <row r="1628">
      <c r="C1628" s="14"/>
      <c r="I1628" s="15"/>
    </row>
    <row r="1629">
      <c r="C1629" s="14"/>
      <c r="I1629" s="15"/>
    </row>
    <row r="1630">
      <c r="C1630" s="14"/>
      <c r="I1630" s="15"/>
    </row>
    <row r="1631">
      <c r="C1631" s="14"/>
      <c r="I1631" s="15"/>
    </row>
    <row r="1632">
      <c r="C1632" s="14"/>
      <c r="I1632" s="15"/>
    </row>
    <row r="1633">
      <c r="C1633" s="14"/>
      <c r="I1633" s="15"/>
    </row>
    <row r="1634">
      <c r="C1634" s="14"/>
      <c r="I1634" s="15"/>
    </row>
    <row r="1635">
      <c r="C1635" s="14"/>
      <c r="I1635" s="15"/>
    </row>
    <row r="1636">
      <c r="C1636" s="14"/>
      <c r="I1636" s="15"/>
    </row>
    <row r="1637">
      <c r="C1637" s="14"/>
      <c r="I1637" s="15"/>
    </row>
    <row r="1638">
      <c r="C1638" s="14"/>
      <c r="I1638" s="15"/>
    </row>
    <row r="1639">
      <c r="C1639" s="14"/>
      <c r="I1639" s="15"/>
    </row>
    <row r="1640">
      <c r="C1640" s="14"/>
      <c r="I1640" s="15"/>
    </row>
    <row r="1641">
      <c r="C1641" s="14"/>
      <c r="I1641" s="15"/>
    </row>
    <row r="1642">
      <c r="C1642" s="14"/>
      <c r="I1642" s="15"/>
    </row>
    <row r="1643">
      <c r="C1643" s="14"/>
      <c r="I1643" s="15"/>
    </row>
    <row r="1644">
      <c r="C1644" s="14"/>
      <c r="I1644" s="15"/>
    </row>
    <row r="1645">
      <c r="C1645" s="14"/>
      <c r="I1645" s="15"/>
    </row>
    <row r="1646">
      <c r="C1646" s="14"/>
      <c r="I1646" s="15"/>
    </row>
    <row r="1647">
      <c r="C1647" s="14"/>
      <c r="I1647" s="15"/>
    </row>
    <row r="1648">
      <c r="C1648" s="14"/>
      <c r="I1648" s="15"/>
    </row>
    <row r="1649">
      <c r="C1649" s="14"/>
      <c r="I1649" s="15"/>
    </row>
    <row r="1650">
      <c r="C1650" s="14"/>
      <c r="I1650" s="15"/>
    </row>
    <row r="1651">
      <c r="C1651" s="14"/>
      <c r="I1651" s="15"/>
    </row>
    <row r="1652">
      <c r="C1652" s="14"/>
      <c r="I1652" s="15"/>
    </row>
    <row r="1653">
      <c r="C1653" s="14"/>
      <c r="I1653" s="15"/>
    </row>
    <row r="1654">
      <c r="C1654" s="14"/>
      <c r="I1654" s="15"/>
    </row>
    <row r="1655">
      <c r="C1655" s="14"/>
      <c r="I1655" s="15"/>
    </row>
  </sheetData>
  <autoFilter ref="$A$1:$I$1358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75"/>
  <cols>
    <col customWidth="1" min="1" max="1" width="14.13"/>
    <col customWidth="1" min="2" max="2" width="38.88"/>
    <col customWidth="1" min="3" max="3" width="10.63"/>
    <col customWidth="1" min="4" max="4" width="50.38"/>
    <col customWidth="1" min="5" max="5" width="15.13"/>
    <col customWidth="1" min="6" max="6" width="21.88"/>
    <col customWidth="1" min="7" max="7" width="16.0"/>
    <col customWidth="1" min="8" max="8" width="15.75"/>
    <col customWidth="1" min="9" max="9" width="10.0"/>
    <col customWidth="1" min="10" max="10" width="9.88"/>
    <col customWidth="1" min="11" max="11" width="11.25"/>
    <col customWidth="1" min="12" max="12" width="11.5"/>
    <col customWidth="1" min="13" max="13" width="7.88"/>
    <col customWidth="1" min="14" max="14" width="8.0"/>
    <col customWidth="1" min="15" max="15" width="8.88"/>
    <col customWidth="1" min="16" max="16" width="10.0"/>
    <col customWidth="1" min="17" max="17" width="25.88"/>
    <col customWidth="1" min="18" max="28" width="17.0"/>
  </cols>
  <sheetData>
    <row r="1">
      <c r="A1" s="1" t="str">
        <f>IFERROR(__xludf.DUMMYFUNCTION("importrange(""https://docs.google.com/spreadsheets/d/1DFSlwt9ZlRKT_PkoQJfzrg8zKlOpfXCy8ogf6GGmJUE/edit?gid=51676414#gid=51676414"",""SFSP Sites 2024!A:R"")"),"Sponsor #")</f>
        <v>Sponsor #</v>
      </c>
      <c r="B1" s="1" t="str">
        <f>IFERROR(__xludf.DUMMYFUNCTION("""COMPUTED_VALUE"""),"Sponsor Name")</f>
        <v>Sponsor Name</v>
      </c>
      <c r="C1" s="1" t="str">
        <f>IFERROR(__xludf.DUMMYFUNCTION("""COMPUTED_VALUE"""),"Site Code")</f>
        <v>Site Code</v>
      </c>
      <c r="D1" s="1" t="str">
        <f>IFERROR(__xludf.DUMMYFUNCTION("""COMPUTED_VALUE"""),"Site Name")</f>
        <v>Site Name</v>
      </c>
      <c r="E1" s="1" t="str">
        <f>IFERROR(__xludf.DUMMYFUNCTION("""COMPUTED_VALUE"""),"SFSP Site Type")</f>
        <v>SFSP Site Type</v>
      </c>
      <c r="F1" s="16" t="str">
        <f>IFERROR(__xludf.DUMMYFUNCTION("""COMPUTED_VALUE"""),"Non-congregate or hybrid (onsite &amp; non-congregate meals)")</f>
        <v>Non-congregate or hybrid (onsite &amp; non-congregate meals)</v>
      </c>
      <c r="G1" s="1" t="str">
        <f>IFERROR(__xludf.DUMMYFUNCTION("""COMPUTED_VALUE"""),"Street Address")</f>
        <v>Street Address</v>
      </c>
      <c r="H1" s="1" t="str">
        <f>IFERROR(__xludf.DUMMYFUNCTION("""COMPUTED_VALUE"""),"City")</f>
        <v>City</v>
      </c>
      <c r="I1" s="1" t="str">
        <f>IFERROR(__xludf.DUMMYFUNCTION("""COMPUTED_VALUE"""),"State")</f>
        <v>State</v>
      </c>
      <c r="J1" s="1" t="str">
        <f>IFERROR(__xludf.DUMMYFUNCTION("""COMPUTED_VALUE"""),"Zipcode")</f>
        <v>Zipcode</v>
      </c>
      <c r="K1" s="1" t="str">
        <f>IFERROR(__xludf.DUMMYFUNCTION("""COMPUTED_VALUE"""),"County")</f>
        <v>County</v>
      </c>
      <c r="L1" s="1" t="str">
        <f>IFERROR(__xludf.DUMMYFUNCTION("""COMPUTED_VALUE"""),"Breakfast")</f>
        <v>Breakfast</v>
      </c>
      <c r="M1" s="1" t="str">
        <f>IFERROR(__xludf.DUMMYFUNCTION("""COMPUTED_VALUE"""),"AM Snack")</f>
        <v>AM Snack</v>
      </c>
      <c r="N1" s="1" t="str">
        <f>IFERROR(__xludf.DUMMYFUNCTION("""COMPUTED_VALUE"""),"Lunch")</f>
        <v>Lunch</v>
      </c>
      <c r="O1" s="1" t="str">
        <f>IFERROR(__xludf.DUMMYFUNCTION("""COMPUTED_VALUE"""),"PM Snack")</f>
        <v>PM Snack</v>
      </c>
      <c r="P1" s="1" t="str">
        <f>IFERROR(__xludf.DUMMYFUNCTION("""COMPUTED_VALUE"""),"Supper")</f>
        <v>Supper</v>
      </c>
      <c r="Q1" s="1" t="str">
        <f>IFERROR(__xludf.DUMMYFUNCTION("""COMPUTED_VALUE"""),"Claims")</f>
        <v>Claims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3" t="str">
        <f>IFERROR(__xludf.DUMMYFUNCTION("""COMPUTED_VALUE"""),"0010")</f>
        <v>0010</v>
      </c>
      <c r="B2" s="13" t="str">
        <f>IFERROR(__xludf.DUMMYFUNCTION("""COMPUTED_VALUE"""),"MAPLETON 1")</f>
        <v>MAPLETON 1</v>
      </c>
      <c r="C2" s="13" t="str">
        <f>IFERROR(__xludf.DUMMYFUNCTION("""COMPUTED_VALUE"""),"00503")</f>
        <v>00503</v>
      </c>
      <c r="D2" s="13" t="str">
        <f>IFERROR(__xludf.DUMMYFUNCTION("""COMPUTED_VALUE"""),"YORK INTERNATIONAL")</f>
        <v>YORK INTERNATIONAL</v>
      </c>
      <c r="E2" s="13" t="str">
        <f>IFERROR(__xludf.DUMMYFUNCTION("""COMPUTED_VALUE"""),"Open")</f>
        <v>Open</v>
      </c>
      <c r="F2" s="13"/>
      <c r="G2" s="13" t="str">
        <f>IFERROR(__xludf.DUMMYFUNCTION("""COMPUTED_VALUE"""),"9200 YORK ST")</f>
        <v>9200 YORK ST</v>
      </c>
      <c r="H2" s="13" t="str">
        <f>IFERROR(__xludf.DUMMYFUNCTION("""COMPUTED_VALUE"""),"THORNTON")</f>
        <v>THORNTON</v>
      </c>
      <c r="I2" s="13" t="str">
        <f>IFERROR(__xludf.DUMMYFUNCTION("""COMPUTED_VALUE"""),"CO")</f>
        <v>CO</v>
      </c>
      <c r="J2" s="13" t="str">
        <f>IFERROR(__xludf.DUMMYFUNCTION("""COMPUTED_VALUE"""),"80229-7653")</f>
        <v>80229-7653</v>
      </c>
      <c r="K2" s="13" t="str">
        <f>IFERROR(__xludf.DUMMYFUNCTION("""COMPUTED_VALUE"""),"Adams")</f>
        <v>Adams</v>
      </c>
      <c r="L2" s="17" t="str">
        <f>IFERROR(__xludf.DUMMYFUNCTION("""COMPUTED_VALUE"""),"Y")</f>
        <v>Y</v>
      </c>
      <c r="M2" s="17"/>
      <c r="N2" s="17" t="str">
        <f>IFERROR(__xludf.DUMMYFUNCTION("""COMPUTED_VALUE"""),"Y")</f>
        <v>Y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>
      <c r="A3" s="13" t="str">
        <f>IFERROR(__xludf.DUMMYFUNCTION("""COMPUTED_VALUE"""),"0010")</f>
        <v>0010</v>
      </c>
      <c r="B3" s="13" t="str">
        <f>IFERROR(__xludf.DUMMYFUNCTION("""COMPUTED_VALUE"""),"MAPLETON 1")</f>
        <v>MAPLETON 1</v>
      </c>
      <c r="C3" s="13" t="str">
        <f>IFERROR(__xludf.DUMMYFUNCTION("""COMPUTED_VALUE"""),"00507")</f>
        <v>00507</v>
      </c>
      <c r="D3" s="13" t="str">
        <f>IFERROR(__xludf.DUMMYFUNCTION("""COMPUTED_VALUE"""),"ADVENTURE ELEMENTARY")</f>
        <v>ADVENTURE ELEMENTARY</v>
      </c>
      <c r="E3" s="13" t="str">
        <f>IFERROR(__xludf.DUMMYFUNCTION("""COMPUTED_VALUE"""),"Open")</f>
        <v>Open</v>
      </c>
      <c r="F3" s="13"/>
      <c r="G3" s="13" t="str">
        <f>IFERROR(__xludf.DUMMYFUNCTION("""COMPUTED_VALUE"""),"7725 CONIFER RD")</f>
        <v>7725 CONIFER RD</v>
      </c>
      <c r="H3" s="13" t="str">
        <f>IFERROR(__xludf.DUMMYFUNCTION("""COMPUTED_VALUE"""),"DENVER")</f>
        <v>DENVER</v>
      </c>
      <c r="I3" s="13" t="str">
        <f>IFERROR(__xludf.DUMMYFUNCTION("""COMPUTED_VALUE"""),"CO")</f>
        <v>CO</v>
      </c>
      <c r="J3" s="13">
        <f>IFERROR(__xludf.DUMMYFUNCTION("""COMPUTED_VALUE"""),80221.0)</f>
        <v>80221</v>
      </c>
      <c r="K3" s="13" t="str">
        <f>IFERROR(__xludf.DUMMYFUNCTION("""COMPUTED_VALUE"""),"Adams")</f>
        <v>Adams</v>
      </c>
      <c r="L3" s="17" t="str">
        <f>IFERROR(__xludf.DUMMYFUNCTION("""COMPUTED_VALUE"""),"Y")</f>
        <v>Y</v>
      </c>
      <c r="M3" s="17"/>
      <c r="N3" s="17" t="str">
        <f>IFERROR(__xludf.DUMMYFUNCTION("""COMPUTED_VALUE"""),"Y")</f>
        <v>Y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>
      <c r="A4" s="13" t="str">
        <f>IFERROR(__xludf.DUMMYFUNCTION("""COMPUTED_VALUE"""),"0010")</f>
        <v>0010</v>
      </c>
      <c r="B4" s="13" t="str">
        <f>IFERROR(__xludf.DUMMYFUNCTION("""COMPUTED_VALUE"""),"MAPLETON 1")</f>
        <v>MAPLETON 1</v>
      </c>
      <c r="C4" s="13" t="str">
        <f>IFERROR(__xludf.DUMMYFUNCTION("""COMPUTED_VALUE"""),"03623")</f>
        <v>03623</v>
      </c>
      <c r="D4" s="13" t="str">
        <f>IFERROR(__xludf.DUMMYFUNCTION("""COMPUTED_VALUE"""),"Global Primary Academy")</f>
        <v>Global Primary Academy</v>
      </c>
      <c r="E4" s="13" t="str">
        <f>IFERROR(__xludf.DUMMYFUNCTION("""COMPUTED_VALUE"""),"Open")</f>
        <v>Open</v>
      </c>
      <c r="F4" s="13"/>
      <c r="G4" s="13" t="str">
        <f>IFERROR(__xludf.DUMMYFUNCTION("""COMPUTED_VALUE"""),"7480 CONIFER RD")</f>
        <v>7480 CONIFER RD</v>
      </c>
      <c r="H4" s="13" t="str">
        <f>IFERROR(__xludf.DUMMYFUNCTION("""COMPUTED_VALUE"""),"DENVER")</f>
        <v>DENVER</v>
      </c>
      <c r="I4" s="13" t="str">
        <f>IFERROR(__xludf.DUMMYFUNCTION("""COMPUTED_VALUE"""),"CO")</f>
        <v>CO</v>
      </c>
      <c r="J4" s="13" t="str">
        <f>IFERROR(__xludf.DUMMYFUNCTION("""COMPUTED_VALUE"""),"80221-3673")</f>
        <v>80221-3673</v>
      </c>
      <c r="K4" s="13" t="str">
        <f>IFERROR(__xludf.DUMMYFUNCTION("""COMPUTED_VALUE"""),"Adams")</f>
        <v>Adams</v>
      </c>
      <c r="L4" s="17" t="str">
        <f>IFERROR(__xludf.DUMMYFUNCTION("""COMPUTED_VALUE"""),"Y")</f>
        <v>Y</v>
      </c>
      <c r="M4" s="17"/>
      <c r="N4" s="17" t="str">
        <f>IFERROR(__xludf.DUMMYFUNCTION("""COMPUTED_VALUE"""),"Y")</f>
        <v>Y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>
      <c r="A5" s="13" t="str">
        <f>IFERROR(__xludf.DUMMYFUNCTION("""COMPUTED_VALUE"""),"0010")</f>
        <v>0010</v>
      </c>
      <c r="B5" s="13" t="str">
        <f>IFERROR(__xludf.DUMMYFUNCTION("""COMPUTED_VALUE"""),"MAPLETON 1")</f>
        <v>MAPLETON 1</v>
      </c>
      <c r="C5" s="13" t="str">
        <f>IFERROR(__xludf.DUMMYFUNCTION("""COMPUTED_VALUE"""),"08823")</f>
        <v>08823</v>
      </c>
      <c r="D5" s="13" t="str">
        <f>IFERROR(__xludf.DUMMYFUNCTION("""COMPUTED_VALUE"""),"Trailside Academy")</f>
        <v>Trailside Academy</v>
      </c>
      <c r="E5" s="13" t="str">
        <f>IFERROR(__xludf.DUMMYFUNCTION("""COMPUTED_VALUE"""),"Open")</f>
        <v>Open</v>
      </c>
      <c r="F5" s="13"/>
      <c r="G5" s="13" t="str">
        <f>IFERROR(__xludf.DUMMYFUNCTION("""COMPUTED_VALUE"""),"2300 W 67TH PL")</f>
        <v>2300 W 67TH PL</v>
      </c>
      <c r="H5" s="13" t="str">
        <f>IFERROR(__xludf.DUMMYFUNCTION("""COMPUTED_VALUE"""),"DENVER")</f>
        <v>DENVER</v>
      </c>
      <c r="I5" s="13" t="str">
        <f>IFERROR(__xludf.DUMMYFUNCTION("""COMPUTED_VALUE"""),"CO")</f>
        <v>CO</v>
      </c>
      <c r="J5" s="13" t="str">
        <f>IFERROR(__xludf.DUMMYFUNCTION("""COMPUTED_VALUE"""),"80221-2677")</f>
        <v>80221-2677</v>
      </c>
      <c r="K5" s="13" t="str">
        <f>IFERROR(__xludf.DUMMYFUNCTION("""COMPUTED_VALUE"""),"Adams")</f>
        <v>Adams</v>
      </c>
      <c r="L5" s="17" t="str">
        <f>IFERROR(__xludf.DUMMYFUNCTION("""COMPUTED_VALUE"""),"Y")</f>
        <v>Y</v>
      </c>
      <c r="M5" s="17"/>
      <c r="N5" s="17" t="str">
        <f>IFERROR(__xludf.DUMMYFUNCTION("""COMPUTED_VALUE"""),"Y")</f>
        <v>Y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>
      <c r="A6" s="13" t="str">
        <f>IFERROR(__xludf.DUMMYFUNCTION("""COMPUTED_VALUE"""),"0020")</f>
        <v>0020</v>
      </c>
      <c r="B6" s="13" t="str">
        <f>IFERROR(__xludf.DUMMYFUNCTION("""COMPUTED_VALUE"""),"Adams 12 Five Star Schools")</f>
        <v>Adams 12 Five Star Schools</v>
      </c>
      <c r="C6" s="13" t="str">
        <f>IFERROR(__xludf.DUMMYFUNCTION("""COMPUTED_VALUE"""),"00301")</f>
        <v>00301</v>
      </c>
      <c r="D6" s="13" t="str">
        <f>IFERROR(__xludf.DUMMYFUNCTION("""COMPUTED_VALUE"""),"ARAPAHOE RIDGE ELEMENTARY SCHOOL")</f>
        <v>ARAPAHOE RIDGE ELEMENTARY SCHOOL</v>
      </c>
      <c r="E6" s="13" t="str">
        <f>IFERROR(__xludf.DUMMYFUNCTION("""COMPUTED_VALUE"""),"Open")</f>
        <v>Open</v>
      </c>
      <c r="F6" s="13"/>
      <c r="G6" s="13" t="str">
        <f>IFERROR(__xludf.DUMMYFUNCTION("""COMPUTED_VALUE"""),"13095 PECOS ST")</f>
        <v>13095 PECOS ST</v>
      </c>
      <c r="H6" s="13" t="str">
        <f>IFERROR(__xludf.DUMMYFUNCTION("""COMPUTED_VALUE"""),"WESTMINSTER")</f>
        <v>WESTMINSTER</v>
      </c>
      <c r="I6" s="13" t="str">
        <f>IFERROR(__xludf.DUMMYFUNCTION("""COMPUTED_VALUE"""),"CO")</f>
        <v>CO</v>
      </c>
      <c r="J6" s="13" t="str">
        <f>IFERROR(__xludf.DUMMYFUNCTION("""COMPUTED_VALUE"""),"80234-1020")</f>
        <v>80234-1020</v>
      </c>
      <c r="K6" s="13" t="str">
        <f>IFERROR(__xludf.DUMMYFUNCTION("""COMPUTED_VALUE"""),"Adams")</f>
        <v>Adams</v>
      </c>
      <c r="L6" s="17" t="str">
        <f>IFERROR(__xludf.DUMMYFUNCTION("""COMPUTED_VALUE"""),"Y")</f>
        <v>Y</v>
      </c>
      <c r="M6" s="17"/>
      <c r="N6" s="17" t="str">
        <f>IFERROR(__xludf.DUMMYFUNCTION("""COMPUTED_VALUE"""),"Y")</f>
        <v>Y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>
      <c r="A7" s="13" t="str">
        <f>IFERROR(__xludf.DUMMYFUNCTION("""COMPUTED_VALUE"""),"0020")</f>
        <v>0020</v>
      </c>
      <c r="B7" s="13" t="str">
        <f>IFERROR(__xludf.DUMMYFUNCTION("""COMPUTED_VALUE"""),"Adams 12 Five Star Schools")</f>
        <v>Adams 12 Five Star Schools</v>
      </c>
      <c r="C7" s="13" t="str">
        <f>IFERROR(__xludf.DUMMYFUNCTION("""COMPUTED_VALUE"""),"01878")</f>
        <v>01878</v>
      </c>
      <c r="D7" s="13" t="str">
        <f>IFERROR(__xludf.DUMMYFUNCTION("""COMPUTED_VALUE"""),"CORONADO HILLS ELEMENTARY SCHOOL")</f>
        <v>CORONADO HILLS ELEMENTARY SCHOOL</v>
      </c>
      <c r="E7" s="13" t="str">
        <f>IFERROR(__xludf.DUMMYFUNCTION("""COMPUTED_VALUE"""),"Open")</f>
        <v>Open</v>
      </c>
      <c r="F7" s="13"/>
      <c r="G7" s="13" t="str">
        <f>IFERROR(__xludf.DUMMYFUNCTION("""COMPUTED_VALUE"""),"8300 DOWNING DR")</f>
        <v>8300 DOWNING DR</v>
      </c>
      <c r="H7" s="13" t="str">
        <f>IFERROR(__xludf.DUMMYFUNCTION("""COMPUTED_VALUE"""),"DENVER")</f>
        <v>DENVER</v>
      </c>
      <c r="I7" s="13" t="str">
        <f>IFERROR(__xludf.DUMMYFUNCTION("""COMPUTED_VALUE"""),"CO")</f>
        <v>CO</v>
      </c>
      <c r="J7" s="13" t="str">
        <f>IFERROR(__xludf.DUMMYFUNCTION("""COMPUTED_VALUE"""),"80229-5440")</f>
        <v>80229-5440</v>
      </c>
      <c r="K7" s="13" t="str">
        <f>IFERROR(__xludf.DUMMYFUNCTION("""COMPUTED_VALUE"""),"Adams")</f>
        <v>Adams</v>
      </c>
      <c r="L7" s="17" t="str">
        <f>IFERROR(__xludf.DUMMYFUNCTION("""COMPUTED_VALUE"""),"Y")</f>
        <v>Y</v>
      </c>
      <c r="M7" s="17"/>
      <c r="N7" s="17" t="str">
        <f>IFERROR(__xludf.DUMMYFUNCTION("""COMPUTED_VALUE"""),"Y")</f>
        <v>Y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>
      <c r="A8" s="13" t="str">
        <f>IFERROR(__xludf.DUMMYFUNCTION("""COMPUTED_VALUE"""),"0020")</f>
        <v>0020</v>
      </c>
      <c r="B8" s="13" t="str">
        <f>IFERROR(__xludf.DUMMYFUNCTION("""COMPUTED_VALUE"""),"Adams 12 Five Star Schools")</f>
        <v>Adams 12 Five Star Schools</v>
      </c>
      <c r="C8" s="13" t="str">
        <f>IFERROR(__xludf.DUMMYFUNCTION("""COMPUTED_VALUE"""),"02361")</f>
        <v>02361</v>
      </c>
      <c r="D8" s="13" t="str">
        <f>IFERROR(__xludf.DUMMYFUNCTION("""COMPUTED_VALUE"""),"EAGLEVIEW ELEMENTARY SCHOOL")</f>
        <v>EAGLEVIEW ELEMENTARY SCHOOL</v>
      </c>
      <c r="E8" s="13" t="str">
        <f>IFERROR(__xludf.DUMMYFUNCTION("""COMPUTED_VALUE"""),"Open")</f>
        <v>Open</v>
      </c>
      <c r="F8" s="13"/>
      <c r="G8" s="13" t="str">
        <f>IFERROR(__xludf.DUMMYFUNCTION("""COMPUTED_VALUE"""),"4601 SUMMIT GROVE PKWY")</f>
        <v>4601 SUMMIT GROVE PKWY</v>
      </c>
      <c r="H8" s="13" t="str">
        <f>IFERROR(__xludf.DUMMYFUNCTION("""COMPUTED_VALUE"""),"THORNTON")</f>
        <v>THORNTON</v>
      </c>
      <c r="I8" s="13" t="str">
        <f>IFERROR(__xludf.DUMMYFUNCTION("""COMPUTED_VALUE"""),"CO")</f>
        <v>CO</v>
      </c>
      <c r="J8" s="13" t="str">
        <f>IFERROR(__xludf.DUMMYFUNCTION("""COMPUTED_VALUE"""),"80241-1557")</f>
        <v>80241-1557</v>
      </c>
      <c r="K8" s="13" t="str">
        <f>IFERROR(__xludf.DUMMYFUNCTION("""COMPUTED_VALUE"""),"Adams")</f>
        <v>Adams</v>
      </c>
      <c r="L8" s="17" t="str">
        <f>IFERROR(__xludf.DUMMYFUNCTION("""COMPUTED_VALUE"""),"Y")</f>
        <v>Y</v>
      </c>
      <c r="M8" s="17"/>
      <c r="N8" s="17" t="str">
        <f>IFERROR(__xludf.DUMMYFUNCTION("""COMPUTED_VALUE"""),"Y")</f>
        <v>Y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>
      <c r="A9" s="13" t="str">
        <f>IFERROR(__xludf.DUMMYFUNCTION("""COMPUTED_VALUE"""),"0020")</f>
        <v>0020</v>
      </c>
      <c r="B9" s="13" t="str">
        <f>IFERROR(__xludf.DUMMYFUNCTION("""COMPUTED_VALUE"""),"Adams 12 Five Star Schools")</f>
        <v>Adams 12 Five Star Schools</v>
      </c>
      <c r="C9" s="13" t="str">
        <f>IFERROR(__xludf.DUMMYFUNCTION("""COMPUTED_VALUE"""),"02918")</f>
        <v>02918</v>
      </c>
      <c r="D9" s="13" t="str">
        <f>IFERROR(__xludf.DUMMYFUNCTION("""COMPUTED_VALUE"""),"FEDERAL HEIGHTS ELEMENTARY SCHOOL")</f>
        <v>FEDERAL HEIGHTS ELEMENTARY SCHOOL</v>
      </c>
      <c r="E9" s="13" t="str">
        <f>IFERROR(__xludf.DUMMYFUNCTION("""COMPUTED_VALUE"""),"Open")</f>
        <v>Open</v>
      </c>
      <c r="F9" s="13"/>
      <c r="G9" s="13" t="str">
        <f>IFERROR(__xludf.DUMMYFUNCTION("""COMPUTED_VALUE"""),"2500 W 96TH AVE")</f>
        <v>2500 W 96TH AVE</v>
      </c>
      <c r="H9" s="13" t="str">
        <f>IFERROR(__xludf.DUMMYFUNCTION("""COMPUTED_VALUE"""),"DENVER")</f>
        <v>DENVER</v>
      </c>
      <c r="I9" s="13" t="str">
        <f>IFERROR(__xludf.DUMMYFUNCTION("""COMPUTED_VALUE"""),"CO")</f>
        <v>CO</v>
      </c>
      <c r="J9" s="13" t="str">
        <f>IFERROR(__xludf.DUMMYFUNCTION("""COMPUTED_VALUE"""),"80260-5701")</f>
        <v>80260-5701</v>
      </c>
      <c r="K9" s="13" t="str">
        <f>IFERROR(__xludf.DUMMYFUNCTION("""COMPUTED_VALUE"""),"Adams")</f>
        <v>Adams</v>
      </c>
      <c r="L9" s="17" t="str">
        <f>IFERROR(__xludf.DUMMYFUNCTION("""COMPUTED_VALUE"""),"Y")</f>
        <v>Y</v>
      </c>
      <c r="M9" s="17"/>
      <c r="N9" s="17" t="str">
        <f>IFERROR(__xludf.DUMMYFUNCTION("""COMPUTED_VALUE"""),"Y")</f>
        <v>Y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>
      <c r="A10" s="13" t="str">
        <f>IFERROR(__xludf.DUMMYFUNCTION("""COMPUTED_VALUE"""),"0020")</f>
        <v>0020</v>
      </c>
      <c r="B10" s="13" t="str">
        <f>IFERROR(__xludf.DUMMYFUNCTION("""COMPUTED_VALUE"""),"Adams 12 Five Star Schools")</f>
        <v>Adams 12 Five Star Schools</v>
      </c>
      <c r="C10" s="13" t="str">
        <f>IFERROR(__xludf.DUMMYFUNCTION("""COMPUTED_VALUE"""),"04187")</f>
        <v>04187</v>
      </c>
      <c r="D10" s="13" t="str">
        <f>IFERROR(__xludf.DUMMYFUNCTION("""COMPUTED_VALUE"""),"SILVER HILLS MIDDLE SCHOOL")</f>
        <v>SILVER HILLS MIDDLE SCHOOL</v>
      </c>
      <c r="E10" s="13" t="str">
        <f>IFERROR(__xludf.DUMMYFUNCTION("""COMPUTED_VALUE"""),"Closed - Enrolled")</f>
        <v>Closed - Enrolled</v>
      </c>
      <c r="F10" s="13"/>
      <c r="G10" s="13" t="str">
        <f>IFERROR(__xludf.DUMMYFUNCTION("""COMPUTED_VALUE"""),"12400 HURON ST")</f>
        <v>12400 HURON ST</v>
      </c>
      <c r="H10" s="13" t="str">
        <f>IFERROR(__xludf.DUMMYFUNCTION("""COMPUTED_VALUE"""),"WESTMINSTER")</f>
        <v>WESTMINSTER</v>
      </c>
      <c r="I10" s="13" t="str">
        <f>IFERROR(__xludf.DUMMYFUNCTION("""COMPUTED_VALUE"""),"CO")</f>
        <v>CO</v>
      </c>
      <c r="J10" s="13" t="str">
        <f>IFERROR(__xludf.DUMMYFUNCTION("""COMPUTED_VALUE"""),"80234-1724")</f>
        <v>80234-1724</v>
      </c>
      <c r="K10" s="13" t="str">
        <f>IFERROR(__xludf.DUMMYFUNCTION("""COMPUTED_VALUE"""),"Adams")</f>
        <v>Adams</v>
      </c>
      <c r="L10" s="17" t="str">
        <f>IFERROR(__xludf.DUMMYFUNCTION("""COMPUTED_VALUE"""),"Y")</f>
        <v>Y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>
      <c r="A11" s="13" t="str">
        <f>IFERROR(__xludf.DUMMYFUNCTION("""COMPUTED_VALUE"""),"0020")</f>
        <v>0020</v>
      </c>
      <c r="B11" s="13" t="str">
        <f>IFERROR(__xludf.DUMMYFUNCTION("""COMPUTED_VALUE"""),"Adams 12 Five Star Schools")</f>
        <v>Adams 12 Five Star Schools</v>
      </c>
      <c r="C11" s="13" t="str">
        <f>IFERROR(__xludf.DUMMYFUNCTION("""COMPUTED_VALUE"""),"06376")</f>
        <v>06376</v>
      </c>
      <c r="D11" s="13" t="str">
        <f>IFERROR(__xludf.DUMMYFUNCTION("""COMPUTED_VALUE"""),"NORTH STAR ELEMENTARY SCHOOL")</f>
        <v>NORTH STAR ELEMENTARY SCHOOL</v>
      </c>
      <c r="E11" s="13" t="str">
        <f>IFERROR(__xludf.DUMMYFUNCTION("""COMPUTED_VALUE"""),"Open")</f>
        <v>Open</v>
      </c>
      <c r="F11" s="13"/>
      <c r="G11" s="13" t="str">
        <f>IFERROR(__xludf.DUMMYFUNCTION("""COMPUTED_VALUE"""),"8740 NORTHSTAR DR")</f>
        <v>8740 NORTHSTAR DR</v>
      </c>
      <c r="H11" s="13" t="str">
        <f>IFERROR(__xludf.DUMMYFUNCTION("""COMPUTED_VALUE"""),"THORNTON")</f>
        <v>THORNTON</v>
      </c>
      <c r="I11" s="13" t="str">
        <f>IFERROR(__xludf.DUMMYFUNCTION("""COMPUTED_VALUE"""),"CO")</f>
        <v>CO</v>
      </c>
      <c r="J11" s="13" t="str">
        <f>IFERROR(__xludf.DUMMYFUNCTION("""COMPUTED_VALUE"""),"80260-4322")</f>
        <v>80260-4322</v>
      </c>
      <c r="K11" s="13" t="str">
        <f>IFERROR(__xludf.DUMMYFUNCTION("""COMPUTED_VALUE"""),"Adams")</f>
        <v>Adams</v>
      </c>
      <c r="L11" s="17" t="str">
        <f>IFERROR(__xludf.DUMMYFUNCTION("""COMPUTED_VALUE"""),"Y")</f>
        <v>Y</v>
      </c>
      <c r="M11" s="17"/>
      <c r="N11" s="17" t="str">
        <f>IFERROR(__xludf.DUMMYFUNCTION("""COMPUTED_VALUE"""),"Y")</f>
        <v>Y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>
      <c r="A12" s="13" t="str">
        <f>IFERROR(__xludf.DUMMYFUNCTION("""COMPUTED_VALUE"""),"0020")</f>
        <v>0020</v>
      </c>
      <c r="B12" s="13" t="str">
        <f>IFERROR(__xludf.DUMMYFUNCTION("""COMPUTED_VALUE"""),"Adams 12 Five Star Schools")</f>
        <v>Adams 12 Five Star Schools</v>
      </c>
      <c r="C12" s="13" t="str">
        <f>IFERROR(__xludf.DUMMYFUNCTION("""COMPUTED_VALUE"""),"06402")</f>
        <v>06402</v>
      </c>
      <c r="D12" s="13" t="str">
        <f>IFERROR(__xludf.DUMMYFUNCTION("""COMPUTED_VALUE"""),"NORTHGLENN HIGH SCHOOL")</f>
        <v>NORTHGLENN HIGH SCHOOL</v>
      </c>
      <c r="E12" s="13" t="str">
        <f>IFERROR(__xludf.DUMMYFUNCTION("""COMPUTED_VALUE"""),"Open")</f>
        <v>Open</v>
      </c>
      <c r="F12" s="13"/>
      <c r="G12" s="13" t="str">
        <f>IFERROR(__xludf.DUMMYFUNCTION("""COMPUTED_VALUE"""),"601 W 100TH PL")</f>
        <v>601 W 100TH PL</v>
      </c>
      <c r="H12" s="13" t="str">
        <f>IFERROR(__xludf.DUMMYFUNCTION("""COMPUTED_VALUE"""),"NORTHGLENN")</f>
        <v>NORTHGLENN</v>
      </c>
      <c r="I12" s="13" t="str">
        <f>IFERROR(__xludf.DUMMYFUNCTION("""COMPUTED_VALUE"""),"CO")</f>
        <v>CO</v>
      </c>
      <c r="J12" s="13" t="str">
        <f>IFERROR(__xludf.DUMMYFUNCTION("""COMPUTED_VALUE"""),"80260-6003")</f>
        <v>80260-6003</v>
      </c>
      <c r="K12" s="13" t="str">
        <f>IFERROR(__xludf.DUMMYFUNCTION("""COMPUTED_VALUE"""),"Adams")</f>
        <v>Adams</v>
      </c>
      <c r="L12" s="17" t="str">
        <f>IFERROR(__xludf.DUMMYFUNCTION("""COMPUTED_VALUE"""),"Y")</f>
        <v>Y</v>
      </c>
      <c r="M12" s="17"/>
      <c r="N12" s="17" t="str">
        <f>IFERROR(__xludf.DUMMYFUNCTION("""COMPUTED_VALUE"""),"Y")</f>
        <v>Y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>
      <c r="A13" s="13" t="str">
        <f>IFERROR(__xludf.DUMMYFUNCTION("""COMPUTED_VALUE"""),"0020")</f>
        <v>0020</v>
      </c>
      <c r="B13" s="13" t="str">
        <f>IFERROR(__xludf.DUMMYFUNCTION("""COMPUTED_VALUE"""),"Adams 12 Five Star Schools")</f>
        <v>Adams 12 Five Star Schools</v>
      </c>
      <c r="C13" s="13" t="str">
        <f>IFERROR(__xludf.DUMMYFUNCTION("""COMPUTED_VALUE"""),"08211")</f>
        <v>08211</v>
      </c>
      <c r="D13" s="13" t="str">
        <f>IFERROR(__xludf.DUMMYFUNCTION("""COMPUTED_VALUE"""),"THE STUDIO SCHOOL")</f>
        <v>THE STUDIO SCHOOL</v>
      </c>
      <c r="E13" s="13" t="str">
        <f>IFERROR(__xludf.DUMMYFUNCTION("""COMPUTED_VALUE"""),"Open")</f>
        <v>Open</v>
      </c>
      <c r="F13" s="13"/>
      <c r="G13" s="13" t="str">
        <f>IFERROR(__xludf.DUMMYFUNCTION("""COMPUTED_VALUE"""),"10604 GRANT DR")</f>
        <v>10604 GRANT DR</v>
      </c>
      <c r="H13" s="13" t="str">
        <f>IFERROR(__xludf.DUMMYFUNCTION("""COMPUTED_VALUE"""),"NORTHGLENN")</f>
        <v>NORTHGLENN</v>
      </c>
      <c r="I13" s="13" t="str">
        <f>IFERROR(__xludf.DUMMYFUNCTION("""COMPUTED_VALUE"""),"CO")</f>
        <v>CO</v>
      </c>
      <c r="J13" s="13" t="str">
        <f>IFERROR(__xludf.DUMMYFUNCTION("""COMPUTED_VALUE"""),"80233-4117")</f>
        <v>80233-4117</v>
      </c>
      <c r="K13" s="13" t="str">
        <f>IFERROR(__xludf.DUMMYFUNCTION("""COMPUTED_VALUE"""),"Adams")</f>
        <v>Adams</v>
      </c>
      <c r="L13" s="17" t="str">
        <f>IFERROR(__xludf.DUMMYFUNCTION("""COMPUTED_VALUE"""),"Y")</f>
        <v>Y</v>
      </c>
      <c r="M13" s="17"/>
      <c r="N13" s="17" t="str">
        <f>IFERROR(__xludf.DUMMYFUNCTION("""COMPUTED_VALUE"""),"Y")</f>
        <v>Y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>
      <c r="A14" s="13" t="str">
        <f>IFERROR(__xludf.DUMMYFUNCTION("""COMPUTED_VALUE"""),"0020")</f>
        <v>0020</v>
      </c>
      <c r="B14" s="13" t="str">
        <f>IFERROR(__xludf.DUMMYFUNCTION("""COMPUTED_VALUE"""),"Adams 12 Five Star Schools")</f>
        <v>Adams 12 Five Star Schools</v>
      </c>
      <c r="C14" s="13" t="str">
        <f>IFERROR(__xludf.DUMMYFUNCTION("""COMPUTED_VALUE"""),"08842")</f>
        <v>08842</v>
      </c>
      <c r="D14" s="13" t="str">
        <f>IFERROR(__xludf.DUMMYFUNCTION("""COMPUTED_VALUE"""),"THORNTON ELEMENTARY SCHOOL")</f>
        <v>THORNTON ELEMENTARY SCHOOL</v>
      </c>
      <c r="E14" s="13" t="str">
        <f>IFERROR(__xludf.DUMMYFUNCTION("""COMPUTED_VALUE"""),"Open")</f>
        <v>Open</v>
      </c>
      <c r="F14" s="13"/>
      <c r="G14" s="13" t="str">
        <f>IFERROR(__xludf.DUMMYFUNCTION("""COMPUTED_VALUE"""),"991 EPPINGER BLVD")</f>
        <v>991 EPPINGER BLVD</v>
      </c>
      <c r="H14" s="13" t="str">
        <f>IFERROR(__xludf.DUMMYFUNCTION("""COMPUTED_VALUE"""),"THORNTON")</f>
        <v>THORNTON</v>
      </c>
      <c r="I14" s="13" t="str">
        <f>IFERROR(__xludf.DUMMYFUNCTION("""COMPUTED_VALUE"""),"CO")</f>
        <v>CO</v>
      </c>
      <c r="J14" s="13" t="str">
        <f>IFERROR(__xludf.DUMMYFUNCTION("""COMPUTED_VALUE"""),"80229-3517")</f>
        <v>80229-3517</v>
      </c>
      <c r="K14" s="13" t="str">
        <f>IFERROR(__xludf.DUMMYFUNCTION("""COMPUTED_VALUE"""),"Adams")</f>
        <v>Adams</v>
      </c>
      <c r="L14" s="17" t="str">
        <f>IFERROR(__xludf.DUMMYFUNCTION("""COMPUTED_VALUE"""),"Y")</f>
        <v>Y</v>
      </c>
      <c r="M14" s="17"/>
      <c r="N14" s="17" t="str">
        <f>IFERROR(__xludf.DUMMYFUNCTION("""COMPUTED_VALUE"""),"Y")</f>
        <v>Y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>
      <c r="A15" s="13" t="str">
        <f>IFERROR(__xludf.DUMMYFUNCTION("""COMPUTED_VALUE"""),"0020")</f>
        <v>0020</v>
      </c>
      <c r="B15" s="13" t="str">
        <f>IFERROR(__xludf.DUMMYFUNCTION("""COMPUTED_VALUE"""),"Adams 12 Five Star Schools")</f>
        <v>Adams 12 Five Star Schools</v>
      </c>
      <c r="C15" s="13" t="str">
        <f>IFERROR(__xludf.DUMMYFUNCTION("""COMPUTED_VALUE"""),"09682")</f>
        <v>09682</v>
      </c>
      <c r="D15" s="13" t="str">
        <f>IFERROR(__xludf.DUMMYFUNCTION("""COMPUTED_VALUE"""),"WOODGLEN ELEMENTARY SCHOOL")</f>
        <v>WOODGLEN ELEMENTARY SCHOOL</v>
      </c>
      <c r="E15" s="13" t="str">
        <f>IFERROR(__xludf.DUMMYFUNCTION("""COMPUTED_VALUE"""),"Closed - Enrolled")</f>
        <v>Closed - Enrolled</v>
      </c>
      <c r="F15" s="13"/>
      <c r="G15" s="13" t="str">
        <f>IFERROR(__xludf.DUMMYFUNCTION("""COMPUTED_VALUE"""),"11717 MADISON ST")</f>
        <v>11717 MADISON ST</v>
      </c>
      <c r="H15" s="13" t="str">
        <f>IFERROR(__xludf.DUMMYFUNCTION("""COMPUTED_VALUE"""),"THORNTON")</f>
        <v>THORNTON</v>
      </c>
      <c r="I15" s="13" t="str">
        <f>IFERROR(__xludf.DUMMYFUNCTION("""COMPUTED_VALUE"""),"CO")</f>
        <v>CO</v>
      </c>
      <c r="J15" s="13" t="str">
        <f>IFERROR(__xludf.DUMMYFUNCTION("""COMPUTED_VALUE"""),"80233-1542")</f>
        <v>80233-1542</v>
      </c>
      <c r="K15" s="13" t="str">
        <f>IFERROR(__xludf.DUMMYFUNCTION("""COMPUTED_VALUE"""),"Adams")</f>
        <v>Adams</v>
      </c>
      <c r="L15" s="17" t="str">
        <f>IFERROR(__xludf.DUMMYFUNCTION("""COMPUTED_VALUE"""),"Y")</f>
        <v>Y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>
      <c r="A16" s="13" t="str">
        <f>IFERROR(__xludf.DUMMYFUNCTION("""COMPUTED_VALUE"""),"0030")</f>
        <v>0030</v>
      </c>
      <c r="B16" s="13" t="str">
        <f>IFERROR(__xludf.DUMMYFUNCTION("""COMPUTED_VALUE"""),"ADAMS COUNTY 14")</f>
        <v>ADAMS COUNTY 14</v>
      </c>
      <c r="C16" s="13" t="str">
        <f>IFERROR(__xludf.DUMMYFUNCTION("""COMPUTED_VALUE"""),"00022")</f>
        <v>00022</v>
      </c>
      <c r="D16" s="13" t="str">
        <f>IFERROR(__xludf.DUMMYFUNCTION("""COMPUTED_VALUE"""),"LESTER R ARNOLD HIGH SCHOOL")</f>
        <v>LESTER R ARNOLD HIGH SCHOOL</v>
      </c>
      <c r="E16" s="13" t="str">
        <f>IFERROR(__xludf.DUMMYFUNCTION("""COMPUTED_VALUE"""),"Open")</f>
        <v>Open</v>
      </c>
      <c r="F16" s="13"/>
      <c r="G16" s="13" t="str">
        <f>IFERROR(__xludf.DUMMYFUNCTION("""COMPUTED_VALUE"""),"7133 E 73RD AVE")</f>
        <v>7133 E 73RD AVE</v>
      </c>
      <c r="H16" s="13" t="str">
        <f>IFERROR(__xludf.DUMMYFUNCTION("""COMPUTED_VALUE"""),"COMMERCE CITY")</f>
        <v>COMMERCE CITY</v>
      </c>
      <c r="I16" s="13" t="str">
        <f>IFERROR(__xludf.DUMMYFUNCTION("""COMPUTED_VALUE"""),"CO")</f>
        <v>CO</v>
      </c>
      <c r="J16" s="13" t="str">
        <f>IFERROR(__xludf.DUMMYFUNCTION("""COMPUTED_VALUE"""),"80022-1713")</f>
        <v>80022-1713</v>
      </c>
      <c r="K16" s="13" t="str">
        <f>IFERROR(__xludf.DUMMYFUNCTION("""COMPUTED_VALUE"""),"Adams")</f>
        <v>Adams</v>
      </c>
      <c r="L16" s="17" t="str">
        <f>IFERROR(__xludf.DUMMYFUNCTION("""COMPUTED_VALUE"""),"Y")</f>
        <v>Y</v>
      </c>
      <c r="M16" s="17"/>
      <c r="N16" s="17" t="str">
        <f>IFERROR(__xludf.DUMMYFUNCTION("""COMPUTED_VALUE"""),"Y")</f>
        <v>Y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>
      <c r="A17" s="13" t="str">
        <f>IFERROR(__xludf.DUMMYFUNCTION("""COMPUTED_VALUE"""),"0030")</f>
        <v>0030</v>
      </c>
      <c r="B17" s="13" t="str">
        <f>IFERROR(__xludf.DUMMYFUNCTION("""COMPUTED_VALUE"""),"ADAMS COUNTY 14")</f>
        <v>ADAMS COUNTY 14</v>
      </c>
      <c r="C17" s="13" t="str">
        <f>IFERROR(__xludf.DUMMYFUNCTION("""COMPUTED_VALUE"""),"01426")</f>
        <v>01426</v>
      </c>
      <c r="D17" s="13" t="str">
        <f>IFERROR(__xludf.DUMMYFUNCTION("""COMPUTED_VALUE"""),"CENTRAL ELEMENTARY SCHOOL")</f>
        <v>CENTRAL ELEMENTARY SCHOOL</v>
      </c>
      <c r="E17" s="13" t="str">
        <f>IFERROR(__xludf.DUMMYFUNCTION("""COMPUTED_VALUE"""),"Open")</f>
        <v>Open</v>
      </c>
      <c r="F17" s="13"/>
      <c r="G17" s="13" t="str">
        <f>IFERROR(__xludf.DUMMYFUNCTION("""COMPUTED_VALUE"""),"6450 HOLLY ST")</f>
        <v>6450 HOLLY ST</v>
      </c>
      <c r="H17" s="13" t="str">
        <f>IFERROR(__xludf.DUMMYFUNCTION("""COMPUTED_VALUE"""),"COMMERCE CITY")</f>
        <v>COMMERCE CITY</v>
      </c>
      <c r="I17" s="13" t="str">
        <f>IFERROR(__xludf.DUMMYFUNCTION("""COMPUTED_VALUE"""),"CO")</f>
        <v>CO</v>
      </c>
      <c r="J17" s="13" t="str">
        <f>IFERROR(__xludf.DUMMYFUNCTION("""COMPUTED_VALUE"""),"80022-2506")</f>
        <v>80022-2506</v>
      </c>
      <c r="K17" s="13" t="str">
        <f>IFERROR(__xludf.DUMMYFUNCTION("""COMPUTED_VALUE"""),"Adams")</f>
        <v>Adams</v>
      </c>
      <c r="L17" s="17" t="str">
        <f>IFERROR(__xludf.DUMMYFUNCTION("""COMPUTED_VALUE"""),"Y")</f>
        <v>Y</v>
      </c>
      <c r="M17" s="17"/>
      <c r="N17" s="17" t="str">
        <f>IFERROR(__xludf.DUMMYFUNCTION("""COMPUTED_VALUE"""),"Y")</f>
        <v>Y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>
      <c r="A18" s="13" t="str">
        <f>IFERROR(__xludf.DUMMYFUNCTION("""COMPUTED_VALUE"""),"0030")</f>
        <v>0030</v>
      </c>
      <c r="B18" s="13" t="str">
        <f>IFERROR(__xludf.DUMMYFUNCTION("""COMPUTED_VALUE"""),"ADAMS COUNTY 14")</f>
        <v>ADAMS COUNTY 14</v>
      </c>
      <c r="C18" s="13" t="str">
        <f>IFERROR(__xludf.DUMMYFUNCTION("""COMPUTED_VALUE"""),"07506")</f>
        <v>07506</v>
      </c>
      <c r="D18" s="13" t="str">
        <f>IFERROR(__xludf.DUMMYFUNCTION("""COMPUTED_VALUE"""),"Boys and Girls Club")</f>
        <v>Boys and Girls Club</v>
      </c>
      <c r="E18" s="13" t="str">
        <f>IFERROR(__xludf.DUMMYFUNCTION("""COMPUTED_VALUE"""),"Open")</f>
        <v>Open</v>
      </c>
      <c r="F18" s="13"/>
      <c r="G18" s="13" t="str">
        <f>IFERROR(__xludf.DUMMYFUNCTION("""COMPUTED_VALUE"""),"6201 Holly Street")</f>
        <v>6201 Holly Street</v>
      </c>
      <c r="H18" s="13" t="str">
        <f>IFERROR(__xludf.DUMMYFUNCTION("""COMPUTED_VALUE"""),"COMMERCE CITY")</f>
        <v>COMMERCE CITY</v>
      </c>
      <c r="I18" s="13" t="str">
        <f>IFERROR(__xludf.DUMMYFUNCTION("""COMPUTED_VALUE"""),"CO")</f>
        <v>CO</v>
      </c>
      <c r="J18" s="13">
        <f>IFERROR(__xludf.DUMMYFUNCTION("""COMPUTED_VALUE"""),80022.0)</f>
        <v>80022</v>
      </c>
      <c r="K18" s="13" t="str">
        <f>IFERROR(__xludf.DUMMYFUNCTION("""COMPUTED_VALUE"""),"Adams")</f>
        <v>Adams</v>
      </c>
      <c r="L18" s="17" t="str">
        <f>IFERROR(__xludf.DUMMYFUNCTION("""COMPUTED_VALUE"""),"Y")</f>
        <v>Y</v>
      </c>
      <c r="M18" s="17"/>
      <c r="N18" s="17" t="str">
        <f>IFERROR(__xludf.DUMMYFUNCTION("""COMPUTED_VALUE"""),"Y")</f>
        <v>Y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>
      <c r="A19" s="13" t="str">
        <f>IFERROR(__xludf.DUMMYFUNCTION("""COMPUTED_VALUE"""),"0040")</f>
        <v>0040</v>
      </c>
      <c r="B19" s="13" t="str">
        <f>IFERROR(__xludf.DUMMYFUNCTION("""COMPUTED_VALUE"""),"School District 27J")</f>
        <v>School District 27J</v>
      </c>
      <c r="C19" s="13" t="str">
        <f>IFERROR(__xludf.DUMMYFUNCTION("""COMPUTED_VALUE"""),"03900")</f>
        <v>03900</v>
      </c>
      <c r="D19" s="13" t="str">
        <f>IFERROR(__xludf.DUMMYFUNCTION("""COMPUTED_VALUE"""),"HENDERSON ELEMENTARY SCHOOL")</f>
        <v>HENDERSON ELEMENTARY SCHOOL</v>
      </c>
      <c r="E19" s="13" t="str">
        <f>IFERROR(__xludf.DUMMYFUNCTION("""COMPUTED_VALUE"""),"Open")</f>
        <v>Open</v>
      </c>
      <c r="F19" s="13" t="str">
        <f>IFERROR(__xludf.DUMMYFUNCTION("""COMPUTED_VALUE"""),"Non-congregate")</f>
        <v>Non-congregate</v>
      </c>
      <c r="G19" s="13" t="str">
        <f>IFERROR(__xludf.DUMMYFUNCTION("""COMPUTED_VALUE"""),"12301 E 124TH AVE")</f>
        <v>12301 E 124TH AVE</v>
      </c>
      <c r="H19" s="13" t="str">
        <f>IFERROR(__xludf.DUMMYFUNCTION("""COMPUTED_VALUE"""),"HENDERSON")</f>
        <v>HENDERSON</v>
      </c>
      <c r="I19" s="13" t="str">
        <f>IFERROR(__xludf.DUMMYFUNCTION("""COMPUTED_VALUE"""),"CO")</f>
        <v>CO</v>
      </c>
      <c r="J19" s="13" t="str">
        <f>IFERROR(__xludf.DUMMYFUNCTION("""COMPUTED_VALUE"""),"80640-9413")</f>
        <v>80640-9413</v>
      </c>
      <c r="K19" s="13" t="str">
        <f>IFERROR(__xludf.DUMMYFUNCTION("""COMPUTED_VALUE"""),"Adams")</f>
        <v>Adams</v>
      </c>
      <c r="L19" s="17" t="str">
        <f>IFERROR(__xludf.DUMMYFUNCTION("""COMPUTED_VALUE"""),"Y")</f>
        <v>Y</v>
      </c>
      <c r="M19" s="17"/>
      <c r="N19" s="17" t="str">
        <f>IFERROR(__xludf.DUMMYFUNCTION("""COMPUTED_VALUE"""),"Y")</f>
        <v>Y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>
      <c r="A20" s="13" t="str">
        <f>IFERROR(__xludf.DUMMYFUNCTION("""COMPUTED_VALUE"""),"0040")</f>
        <v>0040</v>
      </c>
      <c r="B20" s="13" t="str">
        <f>IFERROR(__xludf.DUMMYFUNCTION("""COMPUTED_VALUE"""),"School District 27J")</f>
        <v>School District 27J</v>
      </c>
      <c r="C20" s="13" t="str">
        <f>IFERROR(__xludf.DUMMYFUNCTION("""COMPUTED_VALUE"""),"06395")</f>
        <v>06395</v>
      </c>
      <c r="D20" s="13" t="str">
        <f>IFERROR(__xludf.DUMMYFUNCTION("""COMPUTED_VALUE"""),"NORTHEAST ELEMENTARY SCHOOL")</f>
        <v>NORTHEAST ELEMENTARY SCHOOL</v>
      </c>
      <c r="E20" s="13" t="str">
        <f>IFERROR(__xludf.DUMMYFUNCTION("""COMPUTED_VALUE"""),"Open")</f>
        <v>Open</v>
      </c>
      <c r="F20" s="13"/>
      <c r="G20" s="13" t="str">
        <f>IFERROR(__xludf.DUMMYFUNCTION("""COMPUTED_VALUE"""),"1605 LONGS PEAK ST")</f>
        <v>1605 LONGS PEAK ST</v>
      </c>
      <c r="H20" s="13" t="str">
        <f>IFERROR(__xludf.DUMMYFUNCTION("""COMPUTED_VALUE"""),"BRIGHTON")</f>
        <v>BRIGHTON</v>
      </c>
      <c r="I20" s="13" t="str">
        <f>IFERROR(__xludf.DUMMYFUNCTION("""COMPUTED_VALUE"""),"CO")</f>
        <v>CO</v>
      </c>
      <c r="J20" s="13" t="str">
        <f>IFERROR(__xludf.DUMMYFUNCTION("""COMPUTED_VALUE"""),"80601-1787")</f>
        <v>80601-1787</v>
      </c>
      <c r="K20" s="13" t="str">
        <f>IFERROR(__xludf.DUMMYFUNCTION("""COMPUTED_VALUE"""),"Adams")</f>
        <v>Adams</v>
      </c>
      <c r="L20" s="17" t="str">
        <f>IFERROR(__xludf.DUMMYFUNCTION("""COMPUTED_VALUE"""),"Y")</f>
        <v>Y</v>
      </c>
      <c r="M20" s="17"/>
      <c r="N20" s="17" t="str">
        <f>IFERROR(__xludf.DUMMYFUNCTION("""COMPUTED_VALUE"""),"Y")</f>
        <v>Y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>
      <c r="A21" s="13" t="str">
        <f>IFERROR(__xludf.DUMMYFUNCTION("""COMPUTED_VALUE"""),"0040")</f>
        <v>0040</v>
      </c>
      <c r="B21" s="13" t="str">
        <f>IFERROR(__xludf.DUMMYFUNCTION("""COMPUTED_VALUE"""),"School District 27J")</f>
        <v>School District 27J</v>
      </c>
      <c r="C21" s="13" t="str">
        <f>IFERROR(__xludf.DUMMYFUNCTION("""COMPUTED_VALUE"""),"06702")</f>
        <v>06702</v>
      </c>
      <c r="D21" s="13" t="str">
        <f>IFERROR(__xludf.DUMMYFUNCTION("""COMPUTED_VALUE"""),"OTHO E STUART MIDDLE SCHOOL")</f>
        <v>OTHO E STUART MIDDLE SCHOOL</v>
      </c>
      <c r="E21" s="13" t="str">
        <f>IFERROR(__xludf.DUMMYFUNCTION("""COMPUTED_VALUE"""),"Open")</f>
        <v>Open</v>
      </c>
      <c r="F21" s="13"/>
      <c r="G21" s="13" t="str">
        <f>IFERROR(__xludf.DUMMYFUNCTION("""COMPUTED_VALUE"""),"15955 E 101ST WAY")</f>
        <v>15955 E 101ST WAY</v>
      </c>
      <c r="H21" s="13" t="str">
        <f>IFERROR(__xludf.DUMMYFUNCTION("""COMPUTED_VALUE"""),"COMMERCE CITY")</f>
        <v>COMMERCE CITY</v>
      </c>
      <c r="I21" s="13" t="str">
        <f>IFERROR(__xludf.DUMMYFUNCTION("""COMPUTED_VALUE"""),"CO")</f>
        <v>CO</v>
      </c>
      <c r="J21" s="13" t="str">
        <f>IFERROR(__xludf.DUMMYFUNCTION("""COMPUTED_VALUE"""),"80022-7181")</f>
        <v>80022-7181</v>
      </c>
      <c r="K21" s="13" t="str">
        <f>IFERROR(__xludf.DUMMYFUNCTION("""COMPUTED_VALUE"""),"Adams")</f>
        <v>Adams</v>
      </c>
      <c r="L21" s="17" t="str">
        <f>IFERROR(__xludf.DUMMYFUNCTION("""COMPUTED_VALUE"""),"Y")</f>
        <v>Y</v>
      </c>
      <c r="M21" s="17"/>
      <c r="N21" s="17" t="str">
        <f>IFERROR(__xludf.DUMMYFUNCTION("""COMPUTED_VALUE"""),"Y")</f>
        <v>Y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>
      <c r="A22" s="13" t="str">
        <f>IFERROR(__xludf.DUMMYFUNCTION("""COMPUTED_VALUE"""),"0040")</f>
        <v>0040</v>
      </c>
      <c r="B22" s="13" t="str">
        <f>IFERROR(__xludf.DUMMYFUNCTION("""COMPUTED_VALUE"""),"School District 27J")</f>
        <v>School District 27J</v>
      </c>
      <c r="C22" s="13" t="str">
        <f>IFERROR(__xludf.DUMMYFUNCTION("""COMPUTED_VALUE"""),"08060")</f>
        <v>08060</v>
      </c>
      <c r="D22" s="13" t="str">
        <f>IFERROR(__xludf.DUMMYFUNCTION("""COMPUTED_VALUE"""),"SOUTH ELEMENTARY SCHOOL")</f>
        <v>SOUTH ELEMENTARY SCHOOL</v>
      </c>
      <c r="E22" s="13" t="str">
        <f>IFERROR(__xludf.DUMMYFUNCTION("""COMPUTED_VALUE"""),"Open")</f>
        <v>Open</v>
      </c>
      <c r="F22" s="13"/>
      <c r="G22" s="13" t="str">
        <f>IFERROR(__xludf.DUMMYFUNCTION("""COMPUTED_VALUE"""),"305 S 5TH AVE")</f>
        <v>305 S 5TH AVE</v>
      </c>
      <c r="H22" s="13" t="str">
        <f>IFERROR(__xludf.DUMMYFUNCTION("""COMPUTED_VALUE"""),"BRIGHTON")</f>
        <v>BRIGHTON</v>
      </c>
      <c r="I22" s="13" t="str">
        <f>IFERROR(__xludf.DUMMYFUNCTION("""COMPUTED_VALUE"""),"CO")</f>
        <v>CO</v>
      </c>
      <c r="J22" s="13" t="str">
        <f>IFERROR(__xludf.DUMMYFUNCTION("""COMPUTED_VALUE"""),"80601-2111")</f>
        <v>80601-2111</v>
      </c>
      <c r="K22" s="13" t="str">
        <f>IFERROR(__xludf.DUMMYFUNCTION("""COMPUTED_VALUE"""),"Adams")</f>
        <v>Adams</v>
      </c>
      <c r="L22" s="17" t="str">
        <f>IFERROR(__xludf.DUMMYFUNCTION("""COMPUTED_VALUE"""),"Y")</f>
        <v>Y</v>
      </c>
      <c r="M22" s="17"/>
      <c r="N22" s="17" t="str">
        <f>IFERROR(__xludf.DUMMYFUNCTION("""COMPUTED_VALUE"""),"Y")</f>
        <v>Y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>
      <c r="A23" s="13" t="str">
        <f>IFERROR(__xludf.DUMMYFUNCTION("""COMPUTED_VALUE"""),"0070")</f>
        <v>0070</v>
      </c>
      <c r="B23" s="13" t="str">
        <f>IFERROR(__xludf.DUMMYFUNCTION("""COMPUTED_VALUE"""),"Westminster Public Schools")</f>
        <v>Westminster Public Schools</v>
      </c>
      <c r="C23" s="13" t="str">
        <f>IFERROR(__xludf.DUMMYFUNCTION("""COMPUTED_VALUE"""),"01137")</f>
        <v>01137</v>
      </c>
      <c r="D23" s="13" t="str">
        <f>IFERROR(__xludf.DUMMYFUNCTION("""COMPUTED_VALUE"""),"Early Learning Center at Francis M. Day")</f>
        <v>Early Learning Center at Francis M. Day</v>
      </c>
      <c r="E23" s="13" t="str">
        <f>IFERROR(__xludf.DUMMYFUNCTION("""COMPUTED_VALUE"""),"Closed - Enrolled")</f>
        <v>Closed - Enrolled</v>
      </c>
      <c r="F23" s="13"/>
      <c r="G23" s="13" t="str">
        <f>IFERROR(__xludf.DUMMYFUNCTION("""COMPUTED_VALUE"""),"1740 JORDAN DR")</f>
        <v>1740 JORDAN DR</v>
      </c>
      <c r="H23" s="13" t="str">
        <f>IFERROR(__xludf.DUMMYFUNCTION("""COMPUTED_VALUE"""),"DENVER")</f>
        <v>DENVER</v>
      </c>
      <c r="I23" s="13" t="str">
        <f>IFERROR(__xludf.DUMMYFUNCTION("""COMPUTED_VALUE"""),"CO")</f>
        <v>CO</v>
      </c>
      <c r="J23" s="13" t="str">
        <f>IFERROR(__xludf.DUMMYFUNCTION("""COMPUTED_VALUE"""),"80221-2537")</f>
        <v>80221-2537</v>
      </c>
      <c r="K23" s="13" t="str">
        <f>IFERROR(__xludf.DUMMYFUNCTION("""COMPUTED_VALUE"""),"Adams")</f>
        <v>Adams</v>
      </c>
      <c r="L23" s="17" t="str">
        <f>IFERROR(__xludf.DUMMYFUNCTION("""COMPUTED_VALUE"""),"Y")</f>
        <v>Y</v>
      </c>
      <c r="M23" s="17"/>
      <c r="N23" s="17" t="str">
        <f>IFERROR(__xludf.DUMMYFUNCTION("""COMPUTED_VALUE"""),"Y")</f>
        <v>Y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>
      <c r="A24" s="13" t="str">
        <f>IFERROR(__xludf.DUMMYFUNCTION("""COMPUTED_VALUE"""),"0070")</f>
        <v>0070</v>
      </c>
      <c r="B24" s="13" t="str">
        <f>IFERROR(__xludf.DUMMYFUNCTION("""COMPUTED_VALUE"""),"Westminster Public Schools")</f>
        <v>Westminster Public Schools</v>
      </c>
      <c r="C24" s="13" t="str">
        <f>IFERROR(__xludf.DUMMYFUNCTION("""COMPUTED_VALUE"""),"03931")</f>
        <v>03931</v>
      </c>
      <c r="D24" s="13" t="str">
        <f>IFERROR(__xludf.DUMMYFUNCTION("""COMPUTED_VALUE"""),"HIDDEN LAKE HIGH SCHOOL")</f>
        <v>HIDDEN LAKE HIGH SCHOOL</v>
      </c>
      <c r="E24" s="13" t="str">
        <f>IFERROR(__xludf.DUMMYFUNCTION("""COMPUTED_VALUE"""),"Closed - Enrolled")</f>
        <v>Closed - Enrolled</v>
      </c>
      <c r="F24" s="13"/>
      <c r="G24" s="13" t="str">
        <f>IFERROR(__xludf.DUMMYFUNCTION("""COMPUTED_VALUE"""),"7300 LOWELL BLVD")</f>
        <v>7300 LOWELL BLVD</v>
      </c>
      <c r="H24" s="13" t="str">
        <f>IFERROR(__xludf.DUMMYFUNCTION("""COMPUTED_VALUE"""),"WESTMINSTER")</f>
        <v>WESTMINSTER</v>
      </c>
      <c r="I24" s="13" t="str">
        <f>IFERROR(__xludf.DUMMYFUNCTION("""COMPUTED_VALUE"""),"CO")</f>
        <v>CO</v>
      </c>
      <c r="J24" s="13" t="str">
        <f>IFERROR(__xludf.DUMMYFUNCTION("""COMPUTED_VALUE"""),"80030-4821")</f>
        <v>80030-4821</v>
      </c>
      <c r="K24" s="13" t="str">
        <f>IFERROR(__xludf.DUMMYFUNCTION("""COMPUTED_VALUE"""),"Adams")</f>
        <v>Adams</v>
      </c>
      <c r="L24" s="17" t="str">
        <f>IFERROR(__xludf.DUMMYFUNCTION("""COMPUTED_VALUE"""),"Y")</f>
        <v>Y</v>
      </c>
      <c r="M24" s="17"/>
      <c r="N24" s="17" t="str">
        <f>IFERROR(__xludf.DUMMYFUNCTION("""COMPUTED_VALUE"""),"Y")</f>
        <v>Y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>
      <c r="A25" s="13" t="str">
        <f>IFERROR(__xludf.DUMMYFUNCTION("""COMPUTED_VALUE"""),"0070")</f>
        <v>0070</v>
      </c>
      <c r="B25" s="13" t="str">
        <f>IFERROR(__xludf.DUMMYFUNCTION("""COMPUTED_VALUE"""),"Westminster Public Schools")</f>
        <v>Westminster Public Schools</v>
      </c>
      <c r="C25" s="13" t="str">
        <f>IFERROR(__xludf.DUMMYFUNCTION("""COMPUTED_VALUE"""),"04465")</f>
        <v>04465</v>
      </c>
      <c r="D25" s="13" t="str">
        <f>IFERROR(__xludf.DUMMYFUNCTION("""COMPUTED_VALUE"""),"Josephine Hodgkins Leadership Academy")</f>
        <v>Josephine Hodgkins Leadership Academy</v>
      </c>
      <c r="E25" s="13" t="str">
        <f>IFERROR(__xludf.DUMMYFUNCTION("""COMPUTED_VALUE"""),"Closed - Enrolled")</f>
        <v>Closed - Enrolled</v>
      </c>
      <c r="F25" s="13"/>
      <c r="G25" s="13" t="str">
        <f>IFERROR(__xludf.DUMMYFUNCTION("""COMPUTED_VALUE"""),"3475 W 67TH AVE")</f>
        <v>3475 W 67TH AVE</v>
      </c>
      <c r="H25" s="13" t="str">
        <f>IFERROR(__xludf.DUMMYFUNCTION("""COMPUTED_VALUE"""),"DENVER")</f>
        <v>DENVER</v>
      </c>
      <c r="I25" s="13" t="str">
        <f>IFERROR(__xludf.DUMMYFUNCTION("""COMPUTED_VALUE"""),"CO")</f>
        <v>CO</v>
      </c>
      <c r="J25" s="13" t="str">
        <f>IFERROR(__xludf.DUMMYFUNCTION("""COMPUTED_VALUE"""),"80221-2605")</f>
        <v>80221-2605</v>
      </c>
      <c r="K25" s="13" t="str">
        <f>IFERROR(__xludf.DUMMYFUNCTION("""COMPUTED_VALUE"""),"Adams")</f>
        <v>Adams</v>
      </c>
      <c r="L25" s="17" t="str">
        <f>IFERROR(__xludf.DUMMYFUNCTION("""COMPUTED_VALUE"""),"Y")</f>
        <v>Y</v>
      </c>
      <c r="M25" s="17"/>
      <c r="N25" s="17" t="str">
        <f>IFERROR(__xludf.DUMMYFUNCTION("""COMPUTED_VALUE"""),"Y")</f>
        <v>Y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>
      <c r="A26" s="13" t="str">
        <f>IFERROR(__xludf.DUMMYFUNCTION("""COMPUTED_VALUE"""),"0070")</f>
        <v>0070</v>
      </c>
      <c r="B26" s="13" t="str">
        <f>IFERROR(__xludf.DUMMYFUNCTION("""COMPUTED_VALUE"""),"Westminster Public Schools")</f>
        <v>Westminster Public Schools</v>
      </c>
      <c r="C26" s="13" t="str">
        <f>IFERROR(__xludf.DUMMYFUNCTION("""COMPUTED_VALUE"""),"05388")</f>
        <v>05388</v>
      </c>
      <c r="D26" s="13" t="str">
        <f>IFERROR(__xludf.DUMMYFUNCTION("""COMPUTED_VALUE"""),"COLORADO SPORTS LEADERSHIP ACADEMY")</f>
        <v>COLORADO SPORTS LEADERSHIP ACADEMY</v>
      </c>
      <c r="E26" s="13" t="str">
        <f>IFERROR(__xludf.DUMMYFUNCTION("""COMPUTED_VALUE"""),"Closed - Enrolled")</f>
        <v>Closed - Enrolled</v>
      </c>
      <c r="F26" s="13"/>
      <c r="G26" s="13" t="str">
        <f>IFERROR(__xludf.DUMMYFUNCTION("""COMPUTED_VALUE"""),"7001 LIPAN ST")</f>
        <v>7001 LIPAN ST</v>
      </c>
      <c r="H26" s="13" t="str">
        <f>IFERROR(__xludf.DUMMYFUNCTION("""COMPUTED_VALUE"""),"DENVER")</f>
        <v>DENVER</v>
      </c>
      <c r="I26" s="13" t="str">
        <f>IFERROR(__xludf.DUMMYFUNCTION("""COMPUTED_VALUE"""),"CO")</f>
        <v>CO</v>
      </c>
      <c r="J26" s="13" t="str">
        <f>IFERROR(__xludf.DUMMYFUNCTION("""COMPUTED_VALUE"""),"80221-3058")</f>
        <v>80221-3058</v>
      </c>
      <c r="K26" s="13" t="str">
        <f>IFERROR(__xludf.DUMMYFUNCTION("""COMPUTED_VALUE"""),"Adams")</f>
        <v>Adams</v>
      </c>
      <c r="L26" s="17" t="str">
        <f>IFERROR(__xludf.DUMMYFUNCTION("""COMPUTED_VALUE"""),"Y")</f>
        <v>Y</v>
      </c>
      <c r="M26" s="17"/>
      <c r="N26" s="17" t="str">
        <f>IFERROR(__xludf.DUMMYFUNCTION("""COMPUTED_VALUE"""),"Y")</f>
        <v>Y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>
      <c r="A27" s="13" t="str">
        <f>IFERROR(__xludf.DUMMYFUNCTION("""COMPUTED_VALUE"""),"0070")</f>
        <v>0070</v>
      </c>
      <c r="B27" s="13" t="str">
        <f>IFERROR(__xludf.DUMMYFUNCTION("""COMPUTED_VALUE"""),"Westminster Public Schools")</f>
        <v>Westminster Public Schools</v>
      </c>
      <c r="C27" s="13" t="str">
        <f>IFERROR(__xludf.DUMMYFUNCTION("""COMPUTED_VALUE"""),"09466")</f>
        <v>09466</v>
      </c>
      <c r="D27" s="13" t="str">
        <f>IFERROR(__xludf.DUMMYFUNCTION("""COMPUTED_VALUE"""),"WESTMINSTER HIGH SCHOOL")</f>
        <v>WESTMINSTER HIGH SCHOOL</v>
      </c>
      <c r="E27" s="13" t="str">
        <f>IFERROR(__xludf.DUMMYFUNCTION("""COMPUTED_VALUE"""),"Open")</f>
        <v>Open</v>
      </c>
      <c r="F27" s="13"/>
      <c r="G27" s="13" t="str">
        <f>IFERROR(__xludf.DUMMYFUNCTION("""COMPUTED_VALUE"""),"6933 RALEIGH ST")</f>
        <v>6933 RALEIGH ST</v>
      </c>
      <c r="H27" s="13" t="str">
        <f>IFERROR(__xludf.DUMMYFUNCTION("""COMPUTED_VALUE"""),"WESTMINSTER")</f>
        <v>WESTMINSTER</v>
      </c>
      <c r="I27" s="13" t="str">
        <f>IFERROR(__xludf.DUMMYFUNCTION("""COMPUTED_VALUE"""),"CO")</f>
        <v>CO</v>
      </c>
      <c r="J27" s="13" t="str">
        <f>IFERROR(__xludf.DUMMYFUNCTION("""COMPUTED_VALUE"""),"80030-5912")</f>
        <v>80030-5912</v>
      </c>
      <c r="K27" s="13" t="str">
        <f>IFERROR(__xludf.DUMMYFUNCTION("""COMPUTED_VALUE"""),"Adams")</f>
        <v>Adams</v>
      </c>
      <c r="L27" s="17" t="str">
        <f>IFERROR(__xludf.DUMMYFUNCTION("""COMPUTED_VALUE"""),"Y")</f>
        <v>Y</v>
      </c>
      <c r="M27" s="17"/>
      <c r="N27" s="17" t="str">
        <f>IFERROR(__xludf.DUMMYFUNCTION("""COMPUTED_VALUE"""),"Y")</f>
        <v>Y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>
      <c r="A28" s="13" t="str">
        <f>IFERROR(__xludf.DUMMYFUNCTION("""COMPUTED_VALUE"""),"0070")</f>
        <v>0070</v>
      </c>
      <c r="B28" s="13" t="str">
        <f>IFERROR(__xludf.DUMMYFUNCTION("""COMPUTED_VALUE"""),"Westminster Public Schools")</f>
        <v>Westminster Public Schools</v>
      </c>
      <c r="C28" s="13" t="str">
        <f>IFERROR(__xludf.DUMMYFUNCTION("""COMPUTED_VALUE"""),"09483")</f>
        <v>09483</v>
      </c>
      <c r="D28" s="13" t="str">
        <f>IFERROR(__xludf.DUMMYFUNCTION("""COMPUTED_VALUE"""),"Swim And Fitness Center")</f>
        <v>Swim And Fitness Center</v>
      </c>
      <c r="E28" s="13" t="str">
        <f>IFERROR(__xludf.DUMMYFUNCTION("""COMPUTED_VALUE"""),"Open")</f>
        <v>Open</v>
      </c>
      <c r="F28" s="13"/>
      <c r="G28" s="13" t="str">
        <f>IFERROR(__xludf.DUMMYFUNCTION("""COMPUTED_VALUE"""),"3290 W 76TH AVE")</f>
        <v>3290 W 76TH AVE</v>
      </c>
      <c r="H28" s="13" t="str">
        <f>IFERROR(__xludf.DUMMYFUNCTION("""COMPUTED_VALUE"""),"WESTMINSTER")</f>
        <v>WESTMINSTER</v>
      </c>
      <c r="I28" s="13" t="str">
        <f>IFERROR(__xludf.DUMMYFUNCTION("""COMPUTED_VALUE"""),"CO")</f>
        <v>CO</v>
      </c>
      <c r="J28" s="13" t="str">
        <f>IFERROR(__xludf.DUMMYFUNCTION("""COMPUTED_VALUE"""),"80030-4914")</f>
        <v>80030-4914</v>
      </c>
      <c r="K28" s="13" t="str">
        <f>IFERROR(__xludf.DUMMYFUNCTION("""COMPUTED_VALUE"""),"Adams")</f>
        <v>Adams</v>
      </c>
      <c r="L28" s="17" t="str">
        <f>IFERROR(__xludf.DUMMYFUNCTION("""COMPUTED_VALUE"""),"Y")</f>
        <v>Y</v>
      </c>
      <c r="M28" s="17"/>
      <c r="N28" s="17" t="str">
        <f>IFERROR(__xludf.DUMMYFUNCTION("""COMPUTED_VALUE"""),"Y")</f>
        <v>Y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>
      <c r="A29" s="18" t="str">
        <f>IFERROR(__xludf.DUMMYFUNCTION("""COMPUTED_VALUE"""),"0070")</f>
        <v>0070</v>
      </c>
      <c r="B29" s="18" t="str">
        <f>IFERROR(__xludf.DUMMYFUNCTION("""COMPUTED_VALUE"""),"Westminster Public Schools")</f>
        <v>Westminster Public Schools</v>
      </c>
      <c r="C29" s="18" t="str">
        <f>IFERROR(__xludf.DUMMYFUNCTION("""COMPUTED_VALUE"""),"09485")</f>
        <v>09485</v>
      </c>
      <c r="D29" s="18" t="str">
        <f>IFERROR(__xludf.DUMMYFUNCTION("""COMPUTED_VALUE"""),"City Park Fitness Center - City")</f>
        <v>City Park Fitness Center - City</v>
      </c>
      <c r="E29" s="18" t="str">
        <f>IFERROR(__xludf.DUMMYFUNCTION("""COMPUTED_VALUE"""),"Closed - Enrolled")</f>
        <v>Closed - Enrolled</v>
      </c>
      <c r="F29" s="18" t="str">
        <f>IFERROR(__xludf.DUMMYFUNCTION("""COMPUTED_VALUE""")," ")</f>
        <v> </v>
      </c>
      <c r="G29" s="18" t="str">
        <f>IFERROR(__xludf.DUMMYFUNCTION("""COMPUTED_VALUE"""),"10475 SHERIDAN BLVD")</f>
        <v>10475 SHERIDAN BLVD</v>
      </c>
      <c r="H29" s="18" t="str">
        <f>IFERROR(__xludf.DUMMYFUNCTION("""COMPUTED_VALUE"""),"WESTMINSTER")</f>
        <v>WESTMINSTER</v>
      </c>
      <c r="I29" s="18" t="str">
        <f>IFERROR(__xludf.DUMMYFUNCTION("""COMPUTED_VALUE"""),"CO")</f>
        <v>CO</v>
      </c>
      <c r="J29" s="18" t="str">
        <f>IFERROR(__xludf.DUMMYFUNCTION("""COMPUTED_VALUE"""),"80020-4135")</f>
        <v>80020-4135</v>
      </c>
      <c r="K29" s="18" t="str">
        <f>IFERROR(__xludf.DUMMYFUNCTION("""COMPUTED_VALUE"""),"Jefferson")</f>
        <v>Jefferson</v>
      </c>
      <c r="L29" s="19" t="str">
        <f>IFERROR(__xludf.DUMMYFUNCTION("""COMPUTED_VALUE"""),"Y")</f>
        <v>Y</v>
      </c>
      <c r="M29" s="19"/>
      <c r="N29" s="19" t="str">
        <f>IFERROR(__xludf.DUMMYFUNCTION("""COMPUTED_VALUE"""),"Y")</f>
        <v>Y</v>
      </c>
      <c r="O29" s="19"/>
      <c r="P29" s="19"/>
      <c r="Q29" s="19" t="str">
        <f>IFERROR(__xludf.DUMMYFUNCTION("""COMPUTED_VALUE"""),"No Claims as of 11.24")</f>
        <v>No Claims as of 11.24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>
      <c r="A30" s="13" t="str">
        <f>IFERROR(__xludf.DUMMYFUNCTION("""COMPUTED_VALUE"""),"0070")</f>
        <v>0070</v>
      </c>
      <c r="B30" s="13" t="str">
        <f>IFERROR(__xludf.DUMMYFUNCTION("""COMPUTED_VALUE"""),"Westminster Public Schools")</f>
        <v>Westminster Public Schools</v>
      </c>
      <c r="C30" s="13" t="str">
        <f>IFERROR(__xludf.DUMMYFUNCTION("""COMPUTED_VALUE"""),"09489")</f>
        <v>09489</v>
      </c>
      <c r="D30" s="13" t="str">
        <f>IFERROR(__xludf.DUMMYFUNCTION("""COMPUTED_VALUE"""),"Westminster Center Park")</f>
        <v>Westminster Center Park</v>
      </c>
      <c r="E30" s="13" t="str">
        <f>IFERROR(__xludf.DUMMYFUNCTION("""COMPUTED_VALUE"""),"Open")</f>
        <v>Open</v>
      </c>
      <c r="F30" s="13"/>
      <c r="G30" s="13" t="str">
        <f>IFERROR(__xludf.DUMMYFUNCTION("""COMPUTED_VALUE"""),"4801 W 92ND PL")</f>
        <v>4801 W 92ND PL</v>
      </c>
      <c r="H30" s="13" t="str">
        <f>IFERROR(__xludf.DUMMYFUNCTION("""COMPUTED_VALUE"""),"WESTMINSTER")</f>
        <v>WESTMINSTER</v>
      </c>
      <c r="I30" s="13" t="str">
        <f>IFERROR(__xludf.DUMMYFUNCTION("""COMPUTED_VALUE"""),"CO")</f>
        <v>CO</v>
      </c>
      <c r="J30" s="13">
        <f>IFERROR(__xludf.DUMMYFUNCTION("""COMPUTED_VALUE"""),80031.0)</f>
        <v>80031</v>
      </c>
      <c r="K30" s="13" t="str">
        <f>IFERROR(__xludf.DUMMYFUNCTION("""COMPUTED_VALUE"""),"Adams")</f>
        <v>Adams</v>
      </c>
      <c r="L30" s="17"/>
      <c r="M30" s="17"/>
      <c r="N30" s="17" t="str">
        <f>IFERROR(__xludf.DUMMYFUNCTION("""COMPUTED_VALUE"""),"Y")</f>
        <v>Y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>
      <c r="A31" s="18" t="str">
        <f>IFERROR(__xludf.DUMMYFUNCTION("""COMPUTED_VALUE"""),"0070")</f>
        <v>0070</v>
      </c>
      <c r="B31" s="18" t="str">
        <f>IFERROR(__xludf.DUMMYFUNCTION("""COMPUTED_VALUE"""),"Westminster Public Schools")</f>
        <v>Westminster Public Schools</v>
      </c>
      <c r="C31" s="18" t="str">
        <f>IFERROR(__xludf.DUMMYFUNCTION("""COMPUTED_VALUE"""),"12463")</f>
        <v>12463</v>
      </c>
      <c r="D31" s="18" t="str">
        <f>IFERROR(__xludf.DUMMYFUNCTION("""COMPUTED_VALUE"""),"Countryside Pool - City")</f>
        <v>Countryside Pool - City</v>
      </c>
      <c r="E31" s="18" t="str">
        <f>IFERROR(__xludf.DUMMYFUNCTION("""COMPUTED_VALUE"""),"Closed - Enrolled")</f>
        <v>Closed - Enrolled</v>
      </c>
      <c r="F31" s="18" t="str">
        <f>IFERROR(__xludf.DUMMYFUNCTION("""COMPUTED_VALUE""")," ")</f>
        <v> </v>
      </c>
      <c r="G31" s="18" t="str">
        <f>IFERROR(__xludf.DUMMYFUNCTION("""COMPUTED_VALUE"""),"10470 OAK ST")</f>
        <v>10470 OAK ST</v>
      </c>
      <c r="H31" s="18" t="str">
        <f>IFERROR(__xludf.DUMMYFUNCTION("""COMPUTED_VALUE"""),"BROOMFIELD")</f>
        <v>BROOMFIELD</v>
      </c>
      <c r="I31" s="18" t="str">
        <f>IFERROR(__xludf.DUMMYFUNCTION("""COMPUTED_VALUE"""),"CO")</f>
        <v>CO</v>
      </c>
      <c r="J31" s="18" t="str">
        <f>IFERROR(__xludf.DUMMYFUNCTION("""COMPUTED_VALUE"""),"80021-3753")</f>
        <v>80021-3753</v>
      </c>
      <c r="K31" s="18" t="str">
        <f>IFERROR(__xludf.DUMMYFUNCTION("""COMPUTED_VALUE"""),"Jefferson")</f>
        <v>Jefferson</v>
      </c>
      <c r="L31" s="19" t="str">
        <f>IFERROR(__xludf.DUMMYFUNCTION("""COMPUTED_VALUE"""),"Y")</f>
        <v>Y</v>
      </c>
      <c r="M31" s="19"/>
      <c r="N31" s="19" t="str">
        <f>IFERROR(__xludf.DUMMYFUNCTION("""COMPUTED_VALUE"""),"Y")</f>
        <v>Y</v>
      </c>
      <c r="O31" s="19"/>
      <c r="P31" s="19"/>
      <c r="Q31" s="19" t="str">
        <f>IFERROR(__xludf.DUMMYFUNCTION("""COMPUTED_VALUE"""),"No Claims as of 11.24")</f>
        <v>No Claims as of 11.24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>
      <c r="A32" s="13" t="str">
        <f>IFERROR(__xludf.DUMMYFUNCTION("""COMPUTED_VALUE"""),"0070")</f>
        <v>0070</v>
      </c>
      <c r="B32" s="13" t="str">
        <f>IFERROR(__xludf.DUMMYFUNCTION("""COMPUTED_VALUE"""),"Westminster Public Schools")</f>
        <v>Westminster Public Schools</v>
      </c>
      <c r="C32" s="13" t="str">
        <f>IFERROR(__xludf.DUMMYFUNCTION("""COMPUTED_VALUE"""),"12464")</f>
        <v>12464</v>
      </c>
      <c r="D32" s="13" t="str">
        <f>IFERROR(__xludf.DUMMYFUNCTION("""COMPUTED_VALUE"""),"Countryside Pool - Public")</f>
        <v>Countryside Pool - Public</v>
      </c>
      <c r="E32" s="13" t="str">
        <f>IFERROR(__xludf.DUMMYFUNCTION("""COMPUTED_VALUE"""),"Open")</f>
        <v>Open</v>
      </c>
      <c r="F32" s="13"/>
      <c r="G32" s="13" t="str">
        <f>IFERROR(__xludf.DUMMYFUNCTION("""COMPUTED_VALUE"""),"10470 OAK ST")</f>
        <v>10470 OAK ST</v>
      </c>
      <c r="H32" s="13" t="str">
        <f>IFERROR(__xludf.DUMMYFUNCTION("""COMPUTED_VALUE"""),"BROOMFIELD")</f>
        <v>BROOMFIELD</v>
      </c>
      <c r="I32" s="13" t="str">
        <f>IFERROR(__xludf.DUMMYFUNCTION("""COMPUTED_VALUE"""),"CO")</f>
        <v>CO</v>
      </c>
      <c r="J32" s="13" t="str">
        <f>IFERROR(__xludf.DUMMYFUNCTION("""COMPUTED_VALUE"""),"80021-3753")</f>
        <v>80021-3753</v>
      </c>
      <c r="K32" s="13" t="str">
        <f>IFERROR(__xludf.DUMMYFUNCTION("""COMPUTED_VALUE"""),"Jefferson")</f>
        <v>Jefferson</v>
      </c>
      <c r="L32" s="17" t="str">
        <f>IFERROR(__xludf.DUMMYFUNCTION("""COMPUTED_VALUE"""),"Y")</f>
        <v>Y</v>
      </c>
      <c r="M32" s="17"/>
      <c r="N32" s="17" t="str">
        <f>IFERROR(__xludf.DUMMYFUNCTION("""COMPUTED_VALUE"""),"Y")</f>
        <v>Y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>
      <c r="A33" s="13" t="str">
        <f>IFERROR(__xludf.DUMMYFUNCTION("""COMPUTED_VALUE"""),"0070")</f>
        <v>0070</v>
      </c>
      <c r="B33" s="13" t="str">
        <f>IFERROR(__xludf.DUMMYFUNCTION("""COMPUTED_VALUE"""),"Westminster Public Schools")</f>
        <v>Westminster Public Schools</v>
      </c>
      <c r="C33" s="13" t="str">
        <f>IFERROR(__xludf.DUMMYFUNCTION("""COMPUTED_VALUE"""),"12465")</f>
        <v>12465</v>
      </c>
      <c r="D33" s="13" t="str">
        <f>IFERROR(__xludf.DUMMYFUNCTION("""COMPUTED_VALUE"""),"City Park Fitness Center - Public")</f>
        <v>City Park Fitness Center - Public</v>
      </c>
      <c r="E33" s="13" t="str">
        <f>IFERROR(__xludf.DUMMYFUNCTION("""COMPUTED_VALUE"""),"Open")</f>
        <v>Open</v>
      </c>
      <c r="F33" s="13"/>
      <c r="G33" s="13" t="str">
        <f>IFERROR(__xludf.DUMMYFUNCTION("""COMPUTED_VALUE"""),"10475 SHERIDAN BLVD")</f>
        <v>10475 SHERIDAN BLVD</v>
      </c>
      <c r="H33" s="13" t="str">
        <f>IFERROR(__xludf.DUMMYFUNCTION("""COMPUTED_VALUE"""),"WESTMINSTER")</f>
        <v>WESTMINSTER</v>
      </c>
      <c r="I33" s="13" t="str">
        <f>IFERROR(__xludf.DUMMYFUNCTION("""COMPUTED_VALUE"""),"CO")</f>
        <v>CO</v>
      </c>
      <c r="J33" s="13" t="str">
        <f>IFERROR(__xludf.DUMMYFUNCTION("""COMPUTED_VALUE"""),"80020-4135")</f>
        <v>80020-4135</v>
      </c>
      <c r="K33" s="13" t="str">
        <f>IFERROR(__xludf.DUMMYFUNCTION("""COMPUTED_VALUE"""),"Jefferson")</f>
        <v>Jefferson</v>
      </c>
      <c r="L33" s="17" t="str">
        <f>IFERROR(__xludf.DUMMYFUNCTION("""COMPUTED_VALUE"""),"Y")</f>
        <v>Y</v>
      </c>
      <c r="M33" s="17"/>
      <c r="N33" s="17" t="str">
        <f>IFERROR(__xludf.DUMMYFUNCTION("""COMPUTED_VALUE"""),"Y")</f>
        <v>Y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>
      <c r="A34" s="13" t="str">
        <f>IFERROR(__xludf.DUMMYFUNCTION("""COMPUTED_VALUE"""),"0070")</f>
        <v>0070</v>
      </c>
      <c r="B34" s="13" t="str">
        <f>IFERROR(__xludf.DUMMYFUNCTION("""COMPUTED_VALUE"""),"Westminster Public Schools")</f>
        <v>Westminster Public Schools</v>
      </c>
      <c r="C34" s="13" t="str">
        <f>IFERROR(__xludf.DUMMYFUNCTION("""COMPUTED_VALUE"""),"91625")</f>
        <v>91625</v>
      </c>
      <c r="D34" s="13" t="str">
        <f>IFERROR(__xludf.DUMMYFUNCTION("""COMPUTED_VALUE"""),"Village of Greenbriar")</f>
        <v>Village of Greenbriar</v>
      </c>
      <c r="E34" s="13" t="str">
        <f>IFERROR(__xludf.DUMMYFUNCTION("""COMPUTED_VALUE"""),"Open")</f>
        <v>Open</v>
      </c>
      <c r="F34" s="13"/>
      <c r="G34" s="13" t="str">
        <f>IFERROR(__xludf.DUMMYFUNCTION("""COMPUTED_VALUE"""),"8290 FEDERAL BLVD")</f>
        <v>8290 FEDERAL BLVD</v>
      </c>
      <c r="H34" s="13" t="str">
        <f>IFERROR(__xludf.DUMMYFUNCTION("""COMPUTED_VALUE"""),"WESTMINSTER")</f>
        <v>WESTMINSTER</v>
      </c>
      <c r="I34" s="13" t="str">
        <f>IFERROR(__xludf.DUMMYFUNCTION("""COMPUTED_VALUE"""),"CO")</f>
        <v>CO</v>
      </c>
      <c r="J34" s="13" t="str">
        <f>IFERROR(__xludf.DUMMYFUNCTION("""COMPUTED_VALUE"""),"80031-4009")</f>
        <v>80031-4009</v>
      </c>
      <c r="K34" s="13" t="str">
        <f>IFERROR(__xludf.DUMMYFUNCTION("""COMPUTED_VALUE"""),"Adams")</f>
        <v>Adams</v>
      </c>
      <c r="L34" s="17"/>
      <c r="M34" s="17"/>
      <c r="N34" s="17" t="str">
        <f>IFERROR(__xludf.DUMMYFUNCTION("""COMPUTED_VALUE"""),"Y")</f>
        <v>Y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>
      <c r="A35" s="13" t="str">
        <f>IFERROR(__xludf.DUMMYFUNCTION("""COMPUTED_VALUE"""),"0070")</f>
        <v>0070</v>
      </c>
      <c r="B35" s="13" t="str">
        <f>IFERROR(__xludf.DUMMYFUNCTION("""COMPUTED_VALUE"""),"Westminster Public Schools")</f>
        <v>Westminster Public Schools</v>
      </c>
      <c r="C35" s="13" t="str">
        <f>IFERROR(__xludf.DUMMYFUNCTION("""COMPUTED_VALUE"""),"91630")</f>
        <v>91630</v>
      </c>
      <c r="D35" s="13" t="str">
        <f>IFERROR(__xludf.DUMMYFUNCTION("""COMPUTED_VALUE"""),"Alto at Westminster")</f>
        <v>Alto at Westminster</v>
      </c>
      <c r="E35" s="13" t="str">
        <f>IFERROR(__xludf.DUMMYFUNCTION("""COMPUTED_VALUE"""),"Open")</f>
        <v>Open</v>
      </c>
      <c r="F35" s="13"/>
      <c r="G35" s="13" t="str">
        <f>IFERROR(__xludf.DUMMYFUNCTION("""COMPUTED_VALUE"""),"3045 W 71ST AVE")</f>
        <v>3045 W 71ST AVE</v>
      </c>
      <c r="H35" s="13" t="str">
        <f>IFERROR(__xludf.DUMMYFUNCTION("""COMPUTED_VALUE"""),"WESTMINSTER")</f>
        <v>WESTMINSTER</v>
      </c>
      <c r="I35" s="13" t="str">
        <f>IFERROR(__xludf.DUMMYFUNCTION("""COMPUTED_VALUE"""),"CO")</f>
        <v>CO</v>
      </c>
      <c r="J35" s="13" t="str">
        <f>IFERROR(__xludf.DUMMYFUNCTION("""COMPUTED_VALUE"""),"80030-5486")</f>
        <v>80030-5486</v>
      </c>
      <c r="K35" s="13" t="str">
        <f>IFERROR(__xludf.DUMMYFUNCTION("""COMPUTED_VALUE"""),"Adams")</f>
        <v>Adams</v>
      </c>
      <c r="L35" s="17"/>
      <c r="M35" s="17"/>
      <c r="N35" s="17" t="str">
        <f>IFERROR(__xludf.DUMMYFUNCTION("""COMPUTED_VALUE"""),"Y")</f>
        <v>Y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>
      <c r="A36" s="13" t="str">
        <f>IFERROR(__xludf.DUMMYFUNCTION("""COMPUTED_VALUE"""),"0070")</f>
        <v>0070</v>
      </c>
      <c r="B36" s="13" t="str">
        <f>IFERROR(__xludf.DUMMYFUNCTION("""COMPUTED_VALUE"""),"Westminster Public Schools")</f>
        <v>Westminster Public Schools</v>
      </c>
      <c r="C36" s="13" t="str">
        <f>IFERROR(__xludf.DUMMYFUNCTION("""COMPUTED_VALUE"""),"91863")</f>
        <v>91863</v>
      </c>
      <c r="D36" s="13" t="str">
        <f>IFERROR(__xludf.DUMMYFUNCTION("""COMPUTED_VALUE"""),"Orchard Crossing Apartments")</f>
        <v>Orchard Crossing Apartments</v>
      </c>
      <c r="E36" s="13" t="str">
        <f>IFERROR(__xludf.DUMMYFUNCTION("""COMPUTED_VALUE"""),"Open")</f>
        <v>Open</v>
      </c>
      <c r="F36" s="13"/>
      <c r="G36" s="13" t="str">
        <f>IFERROR(__xludf.DUMMYFUNCTION("""COMPUTED_VALUE"""),"4195 W 72ND AVE")</f>
        <v>4195 W 72ND AVE</v>
      </c>
      <c r="H36" s="13" t="str">
        <f>IFERROR(__xludf.DUMMYFUNCTION("""COMPUTED_VALUE"""),"WESTMINSTER")</f>
        <v>WESTMINSTER</v>
      </c>
      <c r="I36" s="13" t="str">
        <f>IFERROR(__xludf.DUMMYFUNCTION("""COMPUTED_VALUE"""),"CO")</f>
        <v>CO</v>
      </c>
      <c r="J36" s="13" t="str">
        <f>IFERROR(__xludf.DUMMYFUNCTION("""COMPUTED_VALUE"""),"80030-5211")</f>
        <v>80030-5211</v>
      </c>
      <c r="K36" s="13" t="str">
        <f>IFERROR(__xludf.DUMMYFUNCTION("""COMPUTED_VALUE"""),"Adams")</f>
        <v>Adams</v>
      </c>
      <c r="L36" s="17"/>
      <c r="M36" s="17"/>
      <c r="N36" s="17" t="str">
        <f>IFERROR(__xludf.DUMMYFUNCTION("""COMPUTED_VALUE"""),"Y")</f>
        <v>Y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>
      <c r="A37" s="13" t="str">
        <f>IFERROR(__xludf.DUMMYFUNCTION("""COMPUTED_VALUE"""),"0070")</f>
        <v>0070</v>
      </c>
      <c r="B37" s="13" t="str">
        <f>IFERROR(__xludf.DUMMYFUNCTION("""COMPUTED_VALUE"""),"Westminster Public Schools")</f>
        <v>Westminster Public Schools</v>
      </c>
      <c r="C37" s="13" t="str">
        <f>IFERROR(__xludf.DUMMYFUNCTION("""COMPUTED_VALUE"""),"91864")</f>
        <v>91864</v>
      </c>
      <c r="D37" s="13" t="str">
        <f>IFERROR(__xludf.DUMMYFUNCTION("""COMPUTED_VALUE"""),"Zuni Plaza Apartments")</f>
        <v>Zuni Plaza Apartments</v>
      </c>
      <c r="E37" s="13" t="str">
        <f>IFERROR(__xludf.DUMMYFUNCTION("""COMPUTED_VALUE"""),"Open")</f>
        <v>Open</v>
      </c>
      <c r="F37" s="13"/>
      <c r="G37" s="13" t="str">
        <f>IFERROR(__xludf.DUMMYFUNCTION("""COMPUTED_VALUE"""),"7595 ZUNI ST")</f>
        <v>7595 ZUNI ST</v>
      </c>
      <c r="H37" s="13" t="str">
        <f>IFERROR(__xludf.DUMMYFUNCTION("""COMPUTED_VALUE"""),"DENVER")</f>
        <v>DENVER</v>
      </c>
      <c r="I37" s="13" t="str">
        <f>IFERROR(__xludf.DUMMYFUNCTION("""COMPUTED_VALUE"""),"CO")</f>
        <v>CO</v>
      </c>
      <c r="J37" s="13" t="str">
        <f>IFERROR(__xludf.DUMMYFUNCTION("""COMPUTED_VALUE"""),"80221-3229")</f>
        <v>80221-3229</v>
      </c>
      <c r="K37" s="13" t="str">
        <f>IFERROR(__xludf.DUMMYFUNCTION("""COMPUTED_VALUE"""),"Adams")</f>
        <v>Adams</v>
      </c>
      <c r="L37" s="17"/>
      <c r="M37" s="17"/>
      <c r="N37" s="17" t="str">
        <f>IFERROR(__xludf.DUMMYFUNCTION("""COMPUTED_VALUE"""),"Y")</f>
        <v>Y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>
      <c r="A38" s="13" t="str">
        <f>IFERROR(__xludf.DUMMYFUNCTION("""COMPUTED_VALUE"""),"0100")</f>
        <v>0100</v>
      </c>
      <c r="B38" s="13" t="str">
        <f>IFERROR(__xludf.DUMMYFUNCTION("""COMPUTED_VALUE"""),"ALAMOSA COUNTY SCHOOL DIST # 11J")</f>
        <v>ALAMOSA COUNTY SCHOOL DIST # 11J</v>
      </c>
      <c r="C38" s="13" t="str">
        <f>IFERROR(__xludf.DUMMYFUNCTION("""COMPUTED_VALUE"""),"00118")</f>
        <v>00118</v>
      </c>
      <c r="D38" s="13" t="str">
        <f>IFERROR(__xludf.DUMMYFUNCTION("""COMPUTED_VALUE"""),"ALAMOSA HIGH SCHOOL")</f>
        <v>ALAMOSA HIGH SCHOOL</v>
      </c>
      <c r="E38" s="13" t="str">
        <f>IFERROR(__xludf.DUMMYFUNCTION("""COMPUTED_VALUE"""),"Open")</f>
        <v>Open</v>
      </c>
      <c r="F38" s="13"/>
      <c r="G38" s="13" t="str">
        <f>IFERROR(__xludf.DUMMYFUNCTION("""COMPUTED_VALUE"""),"401 VICTORIA AVE")</f>
        <v>401 VICTORIA AVE</v>
      </c>
      <c r="H38" s="13" t="str">
        <f>IFERROR(__xludf.DUMMYFUNCTION("""COMPUTED_VALUE"""),"ALAMOSA")</f>
        <v>ALAMOSA</v>
      </c>
      <c r="I38" s="13" t="str">
        <f>IFERROR(__xludf.DUMMYFUNCTION("""COMPUTED_VALUE"""),"CO")</f>
        <v>CO</v>
      </c>
      <c r="J38" s="13" t="str">
        <f>IFERROR(__xludf.DUMMYFUNCTION("""COMPUTED_VALUE"""),"81101-2230")</f>
        <v>81101-2230</v>
      </c>
      <c r="K38" s="13" t="str">
        <f>IFERROR(__xludf.DUMMYFUNCTION("""COMPUTED_VALUE"""),"Alamosa")</f>
        <v>Alamosa</v>
      </c>
      <c r="L38" s="17" t="str">
        <f>IFERROR(__xludf.DUMMYFUNCTION("""COMPUTED_VALUE"""),"Y")</f>
        <v>Y</v>
      </c>
      <c r="M38" s="17"/>
      <c r="N38" s="17" t="str">
        <f>IFERROR(__xludf.DUMMYFUNCTION("""COMPUTED_VALUE"""),"Y")</f>
        <v>Y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>
      <c r="A39" s="13" t="str">
        <f>IFERROR(__xludf.DUMMYFUNCTION("""COMPUTED_VALUE"""),"0100")</f>
        <v>0100</v>
      </c>
      <c r="B39" s="13" t="str">
        <f>IFERROR(__xludf.DUMMYFUNCTION("""COMPUTED_VALUE"""),"ALAMOSA COUNTY SCHOOL DIST # 11J")</f>
        <v>ALAMOSA COUNTY SCHOOL DIST # 11J</v>
      </c>
      <c r="C39" s="13" t="str">
        <f>IFERROR(__xludf.DUMMYFUNCTION("""COMPUTED_VALUE"""),"01107")</f>
        <v>01107</v>
      </c>
      <c r="D39" s="13" t="str">
        <f>IFERROR(__xludf.DUMMYFUNCTION("""COMPUTED_VALUE"""),"Alamosa Elementary School K-2")</f>
        <v>Alamosa Elementary School K-2</v>
      </c>
      <c r="E39" s="13" t="str">
        <f>IFERROR(__xludf.DUMMYFUNCTION("""COMPUTED_VALUE"""),"Open")</f>
        <v>Open</v>
      </c>
      <c r="F39" s="13"/>
      <c r="G39" s="13" t="str">
        <f>IFERROR(__xludf.DUMMYFUNCTION("""COMPUTED_VALUE"""),"1707 W 10TH ST")</f>
        <v>1707 W 10TH ST</v>
      </c>
      <c r="H39" s="13" t="str">
        <f>IFERROR(__xludf.DUMMYFUNCTION("""COMPUTED_VALUE"""),"ALAMOSA")</f>
        <v>ALAMOSA</v>
      </c>
      <c r="I39" s="13" t="str">
        <f>IFERROR(__xludf.DUMMYFUNCTION("""COMPUTED_VALUE"""),"CO")</f>
        <v>CO</v>
      </c>
      <c r="J39" s="13" t="str">
        <f>IFERROR(__xludf.DUMMYFUNCTION("""COMPUTED_VALUE"""),"81101-3019")</f>
        <v>81101-3019</v>
      </c>
      <c r="K39" s="13" t="str">
        <f>IFERROR(__xludf.DUMMYFUNCTION("""COMPUTED_VALUE"""),"Alamosa")</f>
        <v>Alamosa</v>
      </c>
      <c r="L39" s="17" t="str">
        <f>IFERROR(__xludf.DUMMYFUNCTION("""COMPUTED_VALUE"""),"Y")</f>
        <v>Y</v>
      </c>
      <c r="M39" s="17"/>
      <c r="N39" s="17" t="str">
        <f>IFERROR(__xludf.DUMMYFUNCTION("""COMPUTED_VALUE"""),"Y")</f>
        <v>Y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>
      <c r="A40" s="13" t="str">
        <f>IFERROR(__xludf.DUMMYFUNCTION("""COMPUTED_VALUE"""),"0100")</f>
        <v>0100</v>
      </c>
      <c r="B40" s="13" t="str">
        <f>IFERROR(__xludf.DUMMYFUNCTION("""COMPUTED_VALUE"""),"ALAMOSA COUNTY SCHOOL DIST # 11J")</f>
        <v>ALAMOSA COUNTY SCHOOL DIST # 11J</v>
      </c>
      <c r="C40" s="13" t="str">
        <f>IFERROR(__xludf.DUMMYFUNCTION("""COMPUTED_VALUE"""),"15144")</f>
        <v>15144</v>
      </c>
      <c r="D40" s="13" t="str">
        <f>IFERROR(__xludf.DUMMYFUNCTION("""COMPUTED_VALUE"""),"Zapata Park")</f>
        <v>Zapata Park</v>
      </c>
      <c r="E40" s="13" t="str">
        <f>IFERROR(__xludf.DUMMYFUNCTION("""COMPUTED_VALUE"""),"Open")</f>
        <v>Open</v>
      </c>
      <c r="F40" s="13" t="str">
        <f>IFERROR(__xludf.DUMMYFUNCTION("""COMPUTED_VALUE"""),"Non-congregate")</f>
        <v>Non-congregate</v>
      </c>
      <c r="G40" s="13" t="str">
        <f>IFERROR(__xludf.DUMMYFUNCTION("""COMPUTED_VALUE"""),"9th St &amp; Ross Ave")</f>
        <v>9th St &amp; Ross Ave</v>
      </c>
      <c r="H40" s="13" t="str">
        <f>IFERROR(__xludf.DUMMYFUNCTION("""COMPUTED_VALUE"""),"ALAMOSA")</f>
        <v>ALAMOSA</v>
      </c>
      <c r="I40" s="13" t="str">
        <f>IFERROR(__xludf.DUMMYFUNCTION("""COMPUTED_VALUE"""),"CO")</f>
        <v>CO</v>
      </c>
      <c r="J40" s="13">
        <f>IFERROR(__xludf.DUMMYFUNCTION("""COMPUTED_VALUE"""),81101.0)</f>
        <v>81101</v>
      </c>
      <c r="K40" s="13" t="str">
        <f>IFERROR(__xludf.DUMMYFUNCTION("""COMPUTED_VALUE"""),"Alamosa")</f>
        <v>Alamosa</v>
      </c>
      <c r="L40" s="17" t="str">
        <f>IFERROR(__xludf.DUMMYFUNCTION("""COMPUTED_VALUE"""),"Y")</f>
        <v>Y</v>
      </c>
      <c r="M40" s="17"/>
      <c r="N40" s="17" t="str">
        <f>IFERROR(__xludf.DUMMYFUNCTION("""COMPUTED_VALUE"""),"Y")</f>
        <v>Y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>
      <c r="A41" s="13" t="str">
        <f>IFERROR(__xludf.DUMMYFUNCTION("""COMPUTED_VALUE"""),"0100")</f>
        <v>0100</v>
      </c>
      <c r="B41" s="13" t="str">
        <f>IFERROR(__xludf.DUMMYFUNCTION("""COMPUTED_VALUE"""),"ALAMOSA COUNTY SCHOOL DIST # 11J")</f>
        <v>ALAMOSA COUNTY SCHOOL DIST # 11J</v>
      </c>
      <c r="C41" s="13" t="str">
        <f>IFERROR(__xludf.DUMMYFUNCTION("""COMPUTED_VALUE"""),"91842")</f>
        <v>91842</v>
      </c>
      <c r="D41" s="13" t="str">
        <f>IFERROR(__xludf.DUMMYFUNCTION("""COMPUTED_VALUE"""),"Alamosa Schools Home Delivery")</f>
        <v>Alamosa Schools Home Delivery</v>
      </c>
      <c r="E41" s="13" t="str">
        <f>IFERROR(__xludf.DUMMYFUNCTION("""COMPUTED_VALUE"""),"Closed - Enrolled")</f>
        <v>Closed - Enrolled</v>
      </c>
      <c r="F41" s="13" t="str">
        <f>IFERROR(__xludf.DUMMYFUNCTION("""COMPUTED_VALUE"""),"Non-congregate")</f>
        <v>Non-congregate</v>
      </c>
      <c r="G41" s="13" t="str">
        <f>IFERROR(__xludf.DUMMYFUNCTION("""COMPUTED_VALUE"""),"1707 W 10TH ST")</f>
        <v>1707 W 10TH ST</v>
      </c>
      <c r="H41" s="13" t="str">
        <f>IFERROR(__xludf.DUMMYFUNCTION("""COMPUTED_VALUE"""),"ALAMOSA")</f>
        <v>ALAMOSA</v>
      </c>
      <c r="I41" s="13" t="str">
        <f>IFERROR(__xludf.DUMMYFUNCTION("""COMPUTED_VALUE"""),"CO")</f>
        <v>CO</v>
      </c>
      <c r="J41" s="13" t="str">
        <f>IFERROR(__xludf.DUMMYFUNCTION("""COMPUTED_VALUE"""),"81101-3019")</f>
        <v>81101-3019</v>
      </c>
      <c r="K41" s="13" t="str">
        <f>IFERROR(__xludf.DUMMYFUNCTION("""COMPUTED_VALUE"""),"Alamosa")</f>
        <v>Alamosa</v>
      </c>
      <c r="L41" s="17" t="str">
        <f>IFERROR(__xludf.DUMMYFUNCTION("""COMPUTED_VALUE"""),"Y")</f>
        <v>Y</v>
      </c>
      <c r="M41" s="17"/>
      <c r="N41" s="17" t="str">
        <f>IFERROR(__xludf.DUMMYFUNCTION("""COMPUTED_VALUE"""),"Y")</f>
        <v>Y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>
      <c r="A42" s="13" t="str">
        <f>IFERROR(__xludf.DUMMYFUNCTION("""COMPUTED_VALUE"""),"0120")</f>
        <v>0120</v>
      </c>
      <c r="B42" s="13" t="str">
        <f>IFERROR(__xludf.DUMMYFUNCTION("""COMPUTED_VALUE"""),"ENGLEWOOD 1")</f>
        <v>ENGLEWOOD 1</v>
      </c>
      <c r="C42" s="13" t="str">
        <f>IFERROR(__xludf.DUMMYFUNCTION("""COMPUTED_VALUE"""),"00206")</f>
        <v>00206</v>
      </c>
      <c r="D42" s="13" t="str">
        <f>IFERROR(__xludf.DUMMYFUNCTION("""COMPUTED_VALUE"""),"COLORADO'S FINEST HIGH SCHOOL OF CHOICE")</f>
        <v>COLORADO'S FINEST HIGH SCHOOL OF CHOICE</v>
      </c>
      <c r="E42" s="13" t="str">
        <f>IFERROR(__xludf.DUMMYFUNCTION("""COMPUTED_VALUE"""),"Restricted Open")</f>
        <v>Restricted Open</v>
      </c>
      <c r="F42" s="13"/>
      <c r="G42" s="13" t="str">
        <f>IFERROR(__xludf.DUMMYFUNCTION("""COMPUTED_VALUE"""),"300 W CHENANGO AVE")</f>
        <v>300 W CHENANGO AVE</v>
      </c>
      <c r="H42" s="13" t="str">
        <f>IFERROR(__xludf.DUMMYFUNCTION("""COMPUTED_VALUE"""),"ENGLEWOOD")</f>
        <v>ENGLEWOOD</v>
      </c>
      <c r="I42" s="13" t="str">
        <f>IFERROR(__xludf.DUMMYFUNCTION("""COMPUTED_VALUE"""),"CO")</f>
        <v>CO</v>
      </c>
      <c r="J42" s="13" t="str">
        <f>IFERROR(__xludf.DUMMYFUNCTION("""COMPUTED_VALUE"""),"80110-6555")</f>
        <v>80110-6555</v>
      </c>
      <c r="K42" s="13" t="str">
        <f>IFERROR(__xludf.DUMMYFUNCTION("""COMPUTED_VALUE"""),"Arapahoe")</f>
        <v>Arapahoe</v>
      </c>
      <c r="L42" s="17" t="str">
        <f>IFERROR(__xludf.DUMMYFUNCTION("""COMPUTED_VALUE"""),"Y")</f>
        <v>Y</v>
      </c>
      <c r="M42" s="17"/>
      <c r="N42" s="17" t="str">
        <f>IFERROR(__xludf.DUMMYFUNCTION("""COMPUTED_VALUE"""),"Y")</f>
        <v>Y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>
      <c r="A43" s="13" t="str">
        <f>IFERROR(__xludf.DUMMYFUNCTION("""COMPUTED_VALUE"""),"0120")</f>
        <v>0120</v>
      </c>
      <c r="B43" s="13" t="str">
        <f>IFERROR(__xludf.DUMMYFUNCTION("""COMPUTED_VALUE"""),"ENGLEWOOD 1")</f>
        <v>ENGLEWOOD 1</v>
      </c>
      <c r="C43" s="13" t="str">
        <f>IFERROR(__xludf.DUMMYFUNCTION("""COMPUTED_VALUE"""),"01514")</f>
        <v>01514</v>
      </c>
      <c r="D43" s="13" t="str">
        <f>IFERROR(__xludf.DUMMYFUNCTION("""COMPUTED_VALUE"""),"CHARLES HAY WORLD SCHOOL")</f>
        <v>CHARLES HAY WORLD SCHOOL</v>
      </c>
      <c r="E43" s="13" t="str">
        <f>IFERROR(__xludf.DUMMYFUNCTION("""COMPUTED_VALUE"""),"Closed - Enrolled")</f>
        <v>Closed - Enrolled</v>
      </c>
      <c r="F43" s="13"/>
      <c r="G43" s="13" t="str">
        <f>IFERROR(__xludf.DUMMYFUNCTION("""COMPUTED_VALUE"""),"1221 E EASTMAN AVE")</f>
        <v>1221 E EASTMAN AVE</v>
      </c>
      <c r="H43" s="13" t="str">
        <f>IFERROR(__xludf.DUMMYFUNCTION("""COMPUTED_VALUE"""),"ENGLEWOOD")</f>
        <v>ENGLEWOOD</v>
      </c>
      <c r="I43" s="13" t="str">
        <f>IFERROR(__xludf.DUMMYFUNCTION("""COMPUTED_VALUE"""),"CO")</f>
        <v>CO</v>
      </c>
      <c r="J43" s="13" t="str">
        <f>IFERROR(__xludf.DUMMYFUNCTION("""COMPUTED_VALUE"""),"80113-2851")</f>
        <v>80113-2851</v>
      </c>
      <c r="K43" s="13" t="str">
        <f>IFERROR(__xludf.DUMMYFUNCTION("""COMPUTED_VALUE"""),"Arapahoe")</f>
        <v>Arapahoe</v>
      </c>
      <c r="L43" s="17" t="str">
        <f>IFERROR(__xludf.DUMMYFUNCTION("""COMPUTED_VALUE"""),"Y")</f>
        <v>Y</v>
      </c>
      <c r="M43" s="17"/>
      <c r="N43" s="17" t="str">
        <f>IFERROR(__xludf.DUMMYFUNCTION("""COMPUTED_VALUE"""),"Y")</f>
        <v>Y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>
      <c r="A44" s="13" t="str">
        <f>IFERROR(__xludf.DUMMYFUNCTION("""COMPUTED_VALUE"""),"0120")</f>
        <v>0120</v>
      </c>
      <c r="B44" s="13" t="str">
        <f>IFERROR(__xludf.DUMMYFUNCTION("""COMPUTED_VALUE"""),"ENGLEWOOD 1")</f>
        <v>ENGLEWOOD 1</v>
      </c>
      <c r="C44" s="13" t="str">
        <f>IFERROR(__xludf.DUMMYFUNCTION("""COMPUTED_VALUE"""),"01556")</f>
        <v>01556</v>
      </c>
      <c r="D44" s="13" t="str">
        <f>IFERROR(__xludf.DUMMYFUNCTION("""COMPUTED_VALUE"""),"CHERRELYN ELEMENTARY SCHOOL")</f>
        <v>CHERRELYN ELEMENTARY SCHOOL</v>
      </c>
      <c r="E44" s="13" t="str">
        <f>IFERROR(__xludf.DUMMYFUNCTION("""COMPUTED_VALUE"""),"Closed - Enrolled")</f>
        <v>Closed - Enrolled</v>
      </c>
      <c r="F44" s="13"/>
      <c r="G44" s="13" t="str">
        <f>IFERROR(__xludf.DUMMYFUNCTION("""COMPUTED_VALUE"""),"4500 S LINCOLN ST")</f>
        <v>4500 S LINCOLN ST</v>
      </c>
      <c r="H44" s="13" t="str">
        <f>IFERROR(__xludf.DUMMYFUNCTION("""COMPUTED_VALUE"""),"ENGLEWOOD")</f>
        <v>ENGLEWOOD</v>
      </c>
      <c r="I44" s="13" t="str">
        <f>IFERROR(__xludf.DUMMYFUNCTION("""COMPUTED_VALUE"""),"CO")</f>
        <v>CO</v>
      </c>
      <c r="J44" s="13" t="str">
        <f>IFERROR(__xludf.DUMMYFUNCTION("""COMPUTED_VALUE"""),"80113-5733")</f>
        <v>80113-5733</v>
      </c>
      <c r="K44" s="13" t="str">
        <f>IFERROR(__xludf.DUMMYFUNCTION("""COMPUTED_VALUE"""),"Arapahoe")</f>
        <v>Arapahoe</v>
      </c>
      <c r="L44" s="17" t="str">
        <f>IFERROR(__xludf.DUMMYFUNCTION("""COMPUTED_VALUE"""),"Y")</f>
        <v>Y</v>
      </c>
      <c r="M44" s="17"/>
      <c r="N44" s="17" t="str">
        <f>IFERROR(__xludf.DUMMYFUNCTION("""COMPUTED_VALUE"""),"Y")</f>
        <v>Y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>
      <c r="A45" s="13" t="str">
        <f>IFERROR(__xludf.DUMMYFUNCTION("""COMPUTED_VALUE"""),"0120")</f>
        <v>0120</v>
      </c>
      <c r="B45" s="13" t="str">
        <f>IFERROR(__xludf.DUMMYFUNCTION("""COMPUTED_VALUE"""),"ENGLEWOOD 1")</f>
        <v>ENGLEWOOD 1</v>
      </c>
      <c r="C45" s="13" t="str">
        <f>IFERROR(__xludf.DUMMYFUNCTION("""COMPUTED_VALUE"""),"01652")</f>
        <v>01652</v>
      </c>
      <c r="D45" s="13" t="str">
        <f>IFERROR(__xludf.DUMMYFUNCTION("""COMPUTED_VALUE"""),"CLAYTON ELEMENTARY SCHOOL")</f>
        <v>CLAYTON ELEMENTARY SCHOOL</v>
      </c>
      <c r="E45" s="13" t="str">
        <f>IFERROR(__xludf.DUMMYFUNCTION("""COMPUTED_VALUE"""),"Closed - Enrolled")</f>
        <v>Closed - Enrolled</v>
      </c>
      <c r="F45" s="13"/>
      <c r="G45" s="13" t="str">
        <f>IFERROR(__xludf.DUMMYFUNCTION("""COMPUTED_VALUE"""),"475 W UNION AVE")</f>
        <v>475 W UNION AVE</v>
      </c>
      <c r="H45" s="13" t="str">
        <f>IFERROR(__xludf.DUMMYFUNCTION("""COMPUTED_VALUE"""),"ENGLEWOOD")</f>
        <v>ENGLEWOOD</v>
      </c>
      <c r="I45" s="13" t="str">
        <f>IFERROR(__xludf.DUMMYFUNCTION("""COMPUTED_VALUE"""),"CO")</f>
        <v>CO</v>
      </c>
      <c r="J45" s="13" t="str">
        <f>IFERROR(__xludf.DUMMYFUNCTION("""COMPUTED_VALUE"""),"80110-5900")</f>
        <v>80110-5900</v>
      </c>
      <c r="K45" s="13" t="str">
        <f>IFERROR(__xludf.DUMMYFUNCTION("""COMPUTED_VALUE"""),"Arapahoe")</f>
        <v>Arapahoe</v>
      </c>
      <c r="L45" s="17" t="str">
        <f>IFERROR(__xludf.DUMMYFUNCTION("""COMPUTED_VALUE"""),"Y")</f>
        <v>Y</v>
      </c>
      <c r="M45" s="17"/>
      <c r="N45" s="17" t="str">
        <f>IFERROR(__xludf.DUMMYFUNCTION("""COMPUTED_VALUE"""),"Y")</f>
        <v>Y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>
      <c r="A46" s="13" t="str">
        <f>IFERROR(__xludf.DUMMYFUNCTION("""COMPUTED_VALUE"""),"0120")</f>
        <v>0120</v>
      </c>
      <c r="B46" s="13" t="str">
        <f>IFERROR(__xludf.DUMMYFUNCTION("""COMPUTED_VALUE"""),"ENGLEWOOD 1")</f>
        <v>ENGLEWOOD 1</v>
      </c>
      <c r="C46" s="13" t="str">
        <f>IFERROR(__xludf.DUMMYFUNCTION("""COMPUTED_VALUE"""),"02746")</f>
        <v>02746</v>
      </c>
      <c r="D46" s="13" t="str">
        <f>IFERROR(__xludf.DUMMYFUNCTION("""COMPUTED_VALUE"""),"ENGLEWOOD HIGH SCHOOL")</f>
        <v>ENGLEWOOD HIGH SCHOOL</v>
      </c>
      <c r="E46" s="13" t="str">
        <f>IFERROR(__xludf.DUMMYFUNCTION("""COMPUTED_VALUE"""),"Closed - Enrolled")</f>
        <v>Closed - Enrolled</v>
      </c>
      <c r="F46" s="13"/>
      <c r="G46" s="13" t="str">
        <f>IFERROR(__xludf.DUMMYFUNCTION("""COMPUTED_VALUE"""),"3800 S LOGAN ST")</f>
        <v>3800 S LOGAN ST</v>
      </c>
      <c r="H46" s="13" t="str">
        <f>IFERROR(__xludf.DUMMYFUNCTION("""COMPUTED_VALUE"""),"ENGLEWOOD")</f>
        <v>ENGLEWOOD</v>
      </c>
      <c r="I46" s="13" t="str">
        <f>IFERROR(__xludf.DUMMYFUNCTION("""COMPUTED_VALUE"""),"CO")</f>
        <v>CO</v>
      </c>
      <c r="J46" s="13" t="str">
        <f>IFERROR(__xludf.DUMMYFUNCTION("""COMPUTED_VALUE"""),"80113-3723")</f>
        <v>80113-3723</v>
      </c>
      <c r="K46" s="13" t="str">
        <f>IFERROR(__xludf.DUMMYFUNCTION("""COMPUTED_VALUE"""),"Arapahoe")</f>
        <v>Arapahoe</v>
      </c>
      <c r="L46" s="17" t="str">
        <f>IFERROR(__xludf.DUMMYFUNCTION("""COMPUTED_VALUE"""),"Y")</f>
        <v>Y</v>
      </c>
      <c r="M46" s="17"/>
      <c r="N46" s="17" t="str">
        <f>IFERROR(__xludf.DUMMYFUNCTION("""COMPUTED_VALUE"""),"Y")</f>
        <v>Y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>
      <c r="A47" s="13" t="str">
        <f>IFERROR(__xludf.DUMMYFUNCTION("""COMPUTED_VALUE"""),"0120")</f>
        <v>0120</v>
      </c>
      <c r="B47" s="13" t="str">
        <f>IFERROR(__xludf.DUMMYFUNCTION("""COMPUTED_VALUE"""),"ENGLEWOOD 1")</f>
        <v>ENGLEWOOD 1</v>
      </c>
      <c r="C47" s="13" t="str">
        <f>IFERROR(__xludf.DUMMYFUNCTION("""COMPUTED_VALUE"""),"05318")</f>
        <v>05318</v>
      </c>
      <c r="D47" s="13" t="str">
        <f>IFERROR(__xludf.DUMMYFUNCTION("""COMPUTED_VALUE"""),"ENGLEWOOD EARLY CHILDHOOD EDUCATION CENTER AT MADDOX")</f>
        <v>ENGLEWOOD EARLY CHILDHOOD EDUCATION CENTER AT MADDOX</v>
      </c>
      <c r="E47" s="13" t="str">
        <f>IFERROR(__xludf.DUMMYFUNCTION("""COMPUTED_VALUE"""),"Closed - Enrolled")</f>
        <v>Closed - Enrolled</v>
      </c>
      <c r="F47" s="13"/>
      <c r="G47" s="13" t="str">
        <f>IFERROR(__xludf.DUMMYFUNCTION("""COMPUTED_VALUE"""),"3838 S HURON ST")</f>
        <v>3838 S HURON ST</v>
      </c>
      <c r="H47" s="13" t="str">
        <f>IFERROR(__xludf.DUMMYFUNCTION("""COMPUTED_VALUE"""),"ENGLEWOOD")</f>
        <v>ENGLEWOOD</v>
      </c>
      <c r="I47" s="13" t="str">
        <f>IFERROR(__xludf.DUMMYFUNCTION("""COMPUTED_VALUE"""),"CO")</f>
        <v>CO</v>
      </c>
      <c r="J47" s="13" t="str">
        <f>IFERROR(__xludf.DUMMYFUNCTION("""COMPUTED_VALUE"""),"80110-3582")</f>
        <v>80110-3582</v>
      </c>
      <c r="K47" s="13" t="str">
        <f>IFERROR(__xludf.DUMMYFUNCTION("""COMPUTED_VALUE"""),"Arapahoe")</f>
        <v>Arapahoe</v>
      </c>
      <c r="L47" s="17" t="str">
        <f>IFERROR(__xludf.DUMMYFUNCTION("""COMPUTED_VALUE"""),"Y")</f>
        <v>Y</v>
      </c>
      <c r="M47" s="17"/>
      <c r="N47" s="17" t="str">
        <f>IFERROR(__xludf.DUMMYFUNCTION("""COMPUTED_VALUE"""),"Y")</f>
        <v>Y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>
      <c r="A48" s="13" t="str">
        <f>IFERROR(__xludf.DUMMYFUNCTION("""COMPUTED_VALUE"""),"0120")</f>
        <v>0120</v>
      </c>
      <c r="B48" s="13" t="str">
        <f>IFERROR(__xludf.DUMMYFUNCTION("""COMPUTED_VALUE"""),"ENGLEWOOD 1")</f>
        <v>ENGLEWOOD 1</v>
      </c>
      <c r="C48" s="13" t="str">
        <f>IFERROR(__xludf.DUMMYFUNCTION("""COMPUTED_VALUE"""),"09620")</f>
        <v>09620</v>
      </c>
      <c r="D48" s="13" t="str">
        <f>IFERROR(__xludf.DUMMYFUNCTION("""COMPUTED_VALUE"""),"WM E BISHOP ELEMENTARY SCHOOL")</f>
        <v>WM E BISHOP ELEMENTARY SCHOOL</v>
      </c>
      <c r="E48" s="13" t="str">
        <f>IFERROR(__xludf.DUMMYFUNCTION("""COMPUTED_VALUE"""),"Closed - Enrolled")</f>
        <v>Closed - Enrolled</v>
      </c>
      <c r="F48" s="13"/>
      <c r="G48" s="13" t="str">
        <f>IFERROR(__xludf.DUMMYFUNCTION("""COMPUTED_VALUE"""),"3100 S ELATI ST")</f>
        <v>3100 S ELATI ST</v>
      </c>
      <c r="H48" s="13" t="str">
        <f>IFERROR(__xludf.DUMMYFUNCTION("""COMPUTED_VALUE"""),"ENGLEWOOD")</f>
        <v>ENGLEWOOD</v>
      </c>
      <c r="I48" s="13" t="str">
        <f>IFERROR(__xludf.DUMMYFUNCTION("""COMPUTED_VALUE"""),"CO")</f>
        <v>CO</v>
      </c>
      <c r="J48" s="13" t="str">
        <f>IFERROR(__xludf.DUMMYFUNCTION("""COMPUTED_VALUE"""),"80110-2315")</f>
        <v>80110-2315</v>
      </c>
      <c r="K48" s="13" t="str">
        <f>IFERROR(__xludf.DUMMYFUNCTION("""COMPUTED_VALUE"""),"Arapahoe")</f>
        <v>Arapahoe</v>
      </c>
      <c r="L48" s="17" t="str">
        <f>IFERROR(__xludf.DUMMYFUNCTION("""COMPUTED_VALUE"""),"Y")</f>
        <v>Y</v>
      </c>
      <c r="M48" s="17"/>
      <c r="N48" s="17" t="str">
        <f>IFERROR(__xludf.DUMMYFUNCTION("""COMPUTED_VALUE"""),"Y")</f>
        <v>Y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>
      <c r="A49" s="13" t="str">
        <f>IFERROR(__xludf.DUMMYFUNCTION("""COMPUTED_VALUE"""),"0120")</f>
        <v>0120</v>
      </c>
      <c r="B49" s="13" t="str">
        <f>IFERROR(__xludf.DUMMYFUNCTION("""COMPUTED_VALUE"""),"ENGLEWOOD 1")</f>
        <v>ENGLEWOOD 1</v>
      </c>
      <c r="C49" s="13" t="str">
        <f>IFERROR(__xludf.DUMMYFUNCTION("""COMPUTED_VALUE"""),"12721")</f>
        <v>12721</v>
      </c>
      <c r="D49" s="13" t="str">
        <f>IFERROR(__xludf.DUMMYFUNCTION("""COMPUTED_VALUE"""),"ENGLEWOOD CIVIC CENTER")</f>
        <v>ENGLEWOOD CIVIC CENTER</v>
      </c>
      <c r="E49" s="13" t="str">
        <f>IFERROR(__xludf.DUMMYFUNCTION("""COMPUTED_VALUE"""),"Open")</f>
        <v>Open</v>
      </c>
      <c r="F49" s="13"/>
      <c r="G49" s="13" t="str">
        <f>IFERROR(__xludf.DUMMYFUNCTION("""COMPUTED_VALUE"""),"1000 ENGLEWOOD PKWY")</f>
        <v>1000 ENGLEWOOD PKWY</v>
      </c>
      <c r="H49" s="13" t="str">
        <f>IFERROR(__xludf.DUMMYFUNCTION("""COMPUTED_VALUE"""),"ENGLEWOOD")</f>
        <v>ENGLEWOOD</v>
      </c>
      <c r="I49" s="13" t="str">
        <f>IFERROR(__xludf.DUMMYFUNCTION("""COMPUTED_VALUE"""),"CO")</f>
        <v>CO</v>
      </c>
      <c r="J49" s="13" t="str">
        <f>IFERROR(__xludf.DUMMYFUNCTION("""COMPUTED_VALUE"""),"80110-2373")</f>
        <v>80110-2373</v>
      </c>
      <c r="K49" s="13" t="str">
        <f>IFERROR(__xludf.DUMMYFUNCTION("""COMPUTED_VALUE"""),"Arapahoe")</f>
        <v>Arapahoe</v>
      </c>
      <c r="L49" s="17"/>
      <c r="M49" s="17"/>
      <c r="N49" s="17" t="str">
        <f>IFERROR(__xludf.DUMMYFUNCTION("""COMPUTED_VALUE"""),"Y")</f>
        <v>Y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>
      <c r="A50" s="13" t="str">
        <f>IFERROR(__xludf.DUMMYFUNCTION("""COMPUTED_VALUE"""),"0123")</f>
        <v>0123</v>
      </c>
      <c r="B50" s="13" t="str">
        <f>IFERROR(__xludf.DUMMYFUNCTION("""COMPUTED_VALUE"""),"SHERIDAN 2")</f>
        <v>SHERIDAN 2</v>
      </c>
      <c r="C50" s="13" t="str">
        <f>IFERROR(__xludf.DUMMYFUNCTION("""COMPUTED_VALUE"""),"03054")</f>
        <v>03054</v>
      </c>
      <c r="D50" s="13" t="str">
        <f>IFERROR(__xludf.DUMMYFUNCTION("""COMPUTED_VALUE"""),"Alice Terry Elementary School")</f>
        <v>Alice Terry Elementary School</v>
      </c>
      <c r="E50" s="13" t="str">
        <f>IFERROR(__xludf.DUMMYFUNCTION("""COMPUTED_VALUE"""),"Open")</f>
        <v>Open</v>
      </c>
      <c r="F50" s="13"/>
      <c r="G50" s="13" t="str">
        <f>IFERROR(__xludf.DUMMYFUNCTION("""COMPUTED_VALUE"""),"4485 S IRVING ST")</f>
        <v>4485 S IRVING ST</v>
      </c>
      <c r="H50" s="13" t="str">
        <f>IFERROR(__xludf.DUMMYFUNCTION("""COMPUTED_VALUE"""),"ENGLEWOOD")</f>
        <v>ENGLEWOOD</v>
      </c>
      <c r="I50" s="13" t="str">
        <f>IFERROR(__xludf.DUMMYFUNCTION("""COMPUTED_VALUE"""),"CO")</f>
        <v>CO</v>
      </c>
      <c r="J50" s="13" t="str">
        <f>IFERROR(__xludf.DUMMYFUNCTION("""COMPUTED_VALUE"""),"80110-5205")</f>
        <v>80110-5205</v>
      </c>
      <c r="K50" s="13" t="str">
        <f>IFERROR(__xludf.DUMMYFUNCTION("""COMPUTED_VALUE"""),"Arapahoe")</f>
        <v>Arapahoe</v>
      </c>
      <c r="L50" s="17" t="str">
        <f>IFERROR(__xludf.DUMMYFUNCTION("""COMPUTED_VALUE"""),"Y")</f>
        <v>Y</v>
      </c>
      <c r="M50" s="17"/>
      <c r="N50" s="17" t="str">
        <f>IFERROR(__xludf.DUMMYFUNCTION("""COMPUTED_VALUE"""),"Y")</f>
        <v>Y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>
      <c r="A51" s="13" t="str">
        <f>IFERROR(__xludf.DUMMYFUNCTION("""COMPUTED_VALUE"""),"0123")</f>
        <v>0123</v>
      </c>
      <c r="B51" s="13" t="str">
        <f>IFERROR(__xludf.DUMMYFUNCTION("""COMPUTED_VALUE"""),"SHERIDAN 2")</f>
        <v>SHERIDAN 2</v>
      </c>
      <c r="C51" s="13" t="str">
        <f>IFERROR(__xludf.DUMMYFUNCTION("""COMPUTED_VALUE"""),"07837")</f>
        <v>07837</v>
      </c>
      <c r="D51" s="13" t="str">
        <f>IFERROR(__xludf.DUMMYFUNCTION("""COMPUTED_VALUE"""),"FORT LOGAN NORTHGATE")</f>
        <v>FORT LOGAN NORTHGATE</v>
      </c>
      <c r="E51" s="13" t="str">
        <f>IFERROR(__xludf.DUMMYFUNCTION("""COMPUTED_VALUE"""),"Open")</f>
        <v>Open</v>
      </c>
      <c r="F51" s="13"/>
      <c r="G51" s="13" t="str">
        <f>IFERROR(__xludf.DUMMYFUNCTION("""COMPUTED_VALUE"""),"4000 S LOWELL BLVD")</f>
        <v>4000 S LOWELL BLVD</v>
      </c>
      <c r="H51" s="13" t="str">
        <f>IFERROR(__xludf.DUMMYFUNCTION("""COMPUTED_VALUE"""),"DENVER")</f>
        <v>DENVER</v>
      </c>
      <c r="I51" s="13" t="str">
        <f>IFERROR(__xludf.DUMMYFUNCTION("""COMPUTED_VALUE"""),"CO")</f>
        <v>CO</v>
      </c>
      <c r="J51" s="13" t="str">
        <f>IFERROR(__xludf.DUMMYFUNCTION("""COMPUTED_VALUE"""),"80236-3105")</f>
        <v>80236-3105</v>
      </c>
      <c r="K51" s="13" t="str">
        <f>IFERROR(__xludf.DUMMYFUNCTION("""COMPUTED_VALUE"""),"Arapahoe")</f>
        <v>Arapahoe</v>
      </c>
      <c r="L51" s="17" t="str">
        <f>IFERROR(__xludf.DUMMYFUNCTION("""COMPUTED_VALUE"""),"Y")</f>
        <v>Y</v>
      </c>
      <c r="M51" s="17"/>
      <c r="N51" s="17" t="str">
        <f>IFERROR(__xludf.DUMMYFUNCTION("""COMPUTED_VALUE"""),"Y")</f>
        <v>Y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>
      <c r="A52" s="13" t="str">
        <f>IFERROR(__xludf.DUMMYFUNCTION("""COMPUTED_VALUE"""),"0123")</f>
        <v>0123</v>
      </c>
      <c r="B52" s="13" t="str">
        <f>IFERROR(__xludf.DUMMYFUNCTION("""COMPUTED_VALUE"""),"SHERIDAN 2")</f>
        <v>SHERIDAN 2</v>
      </c>
      <c r="C52" s="13" t="str">
        <f>IFERROR(__xludf.DUMMYFUNCTION("""COMPUTED_VALUE"""),"07842")</f>
        <v>07842</v>
      </c>
      <c r="D52" s="13" t="str">
        <f>IFERROR(__xludf.DUMMYFUNCTION("""COMPUTED_VALUE"""),"SHERIDAN HIGH SCHOOL")</f>
        <v>SHERIDAN HIGH SCHOOL</v>
      </c>
      <c r="E52" s="13" t="str">
        <f>IFERROR(__xludf.DUMMYFUNCTION("""COMPUTED_VALUE"""),"Open")</f>
        <v>Open</v>
      </c>
      <c r="F52" s="13"/>
      <c r="G52" s="13" t="str">
        <f>IFERROR(__xludf.DUMMYFUNCTION("""COMPUTED_VALUE"""),"3201 W OXFORD AVE")</f>
        <v>3201 W OXFORD AVE</v>
      </c>
      <c r="H52" s="13" t="str">
        <f>IFERROR(__xludf.DUMMYFUNCTION("""COMPUTED_VALUE"""),"DENVER")</f>
        <v>DENVER</v>
      </c>
      <c r="I52" s="13" t="str">
        <f>IFERROR(__xludf.DUMMYFUNCTION("""COMPUTED_VALUE"""),"CO")</f>
        <v>CO</v>
      </c>
      <c r="J52" s="13" t="str">
        <f>IFERROR(__xludf.DUMMYFUNCTION("""COMPUTED_VALUE"""),"80236-6204")</f>
        <v>80236-6204</v>
      </c>
      <c r="K52" s="13" t="str">
        <f>IFERROR(__xludf.DUMMYFUNCTION("""COMPUTED_VALUE"""),"Arapahoe")</f>
        <v>Arapahoe</v>
      </c>
      <c r="L52" s="17" t="str">
        <f>IFERROR(__xludf.DUMMYFUNCTION("""COMPUTED_VALUE"""),"Y")</f>
        <v>Y</v>
      </c>
      <c r="M52" s="17"/>
      <c r="N52" s="17" t="str">
        <f>IFERROR(__xludf.DUMMYFUNCTION("""COMPUTED_VALUE"""),"Y")</f>
        <v>Y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>
      <c r="A53" s="13" t="str">
        <f>IFERROR(__xludf.DUMMYFUNCTION("""COMPUTED_VALUE"""),"0123")</f>
        <v>0123</v>
      </c>
      <c r="B53" s="13" t="str">
        <f>IFERROR(__xludf.DUMMYFUNCTION("""COMPUTED_VALUE"""),"SHERIDAN 2")</f>
        <v>SHERIDAN 2</v>
      </c>
      <c r="C53" s="13" t="str">
        <f>IFERROR(__xludf.DUMMYFUNCTION("""COMPUTED_VALUE"""),"07843")</f>
        <v>07843</v>
      </c>
      <c r="D53" s="13" t="str">
        <f>IFERROR(__xludf.DUMMYFUNCTION("""COMPUTED_VALUE"""),"EARLY CHILDHOOD EDUCATION CENTER")</f>
        <v>EARLY CHILDHOOD EDUCATION CENTER</v>
      </c>
      <c r="E53" s="13" t="str">
        <f>IFERROR(__xludf.DUMMYFUNCTION("""COMPUTED_VALUE"""),"Closed - Enrolled")</f>
        <v>Closed - Enrolled</v>
      </c>
      <c r="F53" s="13"/>
      <c r="G53" s="13" t="str">
        <f>IFERROR(__xludf.DUMMYFUNCTION("""COMPUTED_VALUE"""),"4107 S FEDERAL BLVD")</f>
        <v>4107 S FEDERAL BLVD</v>
      </c>
      <c r="H53" s="13" t="str">
        <f>IFERROR(__xludf.DUMMYFUNCTION("""COMPUTED_VALUE"""),"ENGLEWOOD")</f>
        <v>ENGLEWOOD</v>
      </c>
      <c r="I53" s="13" t="str">
        <f>IFERROR(__xludf.DUMMYFUNCTION("""COMPUTED_VALUE"""),"CO")</f>
        <v>CO</v>
      </c>
      <c r="J53" s="13" t="str">
        <f>IFERROR(__xludf.DUMMYFUNCTION("""COMPUTED_VALUE"""),"80110-4316")</f>
        <v>80110-4316</v>
      </c>
      <c r="K53" s="13" t="str">
        <f>IFERROR(__xludf.DUMMYFUNCTION("""COMPUTED_VALUE"""),"Arapahoe")</f>
        <v>Arapahoe</v>
      </c>
      <c r="L53" s="17" t="str">
        <f>IFERROR(__xludf.DUMMYFUNCTION("""COMPUTED_VALUE"""),"Y")</f>
        <v>Y</v>
      </c>
      <c r="M53" s="17"/>
      <c r="N53" s="17" t="str">
        <f>IFERROR(__xludf.DUMMYFUNCTION("""COMPUTED_VALUE"""),"Y")</f>
        <v>Y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>
      <c r="A54" s="13" t="str">
        <f>IFERROR(__xludf.DUMMYFUNCTION("""COMPUTED_VALUE"""),"0130")</f>
        <v>0130</v>
      </c>
      <c r="B54" s="13" t="str">
        <f>IFERROR(__xludf.DUMMYFUNCTION("""COMPUTED_VALUE"""),"CHERRY CREEK 5")</f>
        <v>CHERRY CREEK 5</v>
      </c>
      <c r="C54" s="13" t="str">
        <f>IFERROR(__xludf.DUMMYFUNCTION("""COMPUTED_VALUE"""),"01273")</f>
        <v>01273</v>
      </c>
      <c r="D54" s="13" t="str">
        <f>IFERROR(__xludf.DUMMYFUNCTION("""COMPUTED_VALUE"""),"CANYON CREEK ELEMENTARY SCHOOL")</f>
        <v>CANYON CREEK ELEMENTARY SCHOOL</v>
      </c>
      <c r="E54" s="13" t="str">
        <f>IFERROR(__xludf.DUMMYFUNCTION("""COMPUTED_VALUE"""),"Open")</f>
        <v>Open</v>
      </c>
      <c r="F54" s="13"/>
      <c r="G54" s="13" t="str">
        <f>IFERROR(__xludf.DUMMYFUNCTION("""COMPUTED_VALUE"""),"17373 E LEHIGH PL")</f>
        <v>17373 E LEHIGH PL</v>
      </c>
      <c r="H54" s="13" t="str">
        <f>IFERROR(__xludf.DUMMYFUNCTION("""COMPUTED_VALUE"""),"AURORA")</f>
        <v>AURORA</v>
      </c>
      <c r="I54" s="13" t="str">
        <f>IFERROR(__xludf.DUMMYFUNCTION("""COMPUTED_VALUE"""),"CO")</f>
        <v>CO</v>
      </c>
      <c r="J54" s="13" t="str">
        <f>IFERROR(__xludf.DUMMYFUNCTION("""COMPUTED_VALUE"""),"80013-3070")</f>
        <v>80013-3070</v>
      </c>
      <c r="K54" s="13" t="str">
        <f>IFERROR(__xludf.DUMMYFUNCTION("""COMPUTED_VALUE"""),"Arapahoe")</f>
        <v>Arapahoe</v>
      </c>
      <c r="L54" s="17" t="str">
        <f>IFERROR(__xludf.DUMMYFUNCTION("""COMPUTED_VALUE"""),"Y")</f>
        <v>Y</v>
      </c>
      <c r="M54" s="17"/>
      <c r="N54" s="17" t="str">
        <f>IFERROR(__xludf.DUMMYFUNCTION("""COMPUTED_VALUE"""),"Y")</f>
        <v>Y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>
      <c r="A55" s="13" t="str">
        <f>IFERROR(__xludf.DUMMYFUNCTION("""COMPUTED_VALUE"""),"0130")</f>
        <v>0130</v>
      </c>
      <c r="B55" s="13" t="str">
        <f>IFERROR(__xludf.DUMMYFUNCTION("""COMPUTED_VALUE"""),"CHERRY CREEK 5")</f>
        <v>CHERRY CREEK 5</v>
      </c>
      <c r="C55" s="13" t="str">
        <f>IFERROR(__xludf.DUMMYFUNCTION("""COMPUTED_VALUE"""),"01614")</f>
        <v>01614</v>
      </c>
      <c r="D55" s="13" t="str">
        <f>IFERROR(__xludf.DUMMYFUNCTION("""COMPUTED_VALUE"""),"CIMARRON ELEMENTARY SCHOOL")</f>
        <v>CIMARRON ELEMENTARY SCHOOL</v>
      </c>
      <c r="E55" s="13" t="str">
        <f>IFERROR(__xludf.DUMMYFUNCTION("""COMPUTED_VALUE"""),"Open")</f>
        <v>Open</v>
      </c>
      <c r="F55" s="13"/>
      <c r="G55" s="13" t="str">
        <f>IFERROR(__xludf.DUMMYFUNCTION("""COMPUTED_VALUE"""),"17373 E LEHIGH PL")</f>
        <v>17373 E LEHIGH PL</v>
      </c>
      <c r="H55" s="13" t="str">
        <f>IFERROR(__xludf.DUMMYFUNCTION("""COMPUTED_VALUE"""),"AURORA")</f>
        <v>AURORA</v>
      </c>
      <c r="I55" s="13" t="str">
        <f>IFERROR(__xludf.DUMMYFUNCTION("""COMPUTED_VALUE"""),"CO")</f>
        <v>CO</v>
      </c>
      <c r="J55" s="13" t="str">
        <f>IFERROR(__xludf.DUMMYFUNCTION("""COMPUTED_VALUE"""),"80013-3070")</f>
        <v>80013-3070</v>
      </c>
      <c r="K55" s="13" t="str">
        <f>IFERROR(__xludf.DUMMYFUNCTION("""COMPUTED_VALUE"""),"Arapahoe")</f>
        <v>Arapahoe</v>
      </c>
      <c r="L55" s="17" t="str">
        <f>IFERROR(__xludf.DUMMYFUNCTION("""COMPUTED_VALUE"""),"Y")</f>
        <v>Y</v>
      </c>
      <c r="M55" s="17"/>
      <c r="N55" s="17" t="str">
        <f>IFERROR(__xludf.DUMMYFUNCTION("""COMPUTED_VALUE"""),"Y")</f>
        <v>Y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>
      <c r="A56" s="13" t="str">
        <f>IFERROR(__xludf.DUMMYFUNCTION("""COMPUTED_VALUE"""),"0130")</f>
        <v>0130</v>
      </c>
      <c r="B56" s="13" t="str">
        <f>IFERROR(__xludf.DUMMYFUNCTION("""COMPUTED_VALUE"""),"CHERRY CREEK 5")</f>
        <v>CHERRY CREEK 5</v>
      </c>
      <c r="C56" s="13" t="str">
        <f>IFERROR(__xludf.DUMMYFUNCTION("""COMPUTED_VALUE"""),"02428")</f>
        <v>02428</v>
      </c>
      <c r="D56" s="13" t="str">
        <f>IFERROR(__xludf.DUMMYFUNCTION("""COMPUTED_VALUE"""),"EASTRIDGE COMMUNITY ELEMENTARY SCHOOL")</f>
        <v>EASTRIDGE COMMUNITY ELEMENTARY SCHOOL</v>
      </c>
      <c r="E56" s="13" t="str">
        <f>IFERROR(__xludf.DUMMYFUNCTION("""COMPUTED_VALUE"""),"Open")</f>
        <v>Open</v>
      </c>
      <c r="F56" s="13"/>
      <c r="G56" s="13" t="str">
        <f>IFERROR(__xludf.DUMMYFUNCTION("""COMPUTED_VALUE"""),"11777 E WESLEY AVE")</f>
        <v>11777 E WESLEY AVE</v>
      </c>
      <c r="H56" s="13" t="str">
        <f>IFERROR(__xludf.DUMMYFUNCTION("""COMPUTED_VALUE"""),"AURORA")</f>
        <v>AURORA</v>
      </c>
      <c r="I56" s="13" t="str">
        <f>IFERROR(__xludf.DUMMYFUNCTION("""COMPUTED_VALUE"""),"CO")</f>
        <v>CO</v>
      </c>
      <c r="J56" s="13" t="str">
        <f>IFERROR(__xludf.DUMMYFUNCTION("""COMPUTED_VALUE"""),"80014-1869")</f>
        <v>80014-1869</v>
      </c>
      <c r="K56" s="13" t="str">
        <f>IFERROR(__xludf.DUMMYFUNCTION("""COMPUTED_VALUE"""),"Arapahoe")</f>
        <v>Arapahoe</v>
      </c>
      <c r="L56" s="17" t="str">
        <f>IFERROR(__xludf.DUMMYFUNCTION("""COMPUTED_VALUE"""),"Y")</f>
        <v>Y</v>
      </c>
      <c r="M56" s="17"/>
      <c r="N56" s="17" t="str">
        <f>IFERROR(__xludf.DUMMYFUNCTION("""COMPUTED_VALUE"""),"Y")</f>
        <v>Y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>
      <c r="A57" s="13" t="str">
        <f>IFERROR(__xludf.DUMMYFUNCTION("""COMPUTED_VALUE"""),"0130")</f>
        <v>0130</v>
      </c>
      <c r="B57" s="13" t="str">
        <f>IFERROR(__xludf.DUMMYFUNCTION("""COMPUTED_VALUE"""),"CHERRY CREEK 5")</f>
        <v>CHERRY CREEK 5</v>
      </c>
      <c r="C57" s="13" t="str">
        <f>IFERROR(__xludf.DUMMYFUNCTION("""COMPUTED_VALUE"""),"04100")</f>
        <v>04100</v>
      </c>
      <c r="D57" s="13" t="str">
        <f>IFERROR(__xludf.DUMMYFUNCTION("""COMPUTED_VALUE"""),"HORIZON MIDDLE SCHOOL")</f>
        <v>HORIZON MIDDLE SCHOOL</v>
      </c>
      <c r="E57" s="13" t="str">
        <f>IFERROR(__xludf.DUMMYFUNCTION("""COMPUTED_VALUE"""),"Open")</f>
        <v>Open</v>
      </c>
      <c r="F57" s="13"/>
      <c r="G57" s="13" t="str">
        <f>IFERROR(__xludf.DUMMYFUNCTION("""COMPUTED_VALUE"""),"3981 S RESERVOIR RD")</f>
        <v>3981 S RESERVOIR RD</v>
      </c>
      <c r="H57" s="13" t="str">
        <f>IFERROR(__xludf.DUMMYFUNCTION("""COMPUTED_VALUE"""),"AURORA")</f>
        <v>AURORA</v>
      </c>
      <c r="I57" s="13" t="str">
        <f>IFERROR(__xludf.DUMMYFUNCTION("""COMPUTED_VALUE"""),"CO")</f>
        <v>CO</v>
      </c>
      <c r="J57" s="13" t="str">
        <f>IFERROR(__xludf.DUMMYFUNCTION("""COMPUTED_VALUE"""),"80013-3804")</f>
        <v>80013-3804</v>
      </c>
      <c r="K57" s="13" t="str">
        <f>IFERROR(__xludf.DUMMYFUNCTION("""COMPUTED_VALUE"""),"Arapahoe")</f>
        <v>Arapahoe</v>
      </c>
      <c r="L57" s="17" t="str">
        <f>IFERROR(__xludf.DUMMYFUNCTION("""COMPUTED_VALUE"""),"Y")</f>
        <v>Y</v>
      </c>
      <c r="M57" s="17"/>
      <c r="N57" s="17" t="str">
        <f>IFERROR(__xludf.DUMMYFUNCTION("""COMPUTED_VALUE"""),"Y")</f>
        <v>Y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>
      <c r="A58" s="13" t="str">
        <f>IFERROR(__xludf.DUMMYFUNCTION("""COMPUTED_VALUE"""),"0130")</f>
        <v>0130</v>
      </c>
      <c r="B58" s="13" t="str">
        <f>IFERROR(__xludf.DUMMYFUNCTION("""COMPUTED_VALUE"""),"CHERRY CREEK 5")</f>
        <v>CHERRY CREEK 5</v>
      </c>
      <c r="C58" s="13" t="str">
        <f>IFERROR(__xludf.DUMMYFUNCTION("""COMPUTED_VALUE"""),"04276")</f>
        <v>04276</v>
      </c>
      <c r="D58" s="13" t="str">
        <f>IFERROR(__xludf.DUMMYFUNCTION("""COMPUTED_VALUE"""),"INDEPENDENCE ELEMENTARY SCHOOL")</f>
        <v>INDEPENDENCE ELEMENTARY SCHOOL</v>
      </c>
      <c r="E58" s="13" t="str">
        <f>IFERROR(__xludf.DUMMYFUNCTION("""COMPUTED_VALUE"""),"Open")</f>
        <v>Open</v>
      </c>
      <c r="F58" s="13"/>
      <c r="G58" s="13" t="str">
        <f>IFERROR(__xludf.DUMMYFUNCTION("""COMPUTED_VALUE"""),"4700 S MEMPHIS ST")</f>
        <v>4700 S MEMPHIS ST</v>
      </c>
      <c r="H58" s="13" t="str">
        <f>IFERROR(__xludf.DUMMYFUNCTION("""COMPUTED_VALUE"""),"AURORA")</f>
        <v>AURORA</v>
      </c>
      <c r="I58" s="13" t="str">
        <f>IFERROR(__xludf.DUMMYFUNCTION("""COMPUTED_VALUE"""),"CO")</f>
        <v>CO</v>
      </c>
      <c r="J58" s="13" t="str">
        <f>IFERROR(__xludf.DUMMYFUNCTION("""COMPUTED_VALUE"""),"80015-1614")</f>
        <v>80015-1614</v>
      </c>
      <c r="K58" s="13" t="str">
        <f>IFERROR(__xludf.DUMMYFUNCTION("""COMPUTED_VALUE"""),"Arapahoe")</f>
        <v>Arapahoe</v>
      </c>
      <c r="L58" s="17" t="str">
        <f>IFERROR(__xludf.DUMMYFUNCTION("""COMPUTED_VALUE"""),"Y")</f>
        <v>Y</v>
      </c>
      <c r="M58" s="17"/>
      <c r="N58" s="17" t="str">
        <f>IFERROR(__xludf.DUMMYFUNCTION("""COMPUTED_VALUE"""),"Y")</f>
        <v>Y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>
      <c r="A59" s="13" t="str">
        <f>IFERROR(__xludf.DUMMYFUNCTION("""COMPUTED_VALUE"""),"0130")</f>
        <v>0130</v>
      </c>
      <c r="B59" s="13" t="str">
        <f>IFERROR(__xludf.DUMMYFUNCTION("""COMPUTED_VALUE"""),"CHERRY CREEK 5")</f>
        <v>CHERRY CREEK 5</v>
      </c>
      <c r="C59" s="13" t="str">
        <f>IFERROR(__xludf.DUMMYFUNCTION("""COMPUTED_VALUE"""),"05744")</f>
        <v>05744</v>
      </c>
      <c r="D59" s="13" t="str">
        <f>IFERROR(__xludf.DUMMYFUNCTION("""COMPUTED_VALUE"""),"MEADOW POINT ELEMENTARY SCHOOL")</f>
        <v>MEADOW POINT ELEMENTARY SCHOOL</v>
      </c>
      <c r="E59" s="13" t="str">
        <f>IFERROR(__xludf.DUMMYFUNCTION("""COMPUTED_VALUE"""),"Open")</f>
        <v>Open</v>
      </c>
      <c r="F59" s="13"/>
      <c r="G59" s="13" t="str">
        <f>IFERROR(__xludf.DUMMYFUNCTION("""COMPUTED_VALUE"""),"17901 E GRAND AVE")</f>
        <v>17901 E GRAND AVE</v>
      </c>
      <c r="H59" s="13" t="str">
        <f>IFERROR(__xludf.DUMMYFUNCTION("""COMPUTED_VALUE"""),"AURORA")</f>
        <v>AURORA</v>
      </c>
      <c r="I59" s="13" t="str">
        <f>IFERROR(__xludf.DUMMYFUNCTION("""COMPUTED_VALUE"""),"CO")</f>
        <v>CO</v>
      </c>
      <c r="J59" s="13" t="str">
        <f>IFERROR(__xludf.DUMMYFUNCTION("""COMPUTED_VALUE"""),"80015-2000")</f>
        <v>80015-2000</v>
      </c>
      <c r="K59" s="13" t="str">
        <f>IFERROR(__xludf.DUMMYFUNCTION("""COMPUTED_VALUE"""),"Arapahoe")</f>
        <v>Arapahoe</v>
      </c>
      <c r="L59" s="17" t="str">
        <f>IFERROR(__xludf.DUMMYFUNCTION("""COMPUTED_VALUE"""),"Y")</f>
        <v>Y</v>
      </c>
      <c r="M59" s="17"/>
      <c r="N59" s="17" t="str">
        <f>IFERROR(__xludf.DUMMYFUNCTION("""COMPUTED_VALUE"""),"Y")</f>
        <v>Y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>
      <c r="A60" s="13" t="str">
        <f>IFERROR(__xludf.DUMMYFUNCTION("""COMPUTED_VALUE"""),"0130")</f>
        <v>0130</v>
      </c>
      <c r="B60" s="13" t="str">
        <f>IFERROR(__xludf.DUMMYFUNCTION("""COMPUTED_VALUE"""),"CHERRY CREEK 5")</f>
        <v>CHERRY CREEK 5</v>
      </c>
      <c r="C60" s="13" t="str">
        <f>IFERROR(__xludf.DUMMYFUNCTION("""COMPUTED_VALUE"""),"06625")</f>
        <v>06625</v>
      </c>
      <c r="D60" s="13" t="str">
        <f>IFERROR(__xludf.DUMMYFUNCTION("""COMPUTED_VALUE"""),"OVERLAND HIGH SCHOOL")</f>
        <v>OVERLAND HIGH SCHOOL</v>
      </c>
      <c r="E60" s="13" t="str">
        <f>IFERROR(__xludf.DUMMYFUNCTION("""COMPUTED_VALUE"""),"Open")</f>
        <v>Open</v>
      </c>
      <c r="F60" s="13"/>
      <c r="G60" s="13" t="str">
        <f>IFERROR(__xludf.DUMMYFUNCTION("""COMPUTED_VALUE"""),"12400 E JEWELL AVE")</f>
        <v>12400 E JEWELL AVE</v>
      </c>
      <c r="H60" s="13" t="str">
        <f>IFERROR(__xludf.DUMMYFUNCTION("""COMPUTED_VALUE"""),"AURORA")</f>
        <v>AURORA</v>
      </c>
      <c r="I60" s="13" t="str">
        <f>IFERROR(__xludf.DUMMYFUNCTION("""COMPUTED_VALUE"""),"CO")</f>
        <v>CO</v>
      </c>
      <c r="J60" s="13" t="str">
        <f>IFERROR(__xludf.DUMMYFUNCTION("""COMPUTED_VALUE"""),"80012-5324")</f>
        <v>80012-5324</v>
      </c>
      <c r="K60" s="13" t="str">
        <f>IFERROR(__xludf.DUMMYFUNCTION("""COMPUTED_VALUE"""),"Arapahoe")</f>
        <v>Arapahoe</v>
      </c>
      <c r="L60" s="17" t="str">
        <f>IFERROR(__xludf.DUMMYFUNCTION("""COMPUTED_VALUE"""),"Y")</f>
        <v>Y</v>
      </c>
      <c r="M60" s="17"/>
      <c r="N60" s="17" t="str">
        <f>IFERROR(__xludf.DUMMYFUNCTION("""COMPUTED_VALUE"""),"Y")</f>
        <v>Y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>
      <c r="A61" s="13" t="str">
        <f>IFERROR(__xludf.DUMMYFUNCTION("""COMPUTED_VALUE"""),"0130")</f>
        <v>0130</v>
      </c>
      <c r="B61" s="13" t="str">
        <f>IFERROR(__xludf.DUMMYFUNCTION("""COMPUTED_VALUE"""),"CHERRY CREEK 5")</f>
        <v>CHERRY CREEK 5</v>
      </c>
      <c r="C61" s="13" t="str">
        <f>IFERROR(__xludf.DUMMYFUNCTION("""COMPUTED_VALUE"""),"07277")</f>
        <v>07277</v>
      </c>
      <c r="D61" s="13" t="str">
        <f>IFERROR(__xludf.DUMMYFUNCTION("""COMPUTED_VALUE"""),"RED HAWK RIDGE ELEMENTARY SCHOOL")</f>
        <v>RED HAWK RIDGE ELEMENTARY SCHOOL</v>
      </c>
      <c r="E61" s="13" t="str">
        <f>IFERROR(__xludf.DUMMYFUNCTION("""COMPUTED_VALUE"""),"Open")</f>
        <v>Open</v>
      </c>
      <c r="F61" s="13"/>
      <c r="G61" s="13" t="str">
        <f>IFERROR(__xludf.DUMMYFUNCTION("""COMPUTED_VALUE"""),"16251 E GEDDES AVE")</f>
        <v>16251 E GEDDES AVE</v>
      </c>
      <c r="H61" s="13" t="str">
        <f>IFERROR(__xludf.DUMMYFUNCTION("""COMPUTED_VALUE"""),"AURORA")</f>
        <v>AURORA</v>
      </c>
      <c r="I61" s="13" t="str">
        <f>IFERROR(__xludf.DUMMYFUNCTION("""COMPUTED_VALUE"""),"CO")</f>
        <v>CO</v>
      </c>
      <c r="J61" s="13" t="str">
        <f>IFERROR(__xludf.DUMMYFUNCTION("""COMPUTED_VALUE"""),"80016-1403")</f>
        <v>80016-1403</v>
      </c>
      <c r="K61" s="13" t="str">
        <f>IFERROR(__xludf.DUMMYFUNCTION("""COMPUTED_VALUE"""),"Arapahoe")</f>
        <v>Arapahoe</v>
      </c>
      <c r="L61" s="17" t="str">
        <f>IFERROR(__xludf.DUMMYFUNCTION("""COMPUTED_VALUE"""),"Y")</f>
        <v>Y</v>
      </c>
      <c r="M61" s="17"/>
      <c r="N61" s="17" t="str">
        <f>IFERROR(__xludf.DUMMYFUNCTION("""COMPUTED_VALUE"""),"Y")</f>
        <v>Y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>
      <c r="A62" s="13" t="str">
        <f>IFERROR(__xludf.DUMMYFUNCTION("""COMPUTED_VALUE"""),"0130")</f>
        <v>0130</v>
      </c>
      <c r="B62" s="13" t="str">
        <f>IFERROR(__xludf.DUMMYFUNCTION("""COMPUTED_VALUE"""),"CHERRY CREEK 5")</f>
        <v>CHERRY CREEK 5</v>
      </c>
      <c r="C62" s="13" t="str">
        <f>IFERROR(__xludf.DUMMYFUNCTION("""COMPUTED_VALUE"""),"07559")</f>
        <v>07559</v>
      </c>
      <c r="D62" s="13" t="str">
        <f>IFERROR(__xludf.DUMMYFUNCTION("""COMPUTED_VALUE"""),"SAGEBRUSH ELEMENTARY SCHOOL")</f>
        <v>SAGEBRUSH ELEMENTARY SCHOOL</v>
      </c>
      <c r="E62" s="13" t="str">
        <f>IFERROR(__xludf.DUMMYFUNCTION("""COMPUTED_VALUE"""),"Open")</f>
        <v>Open</v>
      </c>
      <c r="F62" s="13"/>
      <c r="G62" s="13" t="str">
        <f>IFERROR(__xludf.DUMMYFUNCTION("""COMPUTED_VALUE"""),"14700 E TEMPLE PL")</f>
        <v>14700 E TEMPLE PL</v>
      </c>
      <c r="H62" s="13" t="str">
        <f>IFERROR(__xludf.DUMMYFUNCTION("""COMPUTED_VALUE"""),"AURORA")</f>
        <v>AURORA</v>
      </c>
      <c r="I62" s="13" t="str">
        <f>IFERROR(__xludf.DUMMYFUNCTION("""COMPUTED_VALUE"""),"CO")</f>
        <v>CO</v>
      </c>
      <c r="J62" s="13" t="str">
        <f>IFERROR(__xludf.DUMMYFUNCTION("""COMPUTED_VALUE"""),"80015-1221")</f>
        <v>80015-1221</v>
      </c>
      <c r="K62" s="13" t="str">
        <f>IFERROR(__xludf.DUMMYFUNCTION("""COMPUTED_VALUE"""),"Arapahoe")</f>
        <v>Arapahoe</v>
      </c>
      <c r="L62" s="17" t="str">
        <f>IFERROR(__xludf.DUMMYFUNCTION("""COMPUTED_VALUE"""),"Y")</f>
        <v>Y</v>
      </c>
      <c r="M62" s="17"/>
      <c r="N62" s="17" t="str">
        <f>IFERROR(__xludf.DUMMYFUNCTION("""COMPUTED_VALUE"""),"Y")</f>
        <v>Y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>
      <c r="A63" s="13" t="str">
        <f>IFERROR(__xludf.DUMMYFUNCTION("""COMPUTED_VALUE"""),"0130")</f>
        <v>0130</v>
      </c>
      <c r="B63" s="13" t="str">
        <f>IFERROR(__xludf.DUMMYFUNCTION("""COMPUTED_VALUE"""),"CHERRY CREEK 5")</f>
        <v>CHERRY CREEK 5</v>
      </c>
      <c r="C63" s="13" t="str">
        <f>IFERROR(__xludf.DUMMYFUNCTION("""COMPUTED_VALUE"""),"09108")</f>
        <v>09108</v>
      </c>
      <c r="D63" s="13" t="str">
        <f>IFERROR(__xludf.DUMMYFUNCTION("""COMPUTED_VALUE"""),"VILLAGE EAST COMMUNITY ELEMENTARY SCHOOL")</f>
        <v>VILLAGE EAST COMMUNITY ELEMENTARY SCHOOL</v>
      </c>
      <c r="E63" s="13" t="str">
        <f>IFERROR(__xludf.DUMMYFUNCTION("""COMPUTED_VALUE"""),"Open")</f>
        <v>Open</v>
      </c>
      <c r="F63" s="13"/>
      <c r="G63" s="13" t="str">
        <f>IFERROR(__xludf.DUMMYFUNCTION("""COMPUTED_VALUE"""),"1433 S OAKLAND ST")</f>
        <v>1433 S OAKLAND ST</v>
      </c>
      <c r="H63" s="13" t="str">
        <f>IFERROR(__xludf.DUMMYFUNCTION("""COMPUTED_VALUE"""),"AURORA")</f>
        <v>AURORA</v>
      </c>
      <c r="I63" s="13" t="str">
        <f>IFERROR(__xludf.DUMMYFUNCTION("""COMPUTED_VALUE"""),"CO")</f>
        <v>CO</v>
      </c>
      <c r="J63" s="13" t="str">
        <f>IFERROR(__xludf.DUMMYFUNCTION("""COMPUTED_VALUE"""),"80012-4234")</f>
        <v>80012-4234</v>
      </c>
      <c r="K63" s="13" t="str">
        <f>IFERROR(__xludf.DUMMYFUNCTION("""COMPUTED_VALUE"""),"Arapahoe")</f>
        <v>Arapahoe</v>
      </c>
      <c r="L63" s="17"/>
      <c r="M63" s="17"/>
      <c r="N63" s="17" t="str">
        <f>IFERROR(__xludf.DUMMYFUNCTION("""COMPUTED_VALUE"""),"Y")</f>
        <v>Y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>
      <c r="A64" s="13" t="str">
        <f>IFERROR(__xludf.DUMMYFUNCTION("""COMPUTED_VALUE"""),"0130")</f>
        <v>0130</v>
      </c>
      <c r="B64" s="13" t="str">
        <f>IFERROR(__xludf.DUMMYFUNCTION("""COMPUTED_VALUE"""),"CHERRY CREEK 5")</f>
        <v>CHERRY CREEK 5</v>
      </c>
      <c r="C64" s="13" t="str">
        <f>IFERROR(__xludf.DUMMYFUNCTION("""COMPUTED_VALUE"""),"23471")</f>
        <v>23471</v>
      </c>
      <c r="D64" s="13" t="str">
        <f>IFERROR(__xludf.DUMMYFUNCTION("""COMPUTED_VALUE"""),"Holy Ridge Elementary School")</f>
        <v>Holy Ridge Elementary School</v>
      </c>
      <c r="E64" s="13" t="str">
        <f>IFERROR(__xludf.DUMMYFUNCTION("""COMPUTED_VALUE"""),"Open")</f>
        <v>Open</v>
      </c>
      <c r="F64" s="13"/>
      <c r="G64" s="13" t="str">
        <f>IFERROR(__xludf.DUMMYFUNCTION("""COMPUTED_VALUE"""),"3301 S MONACO PKWY")</f>
        <v>3301 S MONACO PKWY</v>
      </c>
      <c r="H64" s="13" t="str">
        <f>IFERROR(__xludf.DUMMYFUNCTION("""COMPUTED_VALUE"""),"DENVER")</f>
        <v>DENVER</v>
      </c>
      <c r="I64" s="13" t="str">
        <f>IFERROR(__xludf.DUMMYFUNCTION("""COMPUTED_VALUE"""),"CO")</f>
        <v>CO</v>
      </c>
      <c r="J64" s="13" t="str">
        <f>IFERROR(__xludf.DUMMYFUNCTION("""COMPUTED_VALUE"""),"80222-7645")</f>
        <v>80222-7645</v>
      </c>
      <c r="K64" s="13" t="str">
        <f>IFERROR(__xludf.DUMMYFUNCTION("""COMPUTED_VALUE"""),"Arapahoe")</f>
        <v>Arapahoe</v>
      </c>
      <c r="L64" s="17" t="str">
        <f>IFERROR(__xludf.DUMMYFUNCTION("""COMPUTED_VALUE"""),"Y")</f>
        <v>Y</v>
      </c>
      <c r="M64" s="17"/>
      <c r="N64" s="17" t="str">
        <f>IFERROR(__xludf.DUMMYFUNCTION("""COMPUTED_VALUE"""),"Y")</f>
        <v>Y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>
      <c r="A65" s="13" t="str">
        <f>IFERROR(__xludf.DUMMYFUNCTION("""COMPUTED_VALUE"""),"0180")</f>
        <v>0180</v>
      </c>
      <c r="B65" s="13" t="str">
        <f>IFERROR(__xludf.DUMMYFUNCTION("""COMPUTED_VALUE"""),"ADAMS-ARAPAHOE 28J")</f>
        <v>ADAMS-ARAPAHOE 28J</v>
      </c>
      <c r="C65" s="13" t="str">
        <f>IFERROR(__xludf.DUMMYFUNCTION("""COMPUTED_VALUE"""),"00103")</f>
        <v>00103</v>
      </c>
      <c r="D65" s="13" t="str">
        <f>IFERROR(__xludf.DUMMYFUNCTION("""COMPUTED_VALUE"""),"Aurora Highlands P8")</f>
        <v>Aurora Highlands P8</v>
      </c>
      <c r="E65" s="13" t="str">
        <f>IFERROR(__xludf.DUMMYFUNCTION("""COMPUTED_VALUE"""),"Open")</f>
        <v>Open</v>
      </c>
      <c r="F65" s="13" t="str">
        <f>IFERROR(__xludf.DUMMYFUNCTION("""COMPUTED_VALUE"""),"Non-congregate")</f>
        <v>Non-congregate</v>
      </c>
      <c r="G65" s="13" t="str">
        <f>IFERROR(__xludf.DUMMYFUNCTION("""COMPUTED_VALUE"""),"24405 E 42nd Avenue")</f>
        <v>24405 E 42nd Avenue</v>
      </c>
      <c r="H65" s="13" t="str">
        <f>IFERROR(__xludf.DUMMYFUNCTION("""COMPUTED_VALUE"""),"AURORA")</f>
        <v>AURORA</v>
      </c>
      <c r="I65" s="13" t="str">
        <f>IFERROR(__xludf.DUMMYFUNCTION("""COMPUTED_VALUE"""),"CO")</f>
        <v>CO</v>
      </c>
      <c r="J65" s="13">
        <f>IFERROR(__xludf.DUMMYFUNCTION("""COMPUTED_VALUE"""),80019.0)</f>
        <v>80019</v>
      </c>
      <c r="K65" s="13" t="str">
        <f>IFERROR(__xludf.DUMMYFUNCTION("""COMPUTED_VALUE"""),"Adams")</f>
        <v>Adams</v>
      </c>
      <c r="L65" s="17" t="str">
        <f>IFERROR(__xludf.DUMMYFUNCTION("""COMPUTED_VALUE"""),"Y")</f>
        <v>Y</v>
      </c>
      <c r="M65" s="17"/>
      <c r="N65" s="17" t="str">
        <f>IFERROR(__xludf.DUMMYFUNCTION("""COMPUTED_VALUE"""),"Y")</f>
        <v>Y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>
      <c r="A66" s="13" t="str">
        <f>IFERROR(__xludf.DUMMYFUNCTION("""COMPUTED_VALUE"""),"0180")</f>
        <v>0180</v>
      </c>
      <c r="B66" s="13" t="str">
        <f>IFERROR(__xludf.DUMMYFUNCTION("""COMPUTED_VALUE"""),"ADAMS-ARAPAHOE 28J")</f>
        <v>ADAMS-ARAPAHOE 28J</v>
      </c>
      <c r="C66" s="13" t="str">
        <f>IFERROR(__xludf.DUMMYFUNCTION("""COMPUTED_VALUE"""),"00127")</f>
        <v>00127</v>
      </c>
      <c r="D66" s="13" t="str">
        <f>IFERROR(__xludf.DUMMYFUNCTION("""COMPUTED_VALUE"""),"AURORA SCIENCE &amp; TECHNOLOGY MIDDLE SCHOOL")</f>
        <v>AURORA SCIENCE &amp; TECHNOLOGY MIDDLE SCHOOL</v>
      </c>
      <c r="E66" s="13" t="str">
        <f>IFERROR(__xludf.DUMMYFUNCTION("""COMPUTED_VALUE"""),"Closed - Enrolled")</f>
        <v>Closed - Enrolled</v>
      </c>
      <c r="F66" s="13"/>
      <c r="G66" s="13" t="str">
        <f>IFERROR(__xludf.DUMMYFUNCTION("""COMPUTED_VALUE"""),"2540 N SCRANTON CT")</f>
        <v>2540 N SCRANTON CT</v>
      </c>
      <c r="H66" s="13" t="str">
        <f>IFERROR(__xludf.DUMMYFUNCTION("""COMPUTED_VALUE"""),"AURORA")</f>
        <v>AURORA</v>
      </c>
      <c r="I66" s="13" t="str">
        <f>IFERROR(__xludf.DUMMYFUNCTION("""COMPUTED_VALUE"""),"CO")</f>
        <v>CO</v>
      </c>
      <c r="J66" s="13" t="str">
        <f>IFERROR(__xludf.DUMMYFUNCTION("""COMPUTED_VALUE"""),"80045-7127")</f>
        <v>80045-7127</v>
      </c>
      <c r="K66" s="13" t="str">
        <f>IFERROR(__xludf.DUMMYFUNCTION("""COMPUTED_VALUE"""),"Adams")</f>
        <v>Adams</v>
      </c>
      <c r="L66" s="17" t="str">
        <f>IFERROR(__xludf.DUMMYFUNCTION("""COMPUTED_VALUE"""),"Y")</f>
        <v>Y</v>
      </c>
      <c r="M66" s="17"/>
      <c r="N66" s="17" t="str">
        <f>IFERROR(__xludf.DUMMYFUNCTION("""COMPUTED_VALUE"""),"Y")</f>
        <v>Y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>
      <c r="A67" s="13" t="str">
        <f>IFERROR(__xludf.DUMMYFUNCTION("""COMPUTED_VALUE"""),"0180")</f>
        <v>0180</v>
      </c>
      <c r="B67" s="13" t="str">
        <f>IFERROR(__xludf.DUMMYFUNCTION("""COMPUTED_VALUE"""),"ADAMS-ARAPAHOE 28J")</f>
        <v>ADAMS-ARAPAHOE 28J</v>
      </c>
      <c r="C67" s="13" t="str">
        <f>IFERROR(__xludf.DUMMYFUNCTION("""COMPUTED_VALUE"""),"00464")</f>
        <v>00464</v>
      </c>
      <c r="D67" s="13" t="str">
        <f>IFERROR(__xludf.DUMMYFUNCTION("""COMPUTED_VALUE"""),"AURORA HILLS MIDDLE SCHOOL")</f>
        <v>AURORA HILLS MIDDLE SCHOOL</v>
      </c>
      <c r="E67" s="13" t="str">
        <f>IFERROR(__xludf.DUMMYFUNCTION("""COMPUTED_VALUE"""),"Open")</f>
        <v>Open</v>
      </c>
      <c r="F67" s="13"/>
      <c r="G67" s="13" t="str">
        <f>IFERROR(__xludf.DUMMYFUNCTION("""COMPUTED_VALUE"""),"1009 S UVALDA ST")</f>
        <v>1009 S UVALDA ST</v>
      </c>
      <c r="H67" s="13" t="str">
        <f>IFERROR(__xludf.DUMMYFUNCTION("""COMPUTED_VALUE"""),"AURORA")</f>
        <v>AURORA</v>
      </c>
      <c r="I67" s="13" t="str">
        <f>IFERROR(__xludf.DUMMYFUNCTION("""COMPUTED_VALUE"""),"CO")</f>
        <v>CO</v>
      </c>
      <c r="J67" s="13" t="str">
        <f>IFERROR(__xludf.DUMMYFUNCTION("""COMPUTED_VALUE"""),"80012-3407")</f>
        <v>80012-3407</v>
      </c>
      <c r="K67" s="13" t="str">
        <f>IFERROR(__xludf.DUMMYFUNCTION("""COMPUTED_VALUE"""),"Arapahoe")</f>
        <v>Arapahoe</v>
      </c>
      <c r="L67" s="17" t="str">
        <f>IFERROR(__xludf.DUMMYFUNCTION("""COMPUTED_VALUE"""),"Y")</f>
        <v>Y</v>
      </c>
      <c r="M67" s="17"/>
      <c r="N67" s="17" t="str">
        <f>IFERROR(__xludf.DUMMYFUNCTION("""COMPUTED_VALUE"""),"Y")</f>
        <v>Y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>
      <c r="A68" s="13" t="str">
        <f>IFERROR(__xludf.DUMMYFUNCTION("""COMPUTED_VALUE"""),"0180")</f>
        <v>0180</v>
      </c>
      <c r="B68" s="13" t="str">
        <f>IFERROR(__xludf.DUMMYFUNCTION("""COMPUTED_VALUE"""),"ADAMS-ARAPAHOE 28J")</f>
        <v>ADAMS-ARAPAHOE 28J</v>
      </c>
      <c r="C68" s="13" t="str">
        <f>IFERROR(__xludf.DUMMYFUNCTION("""COMPUTED_VALUE"""),"00465")</f>
        <v>00465</v>
      </c>
      <c r="D68" s="13" t="str">
        <f>IFERROR(__xludf.DUMMYFUNCTION("""COMPUTED_VALUE"""),"AURORA FRONTIER K-8")</f>
        <v>AURORA FRONTIER K-8</v>
      </c>
      <c r="E68" s="13" t="str">
        <f>IFERROR(__xludf.DUMMYFUNCTION("""COMPUTED_VALUE"""),"Open")</f>
        <v>Open</v>
      </c>
      <c r="F68" s="13"/>
      <c r="G68" s="13" t="str">
        <f>IFERROR(__xludf.DUMMYFUNCTION("""COMPUTED_VALUE"""),"3200 S JERICHO WAY")</f>
        <v>3200 S JERICHO WAY</v>
      </c>
      <c r="H68" s="13" t="str">
        <f>IFERROR(__xludf.DUMMYFUNCTION("""COMPUTED_VALUE"""),"AURORA")</f>
        <v>AURORA</v>
      </c>
      <c r="I68" s="13" t="str">
        <f>IFERROR(__xludf.DUMMYFUNCTION("""COMPUTED_VALUE"""),"CO")</f>
        <v>CO</v>
      </c>
      <c r="J68" s="13" t="str">
        <f>IFERROR(__xludf.DUMMYFUNCTION("""COMPUTED_VALUE"""),"80013-9100")</f>
        <v>80013-9100</v>
      </c>
      <c r="K68" s="13" t="str">
        <f>IFERROR(__xludf.DUMMYFUNCTION("""COMPUTED_VALUE"""),"Arapahoe")</f>
        <v>Arapahoe</v>
      </c>
      <c r="L68" s="17" t="str">
        <f>IFERROR(__xludf.DUMMYFUNCTION("""COMPUTED_VALUE"""),"Y")</f>
        <v>Y</v>
      </c>
      <c r="M68" s="17"/>
      <c r="N68" s="17" t="str">
        <f>IFERROR(__xludf.DUMMYFUNCTION("""COMPUTED_VALUE"""),"Y")</f>
        <v>Y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>
      <c r="A69" s="13" t="str">
        <f>IFERROR(__xludf.DUMMYFUNCTION("""COMPUTED_VALUE"""),"0180")</f>
        <v>0180</v>
      </c>
      <c r="B69" s="13" t="str">
        <f>IFERROR(__xludf.DUMMYFUNCTION("""COMPUTED_VALUE"""),"ADAMS-ARAPAHOE 28J")</f>
        <v>ADAMS-ARAPAHOE 28J</v>
      </c>
      <c r="C69" s="13" t="str">
        <f>IFERROR(__xludf.DUMMYFUNCTION("""COMPUTED_VALUE"""),"01458")</f>
        <v>01458</v>
      </c>
      <c r="D69" s="13" t="str">
        <f>IFERROR(__xludf.DUMMYFUNCTION("""COMPUTED_VALUE"""),"AURORA CENTRAL CAMPUS")</f>
        <v>AURORA CENTRAL CAMPUS</v>
      </c>
      <c r="E69" s="13" t="str">
        <f>IFERROR(__xludf.DUMMYFUNCTION("""COMPUTED_VALUE"""),"Open")</f>
        <v>Open</v>
      </c>
      <c r="F69" s="13"/>
      <c r="G69" s="13" t="str">
        <f>IFERROR(__xludf.DUMMYFUNCTION("""COMPUTED_VALUE"""),"11700 E 11TH AVE")</f>
        <v>11700 E 11TH AVE</v>
      </c>
      <c r="H69" s="13" t="str">
        <f>IFERROR(__xludf.DUMMYFUNCTION("""COMPUTED_VALUE"""),"AURORA")</f>
        <v>AURORA</v>
      </c>
      <c r="I69" s="13" t="str">
        <f>IFERROR(__xludf.DUMMYFUNCTION("""COMPUTED_VALUE"""),"CO")</f>
        <v>CO</v>
      </c>
      <c r="J69" s="13" t="str">
        <f>IFERROR(__xludf.DUMMYFUNCTION("""COMPUTED_VALUE"""),"80010-3758")</f>
        <v>80010-3758</v>
      </c>
      <c r="K69" s="13" t="str">
        <f>IFERROR(__xludf.DUMMYFUNCTION("""COMPUTED_VALUE"""),"Arapahoe")</f>
        <v>Arapahoe</v>
      </c>
      <c r="L69" s="17" t="str">
        <f>IFERROR(__xludf.DUMMYFUNCTION("""COMPUTED_VALUE"""),"Y")</f>
        <v>Y</v>
      </c>
      <c r="M69" s="17"/>
      <c r="N69" s="17" t="str">
        <f>IFERROR(__xludf.DUMMYFUNCTION("""COMPUTED_VALUE"""),"Y")</f>
        <v>Y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>
      <c r="A70" s="13" t="str">
        <f>IFERROR(__xludf.DUMMYFUNCTION("""COMPUTED_VALUE"""),"0180")</f>
        <v>0180</v>
      </c>
      <c r="B70" s="13" t="str">
        <f>IFERROR(__xludf.DUMMYFUNCTION("""COMPUTED_VALUE"""),"ADAMS-ARAPAHOE 28J")</f>
        <v>ADAMS-ARAPAHOE 28J</v>
      </c>
      <c r="C70" s="13" t="str">
        <f>IFERROR(__xludf.DUMMYFUNCTION("""COMPUTED_VALUE"""),"01720")</f>
        <v>01720</v>
      </c>
      <c r="D70" s="13" t="str">
        <f>IFERROR(__xludf.DUMMYFUNCTION("""COMPUTED_VALUE"""),"CLYDE MILLER K-8")</f>
        <v>CLYDE MILLER K-8</v>
      </c>
      <c r="E70" s="13" t="str">
        <f>IFERROR(__xludf.DUMMYFUNCTION("""COMPUTED_VALUE"""),"Open")</f>
        <v>Open</v>
      </c>
      <c r="F70" s="13"/>
      <c r="G70" s="13" t="str">
        <f>IFERROR(__xludf.DUMMYFUNCTION("""COMPUTED_VALUE"""),"1701 ESPANA ST")</f>
        <v>1701 ESPANA ST</v>
      </c>
      <c r="H70" s="13" t="str">
        <f>IFERROR(__xludf.DUMMYFUNCTION("""COMPUTED_VALUE"""),"AURORA")</f>
        <v>AURORA</v>
      </c>
      <c r="I70" s="13" t="str">
        <f>IFERROR(__xludf.DUMMYFUNCTION("""COMPUTED_VALUE"""),"CO")</f>
        <v>CO</v>
      </c>
      <c r="J70" s="13" t="str">
        <f>IFERROR(__xludf.DUMMYFUNCTION("""COMPUTED_VALUE"""),"80011-5348")</f>
        <v>80011-5348</v>
      </c>
      <c r="K70" s="13" t="str">
        <f>IFERROR(__xludf.DUMMYFUNCTION("""COMPUTED_VALUE"""),"Adams")</f>
        <v>Adams</v>
      </c>
      <c r="L70" s="17" t="str">
        <f>IFERROR(__xludf.DUMMYFUNCTION("""COMPUTED_VALUE"""),"Y")</f>
        <v>Y</v>
      </c>
      <c r="M70" s="17"/>
      <c r="N70" s="17" t="str">
        <f>IFERROR(__xludf.DUMMYFUNCTION("""COMPUTED_VALUE"""),"Y")</f>
        <v>Y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>
      <c r="A71" s="13" t="str">
        <f>IFERROR(__xludf.DUMMYFUNCTION("""COMPUTED_VALUE"""),"0180")</f>
        <v>0180</v>
      </c>
      <c r="B71" s="13" t="str">
        <f>IFERROR(__xludf.DUMMYFUNCTION("""COMPUTED_VALUE"""),"ADAMS-ARAPAHOE 28J")</f>
        <v>ADAMS-ARAPAHOE 28J</v>
      </c>
      <c r="C71" s="13" t="str">
        <f>IFERROR(__xludf.DUMMYFUNCTION("""COMPUTED_VALUE"""),"01851")</f>
        <v>01851</v>
      </c>
      <c r="D71" s="13" t="str">
        <f>IFERROR(__xludf.DUMMYFUNCTION("""COMPUTED_VALUE"""),"Harmony Ridge P-8")</f>
        <v>Harmony Ridge P-8</v>
      </c>
      <c r="E71" s="13" t="str">
        <f>IFERROR(__xludf.DUMMYFUNCTION("""COMPUTED_VALUE"""),"Open")</f>
        <v>Open</v>
      </c>
      <c r="F71" s="13" t="str">
        <f>IFERROR(__xludf.DUMMYFUNCTION("""COMPUTED_VALUE"""),"Non-congregate")</f>
        <v>Non-congregate</v>
      </c>
      <c r="G71" s="13" t="str">
        <f>IFERROR(__xludf.DUMMYFUNCTION("""COMPUTED_VALUE"""),"52 N ROBERTSDALE ST")</f>
        <v>52 N ROBERTSDALE ST</v>
      </c>
      <c r="H71" s="13" t="str">
        <f>IFERROR(__xludf.DUMMYFUNCTION("""COMPUTED_VALUE"""),"AURORA")</f>
        <v>AURORA</v>
      </c>
      <c r="I71" s="13" t="str">
        <f>IFERROR(__xludf.DUMMYFUNCTION("""COMPUTED_VALUE"""),"CO")</f>
        <v>CO</v>
      </c>
      <c r="J71" s="13" t="str">
        <f>IFERROR(__xludf.DUMMYFUNCTION("""COMPUTED_VALUE"""),"80018-1899")</f>
        <v>80018-1899</v>
      </c>
      <c r="K71" s="13" t="str">
        <f>IFERROR(__xludf.DUMMYFUNCTION("""COMPUTED_VALUE"""),"Arapahoe")</f>
        <v>Arapahoe</v>
      </c>
      <c r="L71" s="17" t="str">
        <f>IFERROR(__xludf.DUMMYFUNCTION("""COMPUTED_VALUE"""),"Y")</f>
        <v>Y</v>
      </c>
      <c r="M71" s="17"/>
      <c r="N71" s="17" t="str">
        <f>IFERROR(__xludf.DUMMYFUNCTION("""COMPUTED_VALUE"""),"Y")</f>
        <v>Y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>
      <c r="A72" s="13" t="str">
        <f>IFERROR(__xludf.DUMMYFUNCTION("""COMPUTED_VALUE"""),"0180")</f>
        <v>0180</v>
      </c>
      <c r="B72" s="13" t="str">
        <f>IFERROR(__xludf.DUMMYFUNCTION("""COMPUTED_VALUE"""),"ADAMS-ARAPAHOE 28J")</f>
        <v>ADAMS-ARAPAHOE 28J</v>
      </c>
      <c r="C72" s="13" t="str">
        <f>IFERROR(__xludf.DUMMYFUNCTION("""COMPUTED_VALUE"""),"02114")</f>
        <v>02114</v>
      </c>
      <c r="D72" s="13" t="str">
        <f>IFERROR(__xludf.DUMMYFUNCTION("""COMPUTED_VALUE"""),"DARTMOUTH ELEMENTARY SCHOOL")</f>
        <v>DARTMOUTH ELEMENTARY SCHOOL</v>
      </c>
      <c r="E72" s="13" t="str">
        <f>IFERROR(__xludf.DUMMYFUNCTION("""COMPUTED_VALUE"""),"Closed - Enrolled")</f>
        <v>Closed - Enrolled</v>
      </c>
      <c r="F72" s="13"/>
      <c r="G72" s="13" t="str">
        <f>IFERROR(__xludf.DUMMYFUNCTION("""COMPUTED_VALUE"""),"3050 S LAREDO ST")</f>
        <v>3050 S LAREDO ST</v>
      </c>
      <c r="H72" s="13" t="str">
        <f>IFERROR(__xludf.DUMMYFUNCTION("""COMPUTED_VALUE"""),"AURORA")</f>
        <v>AURORA</v>
      </c>
      <c r="I72" s="13" t="str">
        <f>IFERROR(__xludf.DUMMYFUNCTION("""COMPUTED_VALUE"""),"CO")</f>
        <v>CO</v>
      </c>
      <c r="J72" s="13" t="str">
        <f>IFERROR(__xludf.DUMMYFUNCTION("""COMPUTED_VALUE"""),"80013-1867")</f>
        <v>80013-1867</v>
      </c>
      <c r="K72" s="13" t="str">
        <f>IFERROR(__xludf.DUMMYFUNCTION("""COMPUTED_VALUE"""),"Arapahoe")</f>
        <v>Arapahoe</v>
      </c>
      <c r="L72" s="17" t="str">
        <f>IFERROR(__xludf.DUMMYFUNCTION("""COMPUTED_VALUE"""),"Y")</f>
        <v>Y</v>
      </c>
      <c r="M72" s="17"/>
      <c r="N72" s="17" t="str">
        <f>IFERROR(__xludf.DUMMYFUNCTION("""COMPUTED_VALUE"""),"Y")</f>
        <v>Y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>
      <c r="A73" s="13" t="str">
        <f>IFERROR(__xludf.DUMMYFUNCTION("""COMPUTED_VALUE"""),"0180")</f>
        <v>0180</v>
      </c>
      <c r="B73" s="13" t="str">
        <f>IFERROR(__xludf.DUMMYFUNCTION("""COMPUTED_VALUE"""),"ADAMS-ARAPAHOE 28J")</f>
        <v>ADAMS-ARAPAHOE 28J</v>
      </c>
      <c r="C73" s="13" t="str">
        <f>IFERROR(__xludf.DUMMYFUNCTION("""COMPUTED_VALUE"""),"02618")</f>
        <v>02618</v>
      </c>
      <c r="D73" s="13" t="str">
        <f>IFERROR(__xludf.DUMMYFUNCTION("""COMPUTED_VALUE"""),"ELKHART ELEMENTARY SCHOOL")</f>
        <v>ELKHART ELEMENTARY SCHOOL</v>
      </c>
      <c r="E73" s="13" t="str">
        <f>IFERROR(__xludf.DUMMYFUNCTION("""COMPUTED_VALUE"""),"Open")</f>
        <v>Open</v>
      </c>
      <c r="F73" s="13"/>
      <c r="G73" s="13" t="str">
        <f>IFERROR(__xludf.DUMMYFUNCTION("""COMPUTED_VALUE"""),"1020 EAGLE ST")</f>
        <v>1020 EAGLE ST</v>
      </c>
      <c r="H73" s="13" t="str">
        <f>IFERROR(__xludf.DUMMYFUNCTION("""COMPUTED_VALUE"""),"AURORA")</f>
        <v>AURORA</v>
      </c>
      <c r="I73" s="13" t="str">
        <f>IFERROR(__xludf.DUMMYFUNCTION("""COMPUTED_VALUE"""),"CO")</f>
        <v>CO</v>
      </c>
      <c r="J73" s="13" t="str">
        <f>IFERROR(__xludf.DUMMYFUNCTION("""COMPUTED_VALUE"""),"80011-6902")</f>
        <v>80011-6902</v>
      </c>
      <c r="K73" s="13" t="str">
        <f>IFERROR(__xludf.DUMMYFUNCTION("""COMPUTED_VALUE"""),"Arapahoe")</f>
        <v>Arapahoe</v>
      </c>
      <c r="L73" s="17" t="str">
        <f>IFERROR(__xludf.DUMMYFUNCTION("""COMPUTED_VALUE"""),"Y")</f>
        <v>Y</v>
      </c>
      <c r="M73" s="17"/>
      <c r="N73" s="17" t="str">
        <f>IFERROR(__xludf.DUMMYFUNCTION("""COMPUTED_VALUE"""),"Y")</f>
        <v>Y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>
      <c r="A74" s="13" t="str">
        <f>IFERROR(__xludf.DUMMYFUNCTION("""COMPUTED_VALUE"""),"0180")</f>
        <v>0180</v>
      </c>
      <c r="B74" s="13" t="str">
        <f>IFERROR(__xludf.DUMMYFUNCTION("""COMPUTED_VALUE"""),"ADAMS-ARAPAHOE 28J")</f>
        <v>ADAMS-ARAPAHOE 28J</v>
      </c>
      <c r="C74" s="13" t="str">
        <f>IFERROR(__xludf.DUMMYFUNCTION("""COMPUTED_VALUE"""),"02673")</f>
        <v>02673</v>
      </c>
      <c r="D74" s="13" t="str">
        <f>IFERROR(__xludf.DUMMYFUNCTION("""COMPUTED_VALUE"""),"EDNA AND JOHN W. MOSLEY P-8")</f>
        <v>EDNA AND JOHN W. MOSLEY P-8</v>
      </c>
      <c r="E74" s="13" t="str">
        <f>IFERROR(__xludf.DUMMYFUNCTION("""COMPUTED_VALUE"""),"Open")</f>
        <v>Open</v>
      </c>
      <c r="F74" s="13"/>
      <c r="G74" s="13" t="str">
        <f>IFERROR(__xludf.DUMMYFUNCTION("""COMPUTED_VALUE"""),"55 N SALIDA WAY")</f>
        <v>55 N SALIDA WAY</v>
      </c>
      <c r="H74" s="13" t="str">
        <f>IFERROR(__xludf.DUMMYFUNCTION("""COMPUTED_VALUE"""),"AURORA")</f>
        <v>AURORA</v>
      </c>
      <c r="I74" s="13" t="str">
        <f>IFERROR(__xludf.DUMMYFUNCTION("""COMPUTED_VALUE"""),"CO")</f>
        <v>CO</v>
      </c>
      <c r="J74" s="13" t="str">
        <f>IFERROR(__xludf.DUMMYFUNCTION("""COMPUTED_VALUE"""),"80011-7835")</f>
        <v>80011-7835</v>
      </c>
      <c r="K74" s="13" t="str">
        <f>IFERROR(__xludf.DUMMYFUNCTION("""COMPUTED_VALUE"""),"Arapahoe")</f>
        <v>Arapahoe</v>
      </c>
      <c r="L74" s="17" t="str">
        <f>IFERROR(__xludf.DUMMYFUNCTION("""COMPUTED_VALUE"""),"Y")</f>
        <v>Y</v>
      </c>
      <c r="M74" s="17"/>
      <c r="N74" s="17" t="str">
        <f>IFERROR(__xludf.DUMMYFUNCTION("""COMPUTED_VALUE"""),"Y")</f>
        <v>Y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>
      <c r="A75" s="13" t="str">
        <f>IFERROR(__xludf.DUMMYFUNCTION("""COMPUTED_VALUE"""),"0180")</f>
        <v>0180</v>
      </c>
      <c r="B75" s="13" t="str">
        <f>IFERROR(__xludf.DUMMYFUNCTION("""COMPUTED_VALUE"""),"ADAMS-ARAPAHOE 28J")</f>
        <v>ADAMS-ARAPAHOE 28J</v>
      </c>
      <c r="C75" s="13" t="str">
        <f>IFERROR(__xludf.DUMMYFUNCTION("""COMPUTED_VALUE"""),"03354")</f>
        <v>03354</v>
      </c>
      <c r="D75" s="13" t="str">
        <f>IFERROR(__xludf.DUMMYFUNCTION("""COMPUTED_VALUE"""),"GATEWAY HIGH SCHOOL")</f>
        <v>GATEWAY HIGH SCHOOL</v>
      </c>
      <c r="E75" s="13" t="str">
        <f>IFERROR(__xludf.DUMMYFUNCTION("""COMPUTED_VALUE"""),"Open")</f>
        <v>Open</v>
      </c>
      <c r="F75" s="13"/>
      <c r="G75" s="13" t="str">
        <f>IFERROR(__xludf.DUMMYFUNCTION("""COMPUTED_VALUE"""),"1300 S SABLE BLVD")</f>
        <v>1300 S SABLE BLVD</v>
      </c>
      <c r="H75" s="13" t="str">
        <f>IFERROR(__xludf.DUMMYFUNCTION("""COMPUTED_VALUE"""),"AURORA")</f>
        <v>AURORA</v>
      </c>
      <c r="I75" s="13" t="str">
        <f>IFERROR(__xludf.DUMMYFUNCTION("""COMPUTED_VALUE"""),"CO")</f>
        <v>CO</v>
      </c>
      <c r="J75" s="13" t="str">
        <f>IFERROR(__xludf.DUMMYFUNCTION("""COMPUTED_VALUE"""),"80012-4631")</f>
        <v>80012-4631</v>
      </c>
      <c r="K75" s="13" t="str">
        <f>IFERROR(__xludf.DUMMYFUNCTION("""COMPUTED_VALUE"""),"Arapahoe")</f>
        <v>Arapahoe</v>
      </c>
      <c r="L75" s="17" t="str">
        <f>IFERROR(__xludf.DUMMYFUNCTION("""COMPUTED_VALUE"""),"Y")</f>
        <v>Y</v>
      </c>
      <c r="M75" s="17"/>
      <c r="N75" s="17" t="str">
        <f>IFERROR(__xludf.DUMMYFUNCTION("""COMPUTED_VALUE"""),"Y")</f>
        <v>Y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>
      <c r="A76" s="13" t="str">
        <f>IFERROR(__xludf.DUMMYFUNCTION("""COMPUTED_VALUE"""),"0180")</f>
        <v>0180</v>
      </c>
      <c r="B76" s="13" t="str">
        <f>IFERROR(__xludf.DUMMYFUNCTION("""COMPUTED_VALUE"""),"ADAMS-ARAPAHOE 28J")</f>
        <v>ADAMS-ARAPAHOE 28J</v>
      </c>
      <c r="C76" s="13" t="str">
        <f>IFERROR(__xludf.DUMMYFUNCTION("""COMPUTED_VALUE"""),"04024")</f>
        <v>04024</v>
      </c>
      <c r="D76" s="13" t="str">
        <f>IFERROR(__xludf.DUMMYFUNCTION("""COMPUTED_VALUE"""),"HINKLEY HIGH SCHOOL")</f>
        <v>HINKLEY HIGH SCHOOL</v>
      </c>
      <c r="E76" s="13" t="str">
        <f>IFERROR(__xludf.DUMMYFUNCTION("""COMPUTED_VALUE"""),"Open")</f>
        <v>Open</v>
      </c>
      <c r="F76" s="13"/>
      <c r="G76" s="13" t="str">
        <f>IFERROR(__xludf.DUMMYFUNCTION("""COMPUTED_VALUE"""),"1250 CHAMBERS RD")</f>
        <v>1250 CHAMBERS RD</v>
      </c>
      <c r="H76" s="13" t="str">
        <f>IFERROR(__xludf.DUMMYFUNCTION("""COMPUTED_VALUE"""),"AURORA")</f>
        <v>AURORA</v>
      </c>
      <c r="I76" s="13" t="str">
        <f>IFERROR(__xludf.DUMMYFUNCTION("""COMPUTED_VALUE"""),"CO")</f>
        <v>CO</v>
      </c>
      <c r="J76" s="13" t="str">
        <f>IFERROR(__xludf.DUMMYFUNCTION("""COMPUTED_VALUE"""),"80011-7117")</f>
        <v>80011-7117</v>
      </c>
      <c r="K76" s="13" t="str">
        <f>IFERROR(__xludf.DUMMYFUNCTION("""COMPUTED_VALUE"""),"Arapahoe")</f>
        <v>Arapahoe</v>
      </c>
      <c r="L76" s="17" t="str">
        <f>IFERROR(__xludf.DUMMYFUNCTION("""COMPUTED_VALUE"""),"Y")</f>
        <v>Y</v>
      </c>
      <c r="M76" s="17"/>
      <c r="N76" s="17" t="str">
        <f>IFERROR(__xludf.DUMMYFUNCTION("""COMPUTED_VALUE"""),"Y")</f>
        <v>Y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>
      <c r="A77" s="13" t="str">
        <f>IFERROR(__xludf.DUMMYFUNCTION("""COMPUTED_VALUE"""),"0180")</f>
        <v>0180</v>
      </c>
      <c r="B77" s="13" t="str">
        <f>IFERROR(__xludf.DUMMYFUNCTION("""COMPUTED_VALUE"""),"ADAMS-ARAPAHOE 28J")</f>
        <v>ADAMS-ARAPAHOE 28J</v>
      </c>
      <c r="C77" s="13" t="str">
        <f>IFERROR(__xludf.DUMMYFUNCTION("""COMPUTED_VALUE"""),"04270")</f>
        <v>04270</v>
      </c>
      <c r="D77" s="13" t="str">
        <f>IFERROR(__xludf.DUMMYFUNCTION("""COMPUTED_VALUE"""),"IOWA ELEMENTARY SCHOOL")</f>
        <v>IOWA ELEMENTARY SCHOOL</v>
      </c>
      <c r="E77" s="13" t="str">
        <f>IFERROR(__xludf.DUMMYFUNCTION("""COMPUTED_VALUE"""),"Open")</f>
        <v>Open</v>
      </c>
      <c r="F77" s="13"/>
      <c r="G77" s="13" t="str">
        <f>IFERROR(__xludf.DUMMYFUNCTION("""COMPUTED_VALUE"""),"16701 E IOWA AVE")</f>
        <v>16701 E IOWA AVE</v>
      </c>
      <c r="H77" s="13" t="str">
        <f>IFERROR(__xludf.DUMMYFUNCTION("""COMPUTED_VALUE"""),"AURORA")</f>
        <v>AURORA</v>
      </c>
      <c r="I77" s="13" t="str">
        <f>IFERROR(__xludf.DUMMYFUNCTION("""COMPUTED_VALUE"""),"CO")</f>
        <v>CO</v>
      </c>
      <c r="J77" s="13" t="str">
        <f>IFERROR(__xludf.DUMMYFUNCTION("""COMPUTED_VALUE"""),"80017-5112")</f>
        <v>80017-5112</v>
      </c>
      <c r="K77" s="13" t="str">
        <f>IFERROR(__xludf.DUMMYFUNCTION("""COMPUTED_VALUE"""),"Arapahoe")</f>
        <v>Arapahoe</v>
      </c>
      <c r="L77" s="17"/>
      <c r="M77" s="17"/>
      <c r="N77" s="17" t="str">
        <f>IFERROR(__xludf.DUMMYFUNCTION("""COMPUTED_VALUE"""),"Y")</f>
        <v>Y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>
      <c r="A78" s="13" t="str">
        <f>IFERROR(__xludf.DUMMYFUNCTION("""COMPUTED_VALUE"""),"0180")</f>
        <v>0180</v>
      </c>
      <c r="B78" s="13" t="str">
        <f>IFERROR(__xludf.DUMMYFUNCTION("""COMPUTED_VALUE"""),"ADAMS-ARAPAHOE 28J")</f>
        <v>ADAMS-ARAPAHOE 28J</v>
      </c>
      <c r="C78" s="13" t="str">
        <f>IFERROR(__xludf.DUMMYFUNCTION("""COMPUTED_VALUE"""),"04973")</f>
        <v>04973</v>
      </c>
      <c r="D78" s="13" t="str">
        <f>IFERROR(__xludf.DUMMYFUNCTION("""COMPUTED_VALUE"""),"LAREDO ELEMENTARY SCHOOL")</f>
        <v>LAREDO ELEMENTARY SCHOOL</v>
      </c>
      <c r="E78" s="13" t="str">
        <f>IFERROR(__xludf.DUMMYFUNCTION("""COMPUTED_VALUE"""),"Open")</f>
        <v>Open</v>
      </c>
      <c r="F78" s="13"/>
      <c r="G78" s="13" t="str">
        <f>IFERROR(__xludf.DUMMYFUNCTION("""COMPUTED_VALUE"""),"1350 LAREDO ST")</f>
        <v>1350 LAREDO ST</v>
      </c>
      <c r="H78" s="13" t="str">
        <f>IFERROR(__xludf.DUMMYFUNCTION("""COMPUTED_VALUE"""),"AURORA")</f>
        <v>AURORA</v>
      </c>
      <c r="I78" s="13" t="str">
        <f>IFERROR(__xludf.DUMMYFUNCTION("""COMPUTED_VALUE"""),"CO")</f>
        <v>CO</v>
      </c>
      <c r="J78" s="13" t="str">
        <f>IFERROR(__xludf.DUMMYFUNCTION("""COMPUTED_VALUE"""),"80011-7455")</f>
        <v>80011-7455</v>
      </c>
      <c r="K78" s="13" t="str">
        <f>IFERROR(__xludf.DUMMYFUNCTION("""COMPUTED_VALUE"""),"Arapahoe")</f>
        <v>Arapahoe</v>
      </c>
      <c r="L78" s="17" t="str">
        <f>IFERROR(__xludf.DUMMYFUNCTION("""COMPUTED_VALUE"""),"Y")</f>
        <v>Y</v>
      </c>
      <c r="M78" s="17"/>
      <c r="N78" s="17" t="str">
        <f>IFERROR(__xludf.DUMMYFUNCTION("""COMPUTED_VALUE"""),"Y")</f>
        <v>Y</v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>
      <c r="A79" s="13" t="str">
        <f>IFERROR(__xludf.DUMMYFUNCTION("""COMPUTED_VALUE"""),"0180")</f>
        <v>0180</v>
      </c>
      <c r="B79" s="13" t="str">
        <f>IFERROR(__xludf.DUMMYFUNCTION("""COMPUTED_VALUE"""),"ADAMS-ARAPAHOE 28J")</f>
        <v>ADAMS-ARAPAHOE 28J</v>
      </c>
      <c r="C79" s="13" t="str">
        <f>IFERROR(__xludf.DUMMYFUNCTION("""COMPUTED_VALUE"""),"05298")</f>
        <v>05298</v>
      </c>
      <c r="D79" s="13" t="str">
        <f>IFERROR(__xludf.DUMMYFUNCTION("""COMPUTED_VALUE"""),"Lotus School for Excellence")</f>
        <v>Lotus School for Excellence</v>
      </c>
      <c r="E79" s="13" t="str">
        <f>IFERROR(__xludf.DUMMYFUNCTION("""COMPUTED_VALUE"""),"Closed - Enrolled")</f>
        <v>Closed - Enrolled</v>
      </c>
      <c r="F79" s="13"/>
      <c r="G79" s="13" t="str">
        <f>IFERROR(__xludf.DUMMYFUNCTION("""COMPUTED_VALUE"""),"11001 E ALAMEDA AVE")</f>
        <v>11001 E ALAMEDA AVE</v>
      </c>
      <c r="H79" s="13" t="str">
        <f>IFERROR(__xludf.DUMMYFUNCTION("""COMPUTED_VALUE"""),"AURORA")</f>
        <v>AURORA</v>
      </c>
      <c r="I79" s="13" t="str">
        <f>IFERROR(__xludf.DUMMYFUNCTION("""COMPUTED_VALUE"""),"CO")</f>
        <v>CO</v>
      </c>
      <c r="J79" s="13" t="str">
        <f>IFERROR(__xludf.DUMMYFUNCTION("""COMPUTED_VALUE"""),"80012-1033")</f>
        <v>80012-1033</v>
      </c>
      <c r="K79" s="13" t="str">
        <f>IFERROR(__xludf.DUMMYFUNCTION("""COMPUTED_VALUE"""),"Arapahoe")</f>
        <v>Arapahoe</v>
      </c>
      <c r="L79" s="17" t="str">
        <f>IFERROR(__xludf.DUMMYFUNCTION("""COMPUTED_VALUE"""),"Y")</f>
        <v>Y</v>
      </c>
      <c r="M79" s="17"/>
      <c r="N79" s="17" t="str">
        <f>IFERROR(__xludf.DUMMYFUNCTION("""COMPUTED_VALUE"""),"Y")</f>
        <v>Y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>
      <c r="A80" s="18" t="str">
        <f>IFERROR(__xludf.DUMMYFUNCTION("""COMPUTED_VALUE"""),"0180")</f>
        <v>0180</v>
      </c>
      <c r="B80" s="18" t="str">
        <f>IFERROR(__xludf.DUMMYFUNCTION("""COMPUTED_VALUE"""),"ADAMS-ARAPAHOE 28J")</f>
        <v>ADAMS-ARAPAHOE 28J</v>
      </c>
      <c r="C80" s="18" t="str">
        <f>IFERROR(__xludf.DUMMYFUNCTION("""COMPUTED_VALUE"""),"06160")</f>
        <v>06160</v>
      </c>
      <c r="D80" s="18" t="str">
        <f>IFERROR(__xludf.DUMMYFUNCTION("""COMPUTED_VALUE"""),"MRACHEK MIDDLE SCHOOL")</f>
        <v>MRACHEK MIDDLE SCHOOL</v>
      </c>
      <c r="E80" s="18" t="str">
        <f>IFERROR(__xludf.DUMMYFUNCTION("""COMPUTED_VALUE"""),"Open")</f>
        <v>Open</v>
      </c>
      <c r="F80" s="18" t="str">
        <f>IFERROR(__xludf.DUMMYFUNCTION("""COMPUTED_VALUE""")," ")</f>
        <v> </v>
      </c>
      <c r="G80" s="18" t="str">
        <f>IFERROR(__xludf.DUMMYFUNCTION("""COMPUTED_VALUE"""),"1955 S TELLURIDE ST")</f>
        <v>1955 S TELLURIDE ST</v>
      </c>
      <c r="H80" s="18" t="str">
        <f>IFERROR(__xludf.DUMMYFUNCTION("""COMPUTED_VALUE"""),"AURORA")</f>
        <v>AURORA</v>
      </c>
      <c r="I80" s="18" t="str">
        <f>IFERROR(__xludf.DUMMYFUNCTION("""COMPUTED_VALUE"""),"CO")</f>
        <v>CO</v>
      </c>
      <c r="J80" s="18" t="str">
        <f>IFERROR(__xludf.DUMMYFUNCTION("""COMPUTED_VALUE"""),"80013-1337")</f>
        <v>80013-1337</v>
      </c>
      <c r="K80" s="18" t="str">
        <f>IFERROR(__xludf.DUMMYFUNCTION("""COMPUTED_VALUE"""),"Arapahoe")</f>
        <v>Arapahoe</v>
      </c>
      <c r="L80" s="19"/>
      <c r="M80" s="19"/>
      <c r="N80" s="19" t="str">
        <f>IFERROR(__xludf.DUMMYFUNCTION("""COMPUTED_VALUE"""),"Y")</f>
        <v>Y</v>
      </c>
      <c r="O80" s="19"/>
      <c r="P80" s="19"/>
      <c r="Q80" s="19" t="str">
        <f>IFERROR(__xludf.DUMMYFUNCTION("""COMPUTED_VALUE"""),"No Claims as of 11.24")</f>
        <v>No Claims as of 11.24</v>
      </c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>
      <c r="A81" s="13" t="str">
        <f>IFERROR(__xludf.DUMMYFUNCTION("""COMPUTED_VALUE"""),"0180")</f>
        <v>0180</v>
      </c>
      <c r="B81" s="13" t="str">
        <f>IFERROR(__xludf.DUMMYFUNCTION("""COMPUTED_VALUE"""),"ADAMS-ARAPAHOE 28J")</f>
        <v>ADAMS-ARAPAHOE 28J</v>
      </c>
      <c r="C81" s="13" t="str">
        <f>IFERROR(__xludf.DUMMYFUNCTION("""COMPUTED_VALUE"""),"06189")</f>
        <v>06189</v>
      </c>
      <c r="D81" s="13" t="str">
        <f>IFERROR(__xludf.DUMMYFUNCTION("""COMPUTED_VALUE"""),"MURPHY CREEK K-8 SCHOOL")</f>
        <v>MURPHY CREEK K-8 SCHOOL</v>
      </c>
      <c r="E81" s="13" t="str">
        <f>IFERROR(__xludf.DUMMYFUNCTION("""COMPUTED_VALUE"""),"Open")</f>
        <v>Open</v>
      </c>
      <c r="F81" s="13" t="str">
        <f>IFERROR(__xludf.DUMMYFUNCTION("""COMPUTED_VALUE"""),"Hybrid")</f>
        <v>Hybrid</v>
      </c>
      <c r="G81" s="13" t="str">
        <f>IFERROR(__xludf.DUMMYFUNCTION("""COMPUTED_VALUE"""),"1400 S OLD TOM MORRIS RD")</f>
        <v>1400 S OLD TOM MORRIS RD</v>
      </c>
      <c r="H81" s="13" t="str">
        <f>IFERROR(__xludf.DUMMYFUNCTION("""COMPUTED_VALUE"""),"AURORA")</f>
        <v>AURORA</v>
      </c>
      <c r="I81" s="13" t="str">
        <f>IFERROR(__xludf.DUMMYFUNCTION("""COMPUTED_VALUE"""),"CO")</f>
        <v>CO</v>
      </c>
      <c r="J81" s="13" t="str">
        <f>IFERROR(__xludf.DUMMYFUNCTION("""COMPUTED_VALUE"""),"80018-6013")</f>
        <v>80018-6013</v>
      </c>
      <c r="K81" s="13" t="str">
        <f>IFERROR(__xludf.DUMMYFUNCTION("""COMPUTED_VALUE"""),"Arapahoe")</f>
        <v>Arapahoe</v>
      </c>
      <c r="L81" s="17" t="str">
        <f>IFERROR(__xludf.DUMMYFUNCTION("""COMPUTED_VALUE"""),"Y")</f>
        <v>Y</v>
      </c>
      <c r="M81" s="17"/>
      <c r="N81" s="17" t="str">
        <f>IFERROR(__xludf.DUMMYFUNCTION("""COMPUTED_VALUE"""),"Y")</f>
        <v>Y</v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>
      <c r="A82" s="13" t="str">
        <f>IFERROR(__xludf.DUMMYFUNCTION("""COMPUTED_VALUE"""),"0180")</f>
        <v>0180</v>
      </c>
      <c r="B82" s="13" t="str">
        <f>IFERROR(__xludf.DUMMYFUNCTION("""COMPUTED_VALUE"""),"ADAMS-ARAPAHOE 28J")</f>
        <v>ADAMS-ARAPAHOE 28J</v>
      </c>
      <c r="C82" s="13" t="str">
        <f>IFERROR(__xludf.DUMMYFUNCTION("""COMPUTED_VALUE"""),"06310")</f>
        <v>06310</v>
      </c>
      <c r="D82" s="13" t="str">
        <f>IFERROR(__xludf.DUMMYFUNCTION("""COMPUTED_VALUE"""),"NORTH MIDDLE SCHOOL HEALTH SCIENCES AND TECHNOLOGY CAMPUS")</f>
        <v>NORTH MIDDLE SCHOOL HEALTH SCIENCES AND TECHNOLOGY CAMPUS</v>
      </c>
      <c r="E82" s="13" t="str">
        <f>IFERROR(__xludf.DUMMYFUNCTION("""COMPUTED_VALUE"""),"Open")</f>
        <v>Open</v>
      </c>
      <c r="F82" s="13"/>
      <c r="G82" s="13" t="str">
        <f>IFERROR(__xludf.DUMMYFUNCTION("""COMPUTED_VALUE"""),"12095 MONTVIEW BLVD")</f>
        <v>12095 MONTVIEW BLVD</v>
      </c>
      <c r="H82" s="13" t="str">
        <f>IFERROR(__xludf.DUMMYFUNCTION("""COMPUTED_VALUE"""),"AURORA")</f>
        <v>AURORA</v>
      </c>
      <c r="I82" s="13" t="str">
        <f>IFERROR(__xludf.DUMMYFUNCTION("""COMPUTED_VALUE"""),"CO")</f>
        <v>CO</v>
      </c>
      <c r="J82" s="13" t="str">
        <f>IFERROR(__xludf.DUMMYFUNCTION("""COMPUTED_VALUE"""),"80010-1608")</f>
        <v>80010-1608</v>
      </c>
      <c r="K82" s="13" t="str">
        <f>IFERROR(__xludf.DUMMYFUNCTION("""COMPUTED_VALUE"""),"Adams")</f>
        <v>Adams</v>
      </c>
      <c r="L82" s="17" t="str">
        <f>IFERROR(__xludf.DUMMYFUNCTION("""COMPUTED_VALUE"""),"Y")</f>
        <v>Y</v>
      </c>
      <c r="M82" s="17"/>
      <c r="N82" s="17" t="str">
        <f>IFERROR(__xludf.DUMMYFUNCTION("""COMPUTED_VALUE"""),"Y")</f>
        <v>Y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>
      <c r="A83" s="13" t="str">
        <f>IFERROR(__xludf.DUMMYFUNCTION("""COMPUTED_VALUE"""),"0180")</f>
        <v>0180</v>
      </c>
      <c r="B83" s="13" t="str">
        <f>IFERROR(__xludf.DUMMYFUNCTION("""COMPUTED_VALUE"""),"ADAMS-ARAPAHOE 28J")</f>
        <v>ADAMS-ARAPAHOE 28J</v>
      </c>
      <c r="C83" s="13" t="str">
        <f>IFERROR(__xludf.DUMMYFUNCTION("""COMPUTED_VALUE"""),"07232")</f>
        <v>07232</v>
      </c>
      <c r="D83" s="13" t="str">
        <f>IFERROR(__xludf.DUMMYFUNCTION("""COMPUTED_VALUE"""),"AURORA QUEST K-8")</f>
        <v>AURORA QUEST K-8</v>
      </c>
      <c r="E83" s="13" t="str">
        <f>IFERROR(__xludf.DUMMYFUNCTION("""COMPUTED_VALUE"""),"Open")</f>
        <v>Open</v>
      </c>
      <c r="F83" s="13"/>
      <c r="G83" s="13" t="str">
        <f>IFERROR(__xludf.DUMMYFUNCTION("""COMPUTED_VALUE"""),"17315 E 2ND AVE")</f>
        <v>17315 E 2ND AVE</v>
      </c>
      <c r="H83" s="13" t="str">
        <f>IFERROR(__xludf.DUMMYFUNCTION("""COMPUTED_VALUE"""),"AURORA")</f>
        <v>AURORA</v>
      </c>
      <c r="I83" s="13" t="str">
        <f>IFERROR(__xludf.DUMMYFUNCTION("""COMPUTED_VALUE"""),"CO")</f>
        <v>CO</v>
      </c>
      <c r="J83" s="13" t="str">
        <f>IFERROR(__xludf.DUMMYFUNCTION("""COMPUTED_VALUE"""),"80011-9383")</f>
        <v>80011-9383</v>
      </c>
      <c r="K83" s="13" t="str">
        <f>IFERROR(__xludf.DUMMYFUNCTION("""COMPUTED_VALUE"""),"Arapahoe")</f>
        <v>Arapahoe</v>
      </c>
      <c r="L83" s="17" t="str">
        <f>IFERROR(__xludf.DUMMYFUNCTION("""COMPUTED_VALUE"""),"Y")</f>
        <v>Y</v>
      </c>
      <c r="M83" s="17"/>
      <c r="N83" s="17" t="str">
        <f>IFERROR(__xludf.DUMMYFUNCTION("""COMPUTED_VALUE"""),"Y")</f>
        <v>Y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>
      <c r="A84" s="13" t="str">
        <f>IFERROR(__xludf.DUMMYFUNCTION("""COMPUTED_VALUE"""),"0180")</f>
        <v>0180</v>
      </c>
      <c r="B84" s="13" t="str">
        <f>IFERROR(__xludf.DUMMYFUNCTION("""COMPUTED_VALUE"""),"ADAMS-ARAPAHOE 28J")</f>
        <v>ADAMS-ARAPAHOE 28J</v>
      </c>
      <c r="C84" s="13" t="str">
        <f>IFERROR(__xludf.DUMMYFUNCTION("""COMPUTED_VALUE"""),"07250")</f>
        <v>07250</v>
      </c>
      <c r="D84" s="13" t="str">
        <f>IFERROR(__xludf.DUMMYFUNCTION("""COMPUTED_VALUE"""),"RANGEVIEW HIGH SCHOOL")</f>
        <v>RANGEVIEW HIGH SCHOOL</v>
      </c>
      <c r="E84" s="13" t="str">
        <f>IFERROR(__xludf.DUMMYFUNCTION("""COMPUTED_VALUE"""),"Open")</f>
        <v>Open</v>
      </c>
      <c r="F84" s="13"/>
      <c r="G84" s="13" t="str">
        <f>IFERROR(__xludf.DUMMYFUNCTION("""COMPUTED_VALUE"""),"17599 E ILIFF AVE")</f>
        <v>17599 E ILIFF AVE</v>
      </c>
      <c r="H84" s="13" t="str">
        <f>IFERROR(__xludf.DUMMYFUNCTION("""COMPUTED_VALUE"""),"AURORA")</f>
        <v>AURORA</v>
      </c>
      <c r="I84" s="13" t="str">
        <f>IFERROR(__xludf.DUMMYFUNCTION("""COMPUTED_VALUE"""),"CO")</f>
        <v>CO</v>
      </c>
      <c r="J84" s="13" t="str">
        <f>IFERROR(__xludf.DUMMYFUNCTION("""COMPUTED_VALUE"""),"80013-4212")</f>
        <v>80013-4212</v>
      </c>
      <c r="K84" s="13" t="str">
        <f>IFERROR(__xludf.DUMMYFUNCTION("""COMPUTED_VALUE"""),"Arapahoe")</f>
        <v>Arapahoe</v>
      </c>
      <c r="L84" s="17" t="str">
        <f>IFERROR(__xludf.DUMMYFUNCTION("""COMPUTED_VALUE"""),"Y")</f>
        <v>Y</v>
      </c>
      <c r="M84" s="17"/>
      <c r="N84" s="17" t="str">
        <f>IFERROR(__xludf.DUMMYFUNCTION("""COMPUTED_VALUE"""),"Y")</f>
        <v>Y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>
      <c r="A85" s="13" t="str">
        <f>IFERROR(__xludf.DUMMYFUNCTION("""COMPUTED_VALUE"""),"0180")</f>
        <v>0180</v>
      </c>
      <c r="B85" s="13" t="str">
        <f>IFERROR(__xludf.DUMMYFUNCTION("""COMPUTED_VALUE"""),"ADAMS-ARAPAHOE 28J")</f>
        <v>ADAMS-ARAPAHOE 28J</v>
      </c>
      <c r="C85" s="13" t="str">
        <f>IFERROR(__xludf.DUMMYFUNCTION("""COMPUTED_VALUE"""),"07932")</f>
        <v>07932</v>
      </c>
      <c r="D85" s="13" t="str">
        <f>IFERROR(__xludf.DUMMYFUNCTION("""COMPUTED_VALUE"""),"Del Mar Academy")</f>
        <v>Del Mar Academy</v>
      </c>
      <c r="E85" s="13" t="str">
        <f>IFERROR(__xludf.DUMMYFUNCTION("""COMPUTED_VALUE"""),"Open")</f>
        <v>Open</v>
      </c>
      <c r="F85" s="13"/>
      <c r="G85" s="13" t="str">
        <f>IFERROR(__xludf.DUMMYFUNCTION("""COMPUTED_VALUE"""),"12445 E 2ND AVE")</f>
        <v>12445 E 2ND AVE</v>
      </c>
      <c r="H85" s="13" t="str">
        <f>IFERROR(__xludf.DUMMYFUNCTION("""COMPUTED_VALUE"""),"AURORA")</f>
        <v>AURORA</v>
      </c>
      <c r="I85" s="13" t="str">
        <f>IFERROR(__xludf.DUMMYFUNCTION("""COMPUTED_VALUE"""),"CO")</f>
        <v>CO</v>
      </c>
      <c r="J85" s="13" t="str">
        <f>IFERROR(__xludf.DUMMYFUNCTION("""COMPUTED_VALUE"""),"80011-8303")</f>
        <v>80011-8303</v>
      </c>
      <c r="K85" s="13" t="str">
        <f>IFERROR(__xludf.DUMMYFUNCTION("""COMPUTED_VALUE"""),"Arapahoe")</f>
        <v>Arapahoe</v>
      </c>
      <c r="L85" s="17" t="str">
        <f>IFERROR(__xludf.DUMMYFUNCTION("""COMPUTED_VALUE"""),"Y")</f>
        <v>Y</v>
      </c>
      <c r="M85" s="17"/>
      <c r="N85" s="17" t="str">
        <f>IFERROR(__xludf.DUMMYFUNCTION("""COMPUTED_VALUE"""),"Y")</f>
        <v>Y</v>
      </c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>
      <c r="A86" s="13" t="str">
        <f>IFERROR(__xludf.DUMMYFUNCTION("""COMPUTED_VALUE"""),"0180")</f>
        <v>0180</v>
      </c>
      <c r="B86" s="13" t="str">
        <f>IFERROR(__xludf.DUMMYFUNCTION("""COMPUTED_VALUE"""),"ADAMS-ARAPAHOE 28J")</f>
        <v>ADAMS-ARAPAHOE 28J</v>
      </c>
      <c r="C86" s="13" t="str">
        <f>IFERROR(__xludf.DUMMYFUNCTION("""COMPUTED_VALUE"""),"08858")</f>
        <v>08858</v>
      </c>
      <c r="D86" s="13" t="str">
        <f>IFERROR(__xludf.DUMMYFUNCTION("""COMPUTED_VALUE"""),"TOLLGATE ELEMENTARY SCHOOL OF EXPEDITIONARY LEARNING")</f>
        <v>TOLLGATE ELEMENTARY SCHOOL OF EXPEDITIONARY LEARNING</v>
      </c>
      <c r="E86" s="13" t="str">
        <f>IFERROR(__xludf.DUMMYFUNCTION("""COMPUTED_VALUE"""),"Open")</f>
        <v>Open</v>
      </c>
      <c r="F86" s="13"/>
      <c r="G86" s="13" t="str">
        <f>IFERROR(__xludf.DUMMYFUNCTION("""COMPUTED_VALUE"""),"701 S KALISPELL WAY")</f>
        <v>701 S KALISPELL WAY</v>
      </c>
      <c r="H86" s="13" t="str">
        <f>IFERROR(__xludf.DUMMYFUNCTION("""COMPUTED_VALUE"""),"AURORA")</f>
        <v>AURORA</v>
      </c>
      <c r="I86" s="13" t="str">
        <f>IFERROR(__xludf.DUMMYFUNCTION("""COMPUTED_VALUE"""),"CO")</f>
        <v>CO</v>
      </c>
      <c r="J86" s="13" t="str">
        <f>IFERROR(__xludf.DUMMYFUNCTION("""COMPUTED_VALUE"""),"80017-2151")</f>
        <v>80017-2151</v>
      </c>
      <c r="K86" s="13" t="str">
        <f>IFERROR(__xludf.DUMMYFUNCTION("""COMPUTED_VALUE"""),"Arapahoe")</f>
        <v>Arapahoe</v>
      </c>
      <c r="L86" s="17" t="str">
        <f>IFERROR(__xludf.DUMMYFUNCTION("""COMPUTED_VALUE"""),"Y")</f>
        <v>Y</v>
      </c>
      <c r="M86" s="17"/>
      <c r="N86" s="17" t="str">
        <f>IFERROR(__xludf.DUMMYFUNCTION("""COMPUTED_VALUE"""),"Y")</f>
        <v>Y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>
      <c r="A87" s="13" t="str">
        <f>IFERROR(__xludf.DUMMYFUNCTION("""COMPUTED_VALUE"""),"0180")</f>
        <v>0180</v>
      </c>
      <c r="B87" s="13" t="str">
        <f>IFERROR(__xludf.DUMMYFUNCTION("""COMPUTED_VALUE"""),"ADAMS-ARAPAHOE 28J")</f>
        <v>ADAMS-ARAPAHOE 28J</v>
      </c>
      <c r="C87" s="13" t="str">
        <f>IFERROR(__xludf.DUMMYFUNCTION("""COMPUTED_VALUE"""),"09083")</f>
        <v>09083</v>
      </c>
      <c r="D87" s="13" t="str">
        <f>IFERROR(__xludf.DUMMYFUNCTION("""COMPUTED_VALUE"""),"VISTA PEAK P-8 EXPLORATORY")</f>
        <v>VISTA PEAK P-8 EXPLORATORY</v>
      </c>
      <c r="E87" s="13" t="str">
        <f>IFERROR(__xludf.DUMMYFUNCTION("""COMPUTED_VALUE"""),"Open")</f>
        <v>Open</v>
      </c>
      <c r="F87" s="13"/>
      <c r="G87" s="13" t="str">
        <f>IFERROR(__xludf.DUMMYFUNCTION("""COMPUTED_VALUE"""),"24551 E 1ST PL")</f>
        <v>24551 E 1ST PL</v>
      </c>
      <c r="H87" s="13" t="str">
        <f>IFERROR(__xludf.DUMMYFUNCTION("""COMPUTED_VALUE"""),"AURORA")</f>
        <v>AURORA</v>
      </c>
      <c r="I87" s="13" t="str">
        <f>IFERROR(__xludf.DUMMYFUNCTION("""COMPUTED_VALUE"""),"CO")</f>
        <v>CO</v>
      </c>
      <c r="J87" s="13" t="str">
        <f>IFERROR(__xludf.DUMMYFUNCTION("""COMPUTED_VALUE"""),"80018-1633")</f>
        <v>80018-1633</v>
      </c>
      <c r="K87" s="13" t="str">
        <f>IFERROR(__xludf.DUMMYFUNCTION("""COMPUTED_VALUE"""),"Arapahoe")</f>
        <v>Arapahoe</v>
      </c>
      <c r="L87" s="17" t="str">
        <f>IFERROR(__xludf.DUMMYFUNCTION("""COMPUTED_VALUE"""),"Y")</f>
        <v>Y</v>
      </c>
      <c r="M87" s="17"/>
      <c r="N87" s="17" t="str">
        <f>IFERROR(__xludf.DUMMYFUNCTION("""COMPUTED_VALUE"""),"Y")</f>
        <v>Y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>
      <c r="A88" s="13" t="str">
        <f>IFERROR(__xludf.DUMMYFUNCTION("""COMPUTED_VALUE"""),"0180")</f>
        <v>0180</v>
      </c>
      <c r="B88" s="13" t="str">
        <f>IFERROR(__xludf.DUMMYFUNCTION("""COMPUTED_VALUE"""),"ADAMS-ARAPAHOE 28J")</f>
        <v>ADAMS-ARAPAHOE 28J</v>
      </c>
      <c r="C88" s="13" t="str">
        <f>IFERROR(__xludf.DUMMYFUNCTION("""COMPUTED_VALUE"""),"09125")</f>
        <v>09125</v>
      </c>
      <c r="D88" s="13" t="str">
        <f>IFERROR(__xludf.DUMMYFUNCTION("""COMPUTED_VALUE"""),"VISTA PEAK 9-12 PREPARATORY")</f>
        <v>VISTA PEAK 9-12 PREPARATORY</v>
      </c>
      <c r="E88" s="13" t="str">
        <f>IFERROR(__xludf.DUMMYFUNCTION("""COMPUTED_VALUE"""),"Open")</f>
        <v>Open</v>
      </c>
      <c r="F88" s="13"/>
      <c r="G88" s="13" t="str">
        <f>IFERROR(__xludf.DUMMYFUNCTION("""COMPUTED_VALUE"""),"24551 E 1ST PL")</f>
        <v>24551 E 1ST PL</v>
      </c>
      <c r="H88" s="13" t="str">
        <f>IFERROR(__xludf.DUMMYFUNCTION("""COMPUTED_VALUE"""),"AURORA")</f>
        <v>AURORA</v>
      </c>
      <c r="I88" s="13" t="str">
        <f>IFERROR(__xludf.DUMMYFUNCTION("""COMPUTED_VALUE"""),"CO")</f>
        <v>CO</v>
      </c>
      <c r="J88" s="13" t="str">
        <f>IFERROR(__xludf.DUMMYFUNCTION("""COMPUTED_VALUE"""),"80018-1633")</f>
        <v>80018-1633</v>
      </c>
      <c r="K88" s="13" t="str">
        <f>IFERROR(__xludf.DUMMYFUNCTION("""COMPUTED_VALUE"""),"Arapahoe")</f>
        <v>Arapahoe</v>
      </c>
      <c r="L88" s="17" t="str">
        <f>IFERROR(__xludf.DUMMYFUNCTION("""COMPUTED_VALUE"""),"Y")</f>
        <v>Y</v>
      </c>
      <c r="M88" s="17"/>
      <c r="N88" s="17" t="str">
        <f>IFERROR(__xludf.DUMMYFUNCTION("""COMPUTED_VALUE"""),"Y")</f>
        <v>Y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>
      <c r="A89" s="13" t="str">
        <f>IFERROR(__xludf.DUMMYFUNCTION("""COMPUTED_VALUE"""),"0180")</f>
        <v>0180</v>
      </c>
      <c r="B89" s="13" t="str">
        <f>IFERROR(__xludf.DUMMYFUNCTION("""COMPUTED_VALUE"""),"ADAMS-ARAPAHOE 28J")</f>
        <v>ADAMS-ARAPAHOE 28J</v>
      </c>
      <c r="C89" s="13" t="str">
        <f>IFERROR(__xludf.DUMMYFUNCTION("""COMPUTED_VALUE"""),"09396")</f>
        <v>09396</v>
      </c>
      <c r="D89" s="13" t="str">
        <f>IFERROR(__xludf.DUMMYFUNCTION("""COMPUTED_VALUE"""),"AURORA WEST COLLEGE PREPARATORY ACADEMY")</f>
        <v>AURORA WEST COLLEGE PREPARATORY ACADEMY</v>
      </c>
      <c r="E89" s="13" t="str">
        <f>IFERROR(__xludf.DUMMYFUNCTION("""COMPUTED_VALUE"""),"Open")</f>
        <v>Open</v>
      </c>
      <c r="F89" s="13"/>
      <c r="G89" s="13" t="str">
        <f>IFERROR(__xludf.DUMMYFUNCTION("""COMPUTED_VALUE"""),"10100 E 13TH AVE")</f>
        <v>10100 E 13TH AVE</v>
      </c>
      <c r="H89" s="13" t="str">
        <f>IFERROR(__xludf.DUMMYFUNCTION("""COMPUTED_VALUE"""),"AURORA")</f>
        <v>AURORA</v>
      </c>
      <c r="I89" s="13" t="str">
        <f>IFERROR(__xludf.DUMMYFUNCTION("""COMPUTED_VALUE"""),"CO")</f>
        <v>CO</v>
      </c>
      <c r="J89" s="13" t="str">
        <f>IFERROR(__xludf.DUMMYFUNCTION("""COMPUTED_VALUE"""),"80010-3302")</f>
        <v>80010-3302</v>
      </c>
      <c r="K89" s="13" t="str">
        <f>IFERROR(__xludf.DUMMYFUNCTION("""COMPUTED_VALUE"""),"Arapahoe")</f>
        <v>Arapahoe</v>
      </c>
      <c r="L89" s="17" t="str">
        <f>IFERROR(__xludf.DUMMYFUNCTION("""COMPUTED_VALUE"""),"Y")</f>
        <v>Y</v>
      </c>
      <c r="M89" s="17"/>
      <c r="N89" s="17" t="str">
        <f>IFERROR(__xludf.DUMMYFUNCTION("""COMPUTED_VALUE"""),"Y")</f>
        <v>Y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>
      <c r="A90" s="13" t="str">
        <f>IFERROR(__xludf.DUMMYFUNCTION("""COMPUTED_VALUE"""),"0180")</f>
        <v>0180</v>
      </c>
      <c r="B90" s="13" t="str">
        <f>IFERROR(__xludf.DUMMYFUNCTION("""COMPUTED_VALUE"""),"ADAMS-ARAPAHOE 28J")</f>
        <v>ADAMS-ARAPAHOE 28J</v>
      </c>
      <c r="C90" s="13" t="str">
        <f>IFERROR(__xludf.DUMMYFUNCTION("""COMPUTED_VALUE"""),"09756")</f>
        <v>09756</v>
      </c>
      <c r="D90" s="13" t="str">
        <f>IFERROR(__xludf.DUMMYFUNCTION("""COMPUTED_VALUE"""),"YALE ELEMENTARY SCHOOL")</f>
        <v>YALE ELEMENTARY SCHOOL</v>
      </c>
      <c r="E90" s="13" t="str">
        <f>IFERROR(__xludf.DUMMYFUNCTION("""COMPUTED_VALUE"""),"Open")</f>
        <v>Open</v>
      </c>
      <c r="F90" s="13"/>
      <c r="G90" s="13" t="str">
        <f>IFERROR(__xludf.DUMMYFUNCTION("""COMPUTED_VALUE"""),"16001 E YALE AVE")</f>
        <v>16001 E YALE AVE</v>
      </c>
      <c r="H90" s="13" t="str">
        <f>IFERROR(__xludf.DUMMYFUNCTION("""COMPUTED_VALUE"""),"AURORA")</f>
        <v>AURORA</v>
      </c>
      <c r="I90" s="13" t="str">
        <f>IFERROR(__xludf.DUMMYFUNCTION("""COMPUTED_VALUE"""),"CO")</f>
        <v>CO</v>
      </c>
      <c r="J90" s="13" t="str">
        <f>IFERROR(__xludf.DUMMYFUNCTION("""COMPUTED_VALUE"""),"80013-1657")</f>
        <v>80013-1657</v>
      </c>
      <c r="K90" s="13" t="str">
        <f>IFERROR(__xludf.DUMMYFUNCTION("""COMPUTED_VALUE"""),"Arapahoe")</f>
        <v>Arapahoe</v>
      </c>
      <c r="L90" s="17" t="str">
        <f>IFERROR(__xludf.DUMMYFUNCTION("""COMPUTED_VALUE"""),"Y")</f>
        <v>Y</v>
      </c>
      <c r="M90" s="17"/>
      <c r="N90" s="17" t="str">
        <f>IFERROR(__xludf.DUMMYFUNCTION("""COMPUTED_VALUE"""),"Y")</f>
        <v>Y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>
      <c r="A91" s="13" t="str">
        <f>IFERROR(__xludf.DUMMYFUNCTION("""COMPUTED_VALUE"""),"0180")</f>
        <v>0180</v>
      </c>
      <c r="B91" s="13" t="str">
        <f>IFERROR(__xludf.DUMMYFUNCTION("""COMPUTED_VALUE"""),"ADAMS-ARAPAHOE 28J")</f>
        <v>ADAMS-ARAPAHOE 28J</v>
      </c>
      <c r="C91" s="13" t="str">
        <f>IFERROR(__xludf.DUMMYFUNCTION("""COMPUTED_VALUE"""),"09771")</f>
        <v>09771</v>
      </c>
      <c r="D91" s="13" t="str">
        <f>IFERROR(__xludf.DUMMYFUNCTION("""COMPUTED_VALUE"""),"Aurora Mall")</f>
        <v>Aurora Mall</v>
      </c>
      <c r="E91" s="13" t="str">
        <f>IFERROR(__xludf.DUMMYFUNCTION("""COMPUTED_VALUE"""),"Open")</f>
        <v>Open</v>
      </c>
      <c r="F91" s="13"/>
      <c r="G91" s="13" t="str">
        <f>IFERROR(__xludf.DUMMYFUNCTION("""COMPUTED_VALUE"""),"14200 E ALAMEDA AVE")</f>
        <v>14200 E ALAMEDA AVE</v>
      </c>
      <c r="H91" s="13" t="str">
        <f>IFERROR(__xludf.DUMMYFUNCTION("""COMPUTED_VALUE"""),"AURORA")</f>
        <v>AURORA</v>
      </c>
      <c r="I91" s="13" t="str">
        <f>IFERROR(__xludf.DUMMYFUNCTION("""COMPUTED_VALUE"""),"CO")</f>
        <v>CO</v>
      </c>
      <c r="J91" s="13" t="str">
        <f>IFERROR(__xludf.DUMMYFUNCTION("""COMPUTED_VALUE"""),"80012-2511")</f>
        <v>80012-2511</v>
      </c>
      <c r="K91" s="13" t="str">
        <f>IFERROR(__xludf.DUMMYFUNCTION("""COMPUTED_VALUE"""),"Arapahoe")</f>
        <v>Arapahoe</v>
      </c>
      <c r="L91" s="17"/>
      <c r="M91" s="17"/>
      <c r="N91" s="17" t="str">
        <f>IFERROR(__xludf.DUMMYFUNCTION("""COMPUTED_VALUE"""),"Y")</f>
        <v>Y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>
      <c r="A92" s="13" t="str">
        <f>IFERROR(__xludf.DUMMYFUNCTION("""COMPUTED_VALUE"""),"0180")</f>
        <v>0180</v>
      </c>
      <c r="B92" s="13" t="str">
        <f>IFERROR(__xludf.DUMMYFUNCTION("""COMPUTED_VALUE"""),"ADAMS-ARAPAHOE 28J")</f>
        <v>ADAMS-ARAPAHOE 28J</v>
      </c>
      <c r="C92" s="13" t="str">
        <f>IFERROR(__xludf.DUMMYFUNCTION("""COMPUTED_VALUE"""),"09774")</f>
        <v>09774</v>
      </c>
      <c r="D92" s="13" t="str">
        <f>IFERROR(__xludf.DUMMYFUNCTION("""COMPUTED_VALUE"""),"Hillcrest Village")</f>
        <v>Hillcrest Village</v>
      </c>
      <c r="E92" s="13" t="str">
        <f>IFERROR(__xludf.DUMMYFUNCTION("""COMPUTED_VALUE"""),"Open")</f>
        <v>Open</v>
      </c>
      <c r="F92" s="13"/>
      <c r="G92" s="13" t="str">
        <f>IFERROR(__xludf.DUMMYFUNCTION("""COMPUTED_VALUE"""),"1600 SABLE BLVD")</f>
        <v>1600 SABLE BLVD</v>
      </c>
      <c r="H92" s="13" t="str">
        <f>IFERROR(__xludf.DUMMYFUNCTION("""COMPUTED_VALUE"""),"AURORA")</f>
        <v>AURORA</v>
      </c>
      <c r="I92" s="13" t="str">
        <f>IFERROR(__xludf.DUMMYFUNCTION("""COMPUTED_VALUE"""),"CO")</f>
        <v>CO</v>
      </c>
      <c r="J92" s="13" t="str">
        <f>IFERROR(__xludf.DUMMYFUNCTION("""COMPUTED_VALUE"""),"80011-4432")</f>
        <v>80011-4432</v>
      </c>
      <c r="K92" s="13" t="str">
        <f>IFERROR(__xludf.DUMMYFUNCTION("""COMPUTED_VALUE"""),"Arapahoe")</f>
        <v>Arapahoe</v>
      </c>
      <c r="L92" s="17"/>
      <c r="M92" s="17"/>
      <c r="N92" s="17" t="str">
        <f>IFERROR(__xludf.DUMMYFUNCTION("""COMPUTED_VALUE"""),"Y")</f>
        <v>Y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>
      <c r="A93" s="13" t="str">
        <f>IFERROR(__xludf.DUMMYFUNCTION("""COMPUTED_VALUE"""),"0180")</f>
        <v>0180</v>
      </c>
      <c r="B93" s="13" t="str">
        <f>IFERROR(__xludf.DUMMYFUNCTION("""COMPUTED_VALUE"""),"ADAMS-ARAPAHOE 28J")</f>
        <v>ADAMS-ARAPAHOE 28J</v>
      </c>
      <c r="C93" s="13" t="str">
        <f>IFERROR(__xludf.DUMMYFUNCTION("""COMPUTED_VALUE"""),"09775")</f>
        <v>09775</v>
      </c>
      <c r="D93" s="13" t="str">
        <f>IFERROR(__xludf.DUMMYFUNCTION("""COMPUTED_VALUE"""),"Tierra Park")</f>
        <v>Tierra Park</v>
      </c>
      <c r="E93" s="13" t="str">
        <f>IFERROR(__xludf.DUMMYFUNCTION("""COMPUTED_VALUE"""),"Open")</f>
        <v>Open</v>
      </c>
      <c r="F93" s="13"/>
      <c r="G93" s="13" t="str">
        <f>IFERROR(__xludf.DUMMYFUNCTION("""COMPUTED_VALUE"""),"14777 E. Asbury Avenue")</f>
        <v>14777 E. Asbury Avenue</v>
      </c>
      <c r="H93" s="13" t="str">
        <f>IFERROR(__xludf.DUMMYFUNCTION("""COMPUTED_VALUE"""),"AURORA")</f>
        <v>AURORA</v>
      </c>
      <c r="I93" s="13" t="str">
        <f>IFERROR(__xludf.DUMMYFUNCTION("""COMPUTED_VALUE"""),"CO")</f>
        <v>CO</v>
      </c>
      <c r="J93" s="13">
        <f>IFERROR(__xludf.DUMMYFUNCTION("""COMPUTED_VALUE"""),80014.0)</f>
        <v>80014</v>
      </c>
      <c r="K93" s="13" t="str">
        <f>IFERROR(__xludf.DUMMYFUNCTION("""COMPUTED_VALUE"""),"Arapahoe")</f>
        <v>Arapahoe</v>
      </c>
      <c r="L93" s="17"/>
      <c r="M93" s="17"/>
      <c r="N93" s="17" t="str">
        <f>IFERROR(__xludf.DUMMYFUNCTION("""COMPUTED_VALUE"""),"Y")</f>
        <v>Y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>
      <c r="A94" s="13" t="str">
        <f>IFERROR(__xludf.DUMMYFUNCTION("""COMPUTED_VALUE"""),"0180")</f>
        <v>0180</v>
      </c>
      <c r="B94" s="13" t="str">
        <f>IFERROR(__xludf.DUMMYFUNCTION("""COMPUTED_VALUE"""),"ADAMS-ARAPAHOE 28J")</f>
        <v>ADAMS-ARAPAHOE 28J</v>
      </c>
      <c r="C94" s="13" t="str">
        <f>IFERROR(__xludf.DUMMYFUNCTION("""COMPUTED_VALUE"""),"15075")</f>
        <v>15075</v>
      </c>
      <c r="D94" s="13" t="str">
        <f>IFERROR(__xludf.DUMMYFUNCTION("""COMPUTED_VALUE"""),"Aurora Public Schools Nutrition Services Main Office")</f>
        <v>Aurora Public Schools Nutrition Services Main Office</v>
      </c>
      <c r="E94" s="13" t="str">
        <f>IFERROR(__xludf.DUMMYFUNCTION("""COMPUTED_VALUE"""),"Open")</f>
        <v>Open</v>
      </c>
      <c r="F94" s="13"/>
      <c r="G94" s="13" t="str">
        <f>IFERROR(__xludf.DUMMYFUNCTION("""COMPUTED_VALUE"""),"15700 E 1ST AVE")</f>
        <v>15700 E 1ST AVE</v>
      </c>
      <c r="H94" s="13" t="str">
        <f>IFERROR(__xludf.DUMMYFUNCTION("""COMPUTED_VALUE"""),"AURORA")</f>
        <v>AURORA</v>
      </c>
      <c r="I94" s="13" t="str">
        <f>IFERROR(__xludf.DUMMYFUNCTION("""COMPUTED_VALUE"""),"CO")</f>
        <v>CO</v>
      </c>
      <c r="J94" s="13" t="str">
        <f>IFERROR(__xludf.DUMMYFUNCTION("""COMPUTED_VALUE"""),"80011-9008")</f>
        <v>80011-9008</v>
      </c>
      <c r="K94" s="13" t="str">
        <f>IFERROR(__xludf.DUMMYFUNCTION("""COMPUTED_VALUE"""),"Arapahoe")</f>
        <v>Arapahoe</v>
      </c>
      <c r="L94" s="17" t="str">
        <f>IFERROR(__xludf.DUMMYFUNCTION("""COMPUTED_VALUE"""),"Y")</f>
        <v>Y</v>
      </c>
      <c r="M94" s="17"/>
      <c r="N94" s="17" t="str">
        <f>IFERROR(__xludf.DUMMYFUNCTION("""COMPUTED_VALUE"""),"Y")</f>
        <v>Y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>
      <c r="A95" s="13" t="str">
        <f>IFERROR(__xludf.DUMMYFUNCTION("""COMPUTED_VALUE"""),"0180")</f>
        <v>0180</v>
      </c>
      <c r="B95" s="13" t="str">
        <f>IFERROR(__xludf.DUMMYFUNCTION("""COMPUTED_VALUE"""),"ADAMS-ARAPAHOE 28J")</f>
        <v>ADAMS-ARAPAHOE 28J</v>
      </c>
      <c r="C95" s="13" t="str">
        <f>IFERROR(__xludf.DUMMYFUNCTION("""COMPUTED_VALUE"""),"15171")</f>
        <v>15171</v>
      </c>
      <c r="D95" s="13" t="str">
        <f>IFERROR(__xludf.DUMMYFUNCTION("""COMPUTED_VALUE"""),"Mission Viejo Park")</f>
        <v>Mission Viejo Park</v>
      </c>
      <c r="E95" s="13" t="str">
        <f>IFERROR(__xludf.DUMMYFUNCTION("""COMPUTED_VALUE"""),"Open")</f>
        <v>Open</v>
      </c>
      <c r="F95" s="13"/>
      <c r="G95" s="13" t="str">
        <f>IFERROR(__xludf.DUMMYFUNCTION("""COMPUTED_VALUE"""),"3999 S Mission Pkwy")</f>
        <v>3999 S Mission Pkwy</v>
      </c>
      <c r="H95" s="13" t="str">
        <f>IFERROR(__xludf.DUMMYFUNCTION("""COMPUTED_VALUE"""),"AURORA")</f>
        <v>AURORA</v>
      </c>
      <c r="I95" s="13" t="str">
        <f>IFERROR(__xludf.DUMMYFUNCTION("""COMPUTED_VALUE"""),"CO")</f>
        <v>CO</v>
      </c>
      <c r="J95" s="13">
        <f>IFERROR(__xludf.DUMMYFUNCTION("""COMPUTED_VALUE"""),80013.0)</f>
        <v>80013</v>
      </c>
      <c r="K95" s="13" t="str">
        <f>IFERROR(__xludf.DUMMYFUNCTION("""COMPUTED_VALUE"""),"Arapahoe")</f>
        <v>Arapahoe</v>
      </c>
      <c r="L95" s="17"/>
      <c r="M95" s="17"/>
      <c r="N95" s="17" t="str">
        <f>IFERROR(__xludf.DUMMYFUNCTION("""COMPUTED_VALUE"""),"Y")</f>
        <v>Y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>
      <c r="A96" s="13" t="str">
        <f>IFERROR(__xludf.DUMMYFUNCTION("""COMPUTED_VALUE"""),"0180")</f>
        <v>0180</v>
      </c>
      <c r="B96" s="13" t="str">
        <f>IFERROR(__xludf.DUMMYFUNCTION("""COMPUTED_VALUE"""),"ADAMS-ARAPAHOE 28J")</f>
        <v>ADAMS-ARAPAHOE 28J</v>
      </c>
      <c r="C96" s="13" t="str">
        <f>IFERROR(__xludf.DUMMYFUNCTION("""COMPUTED_VALUE"""),"23307")</f>
        <v>23307</v>
      </c>
      <c r="D96" s="13" t="str">
        <f>IFERROR(__xludf.DUMMYFUNCTION("""COMPUTED_VALUE"""),"Academy of Advanced Learning")</f>
        <v>Academy of Advanced Learning</v>
      </c>
      <c r="E96" s="13" t="str">
        <f>IFERROR(__xludf.DUMMYFUNCTION("""COMPUTED_VALUE"""),"Open")</f>
        <v>Open</v>
      </c>
      <c r="F96" s="13"/>
      <c r="G96" s="13" t="str">
        <f>IFERROR(__xludf.DUMMYFUNCTION("""COMPUTED_VALUE"""),"431 SABLE BLVD")</f>
        <v>431 SABLE BLVD</v>
      </c>
      <c r="H96" s="13" t="str">
        <f>IFERROR(__xludf.DUMMYFUNCTION("""COMPUTED_VALUE"""),"AURORA")</f>
        <v>AURORA</v>
      </c>
      <c r="I96" s="13" t="str">
        <f>IFERROR(__xludf.DUMMYFUNCTION("""COMPUTED_VALUE"""),"CO")</f>
        <v>CO</v>
      </c>
      <c r="J96" s="13" t="str">
        <f>IFERROR(__xludf.DUMMYFUNCTION("""COMPUTED_VALUE"""),"80011-8800")</f>
        <v>80011-8800</v>
      </c>
      <c r="K96" s="13" t="str">
        <f>IFERROR(__xludf.DUMMYFUNCTION("""COMPUTED_VALUE"""),"Arapahoe")</f>
        <v>Arapahoe</v>
      </c>
      <c r="L96" s="17" t="str">
        <f>IFERROR(__xludf.DUMMYFUNCTION("""COMPUTED_VALUE"""),"Y")</f>
        <v>Y</v>
      </c>
      <c r="M96" s="17"/>
      <c r="N96" s="17" t="str">
        <f>IFERROR(__xludf.DUMMYFUNCTION("""COMPUTED_VALUE"""),"Y")</f>
        <v>Y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>
      <c r="A97" s="13" t="str">
        <f>IFERROR(__xludf.DUMMYFUNCTION("""COMPUTED_VALUE"""),"0180")</f>
        <v>0180</v>
      </c>
      <c r="B97" s="13" t="str">
        <f>IFERROR(__xludf.DUMMYFUNCTION("""COMPUTED_VALUE"""),"ADAMS-ARAPAHOE 28J")</f>
        <v>ADAMS-ARAPAHOE 28J</v>
      </c>
      <c r="C97" s="13" t="str">
        <f>IFERROR(__xludf.DUMMYFUNCTION("""COMPUTED_VALUE"""),"91414")</f>
        <v>91414</v>
      </c>
      <c r="D97" s="13" t="str">
        <f>IFERROR(__xludf.DUMMYFUNCTION("""COMPUTED_VALUE"""),"Meadowood Rec Center")</f>
        <v>Meadowood Rec Center</v>
      </c>
      <c r="E97" s="13" t="str">
        <f>IFERROR(__xludf.DUMMYFUNCTION("""COMPUTED_VALUE"""),"Open")</f>
        <v>Open</v>
      </c>
      <c r="F97" s="13"/>
      <c r="G97" s="13" t="str">
        <f>IFERROR(__xludf.DUMMYFUNCTION("""COMPUTED_VALUE"""),"3054 S LAREDO ST")</f>
        <v>3054 S LAREDO ST</v>
      </c>
      <c r="H97" s="13" t="str">
        <f>IFERROR(__xludf.DUMMYFUNCTION("""COMPUTED_VALUE"""),"AURORA")</f>
        <v>AURORA</v>
      </c>
      <c r="I97" s="13" t="str">
        <f>IFERROR(__xludf.DUMMYFUNCTION("""COMPUTED_VALUE"""),"CO")</f>
        <v>CO</v>
      </c>
      <c r="J97" s="13" t="str">
        <f>IFERROR(__xludf.DUMMYFUNCTION("""COMPUTED_VALUE"""),"80013-1867")</f>
        <v>80013-1867</v>
      </c>
      <c r="K97" s="13" t="str">
        <f>IFERROR(__xludf.DUMMYFUNCTION("""COMPUTED_VALUE"""),"Arapahoe")</f>
        <v>Arapahoe</v>
      </c>
      <c r="L97" s="17" t="str">
        <f>IFERROR(__xludf.DUMMYFUNCTION("""COMPUTED_VALUE"""),"Y")</f>
        <v>Y</v>
      </c>
      <c r="M97" s="17"/>
      <c r="N97" s="17" t="str">
        <f>IFERROR(__xludf.DUMMYFUNCTION("""COMPUTED_VALUE"""),"Y")</f>
        <v>Y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>
      <c r="A98" s="13" t="str">
        <f>IFERROR(__xludf.DUMMYFUNCTION("""COMPUTED_VALUE"""),"0180")</f>
        <v>0180</v>
      </c>
      <c r="B98" s="13" t="str">
        <f>IFERROR(__xludf.DUMMYFUNCTION("""COMPUTED_VALUE"""),"ADAMS-ARAPAHOE 28J")</f>
        <v>ADAMS-ARAPAHOE 28J</v>
      </c>
      <c r="C98" s="13" t="str">
        <f>IFERROR(__xludf.DUMMYFUNCTION("""COMPUTED_VALUE"""),"91415")</f>
        <v>91415</v>
      </c>
      <c r="D98" s="13" t="str">
        <f>IFERROR(__xludf.DUMMYFUNCTION("""COMPUTED_VALUE"""),"Village Green Rec Center")</f>
        <v>Village Green Rec Center</v>
      </c>
      <c r="E98" s="13" t="str">
        <f>IFERROR(__xludf.DUMMYFUNCTION("""COMPUTED_VALUE"""),"Open")</f>
        <v>Open</v>
      </c>
      <c r="F98" s="13"/>
      <c r="G98" s="13" t="str">
        <f>IFERROR(__xludf.DUMMYFUNCTION("""COMPUTED_VALUE"""),"1300 S CHAMBERS CIR")</f>
        <v>1300 S CHAMBERS CIR</v>
      </c>
      <c r="H98" s="13" t="str">
        <f>IFERROR(__xludf.DUMMYFUNCTION("""COMPUTED_VALUE"""),"AURORA")</f>
        <v>AURORA</v>
      </c>
      <c r="I98" s="13" t="str">
        <f>IFERROR(__xludf.DUMMYFUNCTION("""COMPUTED_VALUE"""),"CO")</f>
        <v>CO</v>
      </c>
      <c r="J98" s="13" t="str">
        <f>IFERROR(__xludf.DUMMYFUNCTION("""COMPUTED_VALUE"""),"80012-4729")</f>
        <v>80012-4729</v>
      </c>
      <c r="K98" s="13" t="str">
        <f>IFERROR(__xludf.DUMMYFUNCTION("""COMPUTED_VALUE"""),"Arapahoe")</f>
        <v>Arapahoe</v>
      </c>
      <c r="L98" s="17"/>
      <c r="M98" s="17"/>
      <c r="N98" s="17" t="str">
        <f>IFERROR(__xludf.DUMMYFUNCTION("""COMPUTED_VALUE"""),"Y")</f>
        <v>Y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>
      <c r="A99" s="13" t="str">
        <f>IFERROR(__xludf.DUMMYFUNCTION("""COMPUTED_VALUE"""),"0180")</f>
        <v>0180</v>
      </c>
      <c r="B99" s="13" t="str">
        <f>IFERROR(__xludf.DUMMYFUNCTION("""COMPUTED_VALUE"""),"ADAMS-ARAPAHOE 28J")</f>
        <v>ADAMS-ARAPAHOE 28J</v>
      </c>
      <c r="C99" s="13" t="str">
        <f>IFERROR(__xludf.DUMMYFUNCTION("""COMPUTED_VALUE"""),"91416")</f>
        <v>91416</v>
      </c>
      <c r="D99" s="13" t="str">
        <f>IFERROR(__xludf.DUMMYFUNCTION("""COMPUTED_VALUE"""),"Friendly Village of Aurora")</f>
        <v>Friendly Village of Aurora</v>
      </c>
      <c r="E99" s="13" t="str">
        <f>IFERROR(__xludf.DUMMYFUNCTION("""COMPUTED_VALUE"""),"Open")</f>
        <v>Open</v>
      </c>
      <c r="F99" s="13"/>
      <c r="G99" s="13" t="str">
        <f>IFERROR(__xludf.DUMMYFUNCTION("""COMPUTED_VALUE"""),"1711 ROOSEVELT WAY")</f>
        <v>1711 ROOSEVELT WAY</v>
      </c>
      <c r="H99" s="13" t="str">
        <f>IFERROR(__xludf.DUMMYFUNCTION("""COMPUTED_VALUE"""),"AURORA")</f>
        <v>AURORA</v>
      </c>
      <c r="I99" s="13" t="str">
        <f>IFERROR(__xludf.DUMMYFUNCTION("""COMPUTED_VALUE"""),"CO")</f>
        <v>CO</v>
      </c>
      <c r="J99" s="13" t="str">
        <f>IFERROR(__xludf.DUMMYFUNCTION("""COMPUTED_VALUE"""),"80011-4950")</f>
        <v>80011-4950</v>
      </c>
      <c r="K99" s="13" t="str">
        <f>IFERROR(__xludf.DUMMYFUNCTION("""COMPUTED_VALUE"""),"Adams")</f>
        <v>Adams</v>
      </c>
      <c r="L99" s="17"/>
      <c r="M99" s="17"/>
      <c r="N99" s="17" t="str">
        <f>IFERROR(__xludf.DUMMYFUNCTION("""COMPUTED_VALUE"""),"Y")</f>
        <v>Y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>
      <c r="A100" s="13" t="str">
        <f>IFERROR(__xludf.DUMMYFUNCTION("""COMPUTED_VALUE"""),"0180")</f>
        <v>0180</v>
      </c>
      <c r="B100" s="13" t="str">
        <f>IFERROR(__xludf.DUMMYFUNCTION("""COMPUTED_VALUE"""),"ADAMS-ARAPAHOE 28J")</f>
        <v>ADAMS-ARAPAHOE 28J</v>
      </c>
      <c r="C100" s="13" t="str">
        <f>IFERROR(__xludf.DUMMYFUNCTION("""COMPUTED_VALUE"""),"91417")</f>
        <v>91417</v>
      </c>
      <c r="D100" s="13" t="str">
        <f>IFERROR(__xludf.DUMMYFUNCTION("""COMPUTED_VALUE"""),"Moorhead Rec Center")</f>
        <v>Moorhead Rec Center</v>
      </c>
      <c r="E100" s="13" t="str">
        <f>IFERROR(__xludf.DUMMYFUNCTION("""COMPUTED_VALUE"""),"Open")</f>
        <v>Open</v>
      </c>
      <c r="F100" s="13"/>
      <c r="G100" s="13" t="str">
        <f>IFERROR(__xludf.DUMMYFUNCTION("""COMPUTED_VALUE"""),"2390 HAVANA ST")</f>
        <v>2390 HAVANA ST</v>
      </c>
      <c r="H100" s="13" t="str">
        <f>IFERROR(__xludf.DUMMYFUNCTION("""COMPUTED_VALUE"""),"AURORA")</f>
        <v>AURORA</v>
      </c>
      <c r="I100" s="13" t="str">
        <f>IFERROR(__xludf.DUMMYFUNCTION("""COMPUTED_VALUE"""),"CO")</f>
        <v>CO</v>
      </c>
      <c r="J100" s="13" t="str">
        <f>IFERROR(__xludf.DUMMYFUNCTION("""COMPUTED_VALUE"""),"80010-1229")</f>
        <v>80010-1229</v>
      </c>
      <c r="K100" s="13" t="str">
        <f>IFERROR(__xludf.DUMMYFUNCTION("""COMPUTED_VALUE"""),"Arapahoe")</f>
        <v>Arapahoe</v>
      </c>
      <c r="L100" s="17" t="str">
        <f>IFERROR(__xludf.DUMMYFUNCTION("""COMPUTED_VALUE"""),"Y")</f>
        <v>Y</v>
      </c>
      <c r="M100" s="17"/>
      <c r="N100" s="17" t="str">
        <f>IFERROR(__xludf.DUMMYFUNCTION("""COMPUTED_VALUE"""),"Y")</f>
        <v>Y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>
      <c r="A101" s="13" t="str">
        <f>IFERROR(__xludf.DUMMYFUNCTION("""COMPUTED_VALUE"""),"0180")</f>
        <v>0180</v>
      </c>
      <c r="B101" s="13" t="str">
        <f>IFERROR(__xludf.DUMMYFUNCTION("""COMPUTED_VALUE"""),"ADAMS-ARAPAHOE 28J")</f>
        <v>ADAMS-ARAPAHOE 28J</v>
      </c>
      <c r="C101" s="13" t="str">
        <f>IFERROR(__xludf.DUMMYFUNCTION("""COMPUTED_VALUE"""),"91418")</f>
        <v>91418</v>
      </c>
      <c r="D101" s="13" t="str">
        <f>IFERROR(__xludf.DUMMYFUNCTION("""COMPUTED_VALUE"""),"Del Mar Aquatic Center")</f>
        <v>Del Mar Aquatic Center</v>
      </c>
      <c r="E101" s="13" t="str">
        <f>IFERROR(__xludf.DUMMYFUNCTION("""COMPUTED_VALUE"""),"Open")</f>
        <v>Open</v>
      </c>
      <c r="F101" s="13"/>
      <c r="G101" s="13" t="str">
        <f>IFERROR(__xludf.DUMMYFUNCTION("""COMPUTED_VALUE"""),"12000 E 6th Ave")</f>
        <v>12000 E 6th Ave</v>
      </c>
      <c r="H101" s="13" t="str">
        <f>IFERROR(__xludf.DUMMYFUNCTION("""COMPUTED_VALUE"""),"AURORA")</f>
        <v>AURORA</v>
      </c>
      <c r="I101" s="13" t="str">
        <f>IFERROR(__xludf.DUMMYFUNCTION("""COMPUTED_VALUE"""),"CO")</f>
        <v>CO</v>
      </c>
      <c r="J101" s="13">
        <f>IFERROR(__xludf.DUMMYFUNCTION("""COMPUTED_VALUE"""),80011.0)</f>
        <v>80011</v>
      </c>
      <c r="K101" s="13" t="str">
        <f>IFERROR(__xludf.DUMMYFUNCTION("""COMPUTED_VALUE"""),"Arapahoe")</f>
        <v>Arapahoe</v>
      </c>
      <c r="L101" s="17"/>
      <c r="M101" s="17"/>
      <c r="N101" s="17" t="str">
        <f>IFERROR(__xludf.DUMMYFUNCTION("""COMPUTED_VALUE"""),"Y")</f>
        <v>Y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>
      <c r="A102" s="13" t="str">
        <f>IFERROR(__xludf.DUMMYFUNCTION("""COMPUTED_VALUE"""),"0180")</f>
        <v>0180</v>
      </c>
      <c r="B102" s="13" t="str">
        <f>IFERROR(__xludf.DUMMYFUNCTION("""COMPUTED_VALUE"""),"ADAMS-ARAPAHOE 28J")</f>
        <v>ADAMS-ARAPAHOE 28J</v>
      </c>
      <c r="C102" s="13" t="str">
        <f>IFERROR(__xludf.DUMMYFUNCTION("""COMPUTED_VALUE"""),"91419")</f>
        <v>91419</v>
      </c>
      <c r="D102" s="13" t="str">
        <f>IFERROR(__xludf.DUMMYFUNCTION("""COMPUTED_VALUE"""),"Utah Indoor Pool")</f>
        <v>Utah Indoor Pool</v>
      </c>
      <c r="E102" s="13" t="str">
        <f>IFERROR(__xludf.DUMMYFUNCTION("""COMPUTED_VALUE"""),"Open")</f>
        <v>Open</v>
      </c>
      <c r="F102" s="13"/>
      <c r="G102" s="13" t="str">
        <f>IFERROR(__xludf.DUMMYFUNCTION("""COMPUTED_VALUE"""),"1800 S PEORIA ST")</f>
        <v>1800 S PEORIA ST</v>
      </c>
      <c r="H102" s="13" t="str">
        <f>IFERROR(__xludf.DUMMYFUNCTION("""COMPUTED_VALUE"""),"AURORA")</f>
        <v>AURORA</v>
      </c>
      <c r="I102" s="13" t="str">
        <f>IFERROR(__xludf.DUMMYFUNCTION("""COMPUTED_VALUE"""),"CO")</f>
        <v>CO</v>
      </c>
      <c r="J102" s="13" t="str">
        <f>IFERROR(__xludf.DUMMYFUNCTION("""COMPUTED_VALUE"""),"80012-5360")</f>
        <v>80012-5360</v>
      </c>
      <c r="K102" s="13" t="str">
        <f>IFERROR(__xludf.DUMMYFUNCTION("""COMPUTED_VALUE"""),"Arapahoe")</f>
        <v>Arapahoe</v>
      </c>
      <c r="L102" s="17"/>
      <c r="M102" s="17"/>
      <c r="N102" s="17" t="str">
        <f>IFERROR(__xludf.DUMMYFUNCTION("""COMPUTED_VALUE"""),"Y")</f>
        <v>Y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>
      <c r="A103" s="13" t="str">
        <f>IFERROR(__xludf.DUMMYFUNCTION("""COMPUTED_VALUE"""),"0180")</f>
        <v>0180</v>
      </c>
      <c r="B103" s="13" t="str">
        <f>IFERROR(__xludf.DUMMYFUNCTION("""COMPUTED_VALUE"""),"ADAMS-ARAPAHOE 28J")</f>
        <v>ADAMS-ARAPAHOE 28J</v>
      </c>
      <c r="C103" s="13" t="str">
        <f>IFERROR(__xludf.DUMMYFUNCTION("""COMPUTED_VALUE"""),"91420")</f>
        <v>91420</v>
      </c>
      <c r="D103" s="13" t="str">
        <f>IFERROR(__xludf.DUMMYFUNCTION("""COMPUTED_VALUE"""),"Hoops Park")</f>
        <v>Hoops Park</v>
      </c>
      <c r="E103" s="13" t="str">
        <f>IFERROR(__xludf.DUMMYFUNCTION("""COMPUTED_VALUE"""),"Open")</f>
        <v>Open</v>
      </c>
      <c r="F103" s="13"/>
      <c r="G103" s="13" t="str">
        <f>IFERROR(__xludf.DUMMYFUNCTION("""COMPUTED_VALUE"""),"16300 E. 6th Ave.")</f>
        <v>16300 E. 6th Ave.</v>
      </c>
      <c r="H103" s="13" t="str">
        <f>IFERROR(__xludf.DUMMYFUNCTION("""COMPUTED_VALUE"""),"AURORA")</f>
        <v>AURORA</v>
      </c>
      <c r="I103" s="13" t="str">
        <f>IFERROR(__xludf.DUMMYFUNCTION("""COMPUTED_VALUE"""),"CO")</f>
        <v>CO</v>
      </c>
      <c r="J103" s="13">
        <f>IFERROR(__xludf.DUMMYFUNCTION("""COMPUTED_VALUE"""),80011.0)</f>
        <v>80011</v>
      </c>
      <c r="K103" s="13" t="str">
        <f>IFERROR(__xludf.DUMMYFUNCTION("""COMPUTED_VALUE"""),"Arapahoe")</f>
        <v>Arapahoe</v>
      </c>
      <c r="L103" s="17"/>
      <c r="M103" s="17"/>
      <c r="N103" s="17" t="str">
        <f>IFERROR(__xludf.DUMMYFUNCTION("""COMPUTED_VALUE"""),"Y")</f>
        <v>Y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>
      <c r="A104" s="13" t="str">
        <f>IFERROR(__xludf.DUMMYFUNCTION("""COMPUTED_VALUE"""),"0180")</f>
        <v>0180</v>
      </c>
      <c r="B104" s="13" t="str">
        <f>IFERROR(__xludf.DUMMYFUNCTION("""COMPUTED_VALUE"""),"ADAMS-ARAPAHOE 28J")</f>
        <v>ADAMS-ARAPAHOE 28J</v>
      </c>
      <c r="C104" s="13" t="str">
        <f>IFERROR(__xludf.DUMMYFUNCTION("""COMPUTED_VALUE"""),"91446")</f>
        <v>91446</v>
      </c>
      <c r="D104" s="13" t="str">
        <f>IFERROR(__xludf.DUMMYFUNCTION("""COMPUTED_VALUE"""),"Central Rec Center")</f>
        <v>Central Rec Center</v>
      </c>
      <c r="E104" s="13" t="str">
        <f>IFERROR(__xludf.DUMMYFUNCTION("""COMPUTED_VALUE"""),"Open")</f>
        <v>Open</v>
      </c>
      <c r="F104" s="13"/>
      <c r="G104" s="13" t="str">
        <f>IFERROR(__xludf.DUMMYFUNCTION("""COMPUTED_VALUE"""),"18150 E VASSAR PL")</f>
        <v>18150 E VASSAR PL</v>
      </c>
      <c r="H104" s="13" t="str">
        <f>IFERROR(__xludf.DUMMYFUNCTION("""COMPUTED_VALUE"""),"AURORA")</f>
        <v>AURORA</v>
      </c>
      <c r="I104" s="13" t="str">
        <f>IFERROR(__xludf.DUMMYFUNCTION("""COMPUTED_VALUE"""),"CO")</f>
        <v>CO</v>
      </c>
      <c r="J104" s="13" t="str">
        <f>IFERROR(__xludf.DUMMYFUNCTION("""COMPUTED_VALUE"""),"80013-4823")</f>
        <v>80013-4823</v>
      </c>
      <c r="K104" s="13" t="str">
        <f>IFERROR(__xludf.DUMMYFUNCTION("""COMPUTED_VALUE"""),"Arapahoe")</f>
        <v>Arapahoe</v>
      </c>
      <c r="L104" s="17" t="str">
        <f>IFERROR(__xludf.DUMMYFUNCTION("""COMPUTED_VALUE"""),"Y")</f>
        <v>Y</v>
      </c>
      <c r="M104" s="17"/>
      <c r="N104" s="17" t="str">
        <f>IFERROR(__xludf.DUMMYFUNCTION("""COMPUTED_VALUE"""),"Y")</f>
        <v>Y</v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>
      <c r="A105" s="13" t="str">
        <f>IFERROR(__xludf.DUMMYFUNCTION("""COMPUTED_VALUE"""),"0180")</f>
        <v>0180</v>
      </c>
      <c r="B105" s="13" t="str">
        <f>IFERROR(__xludf.DUMMYFUNCTION("""COMPUTED_VALUE"""),"ADAMS-ARAPAHOE 28J")</f>
        <v>ADAMS-ARAPAHOE 28J</v>
      </c>
      <c r="C105" s="13" t="str">
        <f>IFERROR(__xludf.DUMMYFUNCTION("""COMPUTED_VALUE"""),"91477")</f>
        <v>91477</v>
      </c>
      <c r="D105" s="13" t="str">
        <f>IFERROR(__xludf.DUMMYFUNCTION("""COMPUTED_VALUE"""),"Meadow Hills Pool")</f>
        <v>Meadow Hills Pool</v>
      </c>
      <c r="E105" s="13" t="str">
        <f>IFERROR(__xludf.DUMMYFUNCTION("""COMPUTED_VALUE"""),"Open")</f>
        <v>Open</v>
      </c>
      <c r="F105" s="13"/>
      <c r="G105" s="13" t="str">
        <f>IFERROR(__xludf.DUMMYFUNCTION("""COMPUTED_VALUE"""),"3609 S DAWSON ST")</f>
        <v>3609 S DAWSON ST</v>
      </c>
      <c r="H105" s="13" t="str">
        <f>IFERROR(__xludf.DUMMYFUNCTION("""COMPUTED_VALUE"""),"AURORA")</f>
        <v>AURORA</v>
      </c>
      <c r="I105" s="13" t="str">
        <f>IFERROR(__xludf.DUMMYFUNCTION("""COMPUTED_VALUE"""),"CO")</f>
        <v>CO</v>
      </c>
      <c r="J105" s="13" t="str">
        <f>IFERROR(__xludf.DUMMYFUNCTION("""COMPUTED_VALUE"""),"80014-4002")</f>
        <v>80014-4002</v>
      </c>
      <c r="K105" s="13" t="str">
        <f>IFERROR(__xludf.DUMMYFUNCTION("""COMPUTED_VALUE"""),"Arapahoe")</f>
        <v>Arapahoe</v>
      </c>
      <c r="L105" s="17"/>
      <c r="M105" s="17"/>
      <c r="N105" s="17" t="str">
        <f>IFERROR(__xludf.DUMMYFUNCTION("""COMPUTED_VALUE"""),"Y")</f>
        <v>Y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>
      <c r="A106" s="13" t="str">
        <f>IFERROR(__xludf.DUMMYFUNCTION("""COMPUTED_VALUE"""),"0180")</f>
        <v>0180</v>
      </c>
      <c r="B106" s="13" t="str">
        <f>IFERROR(__xludf.DUMMYFUNCTION("""COMPUTED_VALUE"""),"ADAMS-ARAPAHOE 28J")</f>
        <v>ADAMS-ARAPAHOE 28J</v>
      </c>
      <c r="C106" s="13" t="str">
        <f>IFERROR(__xludf.DUMMYFUNCTION("""COMPUTED_VALUE"""),"91559")</f>
        <v>91559</v>
      </c>
      <c r="D106" s="13" t="str">
        <f>IFERROR(__xludf.DUMMYFUNCTION("""COMPUTED_VALUE"""),"Rocky Ridge Park")</f>
        <v>Rocky Ridge Park</v>
      </c>
      <c r="E106" s="13" t="str">
        <f>IFERROR(__xludf.DUMMYFUNCTION("""COMPUTED_VALUE"""),"Open")</f>
        <v>Open</v>
      </c>
      <c r="F106" s="13"/>
      <c r="G106" s="13" t="str">
        <f>IFERROR(__xludf.DUMMYFUNCTION("""COMPUTED_VALUE"""),"16200 Mississippi Ave")</f>
        <v>16200 Mississippi Ave</v>
      </c>
      <c r="H106" s="13" t="str">
        <f>IFERROR(__xludf.DUMMYFUNCTION("""COMPUTED_VALUE"""),"AURORA")</f>
        <v>AURORA</v>
      </c>
      <c r="I106" s="13" t="str">
        <f>IFERROR(__xludf.DUMMYFUNCTION("""COMPUTED_VALUE"""),"CO")</f>
        <v>CO</v>
      </c>
      <c r="J106" s="13">
        <f>IFERROR(__xludf.DUMMYFUNCTION("""COMPUTED_VALUE"""),80017.0)</f>
        <v>80017</v>
      </c>
      <c r="K106" s="13" t="str">
        <f>IFERROR(__xludf.DUMMYFUNCTION("""COMPUTED_VALUE"""),"Arapahoe")</f>
        <v>Arapahoe</v>
      </c>
      <c r="L106" s="17"/>
      <c r="M106" s="17"/>
      <c r="N106" s="17" t="str">
        <f>IFERROR(__xludf.DUMMYFUNCTION("""COMPUTED_VALUE"""),"Y")</f>
        <v>Y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>
      <c r="A107" s="13" t="str">
        <f>IFERROR(__xludf.DUMMYFUNCTION("""COMPUTED_VALUE"""),"0250")</f>
        <v>0250</v>
      </c>
      <c r="B107" s="13" t="str">
        <f>IFERROR(__xludf.DUMMYFUNCTION("""COMPUTED_VALUE"""),"SPRINGFIELD RE-4")</f>
        <v>SPRINGFIELD RE-4</v>
      </c>
      <c r="C107" s="13" t="str">
        <f>IFERROR(__xludf.DUMMYFUNCTION("""COMPUTED_VALUE"""),"08168")</f>
        <v>08168</v>
      </c>
      <c r="D107" s="13" t="str">
        <f>IFERROR(__xludf.DUMMYFUNCTION("""COMPUTED_VALUE"""),"SPRINGFIELD JUNIOR/SENIOR HIGH SCHOOL")</f>
        <v>SPRINGFIELD JUNIOR/SENIOR HIGH SCHOOL</v>
      </c>
      <c r="E107" s="13" t="str">
        <f>IFERROR(__xludf.DUMMYFUNCTION("""COMPUTED_VALUE"""),"Open")</f>
        <v>Open</v>
      </c>
      <c r="F107" s="13" t="str">
        <f>IFERROR(__xludf.DUMMYFUNCTION("""COMPUTED_VALUE"""),"Non-congregate")</f>
        <v>Non-congregate</v>
      </c>
      <c r="G107" s="13" t="str">
        <f>IFERROR(__xludf.DUMMYFUNCTION("""COMPUTED_VALUE"""),"475 W 5TH AVE")</f>
        <v>475 W 5TH AVE</v>
      </c>
      <c r="H107" s="13" t="str">
        <f>IFERROR(__xludf.DUMMYFUNCTION("""COMPUTED_VALUE"""),"SPRINGFIELD")</f>
        <v>SPRINGFIELD</v>
      </c>
      <c r="I107" s="13" t="str">
        <f>IFERROR(__xludf.DUMMYFUNCTION("""COMPUTED_VALUE"""),"CO")</f>
        <v>CO</v>
      </c>
      <c r="J107" s="13" t="str">
        <f>IFERROR(__xludf.DUMMYFUNCTION("""COMPUTED_VALUE"""),"81073-1205")</f>
        <v>81073-1205</v>
      </c>
      <c r="K107" s="13" t="str">
        <f>IFERROR(__xludf.DUMMYFUNCTION("""COMPUTED_VALUE"""),"Baca")</f>
        <v>Baca</v>
      </c>
      <c r="L107" s="17" t="str">
        <f>IFERROR(__xludf.DUMMYFUNCTION("""COMPUTED_VALUE"""),"Y")</f>
        <v>Y</v>
      </c>
      <c r="M107" s="17"/>
      <c r="N107" s="17" t="str">
        <f>IFERROR(__xludf.DUMMYFUNCTION("""COMPUTED_VALUE"""),"Y")</f>
        <v>Y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>
      <c r="A108" s="13" t="str">
        <f>IFERROR(__xludf.DUMMYFUNCTION("""COMPUTED_VALUE"""),"0290")</f>
        <v>0290</v>
      </c>
      <c r="B108" s="13" t="str">
        <f>IFERROR(__xludf.DUMMYFUNCTION("""COMPUTED_VALUE"""),"Bent County School District #1")</f>
        <v>Bent County School District #1</v>
      </c>
      <c r="C108" s="13" t="str">
        <f>IFERROR(__xludf.DUMMYFUNCTION("""COMPUTED_VALUE"""),"01812")</f>
        <v>01812</v>
      </c>
      <c r="D108" s="13" t="str">
        <f>IFERROR(__xludf.DUMMYFUNCTION("""COMPUTED_VALUE"""),"LAS ANIMAS ELEMENTARY SCHOOL")</f>
        <v>LAS ANIMAS ELEMENTARY SCHOOL</v>
      </c>
      <c r="E108" s="13" t="str">
        <f>IFERROR(__xludf.DUMMYFUNCTION("""COMPUTED_VALUE"""),"Open")</f>
        <v>Open</v>
      </c>
      <c r="F108" s="13"/>
      <c r="G108" s="13" t="str">
        <f>IFERROR(__xludf.DUMMYFUNCTION("""COMPUTED_VALUE"""),"530 POPLAR AVE")</f>
        <v>530 POPLAR AVE</v>
      </c>
      <c r="H108" s="13" t="str">
        <f>IFERROR(__xludf.DUMMYFUNCTION("""COMPUTED_VALUE"""),"LAS ANIMAS")</f>
        <v>LAS ANIMAS</v>
      </c>
      <c r="I108" s="13" t="str">
        <f>IFERROR(__xludf.DUMMYFUNCTION("""COMPUTED_VALUE"""),"CO")</f>
        <v>CO</v>
      </c>
      <c r="J108" s="13" t="str">
        <f>IFERROR(__xludf.DUMMYFUNCTION("""COMPUTED_VALUE"""),"81054-1669")</f>
        <v>81054-1669</v>
      </c>
      <c r="K108" s="13" t="str">
        <f>IFERROR(__xludf.DUMMYFUNCTION("""COMPUTED_VALUE"""),"Bent")</f>
        <v>Bent</v>
      </c>
      <c r="L108" s="17" t="str">
        <f>IFERROR(__xludf.DUMMYFUNCTION("""COMPUTED_VALUE"""),"Y")</f>
        <v>Y</v>
      </c>
      <c r="M108" s="17"/>
      <c r="N108" s="17" t="str">
        <f>IFERROR(__xludf.DUMMYFUNCTION("""COMPUTED_VALUE"""),"Y")</f>
        <v>Y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>
      <c r="A109" s="18" t="str">
        <f>IFERROR(__xludf.DUMMYFUNCTION("""COMPUTED_VALUE"""),"0290")</f>
        <v>0290</v>
      </c>
      <c r="B109" s="18" t="str">
        <f>IFERROR(__xludf.DUMMYFUNCTION("""COMPUTED_VALUE"""),"Bent County School District #1")</f>
        <v>Bent County School District #1</v>
      </c>
      <c r="C109" s="18" t="str">
        <f>IFERROR(__xludf.DUMMYFUNCTION("""COMPUTED_VALUE"""),"04188")</f>
        <v>04188</v>
      </c>
      <c r="D109" s="18" t="str">
        <f>IFERROR(__xludf.DUMMYFUNCTION("""COMPUTED_VALUE"""),"Bent County Early Learning Center")</f>
        <v>Bent County Early Learning Center</v>
      </c>
      <c r="E109" s="18" t="str">
        <f>IFERROR(__xludf.DUMMYFUNCTION("""COMPUTED_VALUE"""),"Closed - Enrolled")</f>
        <v>Closed - Enrolled</v>
      </c>
      <c r="F109" s="18" t="str">
        <f>IFERROR(__xludf.DUMMYFUNCTION("""COMPUTED_VALUE""")," ")</f>
        <v> </v>
      </c>
      <c r="G109" s="18" t="str">
        <f>IFERROR(__xludf.DUMMYFUNCTION("""COMPUTED_VALUE"""),"530 POPLAR AVE")</f>
        <v>530 POPLAR AVE</v>
      </c>
      <c r="H109" s="18" t="str">
        <f>IFERROR(__xludf.DUMMYFUNCTION("""COMPUTED_VALUE"""),"LAS ANIMAS")</f>
        <v>LAS ANIMAS</v>
      </c>
      <c r="I109" s="18" t="str">
        <f>IFERROR(__xludf.DUMMYFUNCTION("""COMPUTED_VALUE"""),"CO")</f>
        <v>CO</v>
      </c>
      <c r="J109" s="18" t="str">
        <f>IFERROR(__xludf.DUMMYFUNCTION("""COMPUTED_VALUE"""),"81054-1669")</f>
        <v>81054-1669</v>
      </c>
      <c r="K109" s="18" t="str">
        <f>IFERROR(__xludf.DUMMYFUNCTION("""COMPUTED_VALUE"""),"Bent")</f>
        <v>Bent</v>
      </c>
      <c r="L109" s="19" t="str">
        <f>IFERROR(__xludf.DUMMYFUNCTION("""COMPUTED_VALUE"""),"Y")</f>
        <v>Y</v>
      </c>
      <c r="M109" s="19"/>
      <c r="N109" s="19" t="str">
        <f>IFERROR(__xludf.DUMMYFUNCTION("""COMPUTED_VALUE"""),"Y")</f>
        <v>Y</v>
      </c>
      <c r="O109" s="19"/>
      <c r="P109" s="19"/>
      <c r="Q109" s="19" t="str">
        <f>IFERROR(__xludf.DUMMYFUNCTION("""COMPUTED_VALUE"""),"No Claims as of 11.24")</f>
        <v>No Claims as of 11.24</v>
      </c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>
      <c r="A110" s="13" t="str">
        <f>IFERROR(__xludf.DUMMYFUNCTION("""COMPUTED_VALUE"""),"0470")</f>
        <v>0470</v>
      </c>
      <c r="B110" s="13" t="str">
        <f>IFERROR(__xludf.DUMMYFUNCTION("""COMPUTED_VALUE"""),"ST VRAIN VALLEY RE-1J")</f>
        <v>ST VRAIN VALLEY RE-1J</v>
      </c>
      <c r="C110" s="13" t="str">
        <f>IFERROR(__xludf.DUMMYFUNCTION("""COMPUTED_VALUE"""),"00061")</f>
        <v>00061</v>
      </c>
      <c r="D110" s="13" t="str">
        <f>IFERROR(__xludf.DUMMYFUNCTION("""COMPUTED_VALUE"""),"ALPINE ELEMENTARY")</f>
        <v>ALPINE ELEMENTARY</v>
      </c>
      <c r="E110" s="13" t="str">
        <f>IFERROR(__xludf.DUMMYFUNCTION("""COMPUTED_VALUE"""),"Open")</f>
        <v>Open</v>
      </c>
      <c r="F110" s="13"/>
      <c r="G110" s="13" t="str">
        <f>IFERROR(__xludf.DUMMYFUNCTION("""COMPUTED_VALUE"""),"2005 ALPINE ST")</f>
        <v>2005 ALPINE ST</v>
      </c>
      <c r="H110" s="13" t="str">
        <f>IFERROR(__xludf.DUMMYFUNCTION("""COMPUTED_VALUE"""),"LONGMONT")</f>
        <v>LONGMONT</v>
      </c>
      <c r="I110" s="13" t="str">
        <f>IFERROR(__xludf.DUMMYFUNCTION("""COMPUTED_VALUE"""),"CO")</f>
        <v>CO</v>
      </c>
      <c r="J110" s="13" t="str">
        <f>IFERROR(__xludf.DUMMYFUNCTION("""COMPUTED_VALUE"""),"80504-2519")</f>
        <v>80504-2519</v>
      </c>
      <c r="K110" s="13" t="str">
        <f>IFERROR(__xludf.DUMMYFUNCTION("""COMPUTED_VALUE"""),"Boulder")</f>
        <v>Boulder</v>
      </c>
      <c r="L110" s="17" t="str">
        <f>IFERROR(__xludf.DUMMYFUNCTION("""COMPUTED_VALUE"""),"Y")</f>
        <v>Y</v>
      </c>
      <c r="M110" s="17"/>
      <c r="N110" s="17" t="str">
        <f>IFERROR(__xludf.DUMMYFUNCTION("""COMPUTED_VALUE"""),"Y")</f>
        <v>Y</v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>
      <c r="A111" s="13" t="str">
        <f>IFERROR(__xludf.DUMMYFUNCTION("""COMPUTED_VALUE"""),"0470")</f>
        <v>0470</v>
      </c>
      <c r="B111" s="13" t="str">
        <f>IFERROR(__xludf.DUMMYFUNCTION("""COMPUTED_VALUE"""),"ST VRAIN VALLEY RE-1J")</f>
        <v>ST VRAIN VALLEY RE-1J</v>
      </c>
      <c r="C111" s="13" t="str">
        <f>IFERROR(__xludf.DUMMYFUNCTION("""COMPUTED_VALUE"""),"01284")</f>
        <v>01284</v>
      </c>
      <c r="D111" s="13" t="str">
        <f>IFERROR(__xludf.DUMMYFUNCTION("""COMPUTED_VALUE"""),"Carbon Valley Academy")</f>
        <v>Carbon Valley Academy</v>
      </c>
      <c r="E111" s="13" t="str">
        <f>IFERROR(__xludf.DUMMYFUNCTION("""COMPUTED_VALUE"""),"Open")</f>
        <v>Open</v>
      </c>
      <c r="F111" s="13"/>
      <c r="G111" s="13" t="str">
        <f>IFERROR(__xludf.DUMMYFUNCTION("""COMPUTED_VALUE"""),"4040 CORIOLIS WAY")</f>
        <v>4040 CORIOLIS WAY</v>
      </c>
      <c r="H111" s="13" t="str">
        <f>IFERROR(__xludf.DUMMYFUNCTION("""COMPUTED_VALUE"""),"FREDERICK")</f>
        <v>FREDERICK</v>
      </c>
      <c r="I111" s="13" t="str">
        <f>IFERROR(__xludf.DUMMYFUNCTION("""COMPUTED_VALUE"""),"CO")</f>
        <v>CO</v>
      </c>
      <c r="J111" s="13" t="str">
        <f>IFERROR(__xludf.DUMMYFUNCTION("""COMPUTED_VALUE"""),"80504-5449")</f>
        <v>80504-5449</v>
      </c>
      <c r="K111" s="13" t="str">
        <f>IFERROR(__xludf.DUMMYFUNCTION("""COMPUTED_VALUE"""),"Boulder")</f>
        <v>Boulder</v>
      </c>
      <c r="L111" s="17" t="str">
        <f>IFERROR(__xludf.DUMMYFUNCTION("""COMPUTED_VALUE"""),"Y")</f>
        <v>Y</v>
      </c>
      <c r="M111" s="17"/>
      <c r="N111" s="17" t="str">
        <f>IFERROR(__xludf.DUMMYFUNCTION("""COMPUTED_VALUE"""),"Y")</f>
        <v>Y</v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>
      <c r="A112" s="13" t="str">
        <f>IFERROR(__xludf.DUMMYFUNCTION("""COMPUTED_VALUE"""),"0470")</f>
        <v>0470</v>
      </c>
      <c r="B112" s="13" t="str">
        <f>IFERROR(__xludf.DUMMYFUNCTION("""COMPUTED_VALUE"""),"ST VRAIN VALLEY RE-1J")</f>
        <v>ST VRAIN VALLEY RE-1J</v>
      </c>
      <c r="C112" s="13" t="str">
        <f>IFERROR(__xludf.DUMMYFUNCTION("""COMPUTED_VALUE"""),"01844")</f>
        <v>01844</v>
      </c>
      <c r="D112" s="13" t="str">
        <f>IFERROR(__xludf.DUMMYFUNCTION("""COMPUTED_VALUE"""),"COLUMBINE ELEMENTARY SCHOOL")</f>
        <v>COLUMBINE ELEMENTARY SCHOOL</v>
      </c>
      <c r="E112" s="13" t="str">
        <f>IFERROR(__xludf.DUMMYFUNCTION("""COMPUTED_VALUE"""),"Open")</f>
        <v>Open</v>
      </c>
      <c r="F112" s="13"/>
      <c r="G112" s="13" t="str">
        <f>IFERROR(__xludf.DUMMYFUNCTION("""COMPUTED_VALUE"""),"111 LONGS PEAK AVE")</f>
        <v>111 LONGS PEAK AVE</v>
      </c>
      <c r="H112" s="13" t="str">
        <f>IFERROR(__xludf.DUMMYFUNCTION("""COMPUTED_VALUE"""),"LONGMONT")</f>
        <v>LONGMONT</v>
      </c>
      <c r="I112" s="13" t="str">
        <f>IFERROR(__xludf.DUMMYFUNCTION("""COMPUTED_VALUE"""),"CO")</f>
        <v>CO</v>
      </c>
      <c r="J112" s="13" t="str">
        <f>IFERROR(__xludf.DUMMYFUNCTION("""COMPUTED_VALUE"""),"80501-5078")</f>
        <v>80501-5078</v>
      </c>
      <c r="K112" s="13" t="str">
        <f>IFERROR(__xludf.DUMMYFUNCTION("""COMPUTED_VALUE"""),"Boulder")</f>
        <v>Boulder</v>
      </c>
      <c r="L112" s="17" t="str">
        <f>IFERROR(__xludf.DUMMYFUNCTION("""COMPUTED_VALUE"""),"Y")</f>
        <v>Y</v>
      </c>
      <c r="M112" s="17"/>
      <c r="N112" s="17" t="str">
        <f>IFERROR(__xludf.DUMMYFUNCTION("""COMPUTED_VALUE"""),"Y")</f>
        <v>Y</v>
      </c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>
      <c r="A113" s="13" t="str">
        <f>IFERROR(__xludf.DUMMYFUNCTION("""COMPUTED_VALUE"""),"0470")</f>
        <v>0470</v>
      </c>
      <c r="B113" s="13" t="str">
        <f>IFERROR(__xludf.DUMMYFUNCTION("""COMPUTED_VALUE"""),"ST VRAIN VALLEY RE-1J")</f>
        <v>ST VRAIN VALLEY RE-1J</v>
      </c>
      <c r="C113" s="13" t="str">
        <f>IFERROR(__xludf.DUMMYFUNCTION("""COMPUTED_VALUE"""),"02760")</f>
        <v>02760</v>
      </c>
      <c r="D113" s="13" t="str">
        <f>IFERROR(__xludf.DUMMYFUNCTION("""COMPUTED_VALUE"""),"ERIE MIDDLE SCHOOL")</f>
        <v>ERIE MIDDLE SCHOOL</v>
      </c>
      <c r="E113" s="13" t="str">
        <f>IFERROR(__xludf.DUMMYFUNCTION("""COMPUTED_VALUE"""),"Open")</f>
        <v>Open</v>
      </c>
      <c r="F113" s="13"/>
      <c r="G113" s="13" t="str">
        <f>IFERROR(__xludf.DUMMYFUNCTION("""COMPUTED_VALUE"""),"650 MAIN ST")</f>
        <v>650 MAIN ST</v>
      </c>
      <c r="H113" s="13" t="str">
        <f>IFERROR(__xludf.DUMMYFUNCTION("""COMPUTED_VALUE"""),"ERIE")</f>
        <v>ERIE</v>
      </c>
      <c r="I113" s="13" t="str">
        <f>IFERROR(__xludf.DUMMYFUNCTION("""COMPUTED_VALUE"""),"CO")</f>
        <v>CO</v>
      </c>
      <c r="J113" s="13">
        <f>IFERROR(__xludf.DUMMYFUNCTION("""COMPUTED_VALUE"""),80516.0)</f>
        <v>80516</v>
      </c>
      <c r="K113" s="13" t="str">
        <f>IFERROR(__xludf.DUMMYFUNCTION("""COMPUTED_VALUE"""),"Weld")</f>
        <v>Weld</v>
      </c>
      <c r="L113" s="17" t="str">
        <f>IFERROR(__xludf.DUMMYFUNCTION("""COMPUTED_VALUE"""),"Y")</f>
        <v>Y</v>
      </c>
      <c r="M113" s="17"/>
      <c r="N113" s="17" t="str">
        <f>IFERROR(__xludf.DUMMYFUNCTION("""COMPUTED_VALUE"""),"Y")</f>
        <v>Y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>
      <c r="A114" s="13" t="str">
        <f>IFERROR(__xludf.DUMMYFUNCTION("""COMPUTED_VALUE"""),"0470")</f>
        <v>0470</v>
      </c>
      <c r="B114" s="13" t="str">
        <f>IFERROR(__xludf.DUMMYFUNCTION("""COMPUTED_VALUE"""),"ST VRAIN VALLEY RE-1J")</f>
        <v>ST VRAIN VALLEY RE-1J</v>
      </c>
      <c r="C114" s="13" t="str">
        <f>IFERROR(__xludf.DUMMYFUNCTION("""COMPUTED_VALUE"""),"03192")</f>
        <v>03192</v>
      </c>
      <c r="D114" s="13" t="str">
        <f>IFERROR(__xludf.DUMMYFUNCTION("""COMPUTED_VALUE"""),"Thunder Valley PK-8")</f>
        <v>Thunder Valley PK-8</v>
      </c>
      <c r="E114" s="13" t="str">
        <f>IFERROR(__xludf.DUMMYFUNCTION("""COMPUTED_VALUE"""),"Open")</f>
        <v>Open</v>
      </c>
      <c r="F114" s="13"/>
      <c r="G114" s="13" t="str">
        <f>IFERROR(__xludf.DUMMYFUNCTION("""COMPUTED_VALUE"""),"600 5TH ST")</f>
        <v>600 5TH ST</v>
      </c>
      <c r="H114" s="13" t="str">
        <f>IFERROR(__xludf.DUMMYFUNCTION("""COMPUTED_VALUE"""),"FREDERICK")</f>
        <v>FREDERICK</v>
      </c>
      <c r="I114" s="13" t="str">
        <f>IFERROR(__xludf.DUMMYFUNCTION("""COMPUTED_VALUE"""),"CO")</f>
        <v>CO</v>
      </c>
      <c r="J114" s="13" t="str">
        <f>IFERROR(__xludf.DUMMYFUNCTION("""COMPUTED_VALUE"""),"80530-7008")</f>
        <v>80530-7008</v>
      </c>
      <c r="K114" s="13" t="str">
        <f>IFERROR(__xludf.DUMMYFUNCTION("""COMPUTED_VALUE"""),"Weld")</f>
        <v>Weld</v>
      </c>
      <c r="L114" s="17" t="str">
        <f>IFERROR(__xludf.DUMMYFUNCTION("""COMPUTED_VALUE"""),"Y")</f>
        <v>Y</v>
      </c>
      <c r="M114" s="17"/>
      <c r="N114" s="17" t="str">
        <f>IFERROR(__xludf.DUMMYFUNCTION("""COMPUTED_VALUE"""),"Y")</f>
        <v>Y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>
      <c r="A115" s="13" t="str">
        <f>IFERROR(__xludf.DUMMYFUNCTION("""COMPUTED_VALUE"""),"0470")</f>
        <v>0470</v>
      </c>
      <c r="B115" s="13" t="str">
        <f>IFERROR(__xludf.DUMMYFUNCTION("""COMPUTED_VALUE"""),"ST VRAIN VALLEY RE-1J")</f>
        <v>ST VRAIN VALLEY RE-1J</v>
      </c>
      <c r="C115" s="13" t="str">
        <f>IFERROR(__xludf.DUMMYFUNCTION("""COMPUTED_VALUE"""),"03194")</f>
        <v>03194</v>
      </c>
      <c r="D115" s="13" t="str">
        <f>IFERROR(__xludf.DUMMYFUNCTION("""COMPUTED_VALUE"""),"COAL RIDGE MIDDLE SCHOOL")</f>
        <v>COAL RIDGE MIDDLE SCHOOL</v>
      </c>
      <c r="E115" s="13" t="str">
        <f>IFERROR(__xludf.DUMMYFUNCTION("""COMPUTED_VALUE"""),"Open")</f>
        <v>Open</v>
      </c>
      <c r="F115" s="13"/>
      <c r="G115" s="13" t="str">
        <f>IFERROR(__xludf.DUMMYFUNCTION("""COMPUTED_VALUE"""),"6201 BOOTH DR")</f>
        <v>6201 BOOTH DR</v>
      </c>
      <c r="H115" s="13" t="str">
        <f>IFERROR(__xludf.DUMMYFUNCTION("""COMPUTED_VALUE"""),"FIRESTONE")</f>
        <v>FIRESTONE</v>
      </c>
      <c r="I115" s="13" t="str">
        <f>IFERROR(__xludf.DUMMYFUNCTION("""COMPUTED_VALUE"""),"CO")</f>
        <v>CO</v>
      </c>
      <c r="J115" s="13" t="str">
        <f>IFERROR(__xludf.DUMMYFUNCTION("""COMPUTED_VALUE"""),"80504-5691")</f>
        <v>80504-5691</v>
      </c>
      <c r="K115" s="13" t="str">
        <f>IFERROR(__xludf.DUMMYFUNCTION("""COMPUTED_VALUE"""),"Weld")</f>
        <v>Weld</v>
      </c>
      <c r="L115" s="17" t="str">
        <f>IFERROR(__xludf.DUMMYFUNCTION("""COMPUTED_VALUE"""),"Y")</f>
        <v>Y</v>
      </c>
      <c r="M115" s="17"/>
      <c r="N115" s="17" t="str">
        <f>IFERROR(__xludf.DUMMYFUNCTION("""COMPUTED_VALUE"""),"Y")</f>
        <v>Y</v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>
      <c r="A116" s="13" t="str">
        <f>IFERROR(__xludf.DUMMYFUNCTION("""COMPUTED_VALUE"""),"0470")</f>
        <v>0470</v>
      </c>
      <c r="B116" s="13" t="str">
        <f>IFERROR(__xludf.DUMMYFUNCTION("""COMPUTED_VALUE"""),"ST VRAIN VALLEY RE-1J")</f>
        <v>ST VRAIN VALLEY RE-1J</v>
      </c>
      <c r="C116" s="13" t="str">
        <f>IFERROR(__xludf.DUMMYFUNCTION("""COMPUTED_VALUE"""),"03196")</f>
        <v>03196</v>
      </c>
      <c r="D116" s="13" t="str">
        <f>IFERROR(__xludf.DUMMYFUNCTION("""COMPUTED_VALUE"""),"FREDERICK SENIOR HIGH SCHOOL")</f>
        <v>FREDERICK SENIOR HIGH SCHOOL</v>
      </c>
      <c r="E116" s="13" t="str">
        <f>IFERROR(__xludf.DUMMYFUNCTION("""COMPUTED_VALUE"""),"Open")</f>
        <v>Open</v>
      </c>
      <c r="F116" s="13"/>
      <c r="G116" s="13" t="str">
        <f>IFERROR(__xludf.DUMMYFUNCTION("""COMPUTED_VALUE"""),"5690 TIPPLE PKWY")</f>
        <v>5690 TIPPLE PKWY</v>
      </c>
      <c r="H116" s="13" t="str">
        <f>IFERROR(__xludf.DUMMYFUNCTION("""COMPUTED_VALUE"""),"FREDERICK")</f>
        <v>FREDERICK</v>
      </c>
      <c r="I116" s="13" t="str">
        <f>IFERROR(__xludf.DUMMYFUNCTION("""COMPUTED_VALUE"""),"CO")</f>
        <v>CO</v>
      </c>
      <c r="J116" s="13" t="str">
        <f>IFERROR(__xludf.DUMMYFUNCTION("""COMPUTED_VALUE"""),"80504-9501")</f>
        <v>80504-9501</v>
      </c>
      <c r="K116" s="13" t="str">
        <f>IFERROR(__xludf.DUMMYFUNCTION("""COMPUTED_VALUE"""),"Weld")</f>
        <v>Weld</v>
      </c>
      <c r="L116" s="17" t="str">
        <f>IFERROR(__xludf.DUMMYFUNCTION("""COMPUTED_VALUE"""),"Y")</f>
        <v>Y</v>
      </c>
      <c r="M116" s="17"/>
      <c r="N116" s="17" t="str">
        <f>IFERROR(__xludf.DUMMYFUNCTION("""COMPUTED_VALUE"""),"Y")</f>
        <v>Y</v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>
      <c r="A117" s="13" t="str">
        <f>IFERROR(__xludf.DUMMYFUNCTION("""COMPUTED_VALUE"""),"0470")</f>
        <v>0470</v>
      </c>
      <c r="B117" s="13" t="str">
        <f>IFERROR(__xludf.DUMMYFUNCTION("""COMPUTED_VALUE"""),"ST VRAIN VALLEY RE-1J")</f>
        <v>ST VRAIN VALLEY RE-1J</v>
      </c>
      <c r="C117" s="13" t="str">
        <f>IFERROR(__xludf.DUMMYFUNCTION("""COMPUTED_VALUE"""),"04278")</f>
        <v>04278</v>
      </c>
      <c r="D117" s="13" t="str">
        <f>IFERROR(__xludf.DUMMYFUNCTION("""COMPUTED_VALUE"""),"INDIAN PEAKS ELEMENTARY SCHOOL")</f>
        <v>INDIAN PEAKS ELEMENTARY SCHOOL</v>
      </c>
      <c r="E117" s="13" t="str">
        <f>IFERROR(__xludf.DUMMYFUNCTION("""COMPUTED_VALUE"""),"Open")</f>
        <v>Open</v>
      </c>
      <c r="F117" s="13"/>
      <c r="G117" s="13" t="str">
        <f>IFERROR(__xludf.DUMMYFUNCTION("""COMPUTED_VALUE"""),"1335 S JUDSON ST")</f>
        <v>1335 S JUDSON ST</v>
      </c>
      <c r="H117" s="13" t="str">
        <f>IFERROR(__xludf.DUMMYFUNCTION("""COMPUTED_VALUE"""),"LONGMONT")</f>
        <v>LONGMONT</v>
      </c>
      <c r="I117" s="13" t="str">
        <f>IFERROR(__xludf.DUMMYFUNCTION("""COMPUTED_VALUE"""),"CO")</f>
        <v>CO</v>
      </c>
      <c r="J117" s="13" t="str">
        <f>IFERROR(__xludf.DUMMYFUNCTION("""COMPUTED_VALUE"""),"80501-6511")</f>
        <v>80501-6511</v>
      </c>
      <c r="K117" s="13" t="str">
        <f>IFERROR(__xludf.DUMMYFUNCTION("""COMPUTED_VALUE"""),"Boulder")</f>
        <v>Boulder</v>
      </c>
      <c r="L117" s="17" t="str">
        <f>IFERROR(__xludf.DUMMYFUNCTION("""COMPUTED_VALUE"""),"Y")</f>
        <v>Y</v>
      </c>
      <c r="M117" s="17"/>
      <c r="N117" s="17" t="str">
        <f>IFERROR(__xludf.DUMMYFUNCTION("""COMPUTED_VALUE"""),"Y")</f>
        <v>Y</v>
      </c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>
      <c r="A118" s="13" t="str">
        <f>IFERROR(__xludf.DUMMYFUNCTION("""COMPUTED_VALUE"""),"0470")</f>
        <v>0470</v>
      </c>
      <c r="B118" s="13" t="str">
        <f>IFERROR(__xludf.DUMMYFUNCTION("""COMPUTED_VALUE"""),"ST VRAIN VALLEY RE-1J")</f>
        <v>ST VRAIN VALLEY RE-1J</v>
      </c>
      <c r="C118" s="13" t="str">
        <f>IFERROR(__xludf.DUMMYFUNCTION("""COMPUTED_VALUE"""),"05282")</f>
        <v>05282</v>
      </c>
      <c r="D118" s="13" t="str">
        <f>IFERROR(__xludf.DUMMYFUNCTION("""COMPUTED_VALUE"""),"LONGMONT HIGH SCHOOL")</f>
        <v>LONGMONT HIGH SCHOOL</v>
      </c>
      <c r="E118" s="13" t="str">
        <f>IFERROR(__xludf.DUMMYFUNCTION("""COMPUTED_VALUE"""),"Open")</f>
        <v>Open</v>
      </c>
      <c r="F118" s="13"/>
      <c r="G118" s="13" t="str">
        <f>IFERROR(__xludf.DUMMYFUNCTION("""COMPUTED_VALUE"""),"1040 SUNSET ST")</f>
        <v>1040 SUNSET ST</v>
      </c>
      <c r="H118" s="13" t="str">
        <f>IFERROR(__xludf.DUMMYFUNCTION("""COMPUTED_VALUE"""),"LONGMONT")</f>
        <v>LONGMONT</v>
      </c>
      <c r="I118" s="13" t="str">
        <f>IFERROR(__xludf.DUMMYFUNCTION("""COMPUTED_VALUE"""),"CO")</f>
        <v>CO</v>
      </c>
      <c r="J118" s="13" t="str">
        <f>IFERROR(__xludf.DUMMYFUNCTION("""COMPUTED_VALUE"""),"80501-4118")</f>
        <v>80501-4118</v>
      </c>
      <c r="K118" s="13" t="str">
        <f>IFERROR(__xludf.DUMMYFUNCTION("""COMPUTED_VALUE"""),"Boulder")</f>
        <v>Boulder</v>
      </c>
      <c r="L118" s="17" t="str">
        <f>IFERROR(__xludf.DUMMYFUNCTION("""COMPUTED_VALUE"""),"Y")</f>
        <v>Y</v>
      </c>
      <c r="M118" s="17"/>
      <c r="N118" s="17" t="str">
        <f>IFERROR(__xludf.DUMMYFUNCTION("""COMPUTED_VALUE"""),"Y")</f>
        <v>Y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>
      <c r="A119" s="13" t="str">
        <f>IFERROR(__xludf.DUMMYFUNCTION("""COMPUTED_VALUE"""),"0470")</f>
        <v>0470</v>
      </c>
      <c r="B119" s="13" t="str">
        <f>IFERROR(__xludf.DUMMYFUNCTION("""COMPUTED_VALUE"""),"ST VRAIN VALLEY RE-1J")</f>
        <v>ST VRAIN VALLEY RE-1J</v>
      </c>
      <c r="C119" s="13" t="str">
        <f>IFERROR(__xludf.DUMMYFUNCTION("""COMPUTED_VALUE"""),"05286")</f>
        <v>05286</v>
      </c>
      <c r="D119" s="13" t="str">
        <f>IFERROR(__xludf.DUMMYFUNCTION("""COMPUTED_VALUE"""),"SUNSET MIDDLE SCHOOL")</f>
        <v>SUNSET MIDDLE SCHOOL</v>
      </c>
      <c r="E119" s="13" t="str">
        <f>IFERROR(__xludf.DUMMYFUNCTION("""COMPUTED_VALUE"""),"Open")</f>
        <v>Open</v>
      </c>
      <c r="F119" s="13"/>
      <c r="G119" s="13" t="str">
        <f>IFERROR(__xludf.DUMMYFUNCTION("""COMPUTED_VALUE"""),"1300 S SUNSET ST")</f>
        <v>1300 S SUNSET ST</v>
      </c>
      <c r="H119" s="13" t="str">
        <f>IFERROR(__xludf.DUMMYFUNCTION("""COMPUTED_VALUE"""),"LONGMONT")</f>
        <v>LONGMONT</v>
      </c>
      <c r="I119" s="13" t="str">
        <f>IFERROR(__xludf.DUMMYFUNCTION("""COMPUTED_VALUE"""),"CO")</f>
        <v>CO</v>
      </c>
      <c r="J119" s="13" t="str">
        <f>IFERROR(__xludf.DUMMYFUNCTION("""COMPUTED_VALUE"""),"80501-6528")</f>
        <v>80501-6528</v>
      </c>
      <c r="K119" s="13" t="str">
        <f>IFERROR(__xludf.DUMMYFUNCTION("""COMPUTED_VALUE"""),"Boulder")</f>
        <v>Boulder</v>
      </c>
      <c r="L119" s="17" t="str">
        <f>IFERROR(__xludf.DUMMYFUNCTION("""COMPUTED_VALUE"""),"Y")</f>
        <v>Y</v>
      </c>
      <c r="M119" s="17"/>
      <c r="N119" s="17" t="str">
        <f>IFERROR(__xludf.DUMMYFUNCTION("""COMPUTED_VALUE"""),"Y")</f>
        <v>Y</v>
      </c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>
      <c r="A120" s="13" t="str">
        <f>IFERROR(__xludf.DUMMYFUNCTION("""COMPUTED_VALUE"""),"0470")</f>
        <v>0470</v>
      </c>
      <c r="B120" s="13" t="str">
        <f>IFERROR(__xludf.DUMMYFUNCTION("""COMPUTED_VALUE"""),"ST VRAIN VALLEY RE-1J")</f>
        <v>ST VRAIN VALLEY RE-1J</v>
      </c>
      <c r="C120" s="13" t="str">
        <f>IFERROR(__xludf.DUMMYFUNCTION("""COMPUTED_VALUE"""),"05288")</f>
        <v>05288</v>
      </c>
      <c r="D120" s="13" t="str">
        <f>IFERROR(__xludf.DUMMYFUNCTION("""COMPUTED_VALUE"""),"LONGS PEAK MIDDLE SCHOOL")</f>
        <v>LONGS PEAK MIDDLE SCHOOL</v>
      </c>
      <c r="E120" s="13" t="str">
        <f>IFERROR(__xludf.DUMMYFUNCTION("""COMPUTED_VALUE"""),"Open")</f>
        <v>Open</v>
      </c>
      <c r="F120" s="13"/>
      <c r="G120" s="13" t="str">
        <f>IFERROR(__xludf.DUMMYFUNCTION("""COMPUTED_VALUE"""),"1500 14TH AVE")</f>
        <v>1500 14TH AVE</v>
      </c>
      <c r="H120" s="13" t="str">
        <f>IFERROR(__xludf.DUMMYFUNCTION("""COMPUTED_VALUE"""),"LONGMONT")</f>
        <v>LONGMONT</v>
      </c>
      <c r="I120" s="13" t="str">
        <f>IFERROR(__xludf.DUMMYFUNCTION("""COMPUTED_VALUE"""),"CO")</f>
        <v>CO</v>
      </c>
      <c r="J120" s="13" t="str">
        <f>IFERROR(__xludf.DUMMYFUNCTION("""COMPUTED_VALUE"""),"80501-3204")</f>
        <v>80501-3204</v>
      </c>
      <c r="K120" s="13" t="str">
        <f>IFERROR(__xludf.DUMMYFUNCTION("""COMPUTED_VALUE"""),"Boulder")</f>
        <v>Boulder</v>
      </c>
      <c r="L120" s="17" t="str">
        <f>IFERROR(__xludf.DUMMYFUNCTION("""COMPUTED_VALUE"""),"Y")</f>
        <v>Y</v>
      </c>
      <c r="M120" s="17"/>
      <c r="N120" s="17" t="str">
        <f>IFERROR(__xludf.DUMMYFUNCTION("""COMPUTED_VALUE"""),"Y")</f>
        <v>Y</v>
      </c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>
      <c r="A121" s="13" t="str">
        <f>IFERROR(__xludf.DUMMYFUNCTION("""COMPUTED_VALUE"""),"0470")</f>
        <v>0470</v>
      </c>
      <c r="B121" s="13" t="str">
        <f>IFERROR(__xludf.DUMMYFUNCTION("""COMPUTED_VALUE"""),"ST VRAIN VALLEY RE-1J")</f>
        <v>ST VRAIN VALLEY RE-1J</v>
      </c>
      <c r="C121" s="13" t="str">
        <f>IFERROR(__xludf.DUMMYFUNCTION("""COMPUTED_VALUE"""),"06010")</f>
        <v>06010</v>
      </c>
      <c r="D121" s="13" t="str">
        <f>IFERROR(__xludf.DUMMYFUNCTION("""COMPUTED_VALUE"""),"Timberline PK-8")</f>
        <v>Timberline PK-8</v>
      </c>
      <c r="E121" s="13" t="str">
        <f>IFERROR(__xludf.DUMMYFUNCTION("""COMPUTED_VALUE"""),"Open")</f>
        <v>Open</v>
      </c>
      <c r="F121" s="13"/>
      <c r="G121" s="13" t="str">
        <f>IFERROR(__xludf.DUMMYFUNCTION("""COMPUTED_VALUE"""),"233 E MOUNTAIN VIEW AVE")</f>
        <v>233 E MOUNTAIN VIEW AVE</v>
      </c>
      <c r="H121" s="13" t="str">
        <f>IFERROR(__xludf.DUMMYFUNCTION("""COMPUTED_VALUE"""),"LONGMONT")</f>
        <v>LONGMONT</v>
      </c>
      <c r="I121" s="13" t="str">
        <f>IFERROR(__xludf.DUMMYFUNCTION("""COMPUTED_VALUE"""),"CO")</f>
        <v>CO</v>
      </c>
      <c r="J121" s="13" t="str">
        <f>IFERROR(__xludf.DUMMYFUNCTION("""COMPUTED_VALUE"""),"80504-3030")</f>
        <v>80504-3030</v>
      </c>
      <c r="K121" s="13" t="str">
        <f>IFERROR(__xludf.DUMMYFUNCTION("""COMPUTED_VALUE"""),"Boulder")</f>
        <v>Boulder</v>
      </c>
      <c r="L121" s="17" t="str">
        <f>IFERROR(__xludf.DUMMYFUNCTION("""COMPUTED_VALUE"""),"Y")</f>
        <v>Y</v>
      </c>
      <c r="M121" s="17"/>
      <c r="N121" s="17" t="str">
        <f>IFERROR(__xludf.DUMMYFUNCTION("""COMPUTED_VALUE"""),"Y")</f>
        <v>Y</v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>
      <c r="A122" s="13" t="str">
        <f>IFERROR(__xludf.DUMMYFUNCTION("""COMPUTED_VALUE"""),"0470")</f>
        <v>0470</v>
      </c>
      <c r="B122" s="13" t="str">
        <f>IFERROR(__xludf.DUMMYFUNCTION("""COMPUTED_VALUE"""),"ST VRAIN VALLEY RE-1J")</f>
        <v>ST VRAIN VALLEY RE-1J</v>
      </c>
      <c r="C122" s="13" t="str">
        <f>IFERROR(__xludf.DUMMYFUNCTION("""COMPUTED_VALUE"""),"06156")</f>
        <v>06156</v>
      </c>
      <c r="D122" s="13" t="str">
        <f>IFERROR(__xludf.DUMMYFUNCTION("""COMPUTED_VALUE"""),"MOUNTAIN VIEW ELEMENTARY SCHOOL")</f>
        <v>MOUNTAIN VIEW ELEMENTARY SCHOOL</v>
      </c>
      <c r="E122" s="13" t="str">
        <f>IFERROR(__xludf.DUMMYFUNCTION("""COMPUTED_VALUE"""),"Open")</f>
        <v>Open</v>
      </c>
      <c r="F122" s="13"/>
      <c r="G122" s="13" t="str">
        <f>IFERROR(__xludf.DUMMYFUNCTION("""COMPUTED_VALUE"""),"1415 14TH AVE")</f>
        <v>1415 14TH AVE</v>
      </c>
      <c r="H122" s="13" t="str">
        <f>IFERROR(__xludf.DUMMYFUNCTION("""COMPUTED_VALUE"""),"LONGMONT")</f>
        <v>LONGMONT</v>
      </c>
      <c r="I122" s="13" t="str">
        <f>IFERROR(__xludf.DUMMYFUNCTION("""COMPUTED_VALUE"""),"CO")</f>
        <v>CO</v>
      </c>
      <c r="J122" s="13" t="str">
        <f>IFERROR(__xludf.DUMMYFUNCTION("""COMPUTED_VALUE"""),"80501-2502")</f>
        <v>80501-2502</v>
      </c>
      <c r="K122" s="13" t="str">
        <f>IFERROR(__xludf.DUMMYFUNCTION("""COMPUTED_VALUE"""),"Boulder")</f>
        <v>Boulder</v>
      </c>
      <c r="L122" s="17" t="str">
        <f>IFERROR(__xludf.DUMMYFUNCTION("""COMPUTED_VALUE"""),"Y")</f>
        <v>Y</v>
      </c>
      <c r="M122" s="17"/>
      <c r="N122" s="17" t="str">
        <f>IFERROR(__xludf.DUMMYFUNCTION("""COMPUTED_VALUE"""),"Y")</f>
        <v>Y</v>
      </c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>
      <c r="A123" s="13" t="str">
        <f>IFERROR(__xludf.DUMMYFUNCTION("""COMPUTED_VALUE"""),"0470")</f>
        <v>0470</v>
      </c>
      <c r="B123" s="13" t="str">
        <f>IFERROR(__xludf.DUMMYFUNCTION("""COMPUTED_VALUE"""),"ST VRAIN VALLEY RE-1J")</f>
        <v>ST VRAIN VALLEY RE-1J</v>
      </c>
      <c r="C123" s="13" t="str">
        <f>IFERROR(__xludf.DUMMYFUNCTION("""COMPUTED_VALUE"""),"06276")</f>
        <v>06276</v>
      </c>
      <c r="D123" s="13" t="str">
        <f>IFERROR(__xludf.DUMMYFUNCTION("""COMPUTED_VALUE"""),"NIWOT HIGH SCHOOL")</f>
        <v>NIWOT HIGH SCHOOL</v>
      </c>
      <c r="E123" s="13" t="str">
        <f>IFERROR(__xludf.DUMMYFUNCTION("""COMPUTED_VALUE"""),"Open")</f>
        <v>Open</v>
      </c>
      <c r="F123" s="13"/>
      <c r="G123" s="13" t="str">
        <f>IFERROR(__xludf.DUMMYFUNCTION("""COMPUTED_VALUE"""),"8989 NIWOT RD")</f>
        <v>8989 NIWOT RD</v>
      </c>
      <c r="H123" s="13" t="str">
        <f>IFERROR(__xludf.DUMMYFUNCTION("""COMPUTED_VALUE"""),"NIWOT")</f>
        <v>NIWOT</v>
      </c>
      <c r="I123" s="13" t="str">
        <f>IFERROR(__xludf.DUMMYFUNCTION("""COMPUTED_VALUE"""),"CO")</f>
        <v>CO</v>
      </c>
      <c r="J123" s="13" t="str">
        <f>IFERROR(__xludf.DUMMYFUNCTION("""COMPUTED_VALUE"""),"80503-8646")</f>
        <v>80503-8646</v>
      </c>
      <c r="K123" s="13" t="str">
        <f>IFERROR(__xludf.DUMMYFUNCTION("""COMPUTED_VALUE"""),"Boulder")</f>
        <v>Boulder</v>
      </c>
      <c r="L123" s="17" t="str">
        <f>IFERROR(__xludf.DUMMYFUNCTION("""COMPUTED_VALUE"""),"Y")</f>
        <v>Y</v>
      </c>
      <c r="M123" s="17"/>
      <c r="N123" s="17" t="str">
        <f>IFERROR(__xludf.DUMMYFUNCTION("""COMPUTED_VALUE"""),"Y")</f>
        <v>Y</v>
      </c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>
      <c r="A124" s="13" t="str">
        <f>IFERROR(__xludf.DUMMYFUNCTION("""COMPUTED_VALUE"""),"0470")</f>
        <v>0470</v>
      </c>
      <c r="B124" s="13" t="str">
        <f>IFERROR(__xludf.DUMMYFUNCTION("""COMPUTED_VALUE"""),"ST VRAIN VALLEY RE-1J")</f>
        <v>ST VRAIN VALLEY RE-1J</v>
      </c>
      <c r="C124" s="13" t="str">
        <f>IFERROR(__xludf.DUMMYFUNCTION("""COMPUTED_VALUE"""),"06404")</f>
        <v>06404</v>
      </c>
      <c r="D124" s="13" t="str">
        <f>IFERROR(__xludf.DUMMYFUNCTION("""COMPUTED_VALUE"""),"NORTHRIDGE ELEMENTARY SCHOOL")</f>
        <v>NORTHRIDGE ELEMENTARY SCHOOL</v>
      </c>
      <c r="E124" s="13" t="str">
        <f>IFERROR(__xludf.DUMMYFUNCTION("""COMPUTED_VALUE"""),"Open")</f>
        <v>Open</v>
      </c>
      <c r="F124" s="13"/>
      <c r="G124" s="13" t="str">
        <f>IFERROR(__xludf.DUMMYFUNCTION("""COMPUTED_VALUE"""),"1200 19TH AVE")</f>
        <v>1200 19TH AVE</v>
      </c>
      <c r="H124" s="13" t="str">
        <f>IFERROR(__xludf.DUMMYFUNCTION("""COMPUTED_VALUE"""),"LONGMONT")</f>
        <v>LONGMONT</v>
      </c>
      <c r="I124" s="13" t="str">
        <f>IFERROR(__xludf.DUMMYFUNCTION("""COMPUTED_VALUE"""),"CO")</f>
        <v>CO</v>
      </c>
      <c r="J124" s="13" t="str">
        <f>IFERROR(__xludf.DUMMYFUNCTION("""COMPUTED_VALUE"""),"80501-1812")</f>
        <v>80501-1812</v>
      </c>
      <c r="K124" s="13" t="str">
        <f>IFERROR(__xludf.DUMMYFUNCTION("""COMPUTED_VALUE"""),"Boulder")</f>
        <v>Boulder</v>
      </c>
      <c r="L124" s="17" t="str">
        <f>IFERROR(__xludf.DUMMYFUNCTION("""COMPUTED_VALUE"""),"Y")</f>
        <v>Y</v>
      </c>
      <c r="M124" s="17"/>
      <c r="N124" s="17" t="str">
        <f>IFERROR(__xludf.DUMMYFUNCTION("""COMPUTED_VALUE"""),"Y")</f>
        <v>Y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>
      <c r="A125" s="13" t="str">
        <f>IFERROR(__xludf.DUMMYFUNCTION("""COMPUTED_VALUE"""),"0470")</f>
        <v>0470</v>
      </c>
      <c r="B125" s="13" t="str">
        <f>IFERROR(__xludf.DUMMYFUNCTION("""COMPUTED_VALUE"""),"ST VRAIN VALLEY RE-1J")</f>
        <v>ST VRAIN VALLEY RE-1J</v>
      </c>
      <c r="C125" s="13" t="str">
        <f>IFERROR(__xludf.DUMMYFUNCTION("""COMPUTED_VALUE"""),"06498")</f>
        <v>06498</v>
      </c>
      <c r="D125" s="13" t="str">
        <f>IFERROR(__xludf.DUMMYFUNCTION("""COMPUTED_VALUE"""),"New Meridian High School")</f>
        <v>New Meridian High School</v>
      </c>
      <c r="E125" s="13" t="str">
        <f>IFERROR(__xludf.DUMMYFUNCTION("""COMPUTED_VALUE"""),"Open")</f>
        <v>Open</v>
      </c>
      <c r="F125" s="13"/>
      <c r="G125" s="13" t="str">
        <f>IFERROR(__xludf.DUMMYFUNCTION("""COMPUTED_VALUE"""),"1200 S SUNSET ST")</f>
        <v>1200 S SUNSET ST</v>
      </c>
      <c r="H125" s="13" t="str">
        <f>IFERROR(__xludf.DUMMYFUNCTION("""COMPUTED_VALUE"""),"LONGMONT")</f>
        <v>LONGMONT</v>
      </c>
      <c r="I125" s="13" t="str">
        <f>IFERROR(__xludf.DUMMYFUNCTION("""COMPUTED_VALUE"""),"CO")</f>
        <v>CO</v>
      </c>
      <c r="J125" s="13" t="str">
        <f>IFERROR(__xludf.DUMMYFUNCTION("""COMPUTED_VALUE"""),"80501-6527")</f>
        <v>80501-6527</v>
      </c>
      <c r="K125" s="13" t="str">
        <f>IFERROR(__xludf.DUMMYFUNCTION("""COMPUTED_VALUE"""),"Boulder")</f>
        <v>Boulder</v>
      </c>
      <c r="L125" s="17" t="str">
        <f>IFERROR(__xludf.DUMMYFUNCTION("""COMPUTED_VALUE"""),"Y")</f>
        <v>Y</v>
      </c>
      <c r="M125" s="17"/>
      <c r="N125" s="17" t="str">
        <f>IFERROR(__xludf.DUMMYFUNCTION("""COMPUTED_VALUE"""),"Y")</f>
        <v>Y</v>
      </c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>
      <c r="A126" s="13" t="str">
        <f>IFERROR(__xludf.DUMMYFUNCTION("""COMPUTED_VALUE"""),"0470")</f>
        <v>0470</v>
      </c>
      <c r="B126" s="13" t="str">
        <f>IFERROR(__xludf.DUMMYFUNCTION("""COMPUTED_VALUE"""),"ST VRAIN VALLEY RE-1J")</f>
        <v>ST VRAIN VALLEY RE-1J</v>
      </c>
      <c r="C126" s="13" t="str">
        <f>IFERROR(__xludf.DUMMYFUNCTION("""COMPUTED_VALUE"""),"07464")</f>
        <v>07464</v>
      </c>
      <c r="D126" s="13" t="str">
        <f>IFERROR(__xludf.DUMMYFUNCTION("""COMPUTED_VALUE"""),"ROCKY MOUNTAIN ELEMENTARY SCHOOL")</f>
        <v>ROCKY MOUNTAIN ELEMENTARY SCHOOL</v>
      </c>
      <c r="E126" s="13" t="str">
        <f>IFERROR(__xludf.DUMMYFUNCTION("""COMPUTED_VALUE"""),"Open")</f>
        <v>Open</v>
      </c>
      <c r="F126" s="13"/>
      <c r="G126" s="13" t="str">
        <f>IFERROR(__xludf.DUMMYFUNCTION("""COMPUTED_VALUE"""),"800 E 5TH AVE")</f>
        <v>800 E 5TH AVE</v>
      </c>
      <c r="H126" s="13" t="str">
        <f>IFERROR(__xludf.DUMMYFUNCTION("""COMPUTED_VALUE"""),"LONGMONT")</f>
        <v>LONGMONT</v>
      </c>
      <c r="I126" s="13" t="str">
        <f>IFERROR(__xludf.DUMMYFUNCTION("""COMPUTED_VALUE"""),"CO")</f>
        <v>CO</v>
      </c>
      <c r="J126" s="13" t="str">
        <f>IFERROR(__xludf.DUMMYFUNCTION("""COMPUTED_VALUE"""),"80504-1535")</f>
        <v>80504-1535</v>
      </c>
      <c r="K126" s="13" t="str">
        <f>IFERROR(__xludf.DUMMYFUNCTION("""COMPUTED_VALUE"""),"Boulder")</f>
        <v>Boulder</v>
      </c>
      <c r="L126" s="17" t="str">
        <f>IFERROR(__xludf.DUMMYFUNCTION("""COMPUTED_VALUE"""),"Y")</f>
        <v>Y</v>
      </c>
      <c r="M126" s="17"/>
      <c r="N126" s="17" t="str">
        <f>IFERROR(__xludf.DUMMYFUNCTION("""COMPUTED_VALUE"""),"Y")</f>
        <v>Y</v>
      </c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>
      <c r="A127" s="13" t="str">
        <f>IFERROR(__xludf.DUMMYFUNCTION("""COMPUTED_VALUE"""),"0470")</f>
        <v>0470</v>
      </c>
      <c r="B127" s="13" t="str">
        <f>IFERROR(__xludf.DUMMYFUNCTION("""COMPUTED_VALUE"""),"ST VRAIN VALLEY RE-1J")</f>
        <v>ST VRAIN VALLEY RE-1J</v>
      </c>
      <c r="C127" s="13" t="str">
        <f>IFERROR(__xludf.DUMMYFUNCTION("""COMPUTED_VALUE"""),"07584")</f>
        <v>07584</v>
      </c>
      <c r="D127" s="13" t="str">
        <f>IFERROR(__xludf.DUMMYFUNCTION("""COMPUTED_VALUE"""),"SANBORN ELEMENTARY SCHOOL")</f>
        <v>SANBORN ELEMENTARY SCHOOL</v>
      </c>
      <c r="E127" s="13" t="str">
        <f>IFERROR(__xludf.DUMMYFUNCTION("""COMPUTED_VALUE"""),"Open")</f>
        <v>Open</v>
      </c>
      <c r="F127" s="13"/>
      <c r="G127" s="13" t="str">
        <f>IFERROR(__xludf.DUMMYFUNCTION("""COMPUTED_VALUE"""),"2235 VIVIAN ST")</f>
        <v>2235 VIVIAN ST</v>
      </c>
      <c r="H127" s="13" t="str">
        <f>IFERROR(__xludf.DUMMYFUNCTION("""COMPUTED_VALUE"""),"LONGMONT")</f>
        <v>LONGMONT</v>
      </c>
      <c r="I127" s="13" t="str">
        <f>IFERROR(__xludf.DUMMYFUNCTION("""COMPUTED_VALUE"""),"CO")</f>
        <v>CO</v>
      </c>
      <c r="J127" s="13" t="str">
        <f>IFERROR(__xludf.DUMMYFUNCTION("""COMPUTED_VALUE"""),"80501-1335")</f>
        <v>80501-1335</v>
      </c>
      <c r="K127" s="13" t="str">
        <f>IFERROR(__xludf.DUMMYFUNCTION("""COMPUTED_VALUE"""),"Boulder")</f>
        <v>Boulder</v>
      </c>
      <c r="L127" s="17" t="str">
        <f>IFERROR(__xludf.DUMMYFUNCTION("""COMPUTED_VALUE"""),"Y")</f>
        <v>Y</v>
      </c>
      <c r="M127" s="17"/>
      <c r="N127" s="17" t="str">
        <f>IFERROR(__xludf.DUMMYFUNCTION("""COMPUTED_VALUE"""),"Y")</f>
        <v>Y</v>
      </c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>
      <c r="A128" s="13" t="str">
        <f>IFERROR(__xludf.DUMMYFUNCTION("""COMPUTED_VALUE"""),"0470")</f>
        <v>0470</v>
      </c>
      <c r="B128" s="13" t="str">
        <f>IFERROR(__xludf.DUMMYFUNCTION("""COMPUTED_VALUE"""),"ST VRAIN VALLEY RE-1J")</f>
        <v>ST VRAIN VALLEY RE-1J</v>
      </c>
      <c r="C128" s="13" t="str">
        <f>IFERROR(__xludf.DUMMYFUNCTION("""COMPUTED_VALUE"""),"07954")</f>
        <v>07954</v>
      </c>
      <c r="D128" s="13" t="str">
        <f>IFERROR(__xludf.DUMMYFUNCTION("""COMPUTED_VALUE"""),"SKYLINE HIGH SCHOOL")</f>
        <v>SKYLINE HIGH SCHOOL</v>
      </c>
      <c r="E128" s="13" t="str">
        <f>IFERROR(__xludf.DUMMYFUNCTION("""COMPUTED_VALUE"""),"Open")</f>
        <v>Open</v>
      </c>
      <c r="F128" s="13"/>
      <c r="G128" s="13" t="str">
        <f>IFERROR(__xludf.DUMMYFUNCTION("""COMPUTED_VALUE"""),"600 E MOUNTAIN VIEW AVE")</f>
        <v>600 E MOUNTAIN VIEW AVE</v>
      </c>
      <c r="H128" s="13" t="str">
        <f>IFERROR(__xludf.DUMMYFUNCTION("""COMPUTED_VALUE"""),"LONGMONT")</f>
        <v>LONGMONT</v>
      </c>
      <c r="I128" s="13" t="str">
        <f>IFERROR(__xludf.DUMMYFUNCTION("""COMPUTED_VALUE"""),"CO")</f>
        <v>CO</v>
      </c>
      <c r="J128" s="13" t="str">
        <f>IFERROR(__xludf.DUMMYFUNCTION("""COMPUTED_VALUE"""),"80504-3044")</f>
        <v>80504-3044</v>
      </c>
      <c r="K128" s="13" t="str">
        <f>IFERROR(__xludf.DUMMYFUNCTION("""COMPUTED_VALUE"""),"Boulder")</f>
        <v>Boulder</v>
      </c>
      <c r="L128" s="17" t="str">
        <f>IFERROR(__xludf.DUMMYFUNCTION("""COMPUTED_VALUE"""),"Y")</f>
        <v>Y</v>
      </c>
      <c r="M128" s="17"/>
      <c r="N128" s="17" t="str">
        <f>IFERROR(__xludf.DUMMYFUNCTION("""COMPUTED_VALUE"""),"Y")</f>
        <v>Y</v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>
      <c r="A129" s="13" t="str">
        <f>IFERROR(__xludf.DUMMYFUNCTION("""COMPUTED_VALUE"""),"0470")</f>
        <v>0470</v>
      </c>
      <c r="B129" s="13" t="str">
        <f>IFERROR(__xludf.DUMMYFUNCTION("""COMPUTED_VALUE"""),"ST VRAIN VALLEY RE-1J")</f>
        <v>ST VRAIN VALLEY RE-1J</v>
      </c>
      <c r="C129" s="13" t="str">
        <f>IFERROR(__xludf.DUMMYFUNCTION("""COMPUTED_VALUE"""),"08903")</f>
        <v>08903</v>
      </c>
      <c r="D129" s="13" t="str">
        <f>IFERROR(__xludf.DUMMYFUNCTION("""COMPUTED_VALUE"""),"TRAIL RIDGE MIDDLE SCHOOL")</f>
        <v>TRAIL RIDGE MIDDLE SCHOOL</v>
      </c>
      <c r="E129" s="13" t="str">
        <f>IFERROR(__xludf.DUMMYFUNCTION("""COMPUTED_VALUE"""),"Open")</f>
        <v>Open</v>
      </c>
      <c r="F129" s="13"/>
      <c r="G129" s="13" t="str">
        <f>IFERROR(__xludf.DUMMYFUNCTION("""COMPUTED_VALUE"""),"1000 BUTTON ROCK DR")</f>
        <v>1000 BUTTON ROCK DR</v>
      </c>
      <c r="H129" s="13" t="str">
        <f>IFERROR(__xludf.DUMMYFUNCTION("""COMPUTED_VALUE"""),"LONGMONT")</f>
        <v>LONGMONT</v>
      </c>
      <c r="I129" s="13" t="str">
        <f>IFERROR(__xludf.DUMMYFUNCTION("""COMPUTED_VALUE"""),"CO")</f>
        <v>CO</v>
      </c>
      <c r="J129" s="13" t="str">
        <f>IFERROR(__xludf.DUMMYFUNCTION("""COMPUTED_VALUE"""),"80504-2269")</f>
        <v>80504-2269</v>
      </c>
      <c r="K129" s="13" t="str">
        <f>IFERROR(__xludf.DUMMYFUNCTION("""COMPUTED_VALUE"""),"Boulder")</f>
        <v>Boulder</v>
      </c>
      <c r="L129" s="17" t="str">
        <f>IFERROR(__xludf.DUMMYFUNCTION("""COMPUTED_VALUE"""),"Y")</f>
        <v>Y</v>
      </c>
      <c r="M129" s="17"/>
      <c r="N129" s="17" t="str">
        <f>IFERROR(__xludf.DUMMYFUNCTION("""COMPUTED_VALUE"""),"Y")</f>
        <v>Y</v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>
      <c r="A130" s="13" t="str">
        <f>IFERROR(__xludf.DUMMYFUNCTION("""COMPUTED_VALUE"""),"0470")</f>
        <v>0470</v>
      </c>
      <c r="B130" s="13" t="str">
        <f>IFERROR(__xludf.DUMMYFUNCTION("""COMPUTED_VALUE"""),"ST VRAIN VALLEY RE-1J")</f>
        <v>ST VRAIN VALLEY RE-1J</v>
      </c>
      <c r="C130" s="13" t="str">
        <f>IFERROR(__xludf.DUMMYFUNCTION("""COMPUTED_VALUE"""),"09430")</f>
        <v>09430</v>
      </c>
      <c r="D130" s="13" t="str">
        <f>IFERROR(__xludf.DUMMYFUNCTION("""COMPUTED_VALUE"""),"WESTVIEW MIDDLE SCHOOL")</f>
        <v>WESTVIEW MIDDLE SCHOOL</v>
      </c>
      <c r="E130" s="13" t="str">
        <f>IFERROR(__xludf.DUMMYFUNCTION("""COMPUTED_VALUE"""),"Open")</f>
        <v>Open</v>
      </c>
      <c r="F130" s="13"/>
      <c r="G130" s="13" t="str">
        <f>IFERROR(__xludf.DUMMYFUNCTION("""COMPUTED_VALUE"""),"1651 AIRPORT RD")</f>
        <v>1651 AIRPORT RD</v>
      </c>
      <c r="H130" s="13" t="str">
        <f>IFERROR(__xludf.DUMMYFUNCTION("""COMPUTED_VALUE"""),"LONGMONT")</f>
        <v>LONGMONT</v>
      </c>
      <c r="I130" s="13" t="str">
        <f>IFERROR(__xludf.DUMMYFUNCTION("""COMPUTED_VALUE"""),"CO")</f>
        <v>CO</v>
      </c>
      <c r="J130" s="13" t="str">
        <f>IFERROR(__xludf.DUMMYFUNCTION("""COMPUTED_VALUE"""),"80503-2119")</f>
        <v>80503-2119</v>
      </c>
      <c r="K130" s="13" t="str">
        <f>IFERROR(__xludf.DUMMYFUNCTION("""COMPUTED_VALUE"""),"Boulder")</f>
        <v>Boulder</v>
      </c>
      <c r="L130" s="17" t="str">
        <f>IFERROR(__xludf.DUMMYFUNCTION("""COMPUTED_VALUE"""),"Y")</f>
        <v>Y</v>
      </c>
      <c r="M130" s="17"/>
      <c r="N130" s="17" t="str">
        <f>IFERROR(__xludf.DUMMYFUNCTION("""COMPUTED_VALUE"""),"Y")</f>
        <v>Y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>
      <c r="A131" s="13" t="str">
        <f>IFERROR(__xludf.DUMMYFUNCTION("""COMPUTED_VALUE"""),"0470")</f>
        <v>0470</v>
      </c>
      <c r="B131" s="13" t="str">
        <f>IFERROR(__xludf.DUMMYFUNCTION("""COMPUTED_VALUE"""),"ST VRAIN VALLEY RE-1J")</f>
        <v>ST VRAIN VALLEY RE-1J</v>
      </c>
      <c r="C131" s="13" t="str">
        <f>IFERROR(__xludf.DUMMYFUNCTION("""COMPUTED_VALUE"""),"09436")</f>
        <v>09436</v>
      </c>
      <c r="D131" s="13" t="str">
        <f>IFERROR(__xludf.DUMMYFUNCTION("""COMPUTED_VALUE"""),"YMCA")</f>
        <v>YMCA</v>
      </c>
      <c r="E131" s="13" t="str">
        <f>IFERROR(__xludf.DUMMYFUNCTION("""COMPUTED_VALUE"""),"Open")</f>
        <v>Open</v>
      </c>
      <c r="F131" s="13"/>
      <c r="G131" s="13" t="str">
        <f>IFERROR(__xludf.DUMMYFUNCTION("""COMPUTED_VALUE"""),"950 LASHLEY ST")</f>
        <v>950 LASHLEY ST</v>
      </c>
      <c r="H131" s="13" t="str">
        <f>IFERROR(__xludf.DUMMYFUNCTION("""COMPUTED_VALUE"""),"LONGMONT")</f>
        <v>LONGMONT</v>
      </c>
      <c r="I131" s="13" t="str">
        <f>IFERROR(__xludf.DUMMYFUNCTION("""COMPUTED_VALUE"""),"CO")</f>
        <v>CO</v>
      </c>
      <c r="J131" s="13" t="str">
        <f>IFERROR(__xludf.DUMMYFUNCTION("""COMPUTED_VALUE"""),"80504-1216")</f>
        <v>80504-1216</v>
      </c>
      <c r="K131" s="13" t="str">
        <f>IFERROR(__xludf.DUMMYFUNCTION("""COMPUTED_VALUE"""),"Boulder")</f>
        <v>Boulder</v>
      </c>
      <c r="L131" s="17" t="str">
        <f>IFERROR(__xludf.DUMMYFUNCTION("""COMPUTED_VALUE"""),"Y")</f>
        <v>Y</v>
      </c>
      <c r="M131" s="17"/>
      <c r="N131" s="17" t="str">
        <f>IFERROR(__xludf.DUMMYFUNCTION("""COMPUTED_VALUE"""),"Y")</f>
        <v>Y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>
      <c r="A132" s="13" t="str">
        <f>IFERROR(__xludf.DUMMYFUNCTION("""COMPUTED_VALUE"""),"0470")</f>
        <v>0470</v>
      </c>
      <c r="B132" s="13" t="str">
        <f>IFERROR(__xludf.DUMMYFUNCTION("""COMPUTED_VALUE"""),"ST VRAIN VALLEY RE-1J")</f>
        <v>ST VRAIN VALLEY RE-1J</v>
      </c>
      <c r="C132" s="13" t="str">
        <f>IFERROR(__xludf.DUMMYFUNCTION("""COMPUTED_VALUE"""),"91571")</f>
        <v>91571</v>
      </c>
      <c r="D132" s="13" t="str">
        <f>IFERROR(__xludf.DUMMYFUNCTION("""COMPUTED_VALUE"""),"Life Fellowhip Church")</f>
        <v>Life Fellowhip Church</v>
      </c>
      <c r="E132" s="13" t="str">
        <f>IFERROR(__xludf.DUMMYFUNCTION("""COMPUTED_VALUE"""),"Open")</f>
        <v>Open</v>
      </c>
      <c r="F132" s="13"/>
      <c r="G132" s="13" t="str">
        <f>IFERROR(__xludf.DUMMYFUNCTION("""COMPUTED_VALUE"""),"451 Oak St #100")</f>
        <v>451 Oak St #100</v>
      </c>
      <c r="H132" s="13" t="str">
        <f>IFERROR(__xludf.DUMMYFUNCTION("""COMPUTED_VALUE"""),"FREDERICK")</f>
        <v>FREDERICK</v>
      </c>
      <c r="I132" s="13" t="str">
        <f>IFERROR(__xludf.DUMMYFUNCTION("""COMPUTED_VALUE"""),"CO")</f>
        <v>CO</v>
      </c>
      <c r="J132" s="13">
        <f>IFERROR(__xludf.DUMMYFUNCTION("""COMPUTED_VALUE"""),80530.0)</f>
        <v>80530</v>
      </c>
      <c r="K132" s="13" t="str">
        <f>IFERROR(__xludf.DUMMYFUNCTION("""COMPUTED_VALUE"""),"Weld")</f>
        <v>Weld</v>
      </c>
      <c r="L132" s="17" t="str">
        <f>IFERROR(__xludf.DUMMYFUNCTION("""COMPUTED_VALUE"""),"Y")</f>
        <v>Y</v>
      </c>
      <c r="M132" s="17"/>
      <c r="N132" s="17" t="str">
        <f>IFERROR(__xludf.DUMMYFUNCTION("""COMPUTED_VALUE"""),"Y")</f>
        <v>Y</v>
      </c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>
      <c r="A133" s="13" t="str">
        <f>IFERROR(__xludf.DUMMYFUNCTION("""COMPUTED_VALUE"""),"0470")</f>
        <v>0470</v>
      </c>
      <c r="B133" s="13" t="str">
        <f>IFERROR(__xludf.DUMMYFUNCTION("""COMPUTED_VALUE"""),"ST VRAIN VALLEY RE-1J")</f>
        <v>ST VRAIN VALLEY RE-1J</v>
      </c>
      <c r="C133" s="13" t="str">
        <f>IFERROR(__xludf.DUMMYFUNCTION("""COMPUTED_VALUE"""),"91619")</f>
        <v>91619</v>
      </c>
      <c r="D133" s="13" t="str">
        <f>IFERROR(__xludf.DUMMYFUNCTION("""COMPUTED_VALUE"""),"Innovation Center")</f>
        <v>Innovation Center</v>
      </c>
      <c r="E133" s="13" t="str">
        <f>IFERROR(__xludf.DUMMYFUNCTION("""COMPUTED_VALUE"""),"Open")</f>
        <v>Open</v>
      </c>
      <c r="F133" s="13"/>
      <c r="G133" s="13" t="str">
        <f>IFERROR(__xludf.DUMMYFUNCTION("""COMPUTED_VALUE"""),"33 QUAIL RD")</f>
        <v>33 QUAIL RD</v>
      </c>
      <c r="H133" s="13" t="str">
        <f>IFERROR(__xludf.DUMMYFUNCTION("""COMPUTED_VALUE"""),"LONGMONT")</f>
        <v>LONGMONT</v>
      </c>
      <c r="I133" s="13" t="str">
        <f>IFERROR(__xludf.DUMMYFUNCTION("""COMPUTED_VALUE"""),"CO")</f>
        <v>CO</v>
      </c>
      <c r="J133" s="13" t="str">
        <f>IFERROR(__xludf.DUMMYFUNCTION("""COMPUTED_VALUE"""),"80501-8604")</f>
        <v>80501-8604</v>
      </c>
      <c r="K133" s="13" t="str">
        <f>IFERROR(__xludf.DUMMYFUNCTION("""COMPUTED_VALUE"""),"Boulder")</f>
        <v>Boulder</v>
      </c>
      <c r="L133" s="17" t="str">
        <f>IFERROR(__xludf.DUMMYFUNCTION("""COMPUTED_VALUE"""),"Y")</f>
        <v>Y</v>
      </c>
      <c r="M133" s="17"/>
      <c r="N133" s="17" t="str">
        <f>IFERROR(__xludf.DUMMYFUNCTION("""COMPUTED_VALUE"""),"Y")</f>
        <v>Y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>
      <c r="A134" s="13" t="str">
        <f>IFERROR(__xludf.DUMMYFUNCTION("""COMPUTED_VALUE"""),"0480")</f>
        <v>0480</v>
      </c>
      <c r="B134" s="13" t="str">
        <f>IFERROR(__xludf.DUMMYFUNCTION("""COMPUTED_VALUE"""),"BOULDER VALLEY RE 2")</f>
        <v>BOULDER VALLEY RE 2</v>
      </c>
      <c r="C134" s="13" t="str">
        <f>IFERROR(__xludf.DUMMYFUNCTION("""COMPUTED_VALUE"""),"01352")</f>
        <v>01352</v>
      </c>
      <c r="D134" s="13" t="str">
        <f>IFERROR(__xludf.DUMMYFUNCTION("""COMPUTED_VALUE"""),"CASEY MIDDLE SCHOOL")</f>
        <v>CASEY MIDDLE SCHOOL</v>
      </c>
      <c r="E134" s="13" t="str">
        <f>IFERROR(__xludf.DUMMYFUNCTION("""COMPUTED_VALUE"""),"Open")</f>
        <v>Open</v>
      </c>
      <c r="F134" s="13"/>
      <c r="G134" s="13" t="str">
        <f>IFERROR(__xludf.DUMMYFUNCTION("""COMPUTED_VALUE"""),"1301 HIGH ST")</f>
        <v>1301 HIGH ST</v>
      </c>
      <c r="H134" s="13" t="str">
        <f>IFERROR(__xludf.DUMMYFUNCTION("""COMPUTED_VALUE"""),"BOULDER")</f>
        <v>BOULDER</v>
      </c>
      <c r="I134" s="13" t="str">
        <f>IFERROR(__xludf.DUMMYFUNCTION("""COMPUTED_VALUE"""),"CO")</f>
        <v>CO</v>
      </c>
      <c r="J134" s="13" t="str">
        <f>IFERROR(__xludf.DUMMYFUNCTION("""COMPUTED_VALUE"""),"80304-4133")</f>
        <v>80304-4133</v>
      </c>
      <c r="K134" s="13" t="str">
        <f>IFERROR(__xludf.DUMMYFUNCTION("""COMPUTED_VALUE"""),"Boulder")</f>
        <v>Boulder</v>
      </c>
      <c r="L134" s="17" t="str">
        <f>IFERROR(__xludf.DUMMYFUNCTION("""COMPUTED_VALUE"""),"Y")</f>
        <v>Y</v>
      </c>
      <c r="M134" s="17"/>
      <c r="N134" s="17" t="str">
        <f>IFERROR(__xludf.DUMMYFUNCTION("""COMPUTED_VALUE"""),"Y")</f>
        <v>Y</v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>
      <c r="A135" s="13" t="str">
        <f>IFERROR(__xludf.DUMMYFUNCTION("""COMPUTED_VALUE"""),"0480")</f>
        <v>0480</v>
      </c>
      <c r="B135" s="13" t="str">
        <f>IFERROR(__xludf.DUMMYFUNCTION("""COMPUTED_VALUE"""),"BOULDER VALLEY RE 2")</f>
        <v>BOULDER VALLEY RE 2</v>
      </c>
      <c r="C135" s="13" t="str">
        <f>IFERROR(__xludf.DUMMYFUNCTION("""COMPUTED_VALUE"""),"01996")</f>
        <v>01996</v>
      </c>
      <c r="D135" s="13" t="str">
        <f>IFERROR(__xludf.DUMMYFUNCTION("""COMPUTED_VALUE"""),"CREST VIEW ELEMENTARY SCHOOL")</f>
        <v>CREST VIEW ELEMENTARY SCHOOL</v>
      </c>
      <c r="E135" s="13" t="str">
        <f>IFERROR(__xludf.DUMMYFUNCTION("""COMPUTED_VALUE"""),"Open")</f>
        <v>Open</v>
      </c>
      <c r="F135" s="13"/>
      <c r="G135" s="13" t="str">
        <f>IFERROR(__xludf.DUMMYFUNCTION("""COMPUTED_VALUE"""),"1897 SUMAC AVE")</f>
        <v>1897 SUMAC AVE</v>
      </c>
      <c r="H135" s="13" t="str">
        <f>IFERROR(__xludf.DUMMYFUNCTION("""COMPUTED_VALUE"""),"BOULDER")</f>
        <v>BOULDER</v>
      </c>
      <c r="I135" s="13" t="str">
        <f>IFERROR(__xludf.DUMMYFUNCTION("""COMPUTED_VALUE"""),"CO")</f>
        <v>CO</v>
      </c>
      <c r="J135" s="13" t="str">
        <f>IFERROR(__xludf.DUMMYFUNCTION("""COMPUTED_VALUE"""),"80304-0815")</f>
        <v>80304-0815</v>
      </c>
      <c r="K135" s="13" t="str">
        <f>IFERROR(__xludf.DUMMYFUNCTION("""COMPUTED_VALUE"""),"Boulder")</f>
        <v>Boulder</v>
      </c>
      <c r="L135" s="17" t="str">
        <f>IFERROR(__xludf.DUMMYFUNCTION("""COMPUTED_VALUE"""),"Y")</f>
        <v>Y</v>
      </c>
      <c r="M135" s="17"/>
      <c r="N135" s="17" t="str">
        <f>IFERROR(__xludf.DUMMYFUNCTION("""COMPUTED_VALUE"""),"Y")</f>
        <v>Y</v>
      </c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>
      <c r="A136" s="13" t="str">
        <f>IFERROR(__xludf.DUMMYFUNCTION("""COMPUTED_VALUE"""),"0480")</f>
        <v>0480</v>
      </c>
      <c r="B136" s="13" t="str">
        <f>IFERROR(__xludf.DUMMYFUNCTION("""COMPUTED_VALUE"""),"BOULDER VALLEY RE 2")</f>
        <v>BOULDER VALLEY RE 2</v>
      </c>
      <c r="C136" s="13" t="str">
        <f>IFERROR(__xludf.DUMMYFUNCTION("""COMPUTED_VALUE"""),"02702")</f>
        <v>02702</v>
      </c>
      <c r="D136" s="13" t="str">
        <f>IFERROR(__xludf.DUMMYFUNCTION("""COMPUTED_VALUE"""),"EMERALD ELEMENTARY SCHOOL")</f>
        <v>EMERALD ELEMENTARY SCHOOL</v>
      </c>
      <c r="E136" s="13" t="str">
        <f>IFERROR(__xludf.DUMMYFUNCTION("""COMPUTED_VALUE"""),"Open")</f>
        <v>Open</v>
      </c>
      <c r="F136" s="13"/>
      <c r="G136" s="13" t="str">
        <f>IFERROR(__xludf.DUMMYFUNCTION("""COMPUTED_VALUE"""),"275 EMERALD ST")</f>
        <v>275 EMERALD ST</v>
      </c>
      <c r="H136" s="13" t="str">
        <f>IFERROR(__xludf.DUMMYFUNCTION("""COMPUTED_VALUE"""),"BROOMFIELD")</f>
        <v>BROOMFIELD</v>
      </c>
      <c r="I136" s="13" t="str">
        <f>IFERROR(__xludf.DUMMYFUNCTION("""COMPUTED_VALUE"""),"CO")</f>
        <v>CO</v>
      </c>
      <c r="J136" s="13" t="str">
        <f>IFERROR(__xludf.DUMMYFUNCTION("""COMPUTED_VALUE"""),"80020-2373")</f>
        <v>80020-2373</v>
      </c>
      <c r="K136" s="13" t="str">
        <f>IFERROR(__xludf.DUMMYFUNCTION("""COMPUTED_VALUE"""),"Boulder")</f>
        <v>Boulder</v>
      </c>
      <c r="L136" s="17" t="str">
        <f>IFERROR(__xludf.DUMMYFUNCTION("""COMPUTED_VALUE"""),"Y")</f>
        <v>Y</v>
      </c>
      <c r="M136" s="17"/>
      <c r="N136" s="17" t="str">
        <f>IFERROR(__xludf.DUMMYFUNCTION("""COMPUTED_VALUE"""),"Y")</f>
        <v>Y</v>
      </c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>
      <c r="A137" s="13" t="str">
        <f>IFERROR(__xludf.DUMMYFUNCTION("""COMPUTED_VALUE"""),"0480")</f>
        <v>0480</v>
      </c>
      <c r="B137" s="13" t="str">
        <f>IFERROR(__xludf.DUMMYFUNCTION("""COMPUTED_VALUE"""),"BOULDER VALLEY RE 2")</f>
        <v>BOULDER VALLEY RE 2</v>
      </c>
      <c r="C137" s="13" t="str">
        <f>IFERROR(__xludf.DUMMYFUNCTION("""COMPUTED_VALUE"""),"03499")</f>
        <v>03499</v>
      </c>
      <c r="D137" s="13" t="str">
        <f>IFERROR(__xludf.DUMMYFUNCTION("""COMPUTED_VALUE"""),"HALCYON SCHOOL")</f>
        <v>HALCYON SCHOOL</v>
      </c>
      <c r="E137" s="13" t="str">
        <f>IFERROR(__xludf.DUMMYFUNCTION("""COMPUTED_VALUE"""),"Open")</f>
        <v>Open</v>
      </c>
      <c r="F137" s="13"/>
      <c r="G137" s="13" t="str">
        <f>IFERROR(__xludf.DUMMYFUNCTION("""COMPUTED_VALUE"""),"3100 BUCKNELL CT")</f>
        <v>3100 BUCKNELL CT</v>
      </c>
      <c r="H137" s="13" t="str">
        <f>IFERROR(__xludf.DUMMYFUNCTION("""COMPUTED_VALUE"""),"BOULDER")</f>
        <v>BOULDER</v>
      </c>
      <c r="I137" s="13" t="str">
        <f>IFERROR(__xludf.DUMMYFUNCTION("""COMPUTED_VALUE"""),"CO")</f>
        <v>CO</v>
      </c>
      <c r="J137" s="13" t="str">
        <f>IFERROR(__xludf.DUMMYFUNCTION("""COMPUTED_VALUE"""),"80305-3465")</f>
        <v>80305-3465</v>
      </c>
      <c r="K137" s="13" t="str">
        <f>IFERROR(__xludf.DUMMYFUNCTION("""COMPUTED_VALUE"""),"Boulder")</f>
        <v>Boulder</v>
      </c>
      <c r="L137" s="17" t="str">
        <f>IFERROR(__xludf.DUMMYFUNCTION("""COMPUTED_VALUE"""),"Y")</f>
        <v>Y</v>
      </c>
      <c r="M137" s="17"/>
      <c r="N137" s="17" t="str">
        <f>IFERROR(__xludf.DUMMYFUNCTION("""COMPUTED_VALUE"""),"Y")</f>
        <v>Y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>
      <c r="A138" s="13" t="str">
        <f>IFERROR(__xludf.DUMMYFUNCTION("""COMPUTED_VALUE"""),"0480")</f>
        <v>0480</v>
      </c>
      <c r="B138" s="13" t="str">
        <f>IFERROR(__xludf.DUMMYFUNCTION("""COMPUTED_VALUE"""),"BOULDER VALLEY RE 2")</f>
        <v>BOULDER VALLEY RE 2</v>
      </c>
      <c r="C138" s="13" t="str">
        <f>IFERROR(__xludf.DUMMYFUNCTION("""COMPUTED_VALUE"""),"04496")</f>
        <v>04496</v>
      </c>
      <c r="D138" s="13" t="str">
        <f>IFERROR(__xludf.DUMMYFUNCTION("""COMPUTED_VALUE"""),"JUSTICE HIGH CHARTER SCHOOL")</f>
        <v>JUSTICE HIGH CHARTER SCHOOL</v>
      </c>
      <c r="E138" s="13" t="str">
        <f>IFERROR(__xludf.DUMMYFUNCTION("""COMPUTED_VALUE"""),"Open")</f>
        <v>Open</v>
      </c>
      <c r="F138" s="13"/>
      <c r="G138" s="13" t="str">
        <f>IFERROR(__xludf.DUMMYFUNCTION("""COMPUTED_VALUE"""),"805 EXCALIBUR ST")</f>
        <v>805 EXCALIBUR ST</v>
      </c>
      <c r="H138" s="13" t="str">
        <f>IFERROR(__xludf.DUMMYFUNCTION("""COMPUTED_VALUE"""),"LAFAYETTE")</f>
        <v>LAFAYETTE</v>
      </c>
      <c r="I138" s="13" t="str">
        <f>IFERROR(__xludf.DUMMYFUNCTION("""COMPUTED_VALUE"""),"CO")</f>
        <v>CO</v>
      </c>
      <c r="J138" s="13" t="str">
        <f>IFERROR(__xludf.DUMMYFUNCTION("""COMPUTED_VALUE"""),"80026-1909")</f>
        <v>80026-1909</v>
      </c>
      <c r="K138" s="13" t="str">
        <f>IFERROR(__xludf.DUMMYFUNCTION("""COMPUTED_VALUE"""),"Boulder")</f>
        <v>Boulder</v>
      </c>
      <c r="L138" s="17" t="str">
        <f>IFERROR(__xludf.DUMMYFUNCTION("""COMPUTED_VALUE"""),"Y")</f>
        <v>Y</v>
      </c>
      <c r="M138" s="17"/>
      <c r="N138" s="17" t="str">
        <f>IFERROR(__xludf.DUMMYFUNCTION("""COMPUTED_VALUE"""),"Y")</f>
        <v>Y</v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>
      <c r="A139" s="13" t="str">
        <f>IFERROR(__xludf.DUMMYFUNCTION("""COMPUTED_VALUE"""),"0480")</f>
        <v>0480</v>
      </c>
      <c r="B139" s="13" t="str">
        <f>IFERROR(__xludf.DUMMYFUNCTION("""COMPUTED_VALUE"""),"BOULDER VALLEY RE 2")</f>
        <v>BOULDER VALLEY RE 2</v>
      </c>
      <c r="C139" s="13" t="str">
        <f>IFERROR(__xludf.DUMMYFUNCTION("""COMPUTED_VALUE"""),"05306")</f>
        <v>05306</v>
      </c>
      <c r="D139" s="13" t="str">
        <f>IFERROR(__xludf.DUMMYFUNCTION("""COMPUTED_VALUE"""),"LOUISVILLE MIDDLE SCHOOL")</f>
        <v>LOUISVILLE MIDDLE SCHOOL</v>
      </c>
      <c r="E139" s="13" t="str">
        <f>IFERROR(__xludf.DUMMYFUNCTION("""COMPUTED_VALUE"""),"Closed - Enrolled")</f>
        <v>Closed - Enrolled</v>
      </c>
      <c r="F139" s="13"/>
      <c r="G139" s="13" t="str">
        <f>IFERROR(__xludf.DUMMYFUNCTION("""COMPUTED_VALUE"""),"1341 MAIN ST")</f>
        <v>1341 MAIN ST</v>
      </c>
      <c r="H139" s="13" t="str">
        <f>IFERROR(__xludf.DUMMYFUNCTION("""COMPUTED_VALUE"""),"LOUISVILLE")</f>
        <v>LOUISVILLE</v>
      </c>
      <c r="I139" s="13" t="str">
        <f>IFERROR(__xludf.DUMMYFUNCTION("""COMPUTED_VALUE"""),"CO")</f>
        <v>CO</v>
      </c>
      <c r="J139" s="13" t="str">
        <f>IFERROR(__xludf.DUMMYFUNCTION("""COMPUTED_VALUE"""),"80027-1550")</f>
        <v>80027-1550</v>
      </c>
      <c r="K139" s="13" t="str">
        <f>IFERROR(__xludf.DUMMYFUNCTION("""COMPUTED_VALUE"""),"Boulder")</f>
        <v>Boulder</v>
      </c>
      <c r="L139" s="17" t="str">
        <f>IFERROR(__xludf.DUMMYFUNCTION("""COMPUTED_VALUE"""),"Y")</f>
        <v>Y</v>
      </c>
      <c r="M139" s="17"/>
      <c r="N139" s="17" t="str">
        <f>IFERROR(__xludf.DUMMYFUNCTION("""COMPUTED_VALUE"""),"Y")</f>
        <v>Y</v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>
      <c r="A140" s="13" t="str">
        <f>IFERROR(__xludf.DUMMYFUNCTION("""COMPUTED_VALUE"""),"0480")</f>
        <v>0480</v>
      </c>
      <c r="B140" s="13" t="str">
        <f>IFERROR(__xludf.DUMMYFUNCTION("""COMPUTED_VALUE"""),"BOULDER VALLEY RE 2")</f>
        <v>BOULDER VALLEY RE 2</v>
      </c>
      <c r="C140" s="13" t="str">
        <f>IFERROR(__xludf.DUMMYFUNCTION("""COMPUTED_VALUE"""),"07528")</f>
        <v>07528</v>
      </c>
      <c r="D140" s="13" t="str">
        <f>IFERROR(__xludf.DUMMYFUNCTION("""COMPUTED_VALUE"""),"RYAN ELEMENTARY SCHOOL")</f>
        <v>RYAN ELEMENTARY SCHOOL</v>
      </c>
      <c r="E140" s="13" t="str">
        <f>IFERROR(__xludf.DUMMYFUNCTION("""COMPUTED_VALUE"""),"Closed - Enrolled")</f>
        <v>Closed - Enrolled</v>
      </c>
      <c r="F140" s="13"/>
      <c r="G140" s="13" t="str">
        <f>IFERROR(__xludf.DUMMYFUNCTION("""COMPUTED_VALUE"""),"1405 CENTAUR VILLAGE DR")</f>
        <v>1405 CENTAUR VILLAGE DR</v>
      </c>
      <c r="H140" s="13" t="str">
        <f>IFERROR(__xludf.DUMMYFUNCTION("""COMPUTED_VALUE"""),"LAFAYETTE")</f>
        <v>LAFAYETTE</v>
      </c>
      <c r="I140" s="13" t="str">
        <f>IFERROR(__xludf.DUMMYFUNCTION("""COMPUTED_VALUE"""),"CO")</f>
        <v>CO</v>
      </c>
      <c r="J140" s="13" t="str">
        <f>IFERROR(__xludf.DUMMYFUNCTION("""COMPUTED_VALUE"""),"80026-1471")</f>
        <v>80026-1471</v>
      </c>
      <c r="K140" s="13" t="str">
        <f>IFERROR(__xludf.DUMMYFUNCTION("""COMPUTED_VALUE"""),"Boulder")</f>
        <v>Boulder</v>
      </c>
      <c r="L140" s="17" t="str">
        <f>IFERROR(__xludf.DUMMYFUNCTION("""COMPUTED_VALUE"""),"Y")</f>
        <v>Y</v>
      </c>
      <c r="M140" s="17"/>
      <c r="N140" s="17" t="str">
        <f>IFERROR(__xludf.DUMMYFUNCTION("""COMPUTED_VALUE"""),"Y")</f>
        <v>Y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>
      <c r="A141" s="13" t="str">
        <f>IFERROR(__xludf.DUMMYFUNCTION("""COMPUTED_VALUE"""),"0480")</f>
        <v>0480</v>
      </c>
      <c r="B141" s="13" t="str">
        <f>IFERROR(__xludf.DUMMYFUNCTION("""COMPUTED_VALUE"""),"BOULDER VALLEY RE 2")</f>
        <v>BOULDER VALLEY RE 2</v>
      </c>
      <c r="C141" s="13" t="str">
        <f>IFERROR(__xludf.DUMMYFUNCTION("""COMPUTED_VALUE"""),"07592")</f>
        <v>07592</v>
      </c>
      <c r="D141" s="13" t="str">
        <f>IFERROR(__xludf.DUMMYFUNCTION("""COMPUTED_VALUE"""),"SANCHEZ ELEMENTARY SCHOOL")</f>
        <v>SANCHEZ ELEMENTARY SCHOOL</v>
      </c>
      <c r="E141" s="13" t="str">
        <f>IFERROR(__xludf.DUMMYFUNCTION("""COMPUTED_VALUE"""),"Open")</f>
        <v>Open</v>
      </c>
      <c r="F141" s="13"/>
      <c r="G141" s="13" t="str">
        <f>IFERROR(__xludf.DUMMYFUNCTION("""COMPUTED_VALUE"""),"655 SIR GALAHAD DR")</f>
        <v>655 SIR GALAHAD DR</v>
      </c>
      <c r="H141" s="13" t="str">
        <f>IFERROR(__xludf.DUMMYFUNCTION("""COMPUTED_VALUE"""),"LAFAYETTE")</f>
        <v>LAFAYETTE</v>
      </c>
      <c r="I141" s="13" t="str">
        <f>IFERROR(__xludf.DUMMYFUNCTION("""COMPUTED_VALUE"""),"CO")</f>
        <v>CO</v>
      </c>
      <c r="J141" s="13" t="str">
        <f>IFERROR(__xludf.DUMMYFUNCTION("""COMPUTED_VALUE"""),"80026-1979")</f>
        <v>80026-1979</v>
      </c>
      <c r="K141" s="13" t="str">
        <f>IFERROR(__xludf.DUMMYFUNCTION("""COMPUTED_VALUE"""),"Boulder")</f>
        <v>Boulder</v>
      </c>
      <c r="L141" s="17" t="str">
        <f>IFERROR(__xludf.DUMMYFUNCTION("""COMPUTED_VALUE"""),"Y")</f>
        <v>Y</v>
      </c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>
      <c r="A142" s="13" t="str">
        <f>IFERROR(__xludf.DUMMYFUNCTION("""COMPUTED_VALUE"""),"0580")</f>
        <v>0580</v>
      </c>
      <c r="B142" s="13" t="str">
        <f>IFERROR(__xludf.DUMMYFUNCTION("""COMPUTED_VALUE"""),"SOUTH CONEJOS RE-10")</f>
        <v>SOUTH CONEJOS RE-10</v>
      </c>
      <c r="C142" s="13" t="str">
        <f>IFERROR(__xludf.DUMMYFUNCTION("""COMPUTED_VALUE"""),"00248")</f>
        <v>00248</v>
      </c>
      <c r="D142" s="13" t="str">
        <f>IFERROR(__xludf.DUMMYFUNCTION("""COMPUTED_VALUE"""),"GUADALUPE ELEMENTARY SCHOOL")</f>
        <v>GUADALUPE ELEMENTARY SCHOOL</v>
      </c>
      <c r="E142" s="13" t="str">
        <f>IFERROR(__xludf.DUMMYFUNCTION("""COMPUTED_VALUE"""),"Open")</f>
        <v>Open</v>
      </c>
      <c r="F142" s="13"/>
      <c r="G142" s="13" t="str">
        <f>IFERROR(__xludf.DUMMYFUNCTION("""COMPUTED_VALUE"""),"13099 CO RD G")</f>
        <v>13099 CO RD G</v>
      </c>
      <c r="H142" s="13" t="str">
        <f>IFERROR(__xludf.DUMMYFUNCTION("""COMPUTED_VALUE"""),"CONEJOS")</f>
        <v>CONEJOS</v>
      </c>
      <c r="I142" s="13" t="str">
        <f>IFERROR(__xludf.DUMMYFUNCTION("""COMPUTED_VALUE"""),"CO")</f>
        <v>CO</v>
      </c>
      <c r="J142" s="13" t="str">
        <f>IFERROR(__xludf.DUMMYFUNCTION("""COMPUTED_VALUE"""),"81120-0398")</f>
        <v>81120-0398</v>
      </c>
      <c r="K142" s="13" t="str">
        <f>IFERROR(__xludf.DUMMYFUNCTION("""COMPUTED_VALUE"""),"Conejos")</f>
        <v>Conejos</v>
      </c>
      <c r="L142" s="17" t="str">
        <f>IFERROR(__xludf.DUMMYFUNCTION("""COMPUTED_VALUE"""),"Y")</f>
        <v>Y</v>
      </c>
      <c r="M142" s="17"/>
      <c r="N142" s="17" t="str">
        <f>IFERROR(__xludf.DUMMYFUNCTION("""COMPUTED_VALUE"""),"Y")</f>
        <v>Y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>
      <c r="A143" s="13" t="str">
        <f>IFERROR(__xludf.DUMMYFUNCTION("""COMPUTED_VALUE"""),"0640")</f>
        <v>0640</v>
      </c>
      <c r="B143" s="13" t="str">
        <f>IFERROR(__xludf.DUMMYFUNCTION("""COMPUTED_VALUE"""),"CENTENNIAL R-1")</f>
        <v>CENTENNIAL R-1</v>
      </c>
      <c r="C143" s="13" t="str">
        <f>IFERROR(__xludf.DUMMYFUNCTION("""COMPUTED_VALUE"""),"01398")</f>
        <v>01398</v>
      </c>
      <c r="D143" s="13" t="str">
        <f>IFERROR(__xludf.DUMMYFUNCTION("""COMPUTED_VALUE"""),"CENTENNIAL SCHOOL")</f>
        <v>CENTENNIAL SCHOOL</v>
      </c>
      <c r="E143" s="13" t="str">
        <f>IFERROR(__xludf.DUMMYFUNCTION("""COMPUTED_VALUE"""),"Open")</f>
        <v>Open</v>
      </c>
      <c r="F143" s="13"/>
      <c r="G143" s="13" t="str">
        <f>IFERROR(__xludf.DUMMYFUNCTION("""COMPUTED_VALUE"""),"14644 HIGHWAY 159")</f>
        <v>14644 HIGHWAY 159</v>
      </c>
      <c r="H143" s="13" t="str">
        <f>IFERROR(__xludf.DUMMYFUNCTION("""COMPUTED_VALUE"""),"SAN LUIS")</f>
        <v>SAN LUIS</v>
      </c>
      <c r="I143" s="13" t="str">
        <f>IFERROR(__xludf.DUMMYFUNCTION("""COMPUTED_VALUE"""),"CO")</f>
        <v>CO</v>
      </c>
      <c r="J143" s="13">
        <f>IFERROR(__xludf.DUMMYFUNCTION("""COMPUTED_VALUE"""),81152.0)</f>
        <v>81152</v>
      </c>
      <c r="K143" s="13" t="str">
        <f>IFERROR(__xludf.DUMMYFUNCTION("""COMPUTED_VALUE"""),"Costilla")</f>
        <v>Costilla</v>
      </c>
      <c r="L143" s="17" t="str">
        <f>IFERROR(__xludf.DUMMYFUNCTION("""COMPUTED_VALUE"""),"Y")</f>
        <v>Y</v>
      </c>
      <c r="M143" s="17"/>
      <c r="N143" s="17" t="str">
        <f>IFERROR(__xludf.DUMMYFUNCTION("""COMPUTED_VALUE"""),"Y")</f>
        <v>Y</v>
      </c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>
      <c r="A144" s="13" t="str">
        <f>IFERROR(__xludf.DUMMYFUNCTION("""COMPUTED_VALUE"""),"0770")</f>
        <v>0770</v>
      </c>
      <c r="B144" s="13" t="str">
        <f>IFERROR(__xludf.DUMMYFUNCTION("""COMPUTED_VALUE"""),"Crowley County School District RE 1-J")</f>
        <v>Crowley County School District RE 1-J</v>
      </c>
      <c r="C144" s="13" t="str">
        <f>IFERROR(__xludf.DUMMYFUNCTION("""COMPUTED_VALUE"""),"02054")</f>
        <v>02054</v>
      </c>
      <c r="D144" s="13" t="str">
        <f>IFERROR(__xludf.DUMMYFUNCTION("""COMPUTED_VALUE"""),"CROWLEY COUNTY ELEMENTARY K-6")</f>
        <v>CROWLEY COUNTY ELEMENTARY K-6</v>
      </c>
      <c r="E144" s="13" t="str">
        <f>IFERROR(__xludf.DUMMYFUNCTION("""COMPUTED_VALUE"""),"Open")</f>
        <v>Open</v>
      </c>
      <c r="F144" s="13" t="str">
        <f>IFERROR(__xludf.DUMMYFUNCTION("""COMPUTED_VALUE"""),"Non-congregate")</f>
        <v>Non-congregate</v>
      </c>
      <c r="G144" s="13" t="str">
        <f>IFERROR(__xludf.DUMMYFUNCTION("""COMPUTED_VALUE"""),"630 MAIN ST")</f>
        <v>630 MAIN ST</v>
      </c>
      <c r="H144" s="13" t="str">
        <f>IFERROR(__xludf.DUMMYFUNCTION("""COMPUTED_VALUE"""),"ORDWAY")</f>
        <v>ORDWAY</v>
      </c>
      <c r="I144" s="13" t="str">
        <f>IFERROR(__xludf.DUMMYFUNCTION("""COMPUTED_VALUE"""),"CO")</f>
        <v>CO</v>
      </c>
      <c r="J144" s="13" t="str">
        <f>IFERROR(__xludf.DUMMYFUNCTION("""COMPUTED_VALUE"""),"81063-1001")</f>
        <v>81063-1001</v>
      </c>
      <c r="K144" s="13" t="str">
        <f>IFERROR(__xludf.DUMMYFUNCTION("""COMPUTED_VALUE"""),"Crowley")</f>
        <v>Crowley</v>
      </c>
      <c r="L144" s="17" t="str">
        <f>IFERROR(__xludf.DUMMYFUNCTION("""COMPUTED_VALUE"""),"Y")</f>
        <v>Y</v>
      </c>
      <c r="M144" s="17"/>
      <c r="N144" s="17" t="str">
        <f>IFERROR(__xludf.DUMMYFUNCTION("""COMPUTED_VALUE"""),"Y")</f>
        <v>Y</v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>
      <c r="A145" s="13" t="str">
        <f>IFERROR(__xludf.DUMMYFUNCTION("""COMPUTED_VALUE"""),"0770")</f>
        <v>0770</v>
      </c>
      <c r="B145" s="13" t="str">
        <f>IFERROR(__xludf.DUMMYFUNCTION("""COMPUTED_VALUE"""),"Crowley County School District RE 1-J")</f>
        <v>Crowley County School District RE 1-J</v>
      </c>
      <c r="C145" s="13" t="str">
        <f>IFERROR(__xludf.DUMMYFUNCTION("""COMPUTED_VALUE"""),"02059")</f>
        <v>02059</v>
      </c>
      <c r="D145" s="13" t="str">
        <f>IFERROR(__xludf.DUMMYFUNCTION("""COMPUTED_VALUE"""),"Sugar City Park")</f>
        <v>Sugar City Park</v>
      </c>
      <c r="E145" s="13" t="str">
        <f>IFERROR(__xludf.DUMMYFUNCTION("""COMPUTED_VALUE"""),"Open")</f>
        <v>Open</v>
      </c>
      <c r="F145" s="13" t="str">
        <f>IFERROR(__xludf.DUMMYFUNCTION("""COMPUTED_VALUE"""),"Non-congregate")</f>
        <v>Non-congregate</v>
      </c>
      <c r="G145" s="13" t="str">
        <f>IFERROR(__xludf.DUMMYFUNCTION("""COMPUTED_VALUE"""),"324 COLORADO ST")</f>
        <v>324 COLORADO ST</v>
      </c>
      <c r="H145" s="13" t="str">
        <f>IFERROR(__xludf.DUMMYFUNCTION("""COMPUTED_VALUE"""),"SUGAR CITY")</f>
        <v>SUGAR CITY</v>
      </c>
      <c r="I145" s="13" t="str">
        <f>IFERROR(__xludf.DUMMYFUNCTION("""COMPUTED_VALUE"""),"CO")</f>
        <v>CO</v>
      </c>
      <c r="J145" s="13">
        <f>IFERROR(__xludf.DUMMYFUNCTION("""COMPUTED_VALUE"""),81076.0)</f>
        <v>81076</v>
      </c>
      <c r="K145" s="13" t="str">
        <f>IFERROR(__xludf.DUMMYFUNCTION("""COMPUTED_VALUE"""),"Crowley")</f>
        <v>Crowley</v>
      </c>
      <c r="L145" s="17" t="str">
        <f>IFERROR(__xludf.DUMMYFUNCTION("""COMPUTED_VALUE"""),"Y")</f>
        <v>Y</v>
      </c>
      <c r="M145" s="17"/>
      <c r="N145" s="17" t="str">
        <f>IFERROR(__xludf.DUMMYFUNCTION("""COMPUTED_VALUE"""),"Y")</f>
        <v>Y</v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>
      <c r="A146" s="13" t="str">
        <f>IFERROR(__xludf.DUMMYFUNCTION("""COMPUTED_VALUE"""),"0770")</f>
        <v>0770</v>
      </c>
      <c r="B146" s="13" t="str">
        <f>IFERROR(__xludf.DUMMYFUNCTION("""COMPUTED_VALUE"""),"Crowley County School District RE 1-J")</f>
        <v>Crowley County School District RE 1-J</v>
      </c>
      <c r="C146" s="13" t="str">
        <f>IFERROR(__xludf.DUMMYFUNCTION("""COMPUTED_VALUE"""),"02060")</f>
        <v>02060</v>
      </c>
      <c r="D146" s="13" t="str">
        <f>IFERROR(__xludf.DUMMYFUNCTION("""COMPUTED_VALUE"""),"Olney Springs Park")</f>
        <v>Olney Springs Park</v>
      </c>
      <c r="E146" s="13" t="str">
        <f>IFERROR(__xludf.DUMMYFUNCTION("""COMPUTED_VALUE"""),"Open")</f>
        <v>Open</v>
      </c>
      <c r="F146" s="13" t="str">
        <f>IFERROR(__xludf.DUMMYFUNCTION("""COMPUTED_VALUE"""),"Non-congregate")</f>
        <v>Non-congregate</v>
      </c>
      <c r="G146" s="13" t="str">
        <f>IFERROR(__xludf.DUMMYFUNCTION("""COMPUTED_VALUE"""),"401 WARNER")</f>
        <v>401 WARNER</v>
      </c>
      <c r="H146" s="13" t="str">
        <f>IFERROR(__xludf.DUMMYFUNCTION("""COMPUTED_VALUE"""),"OLNEY SPRINGS")</f>
        <v>OLNEY SPRINGS</v>
      </c>
      <c r="I146" s="13" t="str">
        <f>IFERROR(__xludf.DUMMYFUNCTION("""COMPUTED_VALUE"""),"CO")</f>
        <v>CO</v>
      </c>
      <c r="J146" s="13">
        <f>IFERROR(__xludf.DUMMYFUNCTION("""COMPUTED_VALUE"""),81062.0)</f>
        <v>81062</v>
      </c>
      <c r="K146" s="13" t="str">
        <f>IFERROR(__xludf.DUMMYFUNCTION("""COMPUTED_VALUE"""),"Crowley")</f>
        <v>Crowley</v>
      </c>
      <c r="L146" s="17" t="str">
        <f>IFERROR(__xludf.DUMMYFUNCTION("""COMPUTED_VALUE"""),"Y")</f>
        <v>Y</v>
      </c>
      <c r="M146" s="17"/>
      <c r="N146" s="17" t="str">
        <f>IFERROR(__xludf.DUMMYFUNCTION("""COMPUTED_VALUE"""),"Y")</f>
        <v>Y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>
      <c r="A147" s="13" t="str">
        <f>IFERROR(__xludf.DUMMYFUNCTION("""COMPUTED_VALUE"""),"0770")</f>
        <v>0770</v>
      </c>
      <c r="B147" s="13" t="str">
        <f>IFERROR(__xludf.DUMMYFUNCTION("""COMPUTED_VALUE"""),"Crowley County School District RE 1-J")</f>
        <v>Crowley County School District RE 1-J</v>
      </c>
      <c r="C147" s="13" t="str">
        <f>IFERROR(__xludf.DUMMYFUNCTION("""COMPUTED_VALUE"""),"15096")</f>
        <v>15096</v>
      </c>
      <c r="D147" s="13" t="str">
        <f>IFERROR(__xludf.DUMMYFUNCTION("""COMPUTED_VALUE"""),"Crowley Post office")</f>
        <v>Crowley Post office</v>
      </c>
      <c r="E147" s="13" t="str">
        <f>IFERROR(__xludf.DUMMYFUNCTION("""COMPUTED_VALUE"""),"Open")</f>
        <v>Open</v>
      </c>
      <c r="F147" s="13" t="str">
        <f>IFERROR(__xludf.DUMMYFUNCTION("""COMPUTED_VALUE"""),"Non-congregate")</f>
        <v>Non-congregate</v>
      </c>
      <c r="G147" s="13" t="str">
        <f>IFERROR(__xludf.DUMMYFUNCTION("""COMPUTED_VALUE"""),"101 Market St")</f>
        <v>101 Market St</v>
      </c>
      <c r="H147" s="13" t="str">
        <f>IFERROR(__xludf.DUMMYFUNCTION("""COMPUTED_VALUE"""),"CROWLEY")</f>
        <v>CROWLEY</v>
      </c>
      <c r="I147" s="13" t="str">
        <f>IFERROR(__xludf.DUMMYFUNCTION("""COMPUTED_VALUE"""),"CO")</f>
        <v>CO</v>
      </c>
      <c r="J147" s="13" t="str">
        <f>IFERROR(__xludf.DUMMYFUNCTION("""COMPUTED_VALUE"""),"81033-9900")</f>
        <v>81033-9900</v>
      </c>
      <c r="K147" s="13" t="str">
        <f>IFERROR(__xludf.DUMMYFUNCTION("""COMPUTED_VALUE"""),"Crowley")</f>
        <v>Crowley</v>
      </c>
      <c r="L147" s="17" t="str">
        <f>IFERROR(__xludf.DUMMYFUNCTION("""COMPUTED_VALUE"""),"Y")</f>
        <v>Y</v>
      </c>
      <c r="M147" s="17"/>
      <c r="N147" s="17" t="str">
        <f>IFERROR(__xludf.DUMMYFUNCTION("""COMPUTED_VALUE"""),"Y")</f>
        <v>Y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>
      <c r="A148" s="13" t="str">
        <f>IFERROR(__xludf.DUMMYFUNCTION("""COMPUTED_VALUE"""),"0770")</f>
        <v>0770</v>
      </c>
      <c r="B148" s="13" t="str">
        <f>IFERROR(__xludf.DUMMYFUNCTION("""COMPUTED_VALUE"""),"Crowley County School District RE 1-J")</f>
        <v>Crowley County School District RE 1-J</v>
      </c>
      <c r="C148" s="13" t="str">
        <f>IFERROR(__xludf.DUMMYFUNCTION("""COMPUTED_VALUE"""),"91430")</f>
        <v>91430</v>
      </c>
      <c r="D148" s="13" t="str">
        <f>IFERROR(__xludf.DUMMYFUNCTION("""COMPUTED_VALUE"""),"Manzanola 3J School District")</f>
        <v>Manzanola 3J School District</v>
      </c>
      <c r="E148" s="13" t="str">
        <f>IFERROR(__xludf.DUMMYFUNCTION("""COMPUTED_VALUE"""),"Open")</f>
        <v>Open</v>
      </c>
      <c r="F148" s="13" t="str">
        <f>IFERROR(__xludf.DUMMYFUNCTION("""COMPUTED_VALUE"""),"Non-congregate")</f>
        <v>Non-congregate</v>
      </c>
      <c r="G148" s="13" t="str">
        <f>IFERROR(__xludf.DUMMYFUNCTION("""COMPUTED_VALUE"""),"32475 County Rd 11.5")</f>
        <v>32475 County Rd 11.5</v>
      </c>
      <c r="H148" s="13" t="str">
        <f>IFERROR(__xludf.DUMMYFUNCTION("""COMPUTED_VALUE"""),"CROWLEY")</f>
        <v>CROWLEY</v>
      </c>
      <c r="I148" s="13" t="str">
        <f>IFERROR(__xludf.DUMMYFUNCTION("""COMPUTED_VALUE"""),"CO")</f>
        <v>CO</v>
      </c>
      <c r="J148" s="13" t="str">
        <f>IFERROR(__xludf.DUMMYFUNCTION("""COMPUTED_VALUE"""),"81033-9900")</f>
        <v>81033-9900</v>
      </c>
      <c r="K148" s="13" t="str">
        <f>IFERROR(__xludf.DUMMYFUNCTION("""COMPUTED_VALUE"""),"Crowley")</f>
        <v>Crowley</v>
      </c>
      <c r="L148" s="17" t="str">
        <f>IFERROR(__xludf.DUMMYFUNCTION("""COMPUTED_VALUE"""),"Y")</f>
        <v>Y</v>
      </c>
      <c r="M148" s="17"/>
      <c r="N148" s="17" t="str">
        <f>IFERROR(__xludf.DUMMYFUNCTION("""COMPUTED_VALUE"""),"Y")</f>
        <v>Y</v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>
      <c r="A149" s="13" t="str">
        <f>IFERROR(__xludf.DUMMYFUNCTION("""COMPUTED_VALUE"""),"0770")</f>
        <v>0770</v>
      </c>
      <c r="B149" s="13" t="str">
        <f>IFERROR(__xludf.DUMMYFUNCTION("""COMPUTED_VALUE"""),"Crowley County School District RE 1-J")</f>
        <v>Crowley County School District RE 1-J</v>
      </c>
      <c r="C149" s="13" t="str">
        <f>IFERROR(__xludf.DUMMYFUNCTION("""COMPUTED_VALUE"""),"91779")</f>
        <v>91779</v>
      </c>
      <c r="D149" s="13" t="str">
        <f>IFERROR(__xludf.DUMMYFUNCTION("""COMPUTED_VALUE"""),"Crowley Home Delivery")</f>
        <v>Crowley Home Delivery</v>
      </c>
      <c r="E149" s="13" t="str">
        <f>IFERROR(__xludf.DUMMYFUNCTION("""COMPUTED_VALUE"""),"Closed - Enrolled")</f>
        <v>Closed - Enrolled</v>
      </c>
      <c r="F149" s="13" t="str">
        <f>IFERROR(__xludf.DUMMYFUNCTION("""COMPUTED_VALUE"""),"Non-congregate")</f>
        <v>Non-congregate</v>
      </c>
      <c r="G149" s="13" t="str">
        <f>IFERROR(__xludf.DUMMYFUNCTION("""COMPUTED_VALUE"""),"630 MAIN ST")</f>
        <v>630 MAIN ST</v>
      </c>
      <c r="H149" s="13" t="str">
        <f>IFERROR(__xludf.DUMMYFUNCTION("""COMPUTED_VALUE"""),"ORDWAY")</f>
        <v>ORDWAY</v>
      </c>
      <c r="I149" s="13" t="str">
        <f>IFERROR(__xludf.DUMMYFUNCTION("""COMPUTED_VALUE"""),"CO")</f>
        <v>CO</v>
      </c>
      <c r="J149" s="13" t="str">
        <f>IFERROR(__xludf.DUMMYFUNCTION("""COMPUTED_VALUE"""),"81063-1001")</f>
        <v>81063-1001</v>
      </c>
      <c r="K149" s="13" t="str">
        <f>IFERROR(__xludf.DUMMYFUNCTION("""COMPUTED_VALUE"""),"Crowley")</f>
        <v>Crowley</v>
      </c>
      <c r="L149" s="17" t="str">
        <f>IFERROR(__xludf.DUMMYFUNCTION("""COMPUTED_VALUE"""),"Y")</f>
        <v>Y</v>
      </c>
      <c r="M149" s="17"/>
      <c r="N149" s="17" t="str">
        <f>IFERROR(__xludf.DUMMYFUNCTION("""COMPUTED_VALUE"""),"Y")</f>
        <v>Y</v>
      </c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>
      <c r="A150" s="13" t="str">
        <f>IFERROR(__xludf.DUMMYFUNCTION("""COMPUTED_VALUE"""),"0870")</f>
        <v>0870</v>
      </c>
      <c r="B150" s="13" t="str">
        <f>IFERROR(__xludf.DUMMYFUNCTION("""COMPUTED_VALUE"""),"DELTA COUNTY 50(J)")</f>
        <v>DELTA COUNTY 50(J)</v>
      </c>
      <c r="C150" s="13" t="str">
        <f>IFERROR(__xludf.DUMMYFUNCTION("""COMPUTED_VALUE"""),"02160")</f>
        <v>02160</v>
      </c>
      <c r="D150" s="13" t="str">
        <f>IFERROR(__xludf.DUMMYFUNCTION("""COMPUTED_VALUE"""),"DELTA MIDDLE SCHOOL")</f>
        <v>DELTA MIDDLE SCHOOL</v>
      </c>
      <c r="E150" s="13" t="str">
        <f>IFERROR(__xludf.DUMMYFUNCTION("""COMPUTED_VALUE"""),"Open")</f>
        <v>Open</v>
      </c>
      <c r="F150" s="13" t="str">
        <f>IFERROR(__xludf.DUMMYFUNCTION("""COMPUTED_VALUE"""),"Non-congregate")</f>
        <v>Non-congregate</v>
      </c>
      <c r="G150" s="13" t="str">
        <f>IFERROR(__xludf.DUMMYFUNCTION("""COMPUTED_VALUE"""),"401 East 10th St")</f>
        <v>401 East 10th St</v>
      </c>
      <c r="H150" s="13" t="str">
        <f>IFERROR(__xludf.DUMMYFUNCTION("""COMPUTED_VALUE"""),"DELTA")</f>
        <v>DELTA</v>
      </c>
      <c r="I150" s="13" t="str">
        <f>IFERROR(__xludf.DUMMYFUNCTION("""COMPUTED_VALUE"""),"CO")</f>
        <v>CO</v>
      </c>
      <c r="J150" s="13">
        <f>IFERROR(__xludf.DUMMYFUNCTION("""COMPUTED_VALUE"""),81416.0)</f>
        <v>81416</v>
      </c>
      <c r="K150" s="13" t="str">
        <f>IFERROR(__xludf.DUMMYFUNCTION("""COMPUTED_VALUE"""),"Delta")</f>
        <v>Delta</v>
      </c>
      <c r="L150" s="17"/>
      <c r="M150" s="17"/>
      <c r="N150" s="17" t="str">
        <f>IFERROR(__xludf.DUMMYFUNCTION("""COMPUTED_VALUE"""),"Y")</f>
        <v>Y</v>
      </c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>
      <c r="A151" s="13" t="str">
        <f>IFERROR(__xludf.DUMMYFUNCTION("""COMPUTED_VALUE"""),"0870")</f>
        <v>0870</v>
      </c>
      <c r="B151" s="13" t="str">
        <f>IFERROR(__xludf.DUMMYFUNCTION("""COMPUTED_VALUE"""),"DELTA COUNTY 50(J)")</f>
        <v>DELTA COUNTY 50(J)</v>
      </c>
      <c r="C151" s="13" t="str">
        <f>IFERROR(__xludf.DUMMYFUNCTION("""COMPUTED_VALUE"""),"91772")</f>
        <v>91772</v>
      </c>
      <c r="D151" s="13" t="str">
        <f>IFERROR(__xludf.DUMMYFUNCTION("""COMPUTED_VALUE"""),"Bill Heddles Recreation Center")</f>
        <v>Bill Heddles Recreation Center</v>
      </c>
      <c r="E151" s="13" t="str">
        <f>IFERROR(__xludf.DUMMYFUNCTION("""COMPUTED_VALUE"""),"Open")</f>
        <v>Open</v>
      </c>
      <c r="F151" s="13" t="str">
        <f>IFERROR(__xludf.DUMMYFUNCTION("""COMPUTED_VALUE"""),"Non-congregate")</f>
        <v>Non-congregate</v>
      </c>
      <c r="G151" s="13" t="str">
        <f>IFERROR(__xludf.DUMMYFUNCTION("""COMPUTED_VALUE"""),"531 N PALMER ST")</f>
        <v>531 N PALMER ST</v>
      </c>
      <c r="H151" s="13" t="str">
        <f>IFERROR(__xludf.DUMMYFUNCTION("""COMPUTED_VALUE"""),"DELTA")</f>
        <v>DELTA</v>
      </c>
      <c r="I151" s="13" t="str">
        <f>IFERROR(__xludf.DUMMYFUNCTION("""COMPUTED_VALUE"""),"CO")</f>
        <v>CO</v>
      </c>
      <c r="J151" s="13" t="str">
        <f>IFERROR(__xludf.DUMMYFUNCTION("""COMPUTED_VALUE"""),"81416-1883")</f>
        <v>81416-1883</v>
      </c>
      <c r="K151" s="13" t="str">
        <f>IFERROR(__xludf.DUMMYFUNCTION("""COMPUTED_VALUE"""),"Delta")</f>
        <v>Delta</v>
      </c>
      <c r="L151" s="17"/>
      <c r="M151" s="17"/>
      <c r="N151" s="17" t="str">
        <f>IFERROR(__xludf.DUMMYFUNCTION("""COMPUTED_VALUE"""),"Y")</f>
        <v>Y</v>
      </c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>
      <c r="A152" s="13" t="str">
        <f>IFERROR(__xludf.DUMMYFUNCTION("""COMPUTED_VALUE"""),"0870")</f>
        <v>0870</v>
      </c>
      <c r="B152" s="13" t="str">
        <f>IFERROR(__xludf.DUMMYFUNCTION("""COMPUTED_VALUE"""),"DELTA COUNTY 50(J)")</f>
        <v>DELTA COUNTY 50(J)</v>
      </c>
      <c r="C152" s="13" t="str">
        <f>IFERROR(__xludf.DUMMYFUNCTION("""COMPUTED_VALUE"""),"91773")</f>
        <v>91773</v>
      </c>
      <c r="D152" s="13" t="str">
        <f>IFERROR(__xludf.DUMMYFUNCTION("""COMPUTED_VALUE"""),"North Fork Swimming Pool")</f>
        <v>North Fork Swimming Pool</v>
      </c>
      <c r="E152" s="13" t="str">
        <f>IFERROR(__xludf.DUMMYFUNCTION("""COMPUTED_VALUE"""),"Open")</f>
        <v>Open</v>
      </c>
      <c r="F152" s="13" t="str">
        <f>IFERROR(__xludf.DUMMYFUNCTION("""COMPUTED_VALUE"""),"Non-congregate")</f>
        <v>Non-congregate</v>
      </c>
      <c r="G152" s="13" t="str">
        <f>IFERROR(__xludf.DUMMYFUNCTION("""COMPUTED_VALUE"""),"333 MINERS WAY")</f>
        <v>333 MINERS WAY</v>
      </c>
      <c r="H152" s="13" t="str">
        <f>IFERROR(__xludf.DUMMYFUNCTION("""COMPUTED_VALUE"""),"HOTCHKISS")</f>
        <v>HOTCHKISS</v>
      </c>
      <c r="I152" s="13" t="str">
        <f>IFERROR(__xludf.DUMMYFUNCTION("""COMPUTED_VALUE"""),"CO")</f>
        <v>CO</v>
      </c>
      <c r="J152" s="13">
        <f>IFERROR(__xludf.DUMMYFUNCTION("""COMPUTED_VALUE"""),81419.0)</f>
        <v>81419</v>
      </c>
      <c r="K152" s="13" t="str">
        <f>IFERROR(__xludf.DUMMYFUNCTION("""COMPUTED_VALUE"""),"Delta")</f>
        <v>Delta</v>
      </c>
      <c r="L152" s="17"/>
      <c r="M152" s="17"/>
      <c r="N152" s="17" t="str">
        <f>IFERROR(__xludf.DUMMYFUNCTION("""COMPUTED_VALUE"""),"Y")</f>
        <v>Y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>
      <c r="A153" s="13" t="str">
        <f>IFERROR(__xludf.DUMMYFUNCTION("""COMPUTED_VALUE"""),"0880")</f>
        <v>0880</v>
      </c>
      <c r="B153" s="13" t="str">
        <f>IFERROR(__xludf.DUMMYFUNCTION("""COMPUTED_VALUE"""),"DENVER COUNTY 1")</f>
        <v>DENVER COUNTY 1</v>
      </c>
      <c r="C153" s="13" t="str">
        <f>IFERROR(__xludf.DUMMYFUNCTION("""COMPUTED_VALUE"""),"00099")</f>
        <v>00099</v>
      </c>
      <c r="D153" s="13" t="str">
        <f>IFERROR(__xludf.DUMMYFUNCTION("""COMPUTED_VALUE"""),"Academy 360")</f>
        <v>Academy 360</v>
      </c>
      <c r="E153" s="13" t="str">
        <f>IFERROR(__xludf.DUMMYFUNCTION("""COMPUTED_VALUE"""),"Open")</f>
        <v>Open</v>
      </c>
      <c r="F153" s="13"/>
      <c r="G153" s="13" t="str">
        <f>IFERROR(__xludf.DUMMYFUNCTION("""COMPUTED_VALUE"""),"12000 E 47TH AVE")</f>
        <v>12000 E 47TH AVE</v>
      </c>
      <c r="H153" s="13" t="str">
        <f>IFERROR(__xludf.DUMMYFUNCTION("""COMPUTED_VALUE"""),"DENVER")</f>
        <v>DENVER</v>
      </c>
      <c r="I153" s="13" t="str">
        <f>IFERROR(__xludf.DUMMYFUNCTION("""COMPUTED_VALUE"""),"CO")</f>
        <v>CO</v>
      </c>
      <c r="J153" s="13" t="str">
        <f>IFERROR(__xludf.DUMMYFUNCTION("""COMPUTED_VALUE"""),"80239-3143")</f>
        <v>80239-3143</v>
      </c>
      <c r="K153" s="13" t="str">
        <f>IFERROR(__xludf.DUMMYFUNCTION("""COMPUTED_VALUE"""),"Denver")</f>
        <v>Denver</v>
      </c>
      <c r="L153" s="17" t="str">
        <f>IFERROR(__xludf.DUMMYFUNCTION("""COMPUTED_VALUE"""),"Y")</f>
        <v>Y</v>
      </c>
      <c r="M153" s="17"/>
      <c r="N153" s="17" t="str">
        <f>IFERROR(__xludf.DUMMYFUNCTION("""COMPUTED_VALUE"""),"Y")</f>
        <v>Y</v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>
      <c r="A154" s="13" t="str">
        <f>IFERROR(__xludf.DUMMYFUNCTION("""COMPUTED_VALUE"""),"0880")</f>
        <v>0880</v>
      </c>
      <c r="B154" s="13" t="str">
        <f>IFERROR(__xludf.DUMMYFUNCTION("""COMPUTED_VALUE"""),"DENVER COUNTY 1")</f>
        <v>DENVER COUNTY 1</v>
      </c>
      <c r="C154" s="13" t="str">
        <f>IFERROR(__xludf.DUMMYFUNCTION("""COMPUTED_VALUE"""),"00408")</f>
        <v>00408</v>
      </c>
      <c r="D154" s="13" t="str">
        <f>IFERROR(__xludf.DUMMYFUNCTION("""COMPUTED_VALUE"""),"VALDEZ ELEMENTARY SCHOOL")</f>
        <v>VALDEZ ELEMENTARY SCHOOL</v>
      </c>
      <c r="E154" s="13" t="str">
        <f>IFERROR(__xludf.DUMMYFUNCTION("""COMPUTED_VALUE"""),"Open")</f>
        <v>Open</v>
      </c>
      <c r="F154" s="13"/>
      <c r="G154" s="13" t="str">
        <f>IFERROR(__xludf.DUMMYFUNCTION("""COMPUTED_VALUE"""),"2525 W 29TH AVE")</f>
        <v>2525 W 29TH AVE</v>
      </c>
      <c r="H154" s="13" t="str">
        <f>IFERROR(__xludf.DUMMYFUNCTION("""COMPUTED_VALUE"""),"DENVER")</f>
        <v>DENVER</v>
      </c>
      <c r="I154" s="13" t="str">
        <f>IFERROR(__xludf.DUMMYFUNCTION("""COMPUTED_VALUE"""),"CO")</f>
        <v>CO</v>
      </c>
      <c r="J154" s="13" t="str">
        <f>IFERROR(__xludf.DUMMYFUNCTION("""COMPUTED_VALUE"""),"80211-3711")</f>
        <v>80211-3711</v>
      </c>
      <c r="K154" s="13" t="str">
        <f>IFERROR(__xludf.DUMMYFUNCTION("""COMPUTED_VALUE"""),"Denver")</f>
        <v>Denver</v>
      </c>
      <c r="L154" s="17" t="str">
        <f>IFERROR(__xludf.DUMMYFUNCTION("""COMPUTED_VALUE"""),"Y")</f>
        <v>Y</v>
      </c>
      <c r="M154" s="17"/>
      <c r="N154" s="17" t="str">
        <f>IFERROR(__xludf.DUMMYFUNCTION("""COMPUTED_VALUE"""),"Y")</f>
        <v>Y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>
      <c r="A155" s="13" t="str">
        <f>IFERROR(__xludf.DUMMYFUNCTION("""COMPUTED_VALUE"""),"0880")</f>
        <v>0880</v>
      </c>
      <c r="B155" s="13" t="str">
        <f>IFERROR(__xludf.DUMMYFUNCTION("""COMPUTED_VALUE"""),"DENVER COUNTY 1")</f>
        <v>DENVER COUNTY 1</v>
      </c>
      <c r="C155" s="13" t="str">
        <f>IFERROR(__xludf.DUMMYFUNCTION("""COMPUTED_VALUE"""),"00418")</f>
        <v>00418</v>
      </c>
      <c r="D155" s="13" t="str">
        <f>IFERROR(__xludf.DUMMYFUNCTION("""COMPUTED_VALUE"""),"ASHLEY ELEMENTARY SCHOOL")</f>
        <v>ASHLEY ELEMENTARY SCHOOL</v>
      </c>
      <c r="E155" s="13" t="str">
        <f>IFERROR(__xludf.DUMMYFUNCTION("""COMPUTED_VALUE"""),"Open")</f>
        <v>Open</v>
      </c>
      <c r="F155" s="13"/>
      <c r="G155" s="13" t="str">
        <f>IFERROR(__xludf.DUMMYFUNCTION("""COMPUTED_VALUE"""),"1914 SYRACUSE ST")</f>
        <v>1914 SYRACUSE ST</v>
      </c>
      <c r="H155" s="13" t="str">
        <f>IFERROR(__xludf.DUMMYFUNCTION("""COMPUTED_VALUE"""),"DENVER")</f>
        <v>DENVER</v>
      </c>
      <c r="I155" s="13" t="str">
        <f>IFERROR(__xludf.DUMMYFUNCTION("""COMPUTED_VALUE"""),"CO")</f>
        <v>CO</v>
      </c>
      <c r="J155" s="13" t="str">
        <f>IFERROR(__xludf.DUMMYFUNCTION("""COMPUTED_VALUE"""),"80220-2018")</f>
        <v>80220-2018</v>
      </c>
      <c r="K155" s="13" t="str">
        <f>IFERROR(__xludf.DUMMYFUNCTION("""COMPUTED_VALUE"""),"Denver")</f>
        <v>Denver</v>
      </c>
      <c r="L155" s="17" t="str">
        <f>IFERROR(__xludf.DUMMYFUNCTION("""COMPUTED_VALUE"""),"Y")</f>
        <v>Y</v>
      </c>
      <c r="M155" s="17"/>
      <c r="N155" s="17" t="str">
        <f>IFERROR(__xludf.DUMMYFUNCTION("""COMPUTED_VALUE"""),"Y")</f>
        <v>Y</v>
      </c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>
      <c r="A156" s="13" t="str">
        <f>IFERROR(__xludf.DUMMYFUNCTION("""COMPUTED_VALUE"""),"0880")</f>
        <v>0880</v>
      </c>
      <c r="B156" s="13" t="str">
        <f>IFERROR(__xludf.DUMMYFUNCTION("""COMPUTED_VALUE"""),"DENVER COUNTY 1")</f>
        <v>DENVER COUNTY 1</v>
      </c>
      <c r="C156" s="13" t="str">
        <f>IFERROR(__xludf.DUMMYFUNCTION("""COMPUTED_VALUE"""),"00520")</f>
        <v>00520</v>
      </c>
      <c r="D156" s="13" t="str">
        <f>IFERROR(__xludf.DUMMYFUNCTION("""COMPUTED_VALUE"""),"BARNUM ELEMENTARY SCHOOL")</f>
        <v>BARNUM ELEMENTARY SCHOOL</v>
      </c>
      <c r="E156" s="13" t="str">
        <f>IFERROR(__xludf.DUMMYFUNCTION("""COMPUTED_VALUE"""),"Open")</f>
        <v>Open</v>
      </c>
      <c r="F156" s="13"/>
      <c r="G156" s="13" t="str">
        <f>IFERROR(__xludf.DUMMYFUNCTION("""COMPUTED_VALUE"""),"85 HOOKER ST")</f>
        <v>85 HOOKER ST</v>
      </c>
      <c r="H156" s="13" t="str">
        <f>IFERROR(__xludf.DUMMYFUNCTION("""COMPUTED_VALUE"""),"DENVER")</f>
        <v>DENVER</v>
      </c>
      <c r="I156" s="13" t="str">
        <f>IFERROR(__xludf.DUMMYFUNCTION("""COMPUTED_VALUE"""),"CO")</f>
        <v>CO</v>
      </c>
      <c r="J156" s="13" t="str">
        <f>IFERROR(__xludf.DUMMYFUNCTION("""COMPUTED_VALUE"""),"80219-1444")</f>
        <v>80219-1444</v>
      </c>
      <c r="K156" s="13" t="str">
        <f>IFERROR(__xludf.DUMMYFUNCTION("""COMPUTED_VALUE"""),"Denver")</f>
        <v>Denver</v>
      </c>
      <c r="L156" s="17" t="str">
        <f>IFERROR(__xludf.DUMMYFUNCTION("""COMPUTED_VALUE"""),"Y")</f>
        <v>Y</v>
      </c>
      <c r="M156" s="17"/>
      <c r="N156" s="17" t="str">
        <f>IFERROR(__xludf.DUMMYFUNCTION("""COMPUTED_VALUE"""),"Y")</f>
        <v>Y</v>
      </c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>
      <c r="A157" s="13" t="str">
        <f>IFERROR(__xludf.DUMMYFUNCTION("""COMPUTED_VALUE"""),"0880")</f>
        <v>0880</v>
      </c>
      <c r="B157" s="13" t="str">
        <f>IFERROR(__xludf.DUMMYFUNCTION("""COMPUTED_VALUE"""),"DENVER COUNTY 1")</f>
        <v>DENVER COUNTY 1</v>
      </c>
      <c r="C157" s="13" t="str">
        <f>IFERROR(__xludf.DUMMYFUNCTION("""COMPUTED_VALUE"""),"00650")</f>
        <v>00650</v>
      </c>
      <c r="D157" s="13" t="str">
        <f>IFERROR(__xludf.DUMMYFUNCTION("""COMPUTED_VALUE"""),"BEACH COURT ELEMENTARY SCHOOL")</f>
        <v>BEACH COURT ELEMENTARY SCHOOL</v>
      </c>
      <c r="E157" s="13" t="str">
        <f>IFERROR(__xludf.DUMMYFUNCTION("""COMPUTED_VALUE"""),"Open")</f>
        <v>Open</v>
      </c>
      <c r="F157" s="13"/>
      <c r="G157" s="13" t="str">
        <f>IFERROR(__xludf.DUMMYFUNCTION("""COMPUTED_VALUE"""),"4950 BEACH CT")</f>
        <v>4950 BEACH CT</v>
      </c>
      <c r="H157" s="13" t="str">
        <f>IFERROR(__xludf.DUMMYFUNCTION("""COMPUTED_VALUE"""),"DENVER")</f>
        <v>DENVER</v>
      </c>
      <c r="I157" s="13" t="str">
        <f>IFERROR(__xludf.DUMMYFUNCTION("""COMPUTED_VALUE"""),"CO")</f>
        <v>CO</v>
      </c>
      <c r="J157" s="13" t="str">
        <f>IFERROR(__xludf.DUMMYFUNCTION("""COMPUTED_VALUE"""),"80221-1208")</f>
        <v>80221-1208</v>
      </c>
      <c r="K157" s="13" t="str">
        <f>IFERROR(__xludf.DUMMYFUNCTION("""COMPUTED_VALUE"""),"Denver")</f>
        <v>Denver</v>
      </c>
      <c r="L157" s="17" t="str">
        <f>IFERROR(__xludf.DUMMYFUNCTION("""COMPUTED_VALUE"""),"Y")</f>
        <v>Y</v>
      </c>
      <c r="M157" s="17"/>
      <c r="N157" s="17" t="str">
        <f>IFERROR(__xludf.DUMMYFUNCTION("""COMPUTED_VALUE"""),"Y")</f>
        <v>Y</v>
      </c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>
      <c r="A158" s="13" t="str">
        <f>IFERROR(__xludf.DUMMYFUNCTION("""COMPUTED_VALUE"""),"0880")</f>
        <v>0880</v>
      </c>
      <c r="B158" s="13" t="str">
        <f>IFERROR(__xludf.DUMMYFUNCTION("""COMPUTED_VALUE"""),"DENVER COUNTY 1")</f>
        <v>DENVER COUNTY 1</v>
      </c>
      <c r="C158" s="13" t="str">
        <f>IFERROR(__xludf.DUMMYFUNCTION("""COMPUTED_VALUE"""),"01056")</f>
        <v>01056</v>
      </c>
      <c r="D158" s="13" t="str">
        <f>IFERROR(__xludf.DUMMYFUNCTION("""COMPUTED_VALUE"""),"BROMWELL ELEMENTARY SCHOOL")</f>
        <v>BROMWELL ELEMENTARY SCHOOL</v>
      </c>
      <c r="E158" s="13" t="str">
        <f>IFERROR(__xludf.DUMMYFUNCTION("""COMPUTED_VALUE"""),"Open")</f>
        <v>Open</v>
      </c>
      <c r="F158" s="13"/>
      <c r="G158" s="13" t="str">
        <f>IFERROR(__xludf.DUMMYFUNCTION("""COMPUTED_VALUE"""),"2500 E 4TH AVE")</f>
        <v>2500 E 4TH AVE</v>
      </c>
      <c r="H158" s="13" t="str">
        <f>IFERROR(__xludf.DUMMYFUNCTION("""COMPUTED_VALUE"""),"DENVER")</f>
        <v>DENVER</v>
      </c>
      <c r="I158" s="13" t="str">
        <f>IFERROR(__xludf.DUMMYFUNCTION("""COMPUTED_VALUE"""),"CO")</f>
        <v>CO</v>
      </c>
      <c r="J158" s="13" t="str">
        <f>IFERROR(__xludf.DUMMYFUNCTION("""COMPUTED_VALUE"""),"80206-4214")</f>
        <v>80206-4214</v>
      </c>
      <c r="K158" s="13" t="str">
        <f>IFERROR(__xludf.DUMMYFUNCTION("""COMPUTED_VALUE"""),"Denver")</f>
        <v>Denver</v>
      </c>
      <c r="L158" s="17" t="str">
        <f>IFERROR(__xludf.DUMMYFUNCTION("""COMPUTED_VALUE"""),"Y")</f>
        <v>Y</v>
      </c>
      <c r="M158" s="17"/>
      <c r="N158" s="17" t="str">
        <f>IFERROR(__xludf.DUMMYFUNCTION("""COMPUTED_VALUE"""),"Y")</f>
        <v>Y</v>
      </c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>
      <c r="A159" s="13" t="str">
        <f>IFERROR(__xludf.DUMMYFUNCTION("""COMPUTED_VALUE"""),"0880")</f>
        <v>0880</v>
      </c>
      <c r="B159" s="13" t="str">
        <f>IFERROR(__xludf.DUMMYFUNCTION("""COMPUTED_VALUE"""),"DENVER COUNTY 1")</f>
        <v>DENVER COUNTY 1</v>
      </c>
      <c r="C159" s="13" t="str">
        <f>IFERROR(__xludf.DUMMYFUNCTION("""COMPUTED_VALUE"""),"01319")</f>
        <v>01319</v>
      </c>
      <c r="D159" s="13" t="str">
        <f>IFERROR(__xludf.DUMMYFUNCTION("""COMPUTED_VALUE"""),"CEC MIDDLE COLLEGE OF DENVER")</f>
        <v>CEC MIDDLE COLLEGE OF DENVER</v>
      </c>
      <c r="E159" s="13" t="str">
        <f>IFERROR(__xludf.DUMMYFUNCTION("""COMPUTED_VALUE"""),"Open")</f>
        <v>Open</v>
      </c>
      <c r="F159" s="13"/>
      <c r="G159" s="13" t="str">
        <f>IFERROR(__xludf.DUMMYFUNCTION("""COMPUTED_VALUE"""),"2650 ELIOT ST")</f>
        <v>2650 ELIOT ST</v>
      </c>
      <c r="H159" s="13" t="str">
        <f>IFERROR(__xludf.DUMMYFUNCTION("""COMPUTED_VALUE"""),"DENVER")</f>
        <v>DENVER</v>
      </c>
      <c r="I159" s="13" t="str">
        <f>IFERROR(__xludf.DUMMYFUNCTION("""COMPUTED_VALUE"""),"CO")</f>
        <v>CO</v>
      </c>
      <c r="J159" s="13" t="str">
        <f>IFERROR(__xludf.DUMMYFUNCTION("""COMPUTED_VALUE"""),"80211-4711")</f>
        <v>80211-4711</v>
      </c>
      <c r="K159" s="13" t="str">
        <f>IFERROR(__xludf.DUMMYFUNCTION("""COMPUTED_VALUE"""),"Denver")</f>
        <v>Denver</v>
      </c>
      <c r="L159" s="17" t="str">
        <f>IFERROR(__xludf.DUMMYFUNCTION("""COMPUTED_VALUE"""),"Y")</f>
        <v>Y</v>
      </c>
      <c r="M159" s="17"/>
      <c r="N159" s="17" t="str">
        <f>IFERROR(__xludf.DUMMYFUNCTION("""COMPUTED_VALUE"""),"Y")</f>
        <v>Y</v>
      </c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>
      <c r="A160" s="13" t="str">
        <f>IFERROR(__xludf.DUMMYFUNCTION("""COMPUTED_VALUE"""),"0880")</f>
        <v>0880</v>
      </c>
      <c r="B160" s="13" t="str">
        <f>IFERROR(__xludf.DUMMYFUNCTION("""COMPUTED_VALUE"""),"DENVER COUNTY 1")</f>
        <v>DENVER COUNTY 1</v>
      </c>
      <c r="C160" s="13" t="str">
        <f>IFERROR(__xludf.DUMMYFUNCTION("""COMPUTED_VALUE"""),"01489")</f>
        <v>01489</v>
      </c>
      <c r="D160" s="13" t="str">
        <f>IFERROR(__xludf.DUMMYFUNCTION("""COMPUTED_VALUE"""),"Compassion Road Academy")</f>
        <v>Compassion Road Academy</v>
      </c>
      <c r="E160" s="13" t="str">
        <f>IFERROR(__xludf.DUMMYFUNCTION("""COMPUTED_VALUE"""),"Open")</f>
        <v>Open</v>
      </c>
      <c r="F160" s="13"/>
      <c r="G160" s="13" t="str">
        <f>IFERROR(__xludf.DUMMYFUNCTION("""COMPUTED_VALUE"""),"1000 CHEROKEE ST")</f>
        <v>1000 CHEROKEE ST</v>
      </c>
      <c r="H160" s="13" t="str">
        <f>IFERROR(__xludf.DUMMYFUNCTION("""COMPUTED_VALUE"""),"DENVER")</f>
        <v>DENVER</v>
      </c>
      <c r="I160" s="13" t="str">
        <f>IFERROR(__xludf.DUMMYFUNCTION("""COMPUTED_VALUE"""),"CO")</f>
        <v>CO</v>
      </c>
      <c r="J160" s="13" t="str">
        <f>IFERROR(__xludf.DUMMYFUNCTION("""COMPUTED_VALUE"""),"80204-4039")</f>
        <v>80204-4039</v>
      </c>
      <c r="K160" s="13" t="str">
        <f>IFERROR(__xludf.DUMMYFUNCTION("""COMPUTED_VALUE"""),"Denver")</f>
        <v>Denver</v>
      </c>
      <c r="L160" s="17" t="str">
        <f>IFERROR(__xludf.DUMMYFUNCTION("""COMPUTED_VALUE"""),"Y")</f>
        <v>Y</v>
      </c>
      <c r="M160" s="17"/>
      <c r="N160" s="17" t="str">
        <f>IFERROR(__xludf.DUMMYFUNCTION("""COMPUTED_VALUE"""),"Y")</f>
        <v>Y</v>
      </c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>
      <c r="A161" s="13" t="str">
        <f>IFERROR(__xludf.DUMMYFUNCTION("""COMPUTED_VALUE"""),"0880")</f>
        <v>0880</v>
      </c>
      <c r="B161" s="13" t="str">
        <f>IFERROR(__xludf.DUMMYFUNCTION("""COMPUTED_VALUE"""),"DENVER COUNTY 1")</f>
        <v>DENVER COUNTY 1</v>
      </c>
      <c r="C161" s="13" t="str">
        <f>IFERROR(__xludf.DUMMYFUNCTION("""COMPUTED_VALUE"""),"01816")</f>
        <v>01816</v>
      </c>
      <c r="D161" s="13" t="str">
        <f>IFERROR(__xludf.DUMMYFUNCTION("""COMPUTED_VALUE"""),"COLUMBIAN ELEMENTARY SCHOOL")</f>
        <v>COLUMBIAN ELEMENTARY SCHOOL</v>
      </c>
      <c r="E161" s="13" t="str">
        <f>IFERROR(__xludf.DUMMYFUNCTION("""COMPUTED_VALUE"""),"Open")</f>
        <v>Open</v>
      </c>
      <c r="F161" s="13"/>
      <c r="G161" s="13" t="str">
        <f>IFERROR(__xludf.DUMMYFUNCTION("""COMPUTED_VALUE"""),"2925 W 40TH AVE")</f>
        <v>2925 W 40TH AVE</v>
      </c>
      <c r="H161" s="13" t="str">
        <f>IFERROR(__xludf.DUMMYFUNCTION("""COMPUTED_VALUE"""),"DENVER")</f>
        <v>DENVER</v>
      </c>
      <c r="I161" s="13" t="str">
        <f>IFERROR(__xludf.DUMMYFUNCTION("""COMPUTED_VALUE"""),"CO")</f>
        <v>CO</v>
      </c>
      <c r="J161" s="13" t="str">
        <f>IFERROR(__xludf.DUMMYFUNCTION("""COMPUTED_VALUE"""),"80211-2076")</f>
        <v>80211-2076</v>
      </c>
      <c r="K161" s="13" t="str">
        <f>IFERROR(__xludf.DUMMYFUNCTION("""COMPUTED_VALUE"""),"Denver")</f>
        <v>Denver</v>
      </c>
      <c r="L161" s="17" t="str">
        <f>IFERROR(__xludf.DUMMYFUNCTION("""COMPUTED_VALUE"""),"Y")</f>
        <v>Y</v>
      </c>
      <c r="M161" s="17"/>
      <c r="N161" s="17" t="str">
        <f>IFERROR(__xludf.DUMMYFUNCTION("""COMPUTED_VALUE"""),"Y")</f>
        <v>Y</v>
      </c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>
      <c r="A162" s="13" t="str">
        <f>IFERROR(__xludf.DUMMYFUNCTION("""COMPUTED_VALUE"""),"0880")</f>
        <v>0880</v>
      </c>
      <c r="B162" s="13" t="str">
        <f>IFERROR(__xludf.DUMMYFUNCTION("""COMPUTED_VALUE"""),"DENVER COUNTY 1")</f>
        <v>DENVER COUNTY 1</v>
      </c>
      <c r="C162" s="13" t="str">
        <f>IFERROR(__xludf.DUMMYFUNCTION("""COMPUTED_VALUE"""),"01846")</f>
        <v>01846</v>
      </c>
      <c r="D162" s="13" t="str">
        <f>IFERROR(__xludf.DUMMYFUNCTION("""COMPUTED_VALUE"""),"COLUMBINE ELEMENTARY SCHOOL")</f>
        <v>COLUMBINE ELEMENTARY SCHOOL</v>
      </c>
      <c r="E162" s="13" t="str">
        <f>IFERROR(__xludf.DUMMYFUNCTION("""COMPUTED_VALUE"""),"Open")</f>
        <v>Open</v>
      </c>
      <c r="F162" s="13"/>
      <c r="G162" s="13" t="str">
        <f>IFERROR(__xludf.DUMMYFUNCTION("""COMPUTED_VALUE"""),"2540 E 29TH AVE")</f>
        <v>2540 E 29TH AVE</v>
      </c>
      <c r="H162" s="13" t="str">
        <f>IFERROR(__xludf.DUMMYFUNCTION("""COMPUTED_VALUE"""),"DENVER")</f>
        <v>DENVER</v>
      </c>
      <c r="I162" s="13" t="str">
        <f>IFERROR(__xludf.DUMMYFUNCTION("""COMPUTED_VALUE"""),"CO")</f>
        <v>CO</v>
      </c>
      <c r="J162" s="13" t="str">
        <f>IFERROR(__xludf.DUMMYFUNCTION("""COMPUTED_VALUE"""),"80205-4730")</f>
        <v>80205-4730</v>
      </c>
      <c r="K162" s="13" t="str">
        <f>IFERROR(__xludf.DUMMYFUNCTION("""COMPUTED_VALUE"""),"Denver")</f>
        <v>Denver</v>
      </c>
      <c r="L162" s="17" t="str">
        <f>IFERROR(__xludf.DUMMYFUNCTION("""COMPUTED_VALUE"""),"Y")</f>
        <v>Y</v>
      </c>
      <c r="M162" s="17"/>
      <c r="N162" s="17" t="str">
        <f>IFERROR(__xludf.DUMMYFUNCTION("""COMPUTED_VALUE"""),"Y")</f>
        <v>Y</v>
      </c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>
      <c r="A163" s="13" t="str">
        <f>IFERROR(__xludf.DUMMYFUNCTION("""COMPUTED_VALUE"""),"0880")</f>
        <v>0880</v>
      </c>
      <c r="B163" s="13" t="str">
        <f>IFERROR(__xludf.DUMMYFUNCTION("""COMPUTED_VALUE"""),"DENVER COUNTY 1")</f>
        <v>DENVER COUNTY 1</v>
      </c>
      <c r="C163" s="13" t="str">
        <f>IFERROR(__xludf.DUMMYFUNCTION("""COMPUTED_VALUE"""),"02032")</f>
        <v>02032</v>
      </c>
      <c r="D163" s="13" t="str">
        <f>IFERROR(__xludf.DUMMYFUNCTION("""COMPUTED_VALUE"""),"Early Excellence Program of Denver")</f>
        <v>Early Excellence Program of Denver</v>
      </c>
      <c r="E163" s="13" t="str">
        <f>IFERROR(__xludf.DUMMYFUNCTION("""COMPUTED_VALUE"""),"Closed - Enrolled")</f>
        <v>Closed - Enrolled</v>
      </c>
      <c r="F163" s="13"/>
      <c r="G163" s="13" t="str">
        <f>IFERROR(__xludf.DUMMYFUNCTION("""COMPUTED_VALUE"""),"3580 N FRANKLIN ST")</f>
        <v>3580 N FRANKLIN ST</v>
      </c>
      <c r="H163" s="13" t="str">
        <f>IFERROR(__xludf.DUMMYFUNCTION("""COMPUTED_VALUE"""),"DENVER")</f>
        <v>DENVER</v>
      </c>
      <c r="I163" s="13" t="str">
        <f>IFERROR(__xludf.DUMMYFUNCTION("""COMPUTED_VALUE"""),"CO")</f>
        <v>CO</v>
      </c>
      <c r="J163" s="13" t="str">
        <f>IFERROR(__xludf.DUMMYFUNCTION("""COMPUTED_VALUE"""),"80205-3961")</f>
        <v>80205-3961</v>
      </c>
      <c r="K163" s="13" t="str">
        <f>IFERROR(__xludf.DUMMYFUNCTION("""COMPUTED_VALUE"""),"Denver")</f>
        <v>Denver</v>
      </c>
      <c r="L163" s="17" t="str">
        <f>IFERROR(__xludf.DUMMYFUNCTION("""COMPUTED_VALUE"""),"Y")</f>
        <v>Y</v>
      </c>
      <c r="M163" s="17"/>
      <c r="N163" s="17" t="str">
        <f>IFERROR(__xludf.DUMMYFUNCTION("""COMPUTED_VALUE"""),"Y")</f>
        <v>Y</v>
      </c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>
      <c r="A164" s="18" t="str">
        <f>IFERROR(__xludf.DUMMYFUNCTION("""COMPUTED_VALUE"""),"0880")</f>
        <v>0880</v>
      </c>
      <c r="B164" s="18" t="str">
        <f>IFERROR(__xludf.DUMMYFUNCTION("""COMPUTED_VALUE"""),"DENVER COUNTY 1")</f>
        <v>DENVER COUNTY 1</v>
      </c>
      <c r="C164" s="18" t="str">
        <f>IFERROR(__xludf.DUMMYFUNCTION("""COMPUTED_VALUE"""),"02115")</f>
        <v>02115</v>
      </c>
      <c r="D164" s="18" t="str">
        <f>IFERROR(__xludf.DUMMYFUNCTION("""COMPUTED_VALUE"""),"DSST: MONTVIEW MIDDLE SCHOOL")</f>
        <v>DSST: MONTVIEW MIDDLE SCHOOL</v>
      </c>
      <c r="E164" s="18" t="str">
        <f>IFERROR(__xludf.DUMMYFUNCTION("""COMPUTED_VALUE"""),"Open")</f>
        <v>Open</v>
      </c>
      <c r="F164" s="18" t="str">
        <f>IFERROR(__xludf.DUMMYFUNCTION("""COMPUTED_VALUE""")," ")</f>
        <v> </v>
      </c>
      <c r="G164" s="18" t="str">
        <f>IFERROR(__xludf.DUMMYFUNCTION("""COMPUTED_VALUE"""),"2000 VALENTIA ST")</f>
        <v>2000 VALENTIA ST</v>
      </c>
      <c r="H164" s="18" t="str">
        <f>IFERROR(__xludf.DUMMYFUNCTION("""COMPUTED_VALUE"""),"DENVER")</f>
        <v>DENVER</v>
      </c>
      <c r="I164" s="18" t="str">
        <f>IFERROR(__xludf.DUMMYFUNCTION("""COMPUTED_VALUE"""),"CO")</f>
        <v>CO</v>
      </c>
      <c r="J164" s="18" t="str">
        <f>IFERROR(__xludf.DUMMYFUNCTION("""COMPUTED_VALUE"""),"80238-2785")</f>
        <v>80238-2785</v>
      </c>
      <c r="K164" s="18" t="str">
        <f>IFERROR(__xludf.DUMMYFUNCTION("""COMPUTED_VALUE"""),"Denver")</f>
        <v>Denver</v>
      </c>
      <c r="L164" s="19" t="str">
        <f>IFERROR(__xludf.DUMMYFUNCTION("""COMPUTED_VALUE"""),"Y")</f>
        <v>Y</v>
      </c>
      <c r="M164" s="19"/>
      <c r="N164" s="19"/>
      <c r="O164" s="19"/>
      <c r="P164" s="19"/>
      <c r="Q164" s="19" t="str">
        <f>IFERROR(__xludf.DUMMYFUNCTION("""COMPUTED_VALUE"""),"No Claims as of 11.24")</f>
        <v>No Claims as of 11.24</v>
      </c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>
      <c r="A165" s="13" t="str">
        <f>IFERROR(__xludf.DUMMYFUNCTION("""COMPUTED_VALUE"""),"0880")</f>
        <v>0880</v>
      </c>
      <c r="B165" s="13" t="str">
        <f>IFERROR(__xludf.DUMMYFUNCTION("""COMPUTED_VALUE"""),"DENVER COUNTY 1")</f>
        <v>DENVER COUNTY 1</v>
      </c>
      <c r="C165" s="13" t="str">
        <f>IFERROR(__xludf.DUMMYFUNCTION("""COMPUTED_VALUE"""),"02184")</f>
        <v>02184</v>
      </c>
      <c r="D165" s="13" t="str">
        <f>IFERROR(__xludf.DUMMYFUNCTION("""COMPUTED_VALUE"""),"DENVER SCHOOL OF THE ARTS")</f>
        <v>DENVER SCHOOL OF THE ARTS</v>
      </c>
      <c r="E165" s="13" t="str">
        <f>IFERROR(__xludf.DUMMYFUNCTION("""COMPUTED_VALUE"""),"Open")</f>
        <v>Open</v>
      </c>
      <c r="F165" s="13"/>
      <c r="G165" s="13" t="str">
        <f>IFERROR(__xludf.DUMMYFUNCTION("""COMPUTED_VALUE"""),"7111 MONTVIEW BLVD")</f>
        <v>7111 MONTVIEW BLVD</v>
      </c>
      <c r="H165" s="13" t="str">
        <f>IFERROR(__xludf.DUMMYFUNCTION("""COMPUTED_VALUE"""),"DENVER")</f>
        <v>DENVER</v>
      </c>
      <c r="I165" s="13" t="str">
        <f>IFERROR(__xludf.DUMMYFUNCTION("""COMPUTED_VALUE"""),"CO")</f>
        <v>CO</v>
      </c>
      <c r="J165" s="13" t="str">
        <f>IFERROR(__xludf.DUMMYFUNCTION("""COMPUTED_VALUE"""),"80220-1867")</f>
        <v>80220-1867</v>
      </c>
      <c r="K165" s="13" t="str">
        <f>IFERROR(__xludf.DUMMYFUNCTION("""COMPUTED_VALUE"""),"Denver")</f>
        <v>Denver</v>
      </c>
      <c r="L165" s="17" t="str">
        <f>IFERROR(__xludf.DUMMYFUNCTION("""COMPUTED_VALUE"""),"Y")</f>
        <v>Y</v>
      </c>
      <c r="M165" s="17"/>
      <c r="N165" s="17" t="str">
        <f>IFERROR(__xludf.DUMMYFUNCTION("""COMPUTED_VALUE"""),"Y")</f>
        <v>Y</v>
      </c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>
      <c r="A166" s="13" t="str">
        <f>IFERROR(__xludf.DUMMYFUNCTION("""COMPUTED_VALUE"""),"0880")</f>
        <v>0880</v>
      </c>
      <c r="B166" s="13" t="str">
        <f>IFERROR(__xludf.DUMMYFUNCTION("""COMPUTED_VALUE"""),"DENVER COUNTY 1")</f>
        <v>DENVER COUNTY 1</v>
      </c>
      <c r="C166" s="13" t="str">
        <f>IFERROR(__xludf.DUMMYFUNCTION("""COMPUTED_VALUE"""),"02209")</f>
        <v>02209</v>
      </c>
      <c r="D166" s="13" t="str">
        <f>IFERROR(__xludf.DUMMYFUNCTION("""COMPUTED_VALUE"""),"MONTBELLO HIGH SCHOOL")</f>
        <v>MONTBELLO HIGH SCHOOL</v>
      </c>
      <c r="E166" s="13" t="str">
        <f>IFERROR(__xludf.DUMMYFUNCTION("""COMPUTED_VALUE"""),"Open")</f>
        <v>Open</v>
      </c>
      <c r="F166" s="13"/>
      <c r="G166" s="13" t="str">
        <f>IFERROR(__xludf.DUMMYFUNCTION("""COMPUTED_VALUE"""),"5000 CROWN BLVD")</f>
        <v>5000 CROWN BLVD</v>
      </c>
      <c r="H166" s="13" t="str">
        <f>IFERROR(__xludf.DUMMYFUNCTION("""COMPUTED_VALUE"""),"DENVER")</f>
        <v>DENVER</v>
      </c>
      <c r="I166" s="13" t="str">
        <f>IFERROR(__xludf.DUMMYFUNCTION("""COMPUTED_VALUE"""),"CO")</f>
        <v>CO</v>
      </c>
      <c r="J166" s="13" t="str">
        <f>IFERROR(__xludf.DUMMYFUNCTION("""COMPUTED_VALUE"""),"80239-4378")</f>
        <v>80239-4378</v>
      </c>
      <c r="K166" s="13" t="str">
        <f>IFERROR(__xludf.DUMMYFUNCTION("""COMPUTED_VALUE"""),"Denver")</f>
        <v>Denver</v>
      </c>
      <c r="L166" s="17" t="str">
        <f>IFERROR(__xludf.DUMMYFUNCTION("""COMPUTED_VALUE"""),"Y")</f>
        <v>Y</v>
      </c>
      <c r="M166" s="17"/>
      <c r="N166" s="17" t="str">
        <f>IFERROR(__xludf.DUMMYFUNCTION("""COMPUTED_VALUE"""),"Y")</f>
        <v>Y</v>
      </c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>
      <c r="A167" s="13" t="str">
        <f>IFERROR(__xludf.DUMMYFUNCTION("""COMPUTED_VALUE"""),"0880")</f>
        <v>0880</v>
      </c>
      <c r="B167" s="13" t="str">
        <f>IFERROR(__xludf.DUMMYFUNCTION("""COMPUTED_VALUE"""),"DENVER COUNTY 1")</f>
        <v>DENVER COUNTY 1</v>
      </c>
      <c r="C167" s="13" t="str">
        <f>IFERROR(__xludf.DUMMYFUNCTION("""COMPUTED_VALUE"""),"02213")</f>
        <v>02213</v>
      </c>
      <c r="D167" s="13" t="str">
        <f>IFERROR(__xludf.DUMMYFUNCTION("""COMPUTED_VALUE"""),"Montbello Middle School")</f>
        <v>Montbello Middle School</v>
      </c>
      <c r="E167" s="13" t="str">
        <f>IFERROR(__xludf.DUMMYFUNCTION("""COMPUTED_VALUE"""),"Open")</f>
        <v>Open</v>
      </c>
      <c r="F167" s="13"/>
      <c r="G167" s="13" t="str">
        <f>IFERROR(__xludf.DUMMYFUNCTION("""COMPUTED_VALUE"""),"5290 KITTREDGE ST")</f>
        <v>5290 KITTREDGE ST</v>
      </c>
      <c r="H167" s="13" t="str">
        <f>IFERROR(__xludf.DUMMYFUNCTION("""COMPUTED_VALUE"""),"DENVER")</f>
        <v>DENVER</v>
      </c>
      <c r="I167" s="13" t="str">
        <f>IFERROR(__xludf.DUMMYFUNCTION("""COMPUTED_VALUE"""),"CO")</f>
        <v>CO</v>
      </c>
      <c r="J167" s="13" t="str">
        <f>IFERROR(__xludf.DUMMYFUNCTION("""COMPUTED_VALUE"""),"80239-5628")</f>
        <v>80239-5628</v>
      </c>
      <c r="K167" s="13" t="str">
        <f>IFERROR(__xludf.DUMMYFUNCTION("""COMPUTED_VALUE"""),"Denver")</f>
        <v>Denver</v>
      </c>
      <c r="L167" s="17" t="str">
        <f>IFERROR(__xludf.DUMMYFUNCTION("""COMPUTED_VALUE"""),"Y")</f>
        <v>Y</v>
      </c>
      <c r="M167" s="17"/>
      <c r="N167" s="17" t="str">
        <f>IFERROR(__xludf.DUMMYFUNCTION("""COMPUTED_VALUE"""),"Y")</f>
        <v>Y</v>
      </c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>
      <c r="A168" s="13" t="str">
        <f>IFERROR(__xludf.DUMMYFUNCTION("""COMPUTED_VALUE"""),"0880")</f>
        <v>0880</v>
      </c>
      <c r="B168" s="13" t="str">
        <f>IFERROR(__xludf.DUMMYFUNCTION("""COMPUTED_VALUE"""),"DENVER COUNTY 1")</f>
        <v>DENVER COUNTY 1</v>
      </c>
      <c r="C168" s="13" t="str">
        <f>IFERROR(__xludf.DUMMYFUNCTION("""COMPUTED_VALUE"""),"02223")</f>
        <v>02223</v>
      </c>
      <c r="D168" s="13" t="str">
        <f>IFERROR(__xludf.DUMMYFUNCTION("""COMPUTED_VALUE"""),"DSST: COLE MIDDLE SCHOOL")</f>
        <v>DSST: COLE MIDDLE SCHOOL</v>
      </c>
      <c r="E168" s="13" t="str">
        <f>IFERROR(__xludf.DUMMYFUNCTION("""COMPUTED_VALUE"""),"Open")</f>
        <v>Open</v>
      </c>
      <c r="F168" s="13"/>
      <c r="G168" s="13" t="str">
        <f>IFERROR(__xludf.DUMMYFUNCTION("""COMPUTED_VALUE"""),"3240 N HUMBOLDT ST")</f>
        <v>3240 N HUMBOLDT ST</v>
      </c>
      <c r="H168" s="13" t="str">
        <f>IFERROR(__xludf.DUMMYFUNCTION("""COMPUTED_VALUE"""),"DENVER")</f>
        <v>DENVER</v>
      </c>
      <c r="I168" s="13" t="str">
        <f>IFERROR(__xludf.DUMMYFUNCTION("""COMPUTED_VALUE"""),"CO")</f>
        <v>CO</v>
      </c>
      <c r="J168" s="13" t="str">
        <f>IFERROR(__xludf.DUMMYFUNCTION("""COMPUTED_VALUE"""),"80205-3934")</f>
        <v>80205-3934</v>
      </c>
      <c r="K168" s="13" t="str">
        <f>IFERROR(__xludf.DUMMYFUNCTION("""COMPUTED_VALUE"""),"Denver")</f>
        <v>Denver</v>
      </c>
      <c r="L168" s="17" t="str">
        <f>IFERROR(__xludf.DUMMYFUNCTION("""COMPUTED_VALUE"""),"Y")</f>
        <v>Y</v>
      </c>
      <c r="M168" s="17"/>
      <c r="N168" s="17" t="str">
        <f>IFERROR(__xludf.DUMMYFUNCTION("""COMPUTED_VALUE"""),"Y")</f>
        <v>Y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>
      <c r="A169" s="13" t="str">
        <f>IFERROR(__xludf.DUMMYFUNCTION("""COMPUTED_VALUE"""),"0880")</f>
        <v>0880</v>
      </c>
      <c r="B169" s="13" t="str">
        <f>IFERROR(__xludf.DUMMYFUNCTION("""COMPUTED_VALUE"""),"DENVER COUNTY 1")</f>
        <v>DENVER COUNTY 1</v>
      </c>
      <c r="C169" s="13" t="str">
        <f>IFERROR(__xludf.DUMMYFUNCTION("""COMPUTED_VALUE"""),"02364")</f>
        <v>02364</v>
      </c>
      <c r="D169" s="13" t="str">
        <f>IFERROR(__xludf.DUMMYFUNCTION("""COMPUTED_VALUE"""),"EAGLETON ELEMENTARY SCHOOL")</f>
        <v>EAGLETON ELEMENTARY SCHOOL</v>
      </c>
      <c r="E169" s="13" t="str">
        <f>IFERROR(__xludf.DUMMYFUNCTION("""COMPUTED_VALUE"""),"Open")</f>
        <v>Open</v>
      </c>
      <c r="F169" s="13"/>
      <c r="G169" s="13" t="str">
        <f>IFERROR(__xludf.DUMMYFUNCTION("""COMPUTED_VALUE"""),"880 HOOKER ST")</f>
        <v>880 HOOKER ST</v>
      </c>
      <c r="H169" s="13" t="str">
        <f>IFERROR(__xludf.DUMMYFUNCTION("""COMPUTED_VALUE"""),"DENVER")</f>
        <v>DENVER</v>
      </c>
      <c r="I169" s="13" t="str">
        <f>IFERROR(__xludf.DUMMYFUNCTION("""COMPUTED_VALUE"""),"CO")</f>
        <v>CO</v>
      </c>
      <c r="J169" s="13" t="str">
        <f>IFERROR(__xludf.DUMMYFUNCTION("""COMPUTED_VALUE"""),"80204-3237")</f>
        <v>80204-3237</v>
      </c>
      <c r="K169" s="13" t="str">
        <f>IFERROR(__xludf.DUMMYFUNCTION("""COMPUTED_VALUE"""),"Denver")</f>
        <v>Denver</v>
      </c>
      <c r="L169" s="17" t="str">
        <f>IFERROR(__xludf.DUMMYFUNCTION("""COMPUTED_VALUE"""),"Y")</f>
        <v>Y</v>
      </c>
      <c r="M169" s="17"/>
      <c r="N169" s="17" t="str">
        <f>IFERROR(__xludf.DUMMYFUNCTION("""COMPUTED_VALUE"""),"Y")</f>
        <v>Y</v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>
      <c r="A170" s="13" t="str">
        <f>IFERROR(__xludf.DUMMYFUNCTION("""COMPUTED_VALUE"""),"0880")</f>
        <v>0880</v>
      </c>
      <c r="B170" s="13" t="str">
        <f>IFERROR(__xludf.DUMMYFUNCTION("""COMPUTED_VALUE"""),"DENVER COUNTY 1")</f>
        <v>DENVER COUNTY 1</v>
      </c>
      <c r="C170" s="13" t="str">
        <f>IFERROR(__xludf.DUMMYFUNCTION("""COMPUTED_VALUE"""),"02641")</f>
        <v>02641</v>
      </c>
      <c r="D170" s="13" t="str">
        <f>IFERROR(__xludf.DUMMYFUNCTION("""COMPUTED_VALUE"""),"Excel Academy")</f>
        <v>Excel Academy</v>
      </c>
      <c r="E170" s="13" t="str">
        <f>IFERROR(__xludf.DUMMYFUNCTION("""COMPUTED_VALUE"""),"Open")</f>
        <v>Open</v>
      </c>
      <c r="F170" s="13"/>
      <c r="G170" s="13" t="str">
        <f>IFERROR(__xludf.DUMMYFUNCTION("""COMPUTED_VALUE"""),"1825 S FEDERAL BLVD")</f>
        <v>1825 S FEDERAL BLVD</v>
      </c>
      <c r="H170" s="13" t="str">
        <f>IFERROR(__xludf.DUMMYFUNCTION("""COMPUTED_VALUE"""),"DENVER")</f>
        <v>DENVER</v>
      </c>
      <c r="I170" s="13" t="str">
        <f>IFERROR(__xludf.DUMMYFUNCTION("""COMPUTED_VALUE"""),"CO")</f>
        <v>CO</v>
      </c>
      <c r="J170" s="13" t="str">
        <f>IFERROR(__xludf.DUMMYFUNCTION("""COMPUTED_VALUE"""),"80219-4905")</f>
        <v>80219-4905</v>
      </c>
      <c r="K170" s="13" t="str">
        <f>IFERROR(__xludf.DUMMYFUNCTION("""COMPUTED_VALUE"""),"Denver")</f>
        <v>Denver</v>
      </c>
      <c r="L170" s="17" t="str">
        <f>IFERROR(__xludf.DUMMYFUNCTION("""COMPUTED_VALUE"""),"Y")</f>
        <v>Y</v>
      </c>
      <c r="M170" s="17"/>
      <c r="N170" s="17" t="str">
        <f>IFERROR(__xludf.DUMMYFUNCTION("""COMPUTED_VALUE"""),"Y")</f>
        <v>Y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>
      <c r="A171" s="13" t="str">
        <f>IFERROR(__xludf.DUMMYFUNCTION("""COMPUTED_VALUE"""),"0880")</f>
        <v>0880</v>
      </c>
      <c r="B171" s="13" t="str">
        <f>IFERROR(__xludf.DUMMYFUNCTION("""COMPUTED_VALUE"""),"DENVER COUNTY 1")</f>
        <v>DENVER COUNTY 1</v>
      </c>
      <c r="C171" s="13" t="str">
        <f>IFERROR(__xludf.DUMMYFUNCTION("""COMPUTED_VALUE"""),"02757")</f>
        <v>02757</v>
      </c>
      <c r="D171" s="13" t="str">
        <f>IFERROR(__xludf.DUMMYFUNCTION("""COMPUTED_VALUE"""),"NORTHEAST EARLY COLLEGE")</f>
        <v>NORTHEAST EARLY COLLEGE</v>
      </c>
      <c r="E171" s="13" t="str">
        <f>IFERROR(__xludf.DUMMYFUNCTION("""COMPUTED_VALUE"""),"Open")</f>
        <v>Open</v>
      </c>
      <c r="F171" s="13"/>
      <c r="G171" s="13" t="str">
        <f>IFERROR(__xludf.DUMMYFUNCTION("""COMPUTED_VALUE"""),"11200 E 45TH AVE")</f>
        <v>11200 E 45TH AVE</v>
      </c>
      <c r="H171" s="13" t="str">
        <f>IFERROR(__xludf.DUMMYFUNCTION("""COMPUTED_VALUE"""),"DENVER")</f>
        <v>DENVER</v>
      </c>
      <c r="I171" s="13" t="str">
        <f>IFERROR(__xludf.DUMMYFUNCTION("""COMPUTED_VALUE"""),"CO")</f>
        <v>CO</v>
      </c>
      <c r="J171" s="13" t="str">
        <f>IFERROR(__xludf.DUMMYFUNCTION("""COMPUTED_VALUE"""),"80239-3000")</f>
        <v>80239-3000</v>
      </c>
      <c r="K171" s="13" t="str">
        <f>IFERROR(__xludf.DUMMYFUNCTION("""COMPUTED_VALUE"""),"Denver")</f>
        <v>Denver</v>
      </c>
      <c r="L171" s="17" t="str">
        <f>IFERROR(__xludf.DUMMYFUNCTION("""COMPUTED_VALUE"""),"Y")</f>
        <v>Y</v>
      </c>
      <c r="M171" s="17"/>
      <c r="N171" s="17" t="str">
        <f>IFERROR(__xludf.DUMMYFUNCTION("""COMPUTED_VALUE"""),"Y")</f>
        <v>Y</v>
      </c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>
      <c r="A172" s="13" t="str">
        <f>IFERROR(__xludf.DUMMYFUNCTION("""COMPUTED_VALUE"""),"0880")</f>
        <v>0880</v>
      </c>
      <c r="B172" s="13" t="str">
        <f>IFERROR(__xludf.DUMMYFUNCTION("""COMPUTED_VALUE"""),"DENVER COUNTY 1")</f>
        <v>DENVER COUNTY 1</v>
      </c>
      <c r="C172" s="13" t="str">
        <f>IFERROR(__xludf.DUMMYFUNCTION("""COMPUTED_VALUE"""),"03000")</f>
        <v>03000</v>
      </c>
      <c r="D172" s="13" t="str">
        <f>IFERROR(__xludf.DUMMYFUNCTION("""COMPUTED_VALUE"""),"FLORENCE CRITTENTON HIGH SCHOOL")</f>
        <v>FLORENCE CRITTENTON HIGH SCHOOL</v>
      </c>
      <c r="E172" s="13" t="str">
        <f>IFERROR(__xludf.DUMMYFUNCTION("""COMPUTED_VALUE"""),"Open")</f>
        <v>Open</v>
      </c>
      <c r="F172" s="13"/>
      <c r="G172" s="13" t="str">
        <f>IFERROR(__xludf.DUMMYFUNCTION("""COMPUTED_VALUE"""),"55 S ZUNI ST")</f>
        <v>55 S ZUNI ST</v>
      </c>
      <c r="H172" s="13" t="str">
        <f>IFERROR(__xludf.DUMMYFUNCTION("""COMPUTED_VALUE"""),"DENVER")</f>
        <v>DENVER</v>
      </c>
      <c r="I172" s="13" t="str">
        <f>IFERROR(__xludf.DUMMYFUNCTION("""COMPUTED_VALUE"""),"CO")</f>
        <v>CO</v>
      </c>
      <c r="J172" s="13" t="str">
        <f>IFERROR(__xludf.DUMMYFUNCTION("""COMPUTED_VALUE"""),"80223-1208")</f>
        <v>80223-1208</v>
      </c>
      <c r="K172" s="13" t="str">
        <f>IFERROR(__xludf.DUMMYFUNCTION("""COMPUTED_VALUE"""),"Denver")</f>
        <v>Denver</v>
      </c>
      <c r="L172" s="17" t="str">
        <f>IFERROR(__xludf.DUMMYFUNCTION("""COMPUTED_VALUE"""),"Y")</f>
        <v>Y</v>
      </c>
      <c r="M172" s="17"/>
      <c r="N172" s="17" t="str">
        <f>IFERROR(__xludf.DUMMYFUNCTION("""COMPUTED_VALUE"""),"Y")</f>
        <v>Y</v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>
      <c r="A173" s="13" t="str">
        <f>IFERROR(__xludf.DUMMYFUNCTION("""COMPUTED_VALUE"""),"0880")</f>
        <v>0880</v>
      </c>
      <c r="B173" s="13" t="str">
        <f>IFERROR(__xludf.DUMMYFUNCTION("""COMPUTED_VALUE"""),"DENVER COUNTY 1")</f>
        <v>DENVER COUNTY 1</v>
      </c>
      <c r="C173" s="13" t="str">
        <f>IFERROR(__xludf.DUMMYFUNCTION("""COMPUTED_VALUE"""),"03378")</f>
        <v>03378</v>
      </c>
      <c r="D173" s="13" t="str">
        <f>IFERROR(__xludf.DUMMYFUNCTION("""COMPUTED_VALUE"""),"GEORGE WASHINGTON HIGH SCHOOL")</f>
        <v>GEORGE WASHINGTON HIGH SCHOOL</v>
      </c>
      <c r="E173" s="13" t="str">
        <f>IFERROR(__xludf.DUMMYFUNCTION("""COMPUTED_VALUE"""),"Open")</f>
        <v>Open</v>
      </c>
      <c r="F173" s="13"/>
      <c r="G173" s="13" t="str">
        <f>IFERROR(__xludf.DUMMYFUNCTION("""COMPUTED_VALUE"""),"655 S MONACO PKWY")</f>
        <v>655 S MONACO PKWY</v>
      </c>
      <c r="H173" s="13" t="str">
        <f>IFERROR(__xludf.DUMMYFUNCTION("""COMPUTED_VALUE"""),"DENVER")</f>
        <v>DENVER</v>
      </c>
      <c r="I173" s="13" t="str">
        <f>IFERROR(__xludf.DUMMYFUNCTION("""COMPUTED_VALUE"""),"CO")</f>
        <v>CO</v>
      </c>
      <c r="J173" s="13" t="str">
        <f>IFERROR(__xludf.DUMMYFUNCTION("""COMPUTED_VALUE"""),"80224-1228")</f>
        <v>80224-1228</v>
      </c>
      <c r="K173" s="13" t="str">
        <f>IFERROR(__xludf.DUMMYFUNCTION("""COMPUTED_VALUE"""),"Denver")</f>
        <v>Denver</v>
      </c>
      <c r="L173" s="17" t="str">
        <f>IFERROR(__xludf.DUMMYFUNCTION("""COMPUTED_VALUE"""),"Y")</f>
        <v>Y</v>
      </c>
      <c r="M173" s="17"/>
      <c r="N173" s="17" t="str">
        <f>IFERROR(__xludf.DUMMYFUNCTION("""COMPUTED_VALUE"""),"Y")</f>
        <v>Y</v>
      </c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>
      <c r="A174" s="13" t="str">
        <f>IFERROR(__xludf.DUMMYFUNCTION("""COMPUTED_VALUE"""),"0880")</f>
        <v>0880</v>
      </c>
      <c r="B174" s="13" t="str">
        <f>IFERROR(__xludf.DUMMYFUNCTION("""COMPUTED_VALUE"""),"DENVER COUNTY 1")</f>
        <v>DENVER COUNTY 1</v>
      </c>
      <c r="C174" s="13" t="str">
        <f>IFERROR(__xludf.DUMMYFUNCTION("""COMPUTED_VALUE"""),"03512")</f>
        <v>03512</v>
      </c>
      <c r="D174" s="13" t="str">
        <f>IFERROR(__xludf.DUMMYFUNCTION("""COMPUTED_VALUE"""),"GOLDRICK ELEMENTARY SCHOOL")</f>
        <v>GOLDRICK ELEMENTARY SCHOOL</v>
      </c>
      <c r="E174" s="13" t="str">
        <f>IFERROR(__xludf.DUMMYFUNCTION("""COMPUTED_VALUE"""),"Open")</f>
        <v>Open</v>
      </c>
      <c r="F174" s="13"/>
      <c r="G174" s="13" t="str">
        <f>IFERROR(__xludf.DUMMYFUNCTION("""COMPUTED_VALUE"""),"1050 S ZUNI ST")</f>
        <v>1050 S ZUNI ST</v>
      </c>
      <c r="H174" s="13" t="str">
        <f>IFERROR(__xludf.DUMMYFUNCTION("""COMPUTED_VALUE"""),"DENVER")</f>
        <v>DENVER</v>
      </c>
      <c r="I174" s="13" t="str">
        <f>IFERROR(__xludf.DUMMYFUNCTION("""COMPUTED_VALUE"""),"CO")</f>
        <v>CO</v>
      </c>
      <c r="J174" s="13" t="str">
        <f>IFERROR(__xludf.DUMMYFUNCTION("""COMPUTED_VALUE"""),"80223-2541")</f>
        <v>80223-2541</v>
      </c>
      <c r="K174" s="13" t="str">
        <f>IFERROR(__xludf.DUMMYFUNCTION("""COMPUTED_VALUE"""),"Denver")</f>
        <v>Denver</v>
      </c>
      <c r="L174" s="17" t="str">
        <f>IFERROR(__xludf.DUMMYFUNCTION("""COMPUTED_VALUE"""),"Y")</f>
        <v>Y</v>
      </c>
      <c r="M174" s="17"/>
      <c r="N174" s="17" t="str">
        <f>IFERROR(__xludf.DUMMYFUNCTION("""COMPUTED_VALUE"""),"Y")</f>
        <v>Y</v>
      </c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>
      <c r="A175" s="13" t="str">
        <f>IFERROR(__xludf.DUMMYFUNCTION("""COMPUTED_VALUE"""),"0880")</f>
        <v>0880</v>
      </c>
      <c r="B175" s="13" t="str">
        <f>IFERROR(__xludf.DUMMYFUNCTION("""COMPUTED_VALUE"""),"DENVER COUNTY 1")</f>
        <v>DENVER COUNTY 1</v>
      </c>
      <c r="C175" s="13" t="str">
        <f>IFERROR(__xludf.DUMMYFUNCTION("""COMPUTED_VALUE"""),"03600")</f>
        <v>03600</v>
      </c>
      <c r="D175" s="13" t="str">
        <f>IFERROR(__xludf.DUMMYFUNCTION("""COMPUTED_VALUE"""),"GRANT BEACON MIDDLE SCHOOL")</f>
        <v>GRANT BEACON MIDDLE SCHOOL</v>
      </c>
      <c r="E175" s="13" t="str">
        <f>IFERROR(__xludf.DUMMYFUNCTION("""COMPUTED_VALUE"""),"Open")</f>
        <v>Open</v>
      </c>
      <c r="F175" s="13"/>
      <c r="G175" s="13" t="str">
        <f>IFERROR(__xludf.DUMMYFUNCTION("""COMPUTED_VALUE"""),"1751 S WASHINGTON ST")</f>
        <v>1751 S WASHINGTON ST</v>
      </c>
      <c r="H175" s="13" t="str">
        <f>IFERROR(__xludf.DUMMYFUNCTION("""COMPUTED_VALUE"""),"DENVER")</f>
        <v>DENVER</v>
      </c>
      <c r="I175" s="13" t="str">
        <f>IFERROR(__xludf.DUMMYFUNCTION("""COMPUTED_VALUE"""),"CO")</f>
        <v>CO</v>
      </c>
      <c r="J175" s="13" t="str">
        <f>IFERROR(__xludf.DUMMYFUNCTION("""COMPUTED_VALUE"""),"80210-3235")</f>
        <v>80210-3235</v>
      </c>
      <c r="K175" s="13" t="str">
        <f>IFERROR(__xludf.DUMMYFUNCTION("""COMPUTED_VALUE"""),"Denver")</f>
        <v>Denver</v>
      </c>
      <c r="L175" s="17" t="str">
        <f>IFERROR(__xludf.DUMMYFUNCTION("""COMPUTED_VALUE"""),"Y")</f>
        <v>Y</v>
      </c>
      <c r="M175" s="17"/>
      <c r="N175" s="17" t="str">
        <f>IFERROR(__xludf.DUMMYFUNCTION("""COMPUTED_VALUE"""),"Y")</f>
        <v>Y</v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>
      <c r="A176" s="13" t="str">
        <f>IFERROR(__xludf.DUMMYFUNCTION("""COMPUTED_VALUE"""),"0880")</f>
        <v>0880</v>
      </c>
      <c r="B176" s="13" t="str">
        <f>IFERROR(__xludf.DUMMYFUNCTION("""COMPUTED_VALUE"""),"DENVER COUNTY 1")</f>
        <v>DENVER COUNTY 1</v>
      </c>
      <c r="C176" s="13" t="str">
        <f>IFERROR(__xludf.DUMMYFUNCTION("""COMPUTED_VALUE"""),"03641")</f>
        <v>03641</v>
      </c>
      <c r="D176" s="13" t="str">
        <f>IFERROR(__xludf.DUMMYFUNCTION("""COMPUTED_VALUE"""),"GREEN VALLEY ELEMENTARY SCHOOL")</f>
        <v>GREEN VALLEY ELEMENTARY SCHOOL</v>
      </c>
      <c r="E176" s="13" t="str">
        <f>IFERROR(__xludf.DUMMYFUNCTION("""COMPUTED_VALUE"""),"Open")</f>
        <v>Open</v>
      </c>
      <c r="F176" s="13"/>
      <c r="G176" s="13" t="str">
        <f>IFERROR(__xludf.DUMMYFUNCTION("""COMPUTED_VALUE"""),"4100 JERICHO ST")</f>
        <v>4100 JERICHO ST</v>
      </c>
      <c r="H176" s="13" t="str">
        <f>IFERROR(__xludf.DUMMYFUNCTION("""COMPUTED_VALUE"""),"DENVER")</f>
        <v>DENVER</v>
      </c>
      <c r="I176" s="13" t="str">
        <f>IFERROR(__xludf.DUMMYFUNCTION("""COMPUTED_VALUE"""),"CO")</f>
        <v>CO</v>
      </c>
      <c r="J176" s="13" t="str">
        <f>IFERROR(__xludf.DUMMYFUNCTION("""COMPUTED_VALUE"""),"80249-8187")</f>
        <v>80249-8187</v>
      </c>
      <c r="K176" s="13" t="str">
        <f>IFERROR(__xludf.DUMMYFUNCTION("""COMPUTED_VALUE"""),"Denver")</f>
        <v>Denver</v>
      </c>
      <c r="L176" s="17" t="str">
        <f>IFERROR(__xludf.DUMMYFUNCTION("""COMPUTED_VALUE"""),"Y")</f>
        <v>Y</v>
      </c>
      <c r="M176" s="17"/>
      <c r="N176" s="17" t="str">
        <f>IFERROR(__xludf.DUMMYFUNCTION("""COMPUTED_VALUE"""),"Y")</f>
        <v>Y</v>
      </c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>
      <c r="A177" s="13" t="str">
        <f>IFERROR(__xludf.DUMMYFUNCTION("""COMPUTED_VALUE"""),"0880")</f>
        <v>0880</v>
      </c>
      <c r="B177" s="13" t="str">
        <f>IFERROR(__xludf.DUMMYFUNCTION("""COMPUTED_VALUE"""),"DENVER COUNTY 1")</f>
        <v>DENVER COUNTY 1</v>
      </c>
      <c r="C177" s="13" t="str">
        <f>IFERROR(__xludf.DUMMYFUNCTION("""COMPUTED_VALUE"""),"03655")</f>
        <v>03655</v>
      </c>
      <c r="D177" s="13" t="str">
        <f>IFERROR(__xludf.DUMMYFUNCTION("""COMPUTED_VALUE"""),"GREENLEE ELEMENTARY SCHOOL")</f>
        <v>GREENLEE ELEMENTARY SCHOOL</v>
      </c>
      <c r="E177" s="13" t="str">
        <f>IFERROR(__xludf.DUMMYFUNCTION("""COMPUTED_VALUE"""),"Open")</f>
        <v>Open</v>
      </c>
      <c r="F177" s="13"/>
      <c r="G177" s="13" t="str">
        <f>IFERROR(__xludf.DUMMYFUNCTION("""COMPUTED_VALUE"""),"1150 LIPAN ST")</f>
        <v>1150 LIPAN ST</v>
      </c>
      <c r="H177" s="13" t="str">
        <f>IFERROR(__xludf.DUMMYFUNCTION("""COMPUTED_VALUE"""),"DENVER")</f>
        <v>DENVER</v>
      </c>
      <c r="I177" s="13" t="str">
        <f>IFERROR(__xludf.DUMMYFUNCTION("""COMPUTED_VALUE"""),"CO")</f>
        <v>CO</v>
      </c>
      <c r="J177" s="13" t="str">
        <f>IFERROR(__xludf.DUMMYFUNCTION("""COMPUTED_VALUE"""),"80204-3506")</f>
        <v>80204-3506</v>
      </c>
      <c r="K177" s="13" t="str">
        <f>IFERROR(__xludf.DUMMYFUNCTION("""COMPUTED_VALUE"""),"Denver")</f>
        <v>Denver</v>
      </c>
      <c r="L177" s="17" t="str">
        <f>IFERROR(__xludf.DUMMYFUNCTION("""COMPUTED_VALUE"""),"Y")</f>
        <v>Y</v>
      </c>
      <c r="M177" s="17"/>
      <c r="N177" s="17" t="str">
        <f>IFERROR(__xludf.DUMMYFUNCTION("""COMPUTED_VALUE"""),"Y")</f>
        <v>Y</v>
      </c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>
      <c r="A178" s="18" t="str">
        <f>IFERROR(__xludf.DUMMYFUNCTION("""COMPUTED_VALUE"""),"0880")</f>
        <v>0880</v>
      </c>
      <c r="B178" s="18" t="str">
        <f>IFERROR(__xludf.DUMMYFUNCTION("""COMPUTED_VALUE"""),"DENVER COUNTY 1")</f>
        <v>DENVER COUNTY 1</v>
      </c>
      <c r="C178" s="18" t="str">
        <f>IFERROR(__xludf.DUMMYFUNCTION("""COMPUTED_VALUE"""),"03734")</f>
        <v>03734</v>
      </c>
      <c r="D178" s="18" t="str">
        <f>IFERROR(__xludf.DUMMYFUNCTION("""COMPUTED_VALUE"""),"HALLETT ELEMENTARY SCHOOL")</f>
        <v>HALLETT ELEMENTARY SCHOOL</v>
      </c>
      <c r="E178" s="18" t="str">
        <f>IFERROR(__xludf.DUMMYFUNCTION("""COMPUTED_VALUE"""),"Open")</f>
        <v>Open</v>
      </c>
      <c r="F178" s="18" t="str">
        <f>IFERROR(__xludf.DUMMYFUNCTION("""COMPUTED_VALUE""")," ")</f>
        <v> </v>
      </c>
      <c r="G178" s="18" t="str">
        <f>IFERROR(__xludf.DUMMYFUNCTION("""COMPUTED_VALUE"""),"2950 JASMINE ST")</f>
        <v>2950 JASMINE ST</v>
      </c>
      <c r="H178" s="18" t="str">
        <f>IFERROR(__xludf.DUMMYFUNCTION("""COMPUTED_VALUE"""),"DENVER")</f>
        <v>DENVER</v>
      </c>
      <c r="I178" s="18" t="str">
        <f>IFERROR(__xludf.DUMMYFUNCTION("""COMPUTED_VALUE"""),"CO")</f>
        <v>CO</v>
      </c>
      <c r="J178" s="18" t="str">
        <f>IFERROR(__xludf.DUMMYFUNCTION("""COMPUTED_VALUE"""),"80207-2820")</f>
        <v>80207-2820</v>
      </c>
      <c r="K178" s="18" t="str">
        <f>IFERROR(__xludf.DUMMYFUNCTION("""COMPUTED_VALUE"""),"Denver")</f>
        <v>Denver</v>
      </c>
      <c r="L178" s="19"/>
      <c r="M178" s="19"/>
      <c r="N178" s="19" t="str">
        <f>IFERROR(__xludf.DUMMYFUNCTION("""COMPUTED_VALUE"""),"Y")</f>
        <v>Y</v>
      </c>
      <c r="O178" s="19"/>
      <c r="P178" s="19"/>
      <c r="Q178" s="19" t="str">
        <f>IFERROR(__xludf.DUMMYFUNCTION("""COMPUTED_VALUE"""),"No Claims as of 11.24")</f>
        <v>No Claims as of 11.24</v>
      </c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>
      <c r="A179" s="13" t="str">
        <f>IFERROR(__xludf.DUMMYFUNCTION("""COMPUTED_VALUE"""),"0880")</f>
        <v>0880</v>
      </c>
      <c r="B179" s="13" t="str">
        <f>IFERROR(__xludf.DUMMYFUNCTION("""COMPUTED_VALUE"""),"DENVER COUNTY 1")</f>
        <v>DENVER COUNTY 1</v>
      </c>
      <c r="C179" s="13" t="str">
        <f>IFERROR(__xludf.DUMMYFUNCTION("""COMPUTED_VALUE"""),"03746")</f>
        <v>03746</v>
      </c>
      <c r="D179" s="13" t="str">
        <f>IFERROR(__xludf.DUMMYFUNCTION("""COMPUTED_VALUE"""),"HAMILTON MIDDLE SCHOOL")</f>
        <v>HAMILTON MIDDLE SCHOOL</v>
      </c>
      <c r="E179" s="13" t="str">
        <f>IFERROR(__xludf.DUMMYFUNCTION("""COMPUTED_VALUE"""),"Open")</f>
        <v>Open</v>
      </c>
      <c r="F179" s="13"/>
      <c r="G179" s="13" t="str">
        <f>IFERROR(__xludf.DUMMYFUNCTION("""COMPUTED_VALUE"""),"8600 E DARTMOUTH AVE")</f>
        <v>8600 E DARTMOUTH AVE</v>
      </c>
      <c r="H179" s="13" t="str">
        <f>IFERROR(__xludf.DUMMYFUNCTION("""COMPUTED_VALUE"""),"DENVER")</f>
        <v>DENVER</v>
      </c>
      <c r="I179" s="13" t="str">
        <f>IFERROR(__xludf.DUMMYFUNCTION("""COMPUTED_VALUE"""),"CO")</f>
        <v>CO</v>
      </c>
      <c r="J179" s="13" t="str">
        <f>IFERROR(__xludf.DUMMYFUNCTION("""COMPUTED_VALUE"""),"80231-4204")</f>
        <v>80231-4204</v>
      </c>
      <c r="K179" s="13" t="str">
        <f>IFERROR(__xludf.DUMMYFUNCTION("""COMPUTED_VALUE"""),"Denver")</f>
        <v>Denver</v>
      </c>
      <c r="L179" s="17" t="str">
        <f>IFERROR(__xludf.DUMMYFUNCTION("""COMPUTED_VALUE"""),"Y")</f>
        <v>Y</v>
      </c>
      <c r="M179" s="17"/>
      <c r="N179" s="17" t="str">
        <f>IFERROR(__xludf.DUMMYFUNCTION("""COMPUTED_VALUE"""),"Y")</f>
        <v>Y</v>
      </c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>
      <c r="A180" s="13" t="str">
        <f>IFERROR(__xludf.DUMMYFUNCTION("""COMPUTED_VALUE"""),"0880")</f>
        <v>0880</v>
      </c>
      <c r="B180" s="13" t="str">
        <f>IFERROR(__xludf.DUMMYFUNCTION("""COMPUTED_VALUE"""),"DENVER COUNTY 1")</f>
        <v>DENVER COUNTY 1</v>
      </c>
      <c r="C180" s="13" t="str">
        <f>IFERROR(__xludf.DUMMYFUNCTION("""COMPUTED_VALUE"""),"03778")</f>
        <v>03778</v>
      </c>
      <c r="D180" s="13" t="str">
        <f>IFERROR(__xludf.DUMMYFUNCTION("""COMPUTED_VALUE"""),"HARRINGTON ELEMENTARY SCHOOL")</f>
        <v>HARRINGTON ELEMENTARY SCHOOL</v>
      </c>
      <c r="E180" s="13" t="str">
        <f>IFERROR(__xludf.DUMMYFUNCTION("""COMPUTED_VALUE"""),"Open")</f>
        <v>Open</v>
      </c>
      <c r="F180" s="13"/>
      <c r="G180" s="13" t="str">
        <f>IFERROR(__xludf.DUMMYFUNCTION("""COMPUTED_VALUE"""),"2401 E 37TH AVE")</f>
        <v>2401 E 37TH AVE</v>
      </c>
      <c r="H180" s="13" t="str">
        <f>IFERROR(__xludf.DUMMYFUNCTION("""COMPUTED_VALUE"""),"DENVER")</f>
        <v>DENVER</v>
      </c>
      <c r="I180" s="13" t="str">
        <f>IFERROR(__xludf.DUMMYFUNCTION("""COMPUTED_VALUE"""),"CO")</f>
        <v>CO</v>
      </c>
      <c r="J180" s="13" t="str">
        <f>IFERROR(__xludf.DUMMYFUNCTION("""COMPUTED_VALUE"""),"80205-3513")</f>
        <v>80205-3513</v>
      </c>
      <c r="K180" s="13" t="str">
        <f>IFERROR(__xludf.DUMMYFUNCTION("""COMPUTED_VALUE"""),"Denver")</f>
        <v>Denver</v>
      </c>
      <c r="L180" s="17" t="str">
        <f>IFERROR(__xludf.DUMMYFUNCTION("""COMPUTED_VALUE"""),"Y")</f>
        <v>Y</v>
      </c>
      <c r="M180" s="17"/>
      <c r="N180" s="17" t="str">
        <f>IFERROR(__xludf.DUMMYFUNCTION("""COMPUTED_VALUE"""),"Y")</f>
        <v>Y</v>
      </c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>
      <c r="A181" s="13" t="str">
        <f>IFERROR(__xludf.DUMMYFUNCTION("""COMPUTED_VALUE"""),"0880")</f>
        <v>0880</v>
      </c>
      <c r="B181" s="13" t="str">
        <f>IFERROR(__xludf.DUMMYFUNCTION("""COMPUTED_VALUE"""),"DENVER COUNTY 1")</f>
        <v>DENVER COUNTY 1</v>
      </c>
      <c r="C181" s="13" t="str">
        <f>IFERROR(__xludf.DUMMYFUNCTION("""COMPUTED_VALUE"""),"03990")</f>
        <v>03990</v>
      </c>
      <c r="D181" s="13" t="str">
        <f>IFERROR(__xludf.DUMMYFUNCTION("""COMPUTED_VALUE"""),"HILL CAMPUS OF ARTS AND SCIENCES")</f>
        <v>HILL CAMPUS OF ARTS AND SCIENCES</v>
      </c>
      <c r="E181" s="13" t="str">
        <f>IFERROR(__xludf.DUMMYFUNCTION("""COMPUTED_VALUE"""),"Open")</f>
        <v>Open</v>
      </c>
      <c r="F181" s="13"/>
      <c r="G181" s="13" t="str">
        <f>IFERROR(__xludf.DUMMYFUNCTION("""COMPUTED_VALUE"""),"451 CLERMONT ST")</f>
        <v>451 CLERMONT ST</v>
      </c>
      <c r="H181" s="13" t="str">
        <f>IFERROR(__xludf.DUMMYFUNCTION("""COMPUTED_VALUE"""),"DENVER")</f>
        <v>DENVER</v>
      </c>
      <c r="I181" s="13" t="str">
        <f>IFERROR(__xludf.DUMMYFUNCTION("""COMPUTED_VALUE"""),"CO")</f>
        <v>CO</v>
      </c>
      <c r="J181" s="13" t="str">
        <f>IFERROR(__xludf.DUMMYFUNCTION("""COMPUTED_VALUE"""),"80220-5019")</f>
        <v>80220-5019</v>
      </c>
      <c r="K181" s="13" t="str">
        <f>IFERROR(__xludf.DUMMYFUNCTION("""COMPUTED_VALUE"""),"Denver")</f>
        <v>Denver</v>
      </c>
      <c r="L181" s="17" t="str">
        <f>IFERROR(__xludf.DUMMYFUNCTION("""COMPUTED_VALUE"""),"Y")</f>
        <v>Y</v>
      </c>
      <c r="M181" s="17"/>
      <c r="N181" s="17" t="str">
        <f>IFERROR(__xludf.DUMMYFUNCTION("""COMPUTED_VALUE"""),"Y")</f>
        <v>Y</v>
      </c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>
      <c r="A182" s="13" t="str">
        <f>IFERROR(__xludf.DUMMYFUNCTION("""COMPUTED_VALUE"""),"0880")</f>
        <v>0880</v>
      </c>
      <c r="B182" s="13" t="str">
        <f>IFERROR(__xludf.DUMMYFUNCTION("""COMPUTED_VALUE"""),"DENVER COUNTY 1")</f>
        <v>DENVER COUNTY 1</v>
      </c>
      <c r="C182" s="13" t="str">
        <f>IFERROR(__xludf.DUMMYFUNCTION("""COMPUTED_VALUE"""),"04049")</f>
        <v>04049</v>
      </c>
      <c r="D182" s="13" t="str">
        <f>IFERROR(__xludf.DUMMYFUNCTION("""COMPUTED_VALUE"""),"HIGHLINE ACADEMY NORTHEAST")</f>
        <v>HIGHLINE ACADEMY NORTHEAST</v>
      </c>
      <c r="E182" s="13" t="str">
        <f>IFERROR(__xludf.DUMMYFUNCTION("""COMPUTED_VALUE"""),"Open")</f>
        <v>Open</v>
      </c>
      <c r="F182" s="13"/>
      <c r="G182" s="13" t="str">
        <f>IFERROR(__xludf.DUMMYFUNCTION("""COMPUTED_VALUE"""),"19451 E MAXWELL PL")</f>
        <v>19451 E MAXWELL PL</v>
      </c>
      <c r="H182" s="13" t="str">
        <f>IFERROR(__xludf.DUMMYFUNCTION("""COMPUTED_VALUE"""),"DENVER")</f>
        <v>DENVER</v>
      </c>
      <c r="I182" s="13" t="str">
        <f>IFERROR(__xludf.DUMMYFUNCTION("""COMPUTED_VALUE"""),"CO")</f>
        <v>CO</v>
      </c>
      <c r="J182" s="13" t="str">
        <f>IFERROR(__xludf.DUMMYFUNCTION("""COMPUTED_VALUE"""),"80249-8738")</f>
        <v>80249-8738</v>
      </c>
      <c r="K182" s="13" t="str">
        <f>IFERROR(__xludf.DUMMYFUNCTION("""COMPUTED_VALUE"""),"Denver")</f>
        <v>Denver</v>
      </c>
      <c r="L182" s="17" t="str">
        <f>IFERROR(__xludf.DUMMYFUNCTION("""COMPUTED_VALUE"""),"Y")</f>
        <v>Y</v>
      </c>
      <c r="M182" s="17"/>
      <c r="N182" s="17" t="str">
        <f>IFERROR(__xludf.DUMMYFUNCTION("""COMPUTED_VALUE"""),"Y")</f>
        <v>Y</v>
      </c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>
      <c r="A183" s="13" t="str">
        <f>IFERROR(__xludf.DUMMYFUNCTION("""COMPUTED_VALUE"""),"0880")</f>
        <v>0880</v>
      </c>
      <c r="B183" s="13" t="str">
        <f>IFERROR(__xludf.DUMMYFUNCTION("""COMPUTED_VALUE"""),"DENVER COUNTY 1")</f>
        <v>DENVER COUNTY 1</v>
      </c>
      <c r="C183" s="13" t="str">
        <f>IFERROR(__xludf.DUMMYFUNCTION("""COMPUTED_VALUE"""),"04140")</f>
        <v>04140</v>
      </c>
      <c r="D183" s="13" t="str">
        <f>IFERROR(__xludf.DUMMYFUNCTION("""COMPUTED_VALUE"""),"FARRELL B. HOWELL ECE-8 SCHOOL")</f>
        <v>FARRELL B. HOWELL ECE-8 SCHOOL</v>
      </c>
      <c r="E183" s="13" t="str">
        <f>IFERROR(__xludf.DUMMYFUNCTION("""COMPUTED_VALUE"""),"Open")</f>
        <v>Open</v>
      </c>
      <c r="F183" s="13"/>
      <c r="G183" s="13" t="str">
        <f>IFERROR(__xludf.DUMMYFUNCTION("""COMPUTED_VALUE"""),"14250 ALBROOK DR")</f>
        <v>14250 ALBROOK DR</v>
      </c>
      <c r="H183" s="13" t="str">
        <f>IFERROR(__xludf.DUMMYFUNCTION("""COMPUTED_VALUE"""),"DENVER")</f>
        <v>DENVER</v>
      </c>
      <c r="I183" s="13" t="str">
        <f>IFERROR(__xludf.DUMMYFUNCTION("""COMPUTED_VALUE"""),"CO")</f>
        <v>CO</v>
      </c>
      <c r="J183" s="13" t="str">
        <f>IFERROR(__xludf.DUMMYFUNCTION("""COMPUTED_VALUE"""),"80239-4946")</f>
        <v>80239-4946</v>
      </c>
      <c r="K183" s="13" t="str">
        <f>IFERROR(__xludf.DUMMYFUNCTION("""COMPUTED_VALUE"""),"Denver")</f>
        <v>Denver</v>
      </c>
      <c r="L183" s="17" t="str">
        <f>IFERROR(__xludf.DUMMYFUNCTION("""COMPUTED_VALUE"""),"Y")</f>
        <v>Y</v>
      </c>
      <c r="M183" s="17"/>
      <c r="N183" s="17" t="str">
        <f>IFERROR(__xludf.DUMMYFUNCTION("""COMPUTED_VALUE"""),"Y")</f>
        <v>Y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>
      <c r="A184" s="13" t="str">
        <f>IFERROR(__xludf.DUMMYFUNCTION("""COMPUTED_VALUE"""),"0880")</f>
        <v>0880</v>
      </c>
      <c r="B184" s="13" t="str">
        <f>IFERROR(__xludf.DUMMYFUNCTION("""COMPUTED_VALUE"""),"DENVER COUNTY 1")</f>
        <v>DENVER COUNTY 1</v>
      </c>
      <c r="C184" s="13" t="str">
        <f>IFERROR(__xludf.DUMMYFUNCTION("""COMPUTED_VALUE"""),"04253")</f>
        <v>04253</v>
      </c>
      <c r="D184" s="13" t="str">
        <f>IFERROR(__xludf.DUMMYFUNCTION("""COMPUTED_VALUE"""),"Inspire Elementary")</f>
        <v>Inspire Elementary</v>
      </c>
      <c r="E184" s="13" t="str">
        <f>IFERROR(__xludf.DUMMYFUNCTION("""COMPUTED_VALUE"""),"Open")</f>
        <v>Open</v>
      </c>
      <c r="F184" s="13"/>
      <c r="G184" s="13" t="str">
        <f>IFERROR(__xludf.DUMMYFUNCTION("""COMPUTED_VALUE"""),"5677 GALENA ST")</f>
        <v>5677 GALENA ST</v>
      </c>
      <c r="H184" s="13" t="str">
        <f>IFERROR(__xludf.DUMMYFUNCTION("""COMPUTED_VALUE"""),"DENVER")</f>
        <v>DENVER</v>
      </c>
      <c r="I184" s="13" t="str">
        <f>IFERROR(__xludf.DUMMYFUNCTION("""COMPUTED_VALUE"""),"CO")</f>
        <v>CO</v>
      </c>
      <c r="J184" s="13" t="str">
        <f>IFERROR(__xludf.DUMMYFUNCTION("""COMPUTED_VALUE"""),"80238-4093")</f>
        <v>80238-4093</v>
      </c>
      <c r="K184" s="13" t="str">
        <f>IFERROR(__xludf.DUMMYFUNCTION("""COMPUTED_VALUE"""),"Denver")</f>
        <v>Denver</v>
      </c>
      <c r="L184" s="17" t="str">
        <f>IFERROR(__xludf.DUMMYFUNCTION("""COMPUTED_VALUE"""),"Y")</f>
        <v>Y</v>
      </c>
      <c r="M184" s="17"/>
      <c r="N184" s="17" t="str">
        <f>IFERROR(__xludf.DUMMYFUNCTION("""COMPUTED_VALUE"""),"Y")</f>
        <v>Y</v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>
      <c r="A185" s="13" t="str">
        <f>IFERROR(__xludf.DUMMYFUNCTION("""COMPUTED_VALUE"""),"0880")</f>
        <v>0880</v>
      </c>
      <c r="B185" s="13" t="str">
        <f>IFERROR(__xludf.DUMMYFUNCTION("""COMPUTED_VALUE"""),"DENVER COUNTY 1")</f>
        <v>DENVER COUNTY 1</v>
      </c>
      <c r="C185" s="13" t="str">
        <f>IFERROR(__xludf.DUMMYFUNCTION("""COMPUTED_VALUE"""),"04383")</f>
        <v>04383</v>
      </c>
      <c r="D185" s="13" t="str">
        <f>IFERROR(__xludf.DUMMYFUNCTION("""COMPUTED_VALUE"""),"JOE SHOEMAKER SCHOOL")</f>
        <v>JOE SHOEMAKER SCHOOL</v>
      </c>
      <c r="E185" s="13" t="str">
        <f>IFERROR(__xludf.DUMMYFUNCTION("""COMPUTED_VALUE"""),"Open")</f>
        <v>Open</v>
      </c>
      <c r="F185" s="13"/>
      <c r="G185" s="13" t="str">
        <f>IFERROR(__xludf.DUMMYFUNCTION("""COMPUTED_VALUE"""),"3333 S HAVANA ST")</f>
        <v>3333 S HAVANA ST</v>
      </c>
      <c r="H185" s="13" t="str">
        <f>IFERROR(__xludf.DUMMYFUNCTION("""COMPUTED_VALUE"""),"DENVER")</f>
        <v>DENVER</v>
      </c>
      <c r="I185" s="13" t="str">
        <f>IFERROR(__xludf.DUMMYFUNCTION("""COMPUTED_VALUE"""),"CO")</f>
        <v>CO</v>
      </c>
      <c r="J185" s="13" t="str">
        <f>IFERROR(__xludf.DUMMYFUNCTION("""COMPUTED_VALUE"""),"80231-3226")</f>
        <v>80231-3226</v>
      </c>
      <c r="K185" s="13" t="str">
        <f>IFERROR(__xludf.DUMMYFUNCTION("""COMPUTED_VALUE"""),"Denver")</f>
        <v>Denver</v>
      </c>
      <c r="L185" s="17" t="str">
        <f>IFERROR(__xludf.DUMMYFUNCTION("""COMPUTED_VALUE"""),"Y")</f>
        <v>Y</v>
      </c>
      <c r="M185" s="17"/>
      <c r="N185" s="17" t="str">
        <f>IFERROR(__xludf.DUMMYFUNCTION("""COMPUTED_VALUE"""),"Y")</f>
        <v>Y</v>
      </c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>
      <c r="A186" s="13" t="str">
        <f>IFERROR(__xludf.DUMMYFUNCTION("""COMPUTED_VALUE"""),"0880")</f>
        <v>0880</v>
      </c>
      <c r="B186" s="13" t="str">
        <f>IFERROR(__xludf.DUMMYFUNCTION("""COMPUTED_VALUE"""),"DENVER COUNTY 1")</f>
        <v>DENVER COUNTY 1</v>
      </c>
      <c r="C186" s="13" t="str">
        <f>IFERROR(__xludf.DUMMYFUNCTION("""COMPUTED_VALUE"""),"04444")</f>
        <v>04444</v>
      </c>
      <c r="D186" s="13" t="str">
        <f>IFERROR(__xludf.DUMMYFUNCTION("""COMPUTED_VALUE"""),"JOHN F KENNEDY HIGH SCHOOL")</f>
        <v>JOHN F KENNEDY HIGH SCHOOL</v>
      </c>
      <c r="E186" s="13" t="str">
        <f>IFERROR(__xludf.DUMMYFUNCTION("""COMPUTED_VALUE"""),"Open")</f>
        <v>Open</v>
      </c>
      <c r="F186" s="13"/>
      <c r="G186" s="13" t="str">
        <f>IFERROR(__xludf.DUMMYFUNCTION("""COMPUTED_VALUE"""),"2855 S LAMAR ST")</f>
        <v>2855 S LAMAR ST</v>
      </c>
      <c r="H186" s="13" t="str">
        <f>IFERROR(__xludf.DUMMYFUNCTION("""COMPUTED_VALUE"""),"DENVER")</f>
        <v>DENVER</v>
      </c>
      <c r="I186" s="13" t="str">
        <f>IFERROR(__xludf.DUMMYFUNCTION("""COMPUTED_VALUE"""),"CO")</f>
        <v>CO</v>
      </c>
      <c r="J186" s="13" t="str">
        <f>IFERROR(__xludf.DUMMYFUNCTION("""COMPUTED_VALUE"""),"80227-3809")</f>
        <v>80227-3809</v>
      </c>
      <c r="K186" s="13" t="str">
        <f>IFERROR(__xludf.DUMMYFUNCTION("""COMPUTED_VALUE"""),"Denver")</f>
        <v>Denver</v>
      </c>
      <c r="L186" s="17" t="str">
        <f>IFERROR(__xludf.DUMMYFUNCTION("""COMPUTED_VALUE"""),"Y")</f>
        <v>Y</v>
      </c>
      <c r="M186" s="17"/>
      <c r="N186" s="17" t="str">
        <f>IFERROR(__xludf.DUMMYFUNCTION("""COMPUTED_VALUE"""),"Y")</f>
        <v>Y</v>
      </c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>
      <c r="A187" s="13" t="str">
        <f>IFERROR(__xludf.DUMMYFUNCTION("""COMPUTED_VALUE"""),"0880")</f>
        <v>0880</v>
      </c>
      <c r="B187" s="13" t="str">
        <f>IFERROR(__xludf.DUMMYFUNCTION("""COMPUTED_VALUE"""),"DENVER COUNTY 1")</f>
        <v>DENVER COUNTY 1</v>
      </c>
      <c r="C187" s="13" t="str">
        <f>IFERROR(__xludf.DUMMYFUNCTION("""COMPUTED_VALUE"""),"04494")</f>
        <v>04494</v>
      </c>
      <c r="D187" s="13" t="str">
        <f>IFERROR(__xludf.DUMMYFUNCTION("""COMPUTED_VALUE"""),"JUSTICE HIGH SCHOOL DENVER")</f>
        <v>JUSTICE HIGH SCHOOL DENVER</v>
      </c>
      <c r="E187" s="13" t="str">
        <f>IFERROR(__xludf.DUMMYFUNCTION("""COMPUTED_VALUE"""),"Open")</f>
        <v>Open</v>
      </c>
      <c r="F187" s="13"/>
      <c r="G187" s="13" t="str">
        <f>IFERROR(__xludf.DUMMYFUNCTION("""COMPUTED_VALUE"""),"300 E 9TH AVE")</f>
        <v>300 E 9TH AVE</v>
      </c>
      <c r="H187" s="13" t="str">
        <f>IFERROR(__xludf.DUMMYFUNCTION("""COMPUTED_VALUE"""),"DENVER")</f>
        <v>DENVER</v>
      </c>
      <c r="I187" s="13" t="str">
        <f>IFERROR(__xludf.DUMMYFUNCTION("""COMPUTED_VALUE"""),"CO")</f>
        <v>CO</v>
      </c>
      <c r="J187" s="13" t="str">
        <f>IFERROR(__xludf.DUMMYFUNCTION("""COMPUTED_VALUE"""),"80203-2732")</f>
        <v>80203-2732</v>
      </c>
      <c r="K187" s="13" t="str">
        <f>IFERROR(__xludf.DUMMYFUNCTION("""COMPUTED_VALUE"""),"Denver")</f>
        <v>Denver</v>
      </c>
      <c r="L187" s="17" t="str">
        <f>IFERROR(__xludf.DUMMYFUNCTION("""COMPUTED_VALUE"""),"Y")</f>
        <v>Y</v>
      </c>
      <c r="M187" s="17"/>
      <c r="N187" s="17" t="str">
        <f>IFERROR(__xludf.DUMMYFUNCTION("""COMPUTED_VALUE"""),"Y")</f>
        <v>Y</v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>
      <c r="A188" s="13" t="str">
        <f>IFERROR(__xludf.DUMMYFUNCTION("""COMPUTED_VALUE"""),"0880")</f>
        <v>0880</v>
      </c>
      <c r="B188" s="13" t="str">
        <f>IFERROR(__xludf.DUMMYFUNCTION("""COMPUTED_VALUE"""),"DENVER COUNTY 1")</f>
        <v>DENVER COUNTY 1</v>
      </c>
      <c r="C188" s="13" t="str">
        <f>IFERROR(__xludf.DUMMYFUNCTION("""COMPUTED_VALUE"""),"04498")</f>
        <v>04498</v>
      </c>
      <c r="D188" s="13" t="str">
        <f>IFERROR(__xludf.DUMMYFUNCTION("""COMPUTED_VALUE"""),"KAISER ELEMENTARY SCHOOL")</f>
        <v>KAISER ELEMENTARY SCHOOL</v>
      </c>
      <c r="E188" s="13" t="str">
        <f>IFERROR(__xludf.DUMMYFUNCTION("""COMPUTED_VALUE"""),"Open")</f>
        <v>Open</v>
      </c>
      <c r="F188" s="13"/>
      <c r="G188" s="13" t="str">
        <f>IFERROR(__xludf.DUMMYFUNCTION("""COMPUTED_VALUE"""),"4500 S QUITMAN ST")</f>
        <v>4500 S QUITMAN ST</v>
      </c>
      <c r="H188" s="13" t="str">
        <f>IFERROR(__xludf.DUMMYFUNCTION("""COMPUTED_VALUE"""),"DENVER")</f>
        <v>DENVER</v>
      </c>
      <c r="I188" s="13" t="str">
        <f>IFERROR(__xludf.DUMMYFUNCTION("""COMPUTED_VALUE"""),"CO")</f>
        <v>CO</v>
      </c>
      <c r="J188" s="13" t="str">
        <f>IFERROR(__xludf.DUMMYFUNCTION("""COMPUTED_VALUE"""),"80236-3521")</f>
        <v>80236-3521</v>
      </c>
      <c r="K188" s="13" t="str">
        <f>IFERROR(__xludf.DUMMYFUNCTION("""COMPUTED_VALUE"""),"Denver")</f>
        <v>Denver</v>
      </c>
      <c r="L188" s="17" t="str">
        <f>IFERROR(__xludf.DUMMYFUNCTION("""COMPUTED_VALUE"""),"Y")</f>
        <v>Y</v>
      </c>
      <c r="M188" s="17"/>
      <c r="N188" s="17" t="str">
        <f>IFERROR(__xludf.DUMMYFUNCTION("""COMPUTED_VALUE"""),"Y")</f>
        <v>Y</v>
      </c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>
      <c r="A189" s="13" t="str">
        <f>IFERROR(__xludf.DUMMYFUNCTION("""COMPUTED_VALUE"""),"0880")</f>
        <v>0880</v>
      </c>
      <c r="B189" s="13" t="str">
        <f>IFERROR(__xludf.DUMMYFUNCTION("""COMPUTED_VALUE"""),"DENVER COUNTY 1")</f>
        <v>DENVER COUNTY 1</v>
      </c>
      <c r="C189" s="13" t="str">
        <f>IFERROR(__xludf.DUMMYFUNCTION("""COMPUTED_VALUE"""),"04500")</f>
        <v>04500</v>
      </c>
      <c r="D189" s="13" t="str">
        <f>IFERROR(__xludf.DUMMYFUNCTION("""COMPUTED_VALUE"""),"KIPP NORTHEAST ELEMENTARY")</f>
        <v>KIPP NORTHEAST ELEMENTARY</v>
      </c>
      <c r="E189" s="13" t="str">
        <f>IFERROR(__xludf.DUMMYFUNCTION("""COMPUTED_VALUE"""),"Open")</f>
        <v>Open</v>
      </c>
      <c r="F189" s="13"/>
      <c r="G189" s="13" t="str">
        <f>IFERROR(__xludf.DUMMYFUNCTION("""COMPUTED_VALUE"""),"4635 WALDEN ST")</f>
        <v>4635 WALDEN ST</v>
      </c>
      <c r="H189" s="13" t="str">
        <f>IFERROR(__xludf.DUMMYFUNCTION("""COMPUTED_VALUE"""),"DENVER")</f>
        <v>DENVER</v>
      </c>
      <c r="I189" s="13" t="str">
        <f>IFERROR(__xludf.DUMMYFUNCTION("""COMPUTED_VALUE"""),"CO")</f>
        <v>CO</v>
      </c>
      <c r="J189" s="13" t="str">
        <f>IFERROR(__xludf.DUMMYFUNCTION("""COMPUTED_VALUE"""),"80249-8772")</f>
        <v>80249-8772</v>
      </c>
      <c r="K189" s="13" t="str">
        <f>IFERROR(__xludf.DUMMYFUNCTION("""COMPUTED_VALUE"""),"Denver")</f>
        <v>Denver</v>
      </c>
      <c r="L189" s="17" t="str">
        <f>IFERROR(__xludf.DUMMYFUNCTION("""COMPUTED_VALUE"""),"Y")</f>
        <v>Y</v>
      </c>
      <c r="M189" s="17"/>
      <c r="N189" s="17" t="str">
        <f>IFERROR(__xludf.DUMMYFUNCTION("""COMPUTED_VALUE"""),"Y")</f>
        <v>Y</v>
      </c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>
      <c r="A190" s="13" t="str">
        <f>IFERROR(__xludf.DUMMYFUNCTION("""COMPUTED_VALUE"""),"0880")</f>
        <v>0880</v>
      </c>
      <c r="B190" s="13" t="str">
        <f>IFERROR(__xludf.DUMMYFUNCTION("""COMPUTED_VALUE"""),"DENVER COUNTY 1")</f>
        <v>DENVER COUNTY 1</v>
      </c>
      <c r="C190" s="13" t="str">
        <f>IFERROR(__xludf.DUMMYFUNCTION("""COMPUTED_VALUE"""),"04513")</f>
        <v>04513</v>
      </c>
      <c r="D190" s="13" t="str">
        <f>IFERROR(__xludf.DUMMYFUNCTION("""COMPUTED_VALUE"""),"Kepner Beacon Middle School")</f>
        <v>Kepner Beacon Middle School</v>
      </c>
      <c r="E190" s="13" t="str">
        <f>IFERROR(__xludf.DUMMYFUNCTION("""COMPUTED_VALUE"""),"Open")</f>
        <v>Open</v>
      </c>
      <c r="F190" s="13"/>
      <c r="G190" s="13" t="str">
        <f>IFERROR(__xludf.DUMMYFUNCTION("""COMPUTED_VALUE"""),"911 S HAZEL CT")</f>
        <v>911 S HAZEL CT</v>
      </c>
      <c r="H190" s="13" t="str">
        <f>IFERROR(__xludf.DUMMYFUNCTION("""COMPUTED_VALUE"""),"DENVER")</f>
        <v>DENVER</v>
      </c>
      <c r="I190" s="13" t="str">
        <f>IFERROR(__xludf.DUMMYFUNCTION("""COMPUTED_VALUE"""),"CO")</f>
        <v>CO</v>
      </c>
      <c r="J190" s="13" t="str">
        <f>IFERROR(__xludf.DUMMYFUNCTION("""COMPUTED_VALUE"""),"80219-3418")</f>
        <v>80219-3418</v>
      </c>
      <c r="K190" s="13" t="str">
        <f>IFERROR(__xludf.DUMMYFUNCTION("""COMPUTED_VALUE"""),"Denver")</f>
        <v>Denver</v>
      </c>
      <c r="L190" s="17" t="str">
        <f>IFERROR(__xludf.DUMMYFUNCTION("""COMPUTED_VALUE"""),"Y")</f>
        <v>Y</v>
      </c>
      <c r="M190" s="17"/>
      <c r="N190" s="17" t="str">
        <f>IFERROR(__xludf.DUMMYFUNCTION("""COMPUTED_VALUE"""),"Y")</f>
        <v>Y</v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>
      <c r="A191" s="13" t="str">
        <f>IFERROR(__xludf.DUMMYFUNCTION("""COMPUTED_VALUE"""),"0880")</f>
        <v>0880</v>
      </c>
      <c r="B191" s="13" t="str">
        <f>IFERROR(__xludf.DUMMYFUNCTION("""COMPUTED_VALUE"""),"DENVER COUNTY 1")</f>
        <v>DENVER COUNTY 1</v>
      </c>
      <c r="C191" s="13" t="str">
        <f>IFERROR(__xludf.DUMMYFUNCTION("""COMPUTED_VALUE"""),"04732")</f>
        <v>04732</v>
      </c>
      <c r="D191" s="13" t="str">
        <f>IFERROR(__xludf.DUMMYFUNCTION("""COMPUTED_VALUE"""),"KIPP: SUNSHINE PEAK ACADEMY")</f>
        <v>KIPP: SUNSHINE PEAK ACADEMY</v>
      </c>
      <c r="E191" s="13" t="str">
        <f>IFERROR(__xludf.DUMMYFUNCTION("""COMPUTED_VALUE"""),"Open")</f>
        <v>Open</v>
      </c>
      <c r="F191" s="13"/>
      <c r="G191" s="13" t="str">
        <f>IFERROR(__xludf.DUMMYFUNCTION("""COMPUTED_VALUE"""),"375 S TEJON ST")</f>
        <v>375 S TEJON ST</v>
      </c>
      <c r="H191" s="13" t="str">
        <f>IFERROR(__xludf.DUMMYFUNCTION("""COMPUTED_VALUE"""),"DENVER")</f>
        <v>DENVER</v>
      </c>
      <c r="I191" s="13" t="str">
        <f>IFERROR(__xludf.DUMMYFUNCTION("""COMPUTED_VALUE"""),"CO")</f>
        <v>CO</v>
      </c>
      <c r="J191" s="13" t="str">
        <f>IFERROR(__xludf.DUMMYFUNCTION("""COMPUTED_VALUE"""),"80223-1961")</f>
        <v>80223-1961</v>
      </c>
      <c r="K191" s="13" t="str">
        <f>IFERROR(__xludf.DUMMYFUNCTION("""COMPUTED_VALUE"""),"Denver")</f>
        <v>Denver</v>
      </c>
      <c r="L191" s="17" t="str">
        <f>IFERROR(__xludf.DUMMYFUNCTION("""COMPUTED_VALUE"""),"Y")</f>
        <v>Y</v>
      </c>
      <c r="M191" s="17"/>
      <c r="N191" s="17" t="str">
        <f>IFERROR(__xludf.DUMMYFUNCTION("""COMPUTED_VALUE"""),"Y")</f>
        <v>Y</v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>
      <c r="A192" s="13" t="str">
        <f>IFERROR(__xludf.DUMMYFUNCTION("""COMPUTED_VALUE"""),"0880")</f>
        <v>0880</v>
      </c>
      <c r="B192" s="13" t="str">
        <f>IFERROR(__xludf.DUMMYFUNCTION("""COMPUTED_VALUE"""),"DENVER COUNTY 1")</f>
        <v>DENVER COUNTY 1</v>
      </c>
      <c r="C192" s="13" t="str">
        <f>IFERROR(__xludf.DUMMYFUNCTION("""COMPUTED_VALUE"""),"05255")</f>
        <v>05255</v>
      </c>
      <c r="D192" s="13" t="str">
        <f>IFERROR(__xludf.DUMMYFUNCTION("""COMPUTED_VALUE"""),"LAKE INTERNATIONAL SCHOOL")</f>
        <v>LAKE INTERNATIONAL SCHOOL</v>
      </c>
      <c r="E192" s="13" t="str">
        <f>IFERROR(__xludf.DUMMYFUNCTION("""COMPUTED_VALUE"""),"Open")</f>
        <v>Open</v>
      </c>
      <c r="F192" s="13"/>
      <c r="G192" s="13" t="str">
        <f>IFERROR(__xludf.DUMMYFUNCTION("""COMPUTED_VALUE"""),"1820 LOWELL BLVD")</f>
        <v>1820 LOWELL BLVD</v>
      </c>
      <c r="H192" s="13" t="str">
        <f>IFERROR(__xludf.DUMMYFUNCTION("""COMPUTED_VALUE"""),"DENVER")</f>
        <v>DENVER</v>
      </c>
      <c r="I192" s="13" t="str">
        <f>IFERROR(__xludf.DUMMYFUNCTION("""COMPUTED_VALUE"""),"CO")</f>
        <v>CO</v>
      </c>
      <c r="J192" s="13" t="str">
        <f>IFERROR(__xludf.DUMMYFUNCTION("""COMPUTED_VALUE"""),"80204-1549")</f>
        <v>80204-1549</v>
      </c>
      <c r="K192" s="13" t="str">
        <f>IFERROR(__xludf.DUMMYFUNCTION("""COMPUTED_VALUE"""),"Denver")</f>
        <v>Denver</v>
      </c>
      <c r="L192" s="17" t="str">
        <f>IFERROR(__xludf.DUMMYFUNCTION("""COMPUTED_VALUE"""),"Y")</f>
        <v>Y</v>
      </c>
      <c r="M192" s="17"/>
      <c r="N192" s="17" t="str">
        <f>IFERROR(__xludf.DUMMYFUNCTION("""COMPUTED_VALUE"""),"Y")</f>
        <v>Y</v>
      </c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>
      <c r="A193" s="13" t="str">
        <f>IFERROR(__xludf.DUMMYFUNCTION("""COMPUTED_VALUE"""),"0880")</f>
        <v>0880</v>
      </c>
      <c r="B193" s="13" t="str">
        <f>IFERROR(__xludf.DUMMYFUNCTION("""COMPUTED_VALUE"""),"DENVER COUNTY 1")</f>
        <v>DENVER COUNTY 1</v>
      </c>
      <c r="C193" s="13" t="str">
        <f>IFERROR(__xludf.DUMMYFUNCTION("""COMPUTED_VALUE"""),"05342")</f>
        <v>05342</v>
      </c>
      <c r="D193" s="13" t="str">
        <f>IFERROR(__xludf.DUMMYFUNCTION("""COMPUTED_VALUE"""),"LOWRY ELEMENTARY SCHOOL")</f>
        <v>LOWRY ELEMENTARY SCHOOL</v>
      </c>
      <c r="E193" s="13" t="str">
        <f>IFERROR(__xludf.DUMMYFUNCTION("""COMPUTED_VALUE"""),"Open")</f>
        <v>Open</v>
      </c>
      <c r="F193" s="13"/>
      <c r="G193" s="13" t="str">
        <f>IFERROR(__xludf.DUMMYFUNCTION("""COMPUTED_VALUE"""),"8001 E CEDAR AVE")</f>
        <v>8001 E CEDAR AVE</v>
      </c>
      <c r="H193" s="13" t="str">
        <f>IFERROR(__xludf.DUMMYFUNCTION("""COMPUTED_VALUE"""),"DENVER")</f>
        <v>DENVER</v>
      </c>
      <c r="I193" s="13" t="str">
        <f>IFERROR(__xludf.DUMMYFUNCTION("""COMPUTED_VALUE"""),"CO")</f>
        <v>CO</v>
      </c>
      <c r="J193" s="13" t="str">
        <f>IFERROR(__xludf.DUMMYFUNCTION("""COMPUTED_VALUE"""),"80230-6775")</f>
        <v>80230-6775</v>
      </c>
      <c r="K193" s="13" t="str">
        <f>IFERROR(__xludf.DUMMYFUNCTION("""COMPUTED_VALUE"""),"Denver")</f>
        <v>Denver</v>
      </c>
      <c r="L193" s="17" t="str">
        <f>IFERROR(__xludf.DUMMYFUNCTION("""COMPUTED_VALUE"""),"Y")</f>
        <v>Y</v>
      </c>
      <c r="M193" s="17"/>
      <c r="N193" s="17" t="str">
        <f>IFERROR(__xludf.DUMMYFUNCTION("""COMPUTED_VALUE"""),"Y")</f>
        <v>Y</v>
      </c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>
      <c r="A194" s="13" t="str">
        <f>IFERROR(__xludf.DUMMYFUNCTION("""COMPUTED_VALUE"""),"0880")</f>
        <v>0880</v>
      </c>
      <c r="B194" s="13" t="str">
        <f>IFERROR(__xludf.DUMMYFUNCTION("""COMPUTED_VALUE"""),"DENVER COUNTY 1")</f>
        <v>DENVER COUNTY 1</v>
      </c>
      <c r="C194" s="13" t="str">
        <f>IFERROR(__xludf.DUMMYFUNCTION("""COMPUTED_VALUE"""),"05448")</f>
        <v>05448</v>
      </c>
      <c r="D194" s="13" t="str">
        <f>IFERROR(__xludf.DUMMYFUNCTION("""COMPUTED_VALUE"""),"MANUAL HIGH SCHOOL")</f>
        <v>MANUAL HIGH SCHOOL</v>
      </c>
      <c r="E194" s="13" t="str">
        <f>IFERROR(__xludf.DUMMYFUNCTION("""COMPUTED_VALUE"""),"Open")</f>
        <v>Open</v>
      </c>
      <c r="F194" s="13"/>
      <c r="G194" s="13" t="str">
        <f>IFERROR(__xludf.DUMMYFUNCTION("""COMPUTED_VALUE"""),"1700 E 28TH AVE")</f>
        <v>1700 E 28TH AVE</v>
      </c>
      <c r="H194" s="13" t="str">
        <f>IFERROR(__xludf.DUMMYFUNCTION("""COMPUTED_VALUE"""),"DENVER")</f>
        <v>DENVER</v>
      </c>
      <c r="I194" s="13" t="str">
        <f>IFERROR(__xludf.DUMMYFUNCTION("""COMPUTED_VALUE"""),"CO")</f>
        <v>CO</v>
      </c>
      <c r="J194" s="13" t="str">
        <f>IFERROR(__xludf.DUMMYFUNCTION("""COMPUTED_VALUE"""),"80205-4502")</f>
        <v>80205-4502</v>
      </c>
      <c r="K194" s="13" t="str">
        <f>IFERROR(__xludf.DUMMYFUNCTION("""COMPUTED_VALUE"""),"Denver")</f>
        <v>Denver</v>
      </c>
      <c r="L194" s="17" t="str">
        <f>IFERROR(__xludf.DUMMYFUNCTION("""COMPUTED_VALUE"""),"Y")</f>
        <v>Y</v>
      </c>
      <c r="M194" s="17"/>
      <c r="N194" s="17" t="str">
        <f>IFERROR(__xludf.DUMMYFUNCTION("""COMPUTED_VALUE"""),"Y")</f>
        <v>Y</v>
      </c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>
      <c r="A195" s="13" t="str">
        <f>IFERROR(__xludf.DUMMYFUNCTION("""COMPUTED_VALUE"""),"0880")</f>
        <v>0880</v>
      </c>
      <c r="B195" s="13" t="str">
        <f>IFERROR(__xludf.DUMMYFUNCTION("""COMPUTED_VALUE"""),"DENVER COUNTY 1")</f>
        <v>DENVER COUNTY 1</v>
      </c>
      <c r="C195" s="13" t="str">
        <f>IFERROR(__xludf.DUMMYFUNCTION("""COMPUTED_VALUE"""),"05685")</f>
        <v>05685</v>
      </c>
      <c r="D195" s="13" t="str">
        <f>IFERROR(__xludf.DUMMYFUNCTION("""COMPUTED_VALUE"""),"MCGLONE ELEMENTARY SCHOOL")</f>
        <v>MCGLONE ELEMENTARY SCHOOL</v>
      </c>
      <c r="E195" s="13" t="str">
        <f>IFERROR(__xludf.DUMMYFUNCTION("""COMPUTED_VALUE"""),"Open")</f>
        <v>Open</v>
      </c>
      <c r="F195" s="13"/>
      <c r="G195" s="13" t="str">
        <f>IFERROR(__xludf.DUMMYFUNCTION("""COMPUTED_VALUE"""),"4500 CROWN BLVD")</f>
        <v>4500 CROWN BLVD</v>
      </c>
      <c r="H195" s="13" t="str">
        <f>IFERROR(__xludf.DUMMYFUNCTION("""COMPUTED_VALUE"""),"DENVER")</f>
        <v>DENVER</v>
      </c>
      <c r="I195" s="13" t="str">
        <f>IFERROR(__xludf.DUMMYFUNCTION("""COMPUTED_VALUE"""),"CO")</f>
        <v>CO</v>
      </c>
      <c r="J195" s="13" t="str">
        <f>IFERROR(__xludf.DUMMYFUNCTION("""COMPUTED_VALUE"""),"80239-4416")</f>
        <v>80239-4416</v>
      </c>
      <c r="K195" s="13" t="str">
        <f>IFERROR(__xludf.DUMMYFUNCTION("""COMPUTED_VALUE"""),"Denver")</f>
        <v>Denver</v>
      </c>
      <c r="L195" s="17" t="str">
        <f>IFERROR(__xludf.DUMMYFUNCTION("""COMPUTED_VALUE"""),"Y")</f>
        <v>Y</v>
      </c>
      <c r="M195" s="17"/>
      <c r="N195" s="17" t="str">
        <f>IFERROR(__xludf.DUMMYFUNCTION("""COMPUTED_VALUE"""),"Y")</f>
        <v>Y</v>
      </c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>
      <c r="A196" s="13" t="str">
        <f>IFERROR(__xludf.DUMMYFUNCTION("""COMPUTED_VALUE"""),"0880")</f>
        <v>0880</v>
      </c>
      <c r="B196" s="13" t="str">
        <f>IFERROR(__xludf.DUMMYFUNCTION("""COMPUTED_VALUE"""),"DENVER COUNTY 1")</f>
        <v>DENVER COUNTY 1</v>
      </c>
      <c r="C196" s="13" t="str">
        <f>IFERROR(__xludf.DUMMYFUNCTION("""COMPUTED_VALUE"""),"05826")</f>
        <v>05826</v>
      </c>
      <c r="D196" s="13" t="str">
        <f>IFERROR(__xludf.DUMMYFUNCTION("""COMPUTED_VALUE"""),"MERRILL MIDDLE SCHOOL")</f>
        <v>MERRILL MIDDLE SCHOOL</v>
      </c>
      <c r="E196" s="13" t="str">
        <f>IFERROR(__xludf.DUMMYFUNCTION("""COMPUTED_VALUE"""),"Open")</f>
        <v>Open</v>
      </c>
      <c r="F196" s="13"/>
      <c r="G196" s="13" t="str">
        <f>IFERROR(__xludf.DUMMYFUNCTION("""COMPUTED_VALUE"""),"1551 S MONROE ST")</f>
        <v>1551 S MONROE ST</v>
      </c>
      <c r="H196" s="13" t="str">
        <f>IFERROR(__xludf.DUMMYFUNCTION("""COMPUTED_VALUE"""),"DENVER")</f>
        <v>DENVER</v>
      </c>
      <c r="I196" s="13" t="str">
        <f>IFERROR(__xludf.DUMMYFUNCTION("""COMPUTED_VALUE"""),"CO")</f>
        <v>CO</v>
      </c>
      <c r="J196" s="13" t="str">
        <f>IFERROR(__xludf.DUMMYFUNCTION("""COMPUTED_VALUE"""),"80210-3015")</f>
        <v>80210-3015</v>
      </c>
      <c r="K196" s="13" t="str">
        <f>IFERROR(__xludf.DUMMYFUNCTION("""COMPUTED_VALUE"""),"Denver")</f>
        <v>Denver</v>
      </c>
      <c r="L196" s="17" t="str">
        <f>IFERROR(__xludf.DUMMYFUNCTION("""COMPUTED_VALUE"""),"Y")</f>
        <v>Y</v>
      </c>
      <c r="M196" s="17"/>
      <c r="N196" s="17" t="str">
        <f>IFERROR(__xludf.DUMMYFUNCTION("""COMPUTED_VALUE"""),"Y")</f>
        <v>Y</v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>
      <c r="A197" s="13" t="str">
        <f>IFERROR(__xludf.DUMMYFUNCTION("""COMPUTED_VALUE"""),"0880")</f>
        <v>0880</v>
      </c>
      <c r="B197" s="13" t="str">
        <f>IFERROR(__xludf.DUMMYFUNCTION("""COMPUTED_VALUE"""),"DENVER COUNTY 1")</f>
        <v>DENVER COUNTY 1</v>
      </c>
      <c r="C197" s="13" t="str">
        <f>IFERROR(__xludf.DUMMYFUNCTION("""COMPUTED_VALUE"""),"05844")</f>
        <v>05844</v>
      </c>
      <c r="D197" s="13" t="str">
        <f>IFERROR(__xludf.DUMMYFUNCTION("""COMPUTED_VALUE"""),"CONTEMPORARY LEARNING ACADEMY")</f>
        <v>CONTEMPORARY LEARNING ACADEMY</v>
      </c>
      <c r="E197" s="13" t="str">
        <f>IFERROR(__xludf.DUMMYFUNCTION("""COMPUTED_VALUE"""),"Open")</f>
        <v>Open</v>
      </c>
      <c r="F197" s="13"/>
      <c r="G197" s="13" t="str">
        <f>IFERROR(__xludf.DUMMYFUNCTION("""COMPUTED_VALUE"""),"200 E 9TH AVE")</f>
        <v>200 E 9TH AVE</v>
      </c>
      <c r="H197" s="13" t="str">
        <f>IFERROR(__xludf.DUMMYFUNCTION("""COMPUTED_VALUE"""),"DENVER")</f>
        <v>DENVER</v>
      </c>
      <c r="I197" s="13" t="str">
        <f>IFERROR(__xludf.DUMMYFUNCTION("""COMPUTED_VALUE"""),"CO")</f>
        <v>CO</v>
      </c>
      <c r="J197" s="13" t="str">
        <f>IFERROR(__xludf.DUMMYFUNCTION("""COMPUTED_VALUE"""),"80203-2903")</f>
        <v>80203-2903</v>
      </c>
      <c r="K197" s="13" t="str">
        <f>IFERROR(__xludf.DUMMYFUNCTION("""COMPUTED_VALUE"""),"Denver")</f>
        <v>Denver</v>
      </c>
      <c r="L197" s="17" t="str">
        <f>IFERROR(__xludf.DUMMYFUNCTION("""COMPUTED_VALUE"""),"Y")</f>
        <v>Y</v>
      </c>
      <c r="M197" s="17"/>
      <c r="N197" s="17" t="str">
        <f>IFERROR(__xludf.DUMMYFUNCTION("""COMPUTED_VALUE"""),"Y")</f>
        <v>Y</v>
      </c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>
      <c r="A198" s="18" t="str">
        <f>IFERROR(__xludf.DUMMYFUNCTION("""COMPUTED_VALUE"""),"0880")</f>
        <v>0880</v>
      </c>
      <c r="B198" s="18" t="str">
        <f>IFERROR(__xludf.DUMMYFUNCTION("""COMPUTED_VALUE"""),"DENVER COUNTY 1")</f>
        <v>DENVER COUNTY 1</v>
      </c>
      <c r="C198" s="18" t="str">
        <f>IFERROR(__xludf.DUMMYFUNCTION("""COMPUTED_VALUE"""),"05897")</f>
        <v>05897</v>
      </c>
      <c r="D198" s="18" t="str">
        <f>IFERROR(__xludf.DUMMYFUNCTION("""COMPUTED_VALUE"""),"McAuliffe International School")</f>
        <v>McAuliffe International School</v>
      </c>
      <c r="E198" s="18" t="str">
        <f>IFERROR(__xludf.DUMMYFUNCTION("""COMPUTED_VALUE"""),"Open")</f>
        <v>Open</v>
      </c>
      <c r="F198" s="18" t="str">
        <f>IFERROR(__xludf.DUMMYFUNCTION("""COMPUTED_VALUE""")," ")</f>
        <v> </v>
      </c>
      <c r="G198" s="18" t="str">
        <f>IFERROR(__xludf.DUMMYFUNCTION("""COMPUTED_VALUE"""),"2540 HOLLY ST")</f>
        <v>2540 HOLLY ST</v>
      </c>
      <c r="H198" s="18" t="str">
        <f>IFERROR(__xludf.DUMMYFUNCTION("""COMPUTED_VALUE"""),"DENVER")</f>
        <v>DENVER</v>
      </c>
      <c r="I198" s="18" t="str">
        <f>IFERROR(__xludf.DUMMYFUNCTION("""COMPUTED_VALUE"""),"CO")</f>
        <v>CO</v>
      </c>
      <c r="J198" s="18" t="str">
        <f>IFERROR(__xludf.DUMMYFUNCTION("""COMPUTED_VALUE"""),"80207-3228")</f>
        <v>80207-3228</v>
      </c>
      <c r="K198" s="18" t="str">
        <f>IFERROR(__xludf.DUMMYFUNCTION("""COMPUTED_VALUE"""),"Denver")</f>
        <v>Denver</v>
      </c>
      <c r="L198" s="19" t="str">
        <f>IFERROR(__xludf.DUMMYFUNCTION("""COMPUTED_VALUE"""),"Y")</f>
        <v>Y</v>
      </c>
      <c r="M198" s="19"/>
      <c r="N198" s="19" t="str">
        <f>IFERROR(__xludf.DUMMYFUNCTION("""COMPUTED_VALUE"""),"Y")</f>
        <v>Y</v>
      </c>
      <c r="O198" s="19"/>
      <c r="P198" s="19"/>
      <c r="Q198" s="19" t="str">
        <f>IFERROR(__xludf.DUMMYFUNCTION("""COMPUTED_VALUE"""),"No Claims as of 11.24")</f>
        <v>No Claims as of 11.24</v>
      </c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>
      <c r="A199" s="13" t="str">
        <f>IFERROR(__xludf.DUMMYFUNCTION("""COMPUTED_VALUE"""),"0880")</f>
        <v>0880</v>
      </c>
      <c r="B199" s="13" t="str">
        <f>IFERROR(__xludf.DUMMYFUNCTION("""COMPUTED_VALUE"""),"DENVER COUNTY 1")</f>
        <v>DENVER COUNTY 1</v>
      </c>
      <c r="C199" s="13" t="str">
        <f>IFERROR(__xludf.DUMMYFUNCTION("""COMPUTED_VALUE"""),"06098")</f>
        <v>06098</v>
      </c>
      <c r="D199" s="13" t="str">
        <f>IFERROR(__xludf.DUMMYFUNCTION("""COMPUTED_VALUE"""),"MOREY MIDDLE SCHOOL")</f>
        <v>MOREY MIDDLE SCHOOL</v>
      </c>
      <c r="E199" s="13" t="str">
        <f>IFERROR(__xludf.DUMMYFUNCTION("""COMPUTED_VALUE"""),"Open")</f>
        <v>Open</v>
      </c>
      <c r="F199" s="13"/>
      <c r="G199" s="13" t="str">
        <f>IFERROR(__xludf.DUMMYFUNCTION("""COMPUTED_VALUE"""),"840 E 14TH AVE")</f>
        <v>840 E 14TH AVE</v>
      </c>
      <c r="H199" s="13" t="str">
        <f>IFERROR(__xludf.DUMMYFUNCTION("""COMPUTED_VALUE"""),"DENVER")</f>
        <v>DENVER</v>
      </c>
      <c r="I199" s="13" t="str">
        <f>IFERROR(__xludf.DUMMYFUNCTION("""COMPUTED_VALUE"""),"CO")</f>
        <v>CO</v>
      </c>
      <c r="J199" s="13" t="str">
        <f>IFERROR(__xludf.DUMMYFUNCTION("""COMPUTED_VALUE"""),"80218-1803")</f>
        <v>80218-1803</v>
      </c>
      <c r="K199" s="13" t="str">
        <f>IFERROR(__xludf.DUMMYFUNCTION("""COMPUTED_VALUE"""),"Denver")</f>
        <v>Denver</v>
      </c>
      <c r="L199" s="17" t="str">
        <f>IFERROR(__xludf.DUMMYFUNCTION("""COMPUTED_VALUE"""),"Y")</f>
        <v>Y</v>
      </c>
      <c r="M199" s="17"/>
      <c r="N199" s="17" t="str">
        <f>IFERROR(__xludf.DUMMYFUNCTION("""COMPUTED_VALUE"""),"Y")</f>
        <v>Y</v>
      </c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>
      <c r="A200" s="13" t="str">
        <f>IFERROR(__xludf.DUMMYFUNCTION("""COMPUTED_VALUE"""),"0880")</f>
        <v>0880</v>
      </c>
      <c r="B200" s="13" t="str">
        <f>IFERROR(__xludf.DUMMYFUNCTION("""COMPUTED_VALUE"""),"DENVER COUNTY 1")</f>
        <v>DENVER COUNTY 1</v>
      </c>
      <c r="C200" s="13" t="str">
        <f>IFERROR(__xludf.DUMMYFUNCTION("""COMPUTED_VALUE"""),"06314")</f>
        <v>06314</v>
      </c>
      <c r="D200" s="13" t="str">
        <f>IFERROR(__xludf.DUMMYFUNCTION("""COMPUTED_VALUE"""),"NORTH HIGH SCHOOL")</f>
        <v>NORTH HIGH SCHOOL</v>
      </c>
      <c r="E200" s="13" t="str">
        <f>IFERROR(__xludf.DUMMYFUNCTION("""COMPUTED_VALUE"""),"Open")</f>
        <v>Open</v>
      </c>
      <c r="F200" s="13"/>
      <c r="G200" s="13" t="str">
        <f>IFERROR(__xludf.DUMMYFUNCTION("""COMPUTED_VALUE"""),"2960 N SPEER BLVD")</f>
        <v>2960 N SPEER BLVD</v>
      </c>
      <c r="H200" s="13" t="str">
        <f>IFERROR(__xludf.DUMMYFUNCTION("""COMPUTED_VALUE"""),"DENVER")</f>
        <v>DENVER</v>
      </c>
      <c r="I200" s="13" t="str">
        <f>IFERROR(__xludf.DUMMYFUNCTION("""COMPUTED_VALUE"""),"CO")</f>
        <v>CO</v>
      </c>
      <c r="J200" s="13" t="str">
        <f>IFERROR(__xludf.DUMMYFUNCTION("""COMPUTED_VALUE"""),"80211-3795")</f>
        <v>80211-3795</v>
      </c>
      <c r="K200" s="13" t="str">
        <f>IFERROR(__xludf.DUMMYFUNCTION("""COMPUTED_VALUE"""),"Denver")</f>
        <v>Denver</v>
      </c>
      <c r="L200" s="17" t="str">
        <f>IFERROR(__xludf.DUMMYFUNCTION("""COMPUTED_VALUE"""),"Y")</f>
        <v>Y</v>
      </c>
      <c r="M200" s="17"/>
      <c r="N200" s="17" t="str">
        <f>IFERROR(__xludf.DUMMYFUNCTION("""COMPUTED_VALUE"""),"Y")</f>
        <v>Y</v>
      </c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>
      <c r="A201" s="13" t="str">
        <f>IFERROR(__xludf.DUMMYFUNCTION("""COMPUTED_VALUE"""),"0880")</f>
        <v>0880</v>
      </c>
      <c r="B201" s="13" t="str">
        <f>IFERROR(__xludf.DUMMYFUNCTION("""COMPUTED_VALUE"""),"DENVER COUNTY 1")</f>
        <v>DENVER COUNTY 1</v>
      </c>
      <c r="C201" s="13" t="str">
        <f>IFERROR(__xludf.DUMMYFUNCTION("""COMPUTED_VALUE"""),"06350")</f>
        <v>06350</v>
      </c>
      <c r="D201" s="13" t="str">
        <f>IFERROR(__xludf.DUMMYFUNCTION("""COMPUTED_VALUE"""),"BRUCE RANDOLPH SCHOOL")</f>
        <v>BRUCE RANDOLPH SCHOOL</v>
      </c>
      <c r="E201" s="13" t="str">
        <f>IFERROR(__xludf.DUMMYFUNCTION("""COMPUTED_VALUE"""),"Open")</f>
        <v>Open</v>
      </c>
      <c r="F201" s="13"/>
      <c r="G201" s="13" t="str">
        <f>IFERROR(__xludf.DUMMYFUNCTION("""COMPUTED_VALUE"""),"3955 N STEELE ST")</f>
        <v>3955 N STEELE ST</v>
      </c>
      <c r="H201" s="13" t="str">
        <f>IFERROR(__xludf.DUMMYFUNCTION("""COMPUTED_VALUE"""),"DENVER")</f>
        <v>DENVER</v>
      </c>
      <c r="I201" s="13" t="str">
        <f>IFERROR(__xludf.DUMMYFUNCTION("""COMPUTED_VALUE"""),"CO")</f>
        <v>CO</v>
      </c>
      <c r="J201" s="13" t="str">
        <f>IFERROR(__xludf.DUMMYFUNCTION("""COMPUTED_VALUE"""),"80205-3613")</f>
        <v>80205-3613</v>
      </c>
      <c r="K201" s="13" t="str">
        <f>IFERROR(__xludf.DUMMYFUNCTION("""COMPUTED_VALUE"""),"Denver")</f>
        <v>Denver</v>
      </c>
      <c r="L201" s="17" t="str">
        <f>IFERROR(__xludf.DUMMYFUNCTION("""COMPUTED_VALUE"""),"Y")</f>
        <v>Y</v>
      </c>
      <c r="M201" s="17"/>
      <c r="N201" s="17" t="str">
        <f>IFERROR(__xludf.DUMMYFUNCTION("""COMPUTED_VALUE"""),"Y")</f>
        <v>Y</v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>
      <c r="A202" s="13" t="str">
        <f>IFERROR(__xludf.DUMMYFUNCTION("""COMPUTED_VALUE"""),"0880")</f>
        <v>0880</v>
      </c>
      <c r="B202" s="13" t="str">
        <f>IFERROR(__xludf.DUMMYFUNCTION("""COMPUTED_VALUE"""),"DENVER COUNTY 1")</f>
        <v>DENVER COUNTY 1</v>
      </c>
      <c r="C202" s="13" t="str">
        <f>IFERROR(__xludf.DUMMYFUNCTION("""COMPUTED_VALUE"""),"06368")</f>
        <v>06368</v>
      </c>
      <c r="D202" s="13" t="str">
        <f>IFERROR(__xludf.DUMMYFUNCTION("""COMPUTED_VALUE"""),"NORTHFIELD HIGH SCHOOL")</f>
        <v>NORTHFIELD HIGH SCHOOL</v>
      </c>
      <c r="E202" s="13" t="str">
        <f>IFERROR(__xludf.DUMMYFUNCTION("""COMPUTED_VALUE"""),"Open")</f>
        <v>Open</v>
      </c>
      <c r="F202" s="13"/>
      <c r="G202" s="13" t="str">
        <f>IFERROR(__xludf.DUMMYFUNCTION("""COMPUTED_VALUE"""),"5500 CENTRAL PARK BLVD")</f>
        <v>5500 CENTRAL PARK BLVD</v>
      </c>
      <c r="H202" s="13" t="str">
        <f>IFERROR(__xludf.DUMMYFUNCTION("""COMPUTED_VALUE"""),"DENVER")</f>
        <v>DENVER</v>
      </c>
      <c r="I202" s="13" t="str">
        <f>IFERROR(__xludf.DUMMYFUNCTION("""COMPUTED_VALUE"""),"CO")</f>
        <v>CO</v>
      </c>
      <c r="J202" s="13" t="str">
        <f>IFERROR(__xludf.DUMMYFUNCTION("""COMPUTED_VALUE"""),"80238-2323")</f>
        <v>80238-2323</v>
      </c>
      <c r="K202" s="13" t="str">
        <f>IFERROR(__xludf.DUMMYFUNCTION("""COMPUTED_VALUE"""),"Denver")</f>
        <v>Denver</v>
      </c>
      <c r="L202" s="17" t="str">
        <f>IFERROR(__xludf.DUMMYFUNCTION("""COMPUTED_VALUE"""),"Y")</f>
        <v>Y</v>
      </c>
      <c r="M202" s="17"/>
      <c r="N202" s="17" t="str">
        <f>IFERROR(__xludf.DUMMYFUNCTION("""COMPUTED_VALUE"""),"Y")</f>
        <v>Y</v>
      </c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>
      <c r="A203" s="13" t="str">
        <f>IFERROR(__xludf.DUMMYFUNCTION("""COMPUTED_VALUE"""),"0880")</f>
        <v>0880</v>
      </c>
      <c r="B203" s="13" t="str">
        <f>IFERROR(__xludf.DUMMYFUNCTION("""COMPUTED_VALUE"""),"DENVER COUNTY 1")</f>
        <v>DENVER COUNTY 1</v>
      </c>
      <c r="C203" s="13" t="str">
        <f>IFERROR(__xludf.DUMMYFUNCTION("""COMPUTED_VALUE"""),"06508")</f>
        <v>06508</v>
      </c>
      <c r="D203" s="13" t="str">
        <f>IFERROR(__xludf.DUMMYFUNCTION("""COMPUTED_VALUE"""),"OMAR D BLAIR CHARTER SCHOOL")</f>
        <v>OMAR D BLAIR CHARTER SCHOOL</v>
      </c>
      <c r="E203" s="13" t="str">
        <f>IFERROR(__xludf.DUMMYFUNCTION("""COMPUTED_VALUE"""),"Open")</f>
        <v>Open</v>
      </c>
      <c r="F203" s="13"/>
      <c r="G203" s="13" t="str">
        <f>IFERROR(__xludf.DUMMYFUNCTION("""COMPUTED_VALUE"""),"4905 CATHAY ST")</f>
        <v>4905 CATHAY ST</v>
      </c>
      <c r="H203" s="13" t="str">
        <f>IFERROR(__xludf.DUMMYFUNCTION("""COMPUTED_VALUE"""),"DENVER")</f>
        <v>DENVER</v>
      </c>
      <c r="I203" s="13" t="str">
        <f>IFERROR(__xludf.DUMMYFUNCTION("""COMPUTED_VALUE"""),"CO")</f>
        <v>CO</v>
      </c>
      <c r="J203" s="13" t="str">
        <f>IFERROR(__xludf.DUMMYFUNCTION("""COMPUTED_VALUE"""),"80249-8376")</f>
        <v>80249-8376</v>
      </c>
      <c r="K203" s="13" t="str">
        <f>IFERROR(__xludf.DUMMYFUNCTION("""COMPUTED_VALUE"""),"Denver")</f>
        <v>Denver</v>
      </c>
      <c r="L203" s="17" t="str">
        <f>IFERROR(__xludf.DUMMYFUNCTION("""COMPUTED_VALUE"""),"Y")</f>
        <v>Y</v>
      </c>
      <c r="M203" s="17"/>
      <c r="N203" s="17" t="str">
        <f>IFERROR(__xludf.DUMMYFUNCTION("""COMPUTED_VALUE"""),"Y")</f>
        <v>Y</v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>
      <c r="A204" s="13" t="str">
        <f>IFERROR(__xludf.DUMMYFUNCTION("""COMPUTED_VALUE"""),"0880")</f>
        <v>0880</v>
      </c>
      <c r="B204" s="13" t="str">
        <f>IFERROR(__xludf.DUMMYFUNCTION("""COMPUTED_VALUE"""),"DENVER COUNTY 1")</f>
        <v>DENVER COUNTY 1</v>
      </c>
      <c r="C204" s="13" t="str">
        <f>IFERROR(__xludf.DUMMYFUNCTION("""COMPUTED_VALUE"""),"06676")</f>
        <v>06676</v>
      </c>
      <c r="D204" s="13" t="str">
        <f>IFERROR(__xludf.DUMMYFUNCTION("""COMPUTED_VALUE"""),"PALMER ELEMENTARY SCHOOL")</f>
        <v>PALMER ELEMENTARY SCHOOL</v>
      </c>
      <c r="E204" s="13" t="str">
        <f>IFERROR(__xludf.DUMMYFUNCTION("""COMPUTED_VALUE"""),"Open")</f>
        <v>Open</v>
      </c>
      <c r="F204" s="13"/>
      <c r="G204" s="13" t="str">
        <f>IFERROR(__xludf.DUMMYFUNCTION("""COMPUTED_VALUE"""),"995 GRAPE ST")</f>
        <v>995 GRAPE ST</v>
      </c>
      <c r="H204" s="13" t="str">
        <f>IFERROR(__xludf.DUMMYFUNCTION("""COMPUTED_VALUE"""),"DENVER")</f>
        <v>DENVER</v>
      </c>
      <c r="I204" s="13" t="str">
        <f>IFERROR(__xludf.DUMMYFUNCTION("""COMPUTED_VALUE"""),"CO")</f>
        <v>CO</v>
      </c>
      <c r="J204" s="13" t="str">
        <f>IFERROR(__xludf.DUMMYFUNCTION("""COMPUTED_VALUE"""),"80220-4426")</f>
        <v>80220-4426</v>
      </c>
      <c r="K204" s="13" t="str">
        <f>IFERROR(__xludf.DUMMYFUNCTION("""COMPUTED_VALUE"""),"Denver")</f>
        <v>Denver</v>
      </c>
      <c r="L204" s="17" t="str">
        <f>IFERROR(__xludf.DUMMYFUNCTION("""COMPUTED_VALUE"""),"Y")</f>
        <v>Y</v>
      </c>
      <c r="M204" s="17"/>
      <c r="N204" s="17" t="str">
        <f>IFERROR(__xludf.DUMMYFUNCTION("""COMPUTED_VALUE"""),"Y")</f>
        <v>Y</v>
      </c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>
      <c r="A205" s="13" t="str">
        <f>IFERROR(__xludf.DUMMYFUNCTION("""COMPUTED_VALUE"""),"0880")</f>
        <v>0880</v>
      </c>
      <c r="B205" s="13" t="str">
        <f>IFERROR(__xludf.DUMMYFUNCTION("""COMPUTED_VALUE"""),"DENVER COUNTY 1")</f>
        <v>DENVER COUNTY 1</v>
      </c>
      <c r="C205" s="13" t="str">
        <f>IFERROR(__xludf.DUMMYFUNCTION("""COMPUTED_VALUE"""),"06970")</f>
        <v>06970</v>
      </c>
      <c r="D205" s="13" t="str">
        <f>IFERROR(__xludf.DUMMYFUNCTION("""COMPUTED_VALUE"""),"FLORIDA PITT-WALLER ECE-8 SCHOOL")</f>
        <v>FLORIDA PITT-WALLER ECE-8 SCHOOL</v>
      </c>
      <c r="E205" s="13" t="str">
        <f>IFERROR(__xludf.DUMMYFUNCTION("""COMPUTED_VALUE"""),"Open")</f>
        <v>Open</v>
      </c>
      <c r="F205" s="13"/>
      <c r="G205" s="13" t="str">
        <f>IFERROR(__xludf.DUMMYFUNCTION("""COMPUTED_VALUE"""),"21601 E 51ST PL")</f>
        <v>21601 E 51ST PL</v>
      </c>
      <c r="H205" s="13" t="str">
        <f>IFERROR(__xludf.DUMMYFUNCTION("""COMPUTED_VALUE"""),"DENVER")</f>
        <v>DENVER</v>
      </c>
      <c r="I205" s="13" t="str">
        <f>IFERROR(__xludf.DUMMYFUNCTION("""COMPUTED_VALUE"""),"CO")</f>
        <v>CO</v>
      </c>
      <c r="J205" s="13" t="str">
        <f>IFERROR(__xludf.DUMMYFUNCTION("""COMPUTED_VALUE"""),"80249-8647")</f>
        <v>80249-8647</v>
      </c>
      <c r="K205" s="13" t="str">
        <f>IFERROR(__xludf.DUMMYFUNCTION("""COMPUTED_VALUE"""),"Denver")</f>
        <v>Denver</v>
      </c>
      <c r="L205" s="17" t="str">
        <f>IFERROR(__xludf.DUMMYFUNCTION("""COMPUTED_VALUE"""),"Y")</f>
        <v>Y</v>
      </c>
      <c r="M205" s="17"/>
      <c r="N205" s="17" t="str">
        <f>IFERROR(__xludf.DUMMYFUNCTION("""COMPUTED_VALUE"""),"Y")</f>
        <v>Y</v>
      </c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>
      <c r="A206" s="13" t="str">
        <f>IFERROR(__xludf.DUMMYFUNCTION("""COMPUTED_VALUE"""),"0880")</f>
        <v>0880</v>
      </c>
      <c r="B206" s="13" t="str">
        <f>IFERROR(__xludf.DUMMYFUNCTION("""COMPUTED_VALUE"""),"DENVER COUNTY 1")</f>
        <v>DENVER COUNTY 1</v>
      </c>
      <c r="C206" s="13" t="str">
        <f>IFERROR(__xludf.DUMMYFUNCTION("""COMPUTED_VALUE"""),"07163")</f>
        <v>07163</v>
      </c>
      <c r="D206" s="13" t="str">
        <f>IFERROR(__xludf.DUMMYFUNCTION("""COMPUTED_VALUE"""),"P.R.E.P. (POSITIVE REFOCUS EDUCATION PROGRAM)")</f>
        <v>P.R.E.P. (POSITIVE REFOCUS EDUCATION PROGRAM)</v>
      </c>
      <c r="E206" s="13" t="str">
        <f>IFERROR(__xludf.DUMMYFUNCTION("""COMPUTED_VALUE"""),"Open")</f>
        <v>Open</v>
      </c>
      <c r="F206" s="13"/>
      <c r="G206" s="13" t="str">
        <f>IFERROR(__xludf.DUMMYFUNCTION("""COMPUTED_VALUE"""),"2727 N COLUMBINE ST")</f>
        <v>2727 N COLUMBINE ST</v>
      </c>
      <c r="H206" s="13" t="str">
        <f>IFERROR(__xludf.DUMMYFUNCTION("""COMPUTED_VALUE"""),"DENVER")</f>
        <v>DENVER</v>
      </c>
      <c r="I206" s="13" t="str">
        <f>IFERROR(__xludf.DUMMYFUNCTION("""COMPUTED_VALUE"""),"CO")</f>
        <v>CO</v>
      </c>
      <c r="J206" s="13" t="str">
        <f>IFERROR(__xludf.DUMMYFUNCTION("""COMPUTED_VALUE"""),"80205-4741")</f>
        <v>80205-4741</v>
      </c>
      <c r="K206" s="13" t="str">
        <f>IFERROR(__xludf.DUMMYFUNCTION("""COMPUTED_VALUE"""),"Denver")</f>
        <v>Denver</v>
      </c>
      <c r="L206" s="17" t="str">
        <f>IFERROR(__xludf.DUMMYFUNCTION("""COMPUTED_VALUE"""),"Y")</f>
        <v>Y</v>
      </c>
      <c r="M206" s="17"/>
      <c r="N206" s="17" t="str">
        <f>IFERROR(__xludf.DUMMYFUNCTION("""COMPUTED_VALUE"""),"Y")</f>
        <v>Y</v>
      </c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>
      <c r="A207" s="13" t="str">
        <f>IFERROR(__xludf.DUMMYFUNCTION("""COMPUTED_VALUE"""),"0880")</f>
        <v>0880</v>
      </c>
      <c r="B207" s="13" t="str">
        <f>IFERROR(__xludf.DUMMYFUNCTION("""COMPUTED_VALUE"""),"DENVER COUNTY 1")</f>
        <v>DENVER COUNTY 1</v>
      </c>
      <c r="C207" s="13" t="str">
        <f>IFERROR(__xludf.DUMMYFUNCTION("""COMPUTED_VALUE"""),"07188")</f>
        <v>07188</v>
      </c>
      <c r="D207" s="13" t="str">
        <f>IFERROR(__xludf.DUMMYFUNCTION("""COMPUTED_VALUE"""),"MONTBELLO CAREER AND TECHNICAL HIGH SCHOOL")</f>
        <v>MONTBELLO CAREER AND TECHNICAL HIGH SCHOOL</v>
      </c>
      <c r="E207" s="13" t="str">
        <f>IFERROR(__xludf.DUMMYFUNCTION("""COMPUTED_VALUE"""),"Open")</f>
        <v>Open</v>
      </c>
      <c r="F207" s="13"/>
      <c r="G207" s="13" t="str">
        <f>IFERROR(__xludf.DUMMYFUNCTION("""COMPUTED_VALUE"""),"4501 AIRPORT WAY")</f>
        <v>4501 AIRPORT WAY</v>
      </c>
      <c r="H207" s="13" t="str">
        <f>IFERROR(__xludf.DUMMYFUNCTION("""COMPUTED_VALUE"""),"DENVER")</f>
        <v>DENVER</v>
      </c>
      <c r="I207" s="13" t="str">
        <f>IFERROR(__xludf.DUMMYFUNCTION("""COMPUTED_VALUE"""),"CO")</f>
        <v>CO</v>
      </c>
      <c r="J207" s="13" t="str">
        <f>IFERROR(__xludf.DUMMYFUNCTION("""COMPUTED_VALUE"""),"80239-5716")</f>
        <v>80239-5716</v>
      </c>
      <c r="K207" s="13" t="str">
        <f>IFERROR(__xludf.DUMMYFUNCTION("""COMPUTED_VALUE"""),"Denver")</f>
        <v>Denver</v>
      </c>
      <c r="L207" s="17" t="str">
        <f>IFERROR(__xludf.DUMMYFUNCTION("""COMPUTED_VALUE"""),"Y")</f>
        <v>Y</v>
      </c>
      <c r="M207" s="17"/>
      <c r="N207" s="17" t="str">
        <f>IFERROR(__xludf.DUMMYFUNCTION("""COMPUTED_VALUE"""),"Y")</f>
        <v>Y</v>
      </c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>
      <c r="A208" s="13" t="str">
        <f>IFERROR(__xludf.DUMMYFUNCTION("""COMPUTED_VALUE"""),"0880")</f>
        <v>0880</v>
      </c>
      <c r="B208" s="13" t="str">
        <f>IFERROR(__xludf.DUMMYFUNCTION("""COMPUTED_VALUE"""),"DENVER COUNTY 1")</f>
        <v>DENVER COUNTY 1</v>
      </c>
      <c r="C208" s="13" t="str">
        <f>IFERROR(__xludf.DUMMYFUNCTION("""COMPUTED_VALUE"""),"07972")</f>
        <v>07972</v>
      </c>
      <c r="D208" s="13" t="str">
        <f>IFERROR(__xludf.DUMMYFUNCTION("""COMPUTED_VALUE"""),"SLAVENS K-8 SCHOOL")</f>
        <v>SLAVENS K-8 SCHOOL</v>
      </c>
      <c r="E208" s="13" t="str">
        <f>IFERROR(__xludf.DUMMYFUNCTION("""COMPUTED_VALUE"""),"Open")</f>
        <v>Open</v>
      </c>
      <c r="F208" s="13"/>
      <c r="G208" s="13" t="str">
        <f>IFERROR(__xludf.DUMMYFUNCTION("""COMPUTED_VALUE"""),"3000 S CLAYTON ST")</f>
        <v>3000 S CLAYTON ST</v>
      </c>
      <c r="H208" s="13" t="str">
        <f>IFERROR(__xludf.DUMMYFUNCTION("""COMPUTED_VALUE"""),"DENVER")</f>
        <v>DENVER</v>
      </c>
      <c r="I208" s="13" t="str">
        <f>IFERROR(__xludf.DUMMYFUNCTION("""COMPUTED_VALUE"""),"CO")</f>
        <v>CO</v>
      </c>
      <c r="J208" s="13" t="str">
        <f>IFERROR(__xludf.DUMMYFUNCTION("""COMPUTED_VALUE"""),"80210-6704")</f>
        <v>80210-6704</v>
      </c>
      <c r="K208" s="13" t="str">
        <f>IFERROR(__xludf.DUMMYFUNCTION("""COMPUTED_VALUE"""),"Denver")</f>
        <v>Denver</v>
      </c>
      <c r="L208" s="17" t="str">
        <f>IFERROR(__xludf.DUMMYFUNCTION("""COMPUTED_VALUE"""),"Y")</f>
        <v>Y</v>
      </c>
      <c r="M208" s="17"/>
      <c r="N208" s="17" t="str">
        <f>IFERROR(__xludf.DUMMYFUNCTION("""COMPUTED_VALUE"""),"Y")</f>
        <v>Y</v>
      </c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>
      <c r="A209" s="13" t="str">
        <f>IFERROR(__xludf.DUMMYFUNCTION("""COMPUTED_VALUE"""),"0880")</f>
        <v>0880</v>
      </c>
      <c r="B209" s="13" t="str">
        <f>IFERROR(__xludf.DUMMYFUNCTION("""COMPUTED_VALUE"""),"DENVER COUNTY 1")</f>
        <v>DENVER COUNTY 1</v>
      </c>
      <c r="C209" s="13" t="str">
        <f>IFERROR(__xludf.DUMMYFUNCTION("""COMPUTED_VALUE"""),"08006")</f>
        <v>08006</v>
      </c>
      <c r="D209" s="13" t="str">
        <f>IFERROR(__xludf.DUMMYFUNCTION("""COMPUTED_VALUE"""),"SMITH RENAISSANCE SCHOOL")</f>
        <v>SMITH RENAISSANCE SCHOOL</v>
      </c>
      <c r="E209" s="13" t="str">
        <f>IFERROR(__xludf.DUMMYFUNCTION("""COMPUTED_VALUE"""),"Open")</f>
        <v>Open</v>
      </c>
      <c r="F209" s="13"/>
      <c r="G209" s="13" t="str">
        <f>IFERROR(__xludf.DUMMYFUNCTION("""COMPUTED_VALUE"""),"3590 JASMINE ST")</f>
        <v>3590 JASMINE ST</v>
      </c>
      <c r="H209" s="13" t="str">
        <f>IFERROR(__xludf.DUMMYFUNCTION("""COMPUTED_VALUE"""),"DENVER")</f>
        <v>DENVER</v>
      </c>
      <c r="I209" s="13" t="str">
        <f>IFERROR(__xludf.DUMMYFUNCTION("""COMPUTED_VALUE"""),"CO")</f>
        <v>CO</v>
      </c>
      <c r="J209" s="13" t="str">
        <f>IFERROR(__xludf.DUMMYFUNCTION("""COMPUTED_VALUE"""),"80207-1350")</f>
        <v>80207-1350</v>
      </c>
      <c r="K209" s="13" t="str">
        <f>IFERROR(__xludf.DUMMYFUNCTION("""COMPUTED_VALUE"""),"Denver")</f>
        <v>Denver</v>
      </c>
      <c r="L209" s="17" t="str">
        <f>IFERROR(__xludf.DUMMYFUNCTION("""COMPUTED_VALUE"""),"Y")</f>
        <v>Y</v>
      </c>
      <c r="M209" s="17"/>
      <c r="N209" s="17" t="str">
        <f>IFERROR(__xludf.DUMMYFUNCTION("""COMPUTED_VALUE"""),"Y")</f>
        <v>Y</v>
      </c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>
      <c r="A210" s="18" t="str">
        <f>IFERROR(__xludf.DUMMYFUNCTION("""COMPUTED_VALUE"""),"0880")</f>
        <v>0880</v>
      </c>
      <c r="B210" s="18" t="str">
        <f>IFERROR(__xludf.DUMMYFUNCTION("""COMPUTED_VALUE"""),"DENVER COUNTY 1")</f>
        <v>DENVER COUNTY 1</v>
      </c>
      <c r="C210" s="18" t="str">
        <f>IFERROR(__xludf.DUMMYFUNCTION("""COMPUTED_VALUE"""),"08086")</f>
        <v>08086</v>
      </c>
      <c r="D210" s="18" t="str">
        <f>IFERROR(__xludf.DUMMYFUNCTION("""COMPUTED_VALUE"""),"SOUTH HIGH SCHOOL")</f>
        <v>SOUTH HIGH SCHOOL</v>
      </c>
      <c r="E210" s="18" t="str">
        <f>IFERROR(__xludf.DUMMYFUNCTION("""COMPUTED_VALUE"""),"Open")</f>
        <v>Open</v>
      </c>
      <c r="F210" s="18" t="str">
        <f>IFERROR(__xludf.DUMMYFUNCTION("""COMPUTED_VALUE""")," ")</f>
        <v> </v>
      </c>
      <c r="G210" s="18" t="str">
        <f>IFERROR(__xludf.DUMMYFUNCTION("""COMPUTED_VALUE"""),"1700 E LOUISIANA AVE")</f>
        <v>1700 E LOUISIANA AVE</v>
      </c>
      <c r="H210" s="18" t="str">
        <f>IFERROR(__xludf.DUMMYFUNCTION("""COMPUTED_VALUE"""),"DENVER")</f>
        <v>DENVER</v>
      </c>
      <c r="I210" s="18" t="str">
        <f>IFERROR(__xludf.DUMMYFUNCTION("""COMPUTED_VALUE"""),"CO")</f>
        <v>CO</v>
      </c>
      <c r="J210" s="18" t="str">
        <f>IFERROR(__xludf.DUMMYFUNCTION("""COMPUTED_VALUE"""),"80210-1810")</f>
        <v>80210-1810</v>
      </c>
      <c r="K210" s="18" t="str">
        <f>IFERROR(__xludf.DUMMYFUNCTION("""COMPUTED_VALUE"""),"Denver")</f>
        <v>Denver</v>
      </c>
      <c r="L210" s="19" t="str">
        <f>IFERROR(__xludf.DUMMYFUNCTION("""COMPUTED_VALUE"""),"Y")</f>
        <v>Y</v>
      </c>
      <c r="M210" s="19"/>
      <c r="N210" s="19" t="str">
        <f>IFERROR(__xludf.DUMMYFUNCTION("""COMPUTED_VALUE"""),"Y")</f>
        <v>Y</v>
      </c>
      <c r="O210" s="19"/>
      <c r="P210" s="19"/>
      <c r="Q210" s="19" t="str">
        <f>IFERROR(__xludf.DUMMYFUNCTION("""COMPUTED_VALUE"""),"No Claims as of 11.24")</f>
        <v>No Claims as of 11.24</v>
      </c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>
      <c r="A211" s="13" t="str">
        <f>IFERROR(__xludf.DUMMYFUNCTION("""COMPUTED_VALUE"""),"0880")</f>
        <v>0880</v>
      </c>
      <c r="B211" s="13" t="str">
        <f>IFERROR(__xludf.DUMMYFUNCTION("""COMPUTED_VALUE"""),"DENVER COUNTY 1")</f>
        <v>DENVER COUNTY 1</v>
      </c>
      <c r="C211" s="13" t="str">
        <f>IFERROR(__xludf.DUMMYFUNCTION("""COMPUTED_VALUE"""),"08422")</f>
        <v>08422</v>
      </c>
      <c r="D211" s="13" t="str">
        <f>IFERROR(__xludf.DUMMYFUNCTION("""COMPUTED_VALUE"""),"SWANSEA ELEMENTARY SCHOOL")</f>
        <v>SWANSEA ELEMENTARY SCHOOL</v>
      </c>
      <c r="E211" s="13" t="str">
        <f>IFERROR(__xludf.DUMMYFUNCTION("""COMPUTED_VALUE"""),"Open")</f>
        <v>Open</v>
      </c>
      <c r="F211" s="13"/>
      <c r="G211" s="13" t="str">
        <f>IFERROR(__xludf.DUMMYFUNCTION("""COMPUTED_VALUE"""),"4650 COLUMBINE ST")</f>
        <v>4650 COLUMBINE ST</v>
      </c>
      <c r="H211" s="13" t="str">
        <f>IFERROR(__xludf.DUMMYFUNCTION("""COMPUTED_VALUE"""),"DENVER")</f>
        <v>DENVER</v>
      </c>
      <c r="I211" s="13" t="str">
        <f>IFERROR(__xludf.DUMMYFUNCTION("""COMPUTED_VALUE"""),"CO")</f>
        <v>CO</v>
      </c>
      <c r="J211" s="13" t="str">
        <f>IFERROR(__xludf.DUMMYFUNCTION("""COMPUTED_VALUE"""),"80216-2833")</f>
        <v>80216-2833</v>
      </c>
      <c r="K211" s="13" t="str">
        <f>IFERROR(__xludf.DUMMYFUNCTION("""COMPUTED_VALUE"""),"Denver")</f>
        <v>Denver</v>
      </c>
      <c r="L211" s="17" t="str">
        <f>IFERROR(__xludf.DUMMYFUNCTION("""COMPUTED_VALUE"""),"Y")</f>
        <v>Y</v>
      </c>
      <c r="M211" s="17"/>
      <c r="N211" s="17" t="str">
        <f>IFERROR(__xludf.DUMMYFUNCTION("""COMPUTED_VALUE"""),"Y")</f>
        <v>Y</v>
      </c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>
      <c r="A212" s="13" t="str">
        <f>IFERROR(__xludf.DUMMYFUNCTION("""COMPUTED_VALUE"""),"0880")</f>
        <v>0880</v>
      </c>
      <c r="B212" s="13" t="str">
        <f>IFERROR(__xludf.DUMMYFUNCTION("""COMPUTED_VALUE"""),"DENVER COUNTY 1")</f>
        <v>DENVER COUNTY 1</v>
      </c>
      <c r="C212" s="13" t="str">
        <f>IFERROR(__xludf.DUMMYFUNCTION("""COMPUTED_VALUE"""),"08453")</f>
        <v>08453</v>
      </c>
      <c r="D212" s="13" t="str">
        <f>IFERROR(__xludf.DUMMYFUNCTION("""COMPUTED_VALUE"""),"Swigert International School")</f>
        <v>Swigert International School</v>
      </c>
      <c r="E212" s="13" t="str">
        <f>IFERROR(__xludf.DUMMYFUNCTION("""COMPUTED_VALUE"""),"Open")</f>
        <v>Open</v>
      </c>
      <c r="F212" s="13"/>
      <c r="G212" s="13" t="str">
        <f>IFERROR(__xludf.DUMMYFUNCTION("""COMPUTED_VALUE"""),"3480 SYRACUSE ST")</f>
        <v>3480 SYRACUSE ST</v>
      </c>
      <c r="H212" s="13" t="str">
        <f>IFERROR(__xludf.DUMMYFUNCTION("""COMPUTED_VALUE"""),"DENVER")</f>
        <v>DENVER</v>
      </c>
      <c r="I212" s="13" t="str">
        <f>IFERROR(__xludf.DUMMYFUNCTION("""COMPUTED_VALUE"""),"CO")</f>
        <v>CO</v>
      </c>
      <c r="J212" s="13" t="str">
        <f>IFERROR(__xludf.DUMMYFUNCTION("""COMPUTED_VALUE"""),"80238-3475")</f>
        <v>80238-3475</v>
      </c>
      <c r="K212" s="13" t="str">
        <f>IFERROR(__xludf.DUMMYFUNCTION("""COMPUTED_VALUE"""),"Denver")</f>
        <v>Denver</v>
      </c>
      <c r="L212" s="17" t="str">
        <f>IFERROR(__xludf.DUMMYFUNCTION("""COMPUTED_VALUE"""),"Y")</f>
        <v>Y</v>
      </c>
      <c r="M212" s="17"/>
      <c r="N212" s="17" t="str">
        <f>IFERROR(__xludf.DUMMYFUNCTION("""COMPUTED_VALUE"""),"Y")</f>
        <v>Y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>
      <c r="A213" s="13" t="str">
        <f>IFERROR(__xludf.DUMMYFUNCTION("""COMPUTED_VALUE"""),"0880")</f>
        <v>0880</v>
      </c>
      <c r="B213" s="13" t="str">
        <f>IFERROR(__xludf.DUMMYFUNCTION("""COMPUTED_VALUE"""),"DENVER COUNTY 1")</f>
        <v>DENVER COUNTY 1</v>
      </c>
      <c r="C213" s="13" t="str">
        <f>IFERROR(__xludf.DUMMYFUNCTION("""COMPUTED_VALUE"""),"09050")</f>
        <v>09050</v>
      </c>
      <c r="D213" s="13" t="str">
        <f>IFERROR(__xludf.DUMMYFUNCTION("""COMPUTED_VALUE"""),"VALVERDE ELEMENTARY SCHOOL")</f>
        <v>VALVERDE ELEMENTARY SCHOOL</v>
      </c>
      <c r="E213" s="13" t="str">
        <f>IFERROR(__xludf.DUMMYFUNCTION("""COMPUTED_VALUE"""),"Open")</f>
        <v>Open</v>
      </c>
      <c r="F213" s="13"/>
      <c r="G213" s="13" t="str">
        <f>IFERROR(__xludf.DUMMYFUNCTION("""COMPUTED_VALUE"""),"2030 W ALAMEDA AVE")</f>
        <v>2030 W ALAMEDA AVE</v>
      </c>
      <c r="H213" s="13" t="str">
        <f>IFERROR(__xludf.DUMMYFUNCTION("""COMPUTED_VALUE"""),"DENVER")</f>
        <v>DENVER</v>
      </c>
      <c r="I213" s="13" t="str">
        <f>IFERROR(__xludf.DUMMYFUNCTION("""COMPUTED_VALUE"""),"CO")</f>
        <v>CO</v>
      </c>
      <c r="J213" s="13" t="str">
        <f>IFERROR(__xludf.DUMMYFUNCTION("""COMPUTED_VALUE"""),"80223-1923")</f>
        <v>80223-1923</v>
      </c>
      <c r="K213" s="13" t="str">
        <f>IFERROR(__xludf.DUMMYFUNCTION("""COMPUTED_VALUE"""),"Denver")</f>
        <v>Denver</v>
      </c>
      <c r="L213" s="17" t="str">
        <f>IFERROR(__xludf.DUMMYFUNCTION("""COMPUTED_VALUE"""),"Y")</f>
        <v>Y</v>
      </c>
      <c r="M213" s="17"/>
      <c r="N213" s="17" t="str">
        <f>IFERROR(__xludf.DUMMYFUNCTION("""COMPUTED_VALUE"""),"Y")</f>
        <v>Y</v>
      </c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>
      <c r="A214" s="13" t="str">
        <f>IFERROR(__xludf.DUMMYFUNCTION("""COMPUTED_VALUE"""),"0880")</f>
        <v>0880</v>
      </c>
      <c r="B214" s="13" t="str">
        <f>IFERROR(__xludf.DUMMYFUNCTION("""COMPUTED_VALUE"""),"DENVER COUNTY 1")</f>
        <v>DENVER COUNTY 1</v>
      </c>
      <c r="C214" s="13" t="str">
        <f>IFERROR(__xludf.DUMMYFUNCTION("""COMPUTED_VALUE"""),"09425")</f>
        <v>09425</v>
      </c>
      <c r="D214" s="13" t="str">
        <f>IFERROR(__xludf.DUMMYFUNCTION("""COMPUTED_VALUE"""),"WESTERLY CREEK ELEMENTARY")</f>
        <v>WESTERLY CREEK ELEMENTARY</v>
      </c>
      <c r="E214" s="13" t="str">
        <f>IFERROR(__xludf.DUMMYFUNCTION("""COMPUTED_VALUE"""),"Open")</f>
        <v>Open</v>
      </c>
      <c r="F214" s="13"/>
      <c r="G214" s="13" t="str">
        <f>IFERROR(__xludf.DUMMYFUNCTION("""COMPUTED_VALUE"""),"8800 E 28TH AVE")</f>
        <v>8800 E 28TH AVE</v>
      </c>
      <c r="H214" s="13" t="str">
        <f>IFERROR(__xludf.DUMMYFUNCTION("""COMPUTED_VALUE"""),"DENVER")</f>
        <v>DENVER</v>
      </c>
      <c r="I214" s="13" t="str">
        <f>IFERROR(__xludf.DUMMYFUNCTION("""COMPUTED_VALUE"""),"CO")</f>
        <v>CO</v>
      </c>
      <c r="J214" s="13" t="str">
        <f>IFERROR(__xludf.DUMMYFUNCTION("""COMPUTED_VALUE"""),"80238-2627")</f>
        <v>80238-2627</v>
      </c>
      <c r="K214" s="13" t="str">
        <f>IFERROR(__xludf.DUMMYFUNCTION("""COMPUTED_VALUE"""),"Denver")</f>
        <v>Denver</v>
      </c>
      <c r="L214" s="17" t="str">
        <f>IFERROR(__xludf.DUMMYFUNCTION("""COMPUTED_VALUE"""),"Y")</f>
        <v>Y</v>
      </c>
      <c r="M214" s="17"/>
      <c r="N214" s="17" t="str">
        <f>IFERROR(__xludf.DUMMYFUNCTION("""COMPUTED_VALUE"""),"Y")</f>
        <v>Y</v>
      </c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>
      <c r="A215" s="13" t="str">
        <f>IFERROR(__xludf.DUMMYFUNCTION("""COMPUTED_VALUE"""),"0880")</f>
        <v>0880</v>
      </c>
      <c r="B215" s="13" t="str">
        <f>IFERROR(__xludf.DUMMYFUNCTION("""COMPUTED_VALUE"""),"DENVER COUNTY 1")</f>
        <v>DENVER COUNTY 1</v>
      </c>
      <c r="C215" s="13" t="str">
        <f>IFERROR(__xludf.DUMMYFUNCTION("""COMPUTED_VALUE"""),"09496")</f>
        <v>09496</v>
      </c>
      <c r="D215" s="13" t="str">
        <f>IFERROR(__xludf.DUMMYFUNCTION("""COMPUTED_VALUE"""),"CASTRO ELEMENTARY SCHOOL")</f>
        <v>CASTRO ELEMENTARY SCHOOL</v>
      </c>
      <c r="E215" s="13" t="str">
        <f>IFERROR(__xludf.DUMMYFUNCTION("""COMPUTED_VALUE"""),"Open")</f>
        <v>Open</v>
      </c>
      <c r="F215" s="13"/>
      <c r="G215" s="13" t="str">
        <f>IFERROR(__xludf.DUMMYFUNCTION("""COMPUTED_VALUE"""),"845 S LOWELL BLVD")</f>
        <v>845 S LOWELL BLVD</v>
      </c>
      <c r="H215" s="13" t="str">
        <f>IFERROR(__xludf.DUMMYFUNCTION("""COMPUTED_VALUE"""),"DENVER")</f>
        <v>DENVER</v>
      </c>
      <c r="I215" s="13" t="str">
        <f>IFERROR(__xludf.DUMMYFUNCTION("""COMPUTED_VALUE"""),"CO")</f>
        <v>CO</v>
      </c>
      <c r="J215" s="13" t="str">
        <f>IFERROR(__xludf.DUMMYFUNCTION("""COMPUTED_VALUE"""),"80219-3369")</f>
        <v>80219-3369</v>
      </c>
      <c r="K215" s="13" t="str">
        <f>IFERROR(__xludf.DUMMYFUNCTION("""COMPUTED_VALUE"""),"Denver")</f>
        <v>Denver</v>
      </c>
      <c r="L215" s="17" t="str">
        <f>IFERROR(__xludf.DUMMYFUNCTION("""COMPUTED_VALUE"""),"Y")</f>
        <v>Y</v>
      </c>
      <c r="M215" s="17"/>
      <c r="N215" s="17" t="str">
        <f>IFERROR(__xludf.DUMMYFUNCTION("""COMPUTED_VALUE"""),"Y")</f>
        <v>Y</v>
      </c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>
      <c r="A216" s="13" t="str">
        <f>IFERROR(__xludf.DUMMYFUNCTION("""COMPUTED_VALUE"""),"0880")</f>
        <v>0880</v>
      </c>
      <c r="B216" s="13" t="str">
        <f>IFERROR(__xludf.DUMMYFUNCTION("""COMPUTED_VALUE"""),"DENVER COUNTY 1")</f>
        <v>DENVER COUNTY 1</v>
      </c>
      <c r="C216" s="13" t="str">
        <f>IFERROR(__xludf.DUMMYFUNCTION("""COMPUTED_VALUE"""),"09739")</f>
        <v>09739</v>
      </c>
      <c r="D216" s="13" t="str">
        <f>IFERROR(__xludf.DUMMYFUNCTION("""COMPUTED_VALUE"""),"WYATT ACADEMY")</f>
        <v>WYATT ACADEMY</v>
      </c>
      <c r="E216" s="13" t="str">
        <f>IFERROR(__xludf.DUMMYFUNCTION("""COMPUTED_VALUE"""),"Open")</f>
        <v>Open</v>
      </c>
      <c r="F216" s="13"/>
      <c r="G216" s="13" t="str">
        <f>IFERROR(__xludf.DUMMYFUNCTION("""COMPUTED_VALUE"""),"3620 N FRANKLIN ST")</f>
        <v>3620 N FRANKLIN ST</v>
      </c>
      <c r="H216" s="13" t="str">
        <f>IFERROR(__xludf.DUMMYFUNCTION("""COMPUTED_VALUE"""),"DENVER")</f>
        <v>DENVER</v>
      </c>
      <c r="I216" s="13" t="str">
        <f>IFERROR(__xludf.DUMMYFUNCTION("""COMPUTED_VALUE"""),"CO")</f>
        <v>CO</v>
      </c>
      <c r="J216" s="13" t="str">
        <f>IFERROR(__xludf.DUMMYFUNCTION("""COMPUTED_VALUE"""),"80205-3325")</f>
        <v>80205-3325</v>
      </c>
      <c r="K216" s="13" t="str">
        <f>IFERROR(__xludf.DUMMYFUNCTION("""COMPUTED_VALUE"""),"Denver")</f>
        <v>Denver</v>
      </c>
      <c r="L216" s="17" t="str">
        <f>IFERROR(__xludf.DUMMYFUNCTION("""COMPUTED_VALUE"""),"Y")</f>
        <v>Y</v>
      </c>
      <c r="M216" s="17"/>
      <c r="N216" s="17" t="str">
        <f>IFERROR(__xludf.DUMMYFUNCTION("""COMPUTED_VALUE"""),"Y")</f>
        <v>Y</v>
      </c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>
      <c r="A217" s="18" t="str">
        <f>IFERROR(__xludf.DUMMYFUNCTION("""COMPUTED_VALUE"""),"0880")</f>
        <v>0880</v>
      </c>
      <c r="B217" s="18" t="str">
        <f>IFERROR(__xludf.DUMMYFUNCTION("""COMPUTED_VALUE"""),"DENVER COUNTY 1")</f>
        <v>DENVER COUNTY 1</v>
      </c>
      <c r="C217" s="18" t="str">
        <f>IFERROR(__xludf.DUMMYFUNCTION("""COMPUTED_VALUE"""),"09754")</f>
        <v>09754</v>
      </c>
      <c r="D217" s="18" t="str">
        <f>IFERROR(__xludf.DUMMYFUNCTION("""COMPUTED_VALUE"""),"Denver Indian Center Inc.")</f>
        <v>Denver Indian Center Inc.</v>
      </c>
      <c r="E217" s="18" t="str">
        <f>IFERROR(__xludf.DUMMYFUNCTION("""COMPUTED_VALUE"""),"Open")</f>
        <v>Open</v>
      </c>
      <c r="F217" s="18" t="str">
        <f>IFERROR(__xludf.DUMMYFUNCTION("""COMPUTED_VALUE""")," ")</f>
        <v> </v>
      </c>
      <c r="G217" s="18" t="str">
        <f>IFERROR(__xludf.DUMMYFUNCTION("""COMPUTED_VALUE"""),"4407 MORRISON RD")</f>
        <v>4407 MORRISON RD</v>
      </c>
      <c r="H217" s="18" t="str">
        <f>IFERROR(__xludf.DUMMYFUNCTION("""COMPUTED_VALUE"""),"DENVER")</f>
        <v>DENVER</v>
      </c>
      <c r="I217" s="18" t="str">
        <f>IFERROR(__xludf.DUMMYFUNCTION("""COMPUTED_VALUE"""),"CO")</f>
        <v>CO</v>
      </c>
      <c r="J217" s="18" t="str">
        <f>IFERROR(__xludf.DUMMYFUNCTION("""COMPUTED_VALUE"""),"80219-2464")</f>
        <v>80219-2464</v>
      </c>
      <c r="K217" s="18" t="str">
        <f>IFERROR(__xludf.DUMMYFUNCTION("""COMPUTED_VALUE"""),"Denver")</f>
        <v>Denver</v>
      </c>
      <c r="L217" s="19" t="str">
        <f>IFERROR(__xludf.DUMMYFUNCTION("""COMPUTED_VALUE"""),"Y")</f>
        <v>Y</v>
      </c>
      <c r="M217" s="19"/>
      <c r="N217" s="19" t="str">
        <f>IFERROR(__xludf.DUMMYFUNCTION("""COMPUTED_VALUE"""),"Y")</f>
        <v>Y</v>
      </c>
      <c r="O217" s="19"/>
      <c r="P217" s="19"/>
      <c r="Q217" s="19" t="str">
        <f>IFERROR(__xludf.DUMMYFUNCTION("""COMPUTED_VALUE"""),"No Claims as of 11.24")</f>
        <v>No Claims as of 11.24</v>
      </c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>
      <c r="A218" s="13" t="str">
        <f>IFERROR(__xludf.DUMMYFUNCTION("""COMPUTED_VALUE"""),"0880")</f>
        <v>0880</v>
      </c>
      <c r="B218" s="13" t="str">
        <f>IFERROR(__xludf.DUMMYFUNCTION("""COMPUTED_VALUE"""),"DENVER COUNTY 1")</f>
        <v>DENVER COUNTY 1</v>
      </c>
      <c r="C218" s="13" t="str">
        <f>IFERROR(__xludf.DUMMYFUNCTION("""COMPUTED_VALUE"""),"09755")</f>
        <v>09755</v>
      </c>
      <c r="D218" s="13" t="str">
        <f>IFERROR(__xludf.DUMMYFUNCTION("""COMPUTED_VALUE"""),"Evie Dennis Campus")</f>
        <v>Evie Dennis Campus</v>
      </c>
      <c r="E218" s="13" t="str">
        <f>IFERROR(__xludf.DUMMYFUNCTION("""COMPUTED_VALUE"""),"Open")</f>
        <v>Open</v>
      </c>
      <c r="F218" s="13"/>
      <c r="G218" s="13" t="str">
        <f>IFERROR(__xludf.DUMMYFUNCTION("""COMPUTED_VALUE"""),"4800 TELLURIDE ST")</f>
        <v>4800 TELLURIDE ST</v>
      </c>
      <c r="H218" s="13" t="str">
        <f>IFERROR(__xludf.DUMMYFUNCTION("""COMPUTED_VALUE"""),"DENVER")</f>
        <v>DENVER</v>
      </c>
      <c r="I218" s="13" t="str">
        <f>IFERROR(__xludf.DUMMYFUNCTION("""COMPUTED_VALUE"""),"CO")</f>
        <v>CO</v>
      </c>
      <c r="J218" s="13" t="str">
        <f>IFERROR(__xludf.DUMMYFUNCTION("""COMPUTED_VALUE"""),"80249-6803")</f>
        <v>80249-6803</v>
      </c>
      <c r="K218" s="13" t="str">
        <f>IFERROR(__xludf.DUMMYFUNCTION("""COMPUTED_VALUE"""),"Denver")</f>
        <v>Denver</v>
      </c>
      <c r="L218" s="17" t="str">
        <f>IFERROR(__xludf.DUMMYFUNCTION("""COMPUTED_VALUE"""),"Y")</f>
        <v>Y</v>
      </c>
      <c r="M218" s="17"/>
      <c r="N218" s="17" t="str">
        <f>IFERROR(__xludf.DUMMYFUNCTION("""COMPUTED_VALUE"""),"Y")</f>
        <v>Y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>
      <c r="A219" s="13" t="str">
        <f>IFERROR(__xludf.DUMMYFUNCTION("""COMPUTED_VALUE"""),"0880")</f>
        <v>0880</v>
      </c>
      <c r="B219" s="13" t="str">
        <f>IFERROR(__xludf.DUMMYFUNCTION("""COMPUTED_VALUE"""),"DENVER COUNTY 1")</f>
        <v>DENVER COUNTY 1</v>
      </c>
      <c r="C219" s="13" t="str">
        <f>IFERROR(__xludf.DUMMYFUNCTION("""COMPUTED_VALUE"""),"12507")</f>
        <v>12507</v>
      </c>
      <c r="D219" s="13" t="str">
        <f>IFERROR(__xludf.DUMMYFUNCTION("""COMPUTED_VALUE"""),"DSST Conservatory Green")</f>
        <v>DSST Conservatory Green</v>
      </c>
      <c r="E219" s="13" t="str">
        <f>IFERROR(__xludf.DUMMYFUNCTION("""COMPUTED_VALUE"""),"Open")</f>
        <v>Open</v>
      </c>
      <c r="F219" s="13"/>
      <c r="G219" s="13" t="str">
        <f>IFERROR(__xludf.DUMMYFUNCTION("""COMPUTED_VALUE"""),"8499 STOLL PL")</f>
        <v>8499 STOLL PL</v>
      </c>
      <c r="H219" s="13" t="str">
        <f>IFERROR(__xludf.DUMMYFUNCTION("""COMPUTED_VALUE"""),"DENVER")</f>
        <v>DENVER</v>
      </c>
      <c r="I219" s="13" t="str">
        <f>IFERROR(__xludf.DUMMYFUNCTION("""COMPUTED_VALUE"""),"CO")</f>
        <v>CO</v>
      </c>
      <c r="J219" s="13" t="str">
        <f>IFERROR(__xludf.DUMMYFUNCTION("""COMPUTED_VALUE"""),"80238-3262")</f>
        <v>80238-3262</v>
      </c>
      <c r="K219" s="13" t="str">
        <f>IFERROR(__xludf.DUMMYFUNCTION("""COMPUTED_VALUE"""),"Denver")</f>
        <v>Denver</v>
      </c>
      <c r="L219" s="17" t="str">
        <f>IFERROR(__xludf.DUMMYFUNCTION("""COMPUTED_VALUE"""),"Y")</f>
        <v>Y</v>
      </c>
      <c r="M219" s="17"/>
      <c r="N219" s="17" t="str">
        <f>IFERROR(__xludf.DUMMYFUNCTION("""COMPUTED_VALUE"""),"Y")</f>
        <v>Y</v>
      </c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>
      <c r="A220" s="13" t="str">
        <f>IFERROR(__xludf.DUMMYFUNCTION("""COMPUTED_VALUE"""),"0880")</f>
        <v>0880</v>
      </c>
      <c r="B220" s="13" t="str">
        <f>IFERROR(__xludf.DUMMYFUNCTION("""COMPUTED_VALUE"""),"DENVER COUNTY 1")</f>
        <v>DENVER COUNTY 1</v>
      </c>
      <c r="C220" s="13" t="str">
        <f>IFERROR(__xludf.DUMMYFUNCTION("""COMPUTED_VALUE"""),"12513")</f>
        <v>12513</v>
      </c>
      <c r="D220" s="13" t="str">
        <f>IFERROR(__xludf.DUMMYFUNCTION("""COMPUTED_VALUE"""),"Bill Roberts Elementary")</f>
        <v>Bill Roberts Elementary</v>
      </c>
      <c r="E220" s="13" t="str">
        <f>IFERROR(__xludf.DUMMYFUNCTION("""COMPUTED_VALUE"""),"Open")</f>
        <v>Open</v>
      </c>
      <c r="F220" s="13"/>
      <c r="G220" s="13" t="str">
        <f>IFERROR(__xludf.DUMMYFUNCTION("""COMPUTED_VALUE"""),"2100 AKRON WAY")</f>
        <v>2100 AKRON WAY</v>
      </c>
      <c r="H220" s="13" t="str">
        <f>IFERROR(__xludf.DUMMYFUNCTION("""COMPUTED_VALUE"""),"DENVER")</f>
        <v>DENVER</v>
      </c>
      <c r="I220" s="13" t="str">
        <f>IFERROR(__xludf.DUMMYFUNCTION("""COMPUTED_VALUE"""),"CO")</f>
        <v>CO</v>
      </c>
      <c r="J220" s="13" t="str">
        <f>IFERROR(__xludf.DUMMYFUNCTION("""COMPUTED_VALUE"""),"80238-3087")</f>
        <v>80238-3087</v>
      </c>
      <c r="K220" s="13" t="str">
        <f>IFERROR(__xludf.DUMMYFUNCTION("""COMPUTED_VALUE"""),"Denver")</f>
        <v>Denver</v>
      </c>
      <c r="L220" s="17" t="str">
        <f>IFERROR(__xludf.DUMMYFUNCTION("""COMPUTED_VALUE"""),"Y")</f>
        <v>Y</v>
      </c>
      <c r="M220" s="17"/>
      <c r="N220" s="17" t="str">
        <f>IFERROR(__xludf.DUMMYFUNCTION("""COMPUTED_VALUE"""),"Y")</f>
        <v>Y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>
      <c r="A221" s="13" t="str">
        <f>IFERROR(__xludf.DUMMYFUNCTION("""COMPUTED_VALUE"""),"0880")</f>
        <v>0880</v>
      </c>
      <c r="B221" s="13" t="str">
        <f>IFERROR(__xludf.DUMMYFUNCTION("""COMPUTED_VALUE"""),"DENVER COUNTY 1")</f>
        <v>DENVER COUNTY 1</v>
      </c>
      <c r="C221" s="13" t="str">
        <f>IFERROR(__xludf.DUMMYFUNCTION("""COMPUTED_VALUE"""),"90953")</f>
        <v>90953</v>
      </c>
      <c r="D221" s="13" t="str">
        <f>IFERROR(__xludf.DUMMYFUNCTION("""COMPUTED_VALUE"""),"University Park Elementary School")</f>
        <v>University Park Elementary School</v>
      </c>
      <c r="E221" s="13" t="str">
        <f>IFERROR(__xludf.DUMMYFUNCTION("""COMPUTED_VALUE"""),"Open")</f>
        <v>Open</v>
      </c>
      <c r="F221" s="13"/>
      <c r="G221" s="13" t="str">
        <f>IFERROR(__xludf.DUMMYFUNCTION("""COMPUTED_VALUE"""),"2300 S SAINT PAUL ST")</f>
        <v>2300 S SAINT PAUL ST</v>
      </c>
      <c r="H221" s="13" t="str">
        <f>IFERROR(__xludf.DUMMYFUNCTION("""COMPUTED_VALUE"""),"DENVER")</f>
        <v>DENVER</v>
      </c>
      <c r="I221" s="13" t="str">
        <f>IFERROR(__xludf.DUMMYFUNCTION("""COMPUTED_VALUE"""),"CO")</f>
        <v>CO</v>
      </c>
      <c r="J221" s="13" t="str">
        <f>IFERROR(__xludf.DUMMYFUNCTION("""COMPUTED_VALUE"""),"80210-5536")</f>
        <v>80210-5536</v>
      </c>
      <c r="K221" s="13" t="str">
        <f>IFERROR(__xludf.DUMMYFUNCTION("""COMPUTED_VALUE"""),"Denver")</f>
        <v>Denver</v>
      </c>
      <c r="L221" s="17" t="str">
        <f>IFERROR(__xludf.DUMMYFUNCTION("""COMPUTED_VALUE"""),"Y")</f>
        <v>Y</v>
      </c>
      <c r="M221" s="17"/>
      <c r="N221" s="17" t="str">
        <f>IFERROR(__xludf.DUMMYFUNCTION("""COMPUTED_VALUE"""),"Y")</f>
        <v>Y</v>
      </c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>
      <c r="A222" s="13" t="str">
        <f>IFERROR(__xludf.DUMMYFUNCTION("""COMPUTED_VALUE"""),"0900")</f>
        <v>0900</v>
      </c>
      <c r="B222" s="13" t="str">
        <f>IFERROR(__xludf.DUMMYFUNCTION("""COMPUTED_VALUE"""),"DOUGLAS COUNTY RE 1")</f>
        <v>DOUGLAS COUNTY RE 1</v>
      </c>
      <c r="C222" s="13" t="str">
        <f>IFERROR(__xludf.DUMMYFUNCTION("""COMPUTED_VALUE"""),"01367")</f>
        <v>01367</v>
      </c>
      <c r="D222" s="13" t="str">
        <f>IFERROR(__xludf.DUMMYFUNCTION("""COMPUTED_VALUE"""),"CASTLE VIEW HIGH SCHOOL")</f>
        <v>CASTLE VIEW HIGH SCHOOL</v>
      </c>
      <c r="E222" s="13" t="str">
        <f>IFERROR(__xludf.DUMMYFUNCTION("""COMPUTED_VALUE"""),"Open")</f>
        <v>Open</v>
      </c>
      <c r="F222" s="13"/>
      <c r="G222" s="13" t="str">
        <f>IFERROR(__xludf.DUMMYFUNCTION("""COMPUTED_VALUE"""),"5254 N MEADOWS DR")</f>
        <v>5254 N MEADOWS DR</v>
      </c>
      <c r="H222" s="13" t="str">
        <f>IFERROR(__xludf.DUMMYFUNCTION("""COMPUTED_VALUE"""),"CASTLE ROCK")</f>
        <v>CASTLE ROCK</v>
      </c>
      <c r="I222" s="13" t="str">
        <f>IFERROR(__xludf.DUMMYFUNCTION("""COMPUTED_VALUE"""),"CO")</f>
        <v>CO</v>
      </c>
      <c r="J222" s="13" t="str">
        <f>IFERROR(__xludf.DUMMYFUNCTION("""COMPUTED_VALUE"""),"80109-8402")</f>
        <v>80109-8402</v>
      </c>
      <c r="K222" s="13" t="str">
        <f>IFERROR(__xludf.DUMMYFUNCTION("""COMPUTED_VALUE"""),"Douglas")</f>
        <v>Douglas</v>
      </c>
      <c r="L222" s="17" t="str">
        <f>IFERROR(__xludf.DUMMYFUNCTION("""COMPUTED_VALUE"""),"Y")</f>
        <v>Y</v>
      </c>
      <c r="M222" s="17"/>
      <c r="N222" s="17" t="str">
        <f>IFERROR(__xludf.DUMMYFUNCTION("""COMPUTED_VALUE"""),"Y")</f>
        <v>Y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>
      <c r="A223" s="13" t="str">
        <f>IFERROR(__xludf.DUMMYFUNCTION("""COMPUTED_VALUE"""),"0900")</f>
        <v>0900</v>
      </c>
      <c r="B223" s="13" t="str">
        <f>IFERROR(__xludf.DUMMYFUNCTION("""COMPUTED_VALUE"""),"DOUGLAS COUNTY RE 1")</f>
        <v>DOUGLAS COUNTY RE 1</v>
      </c>
      <c r="C223" s="13" t="str">
        <f>IFERROR(__xludf.DUMMYFUNCTION("""COMPUTED_VALUE"""),"02230")</f>
        <v>02230</v>
      </c>
      <c r="D223" s="13" t="str">
        <f>IFERROR(__xludf.DUMMYFUNCTION("""COMPUTED_VALUE"""),"DOUGLAS COUNTY HIGH SCHOOL")</f>
        <v>DOUGLAS COUNTY HIGH SCHOOL</v>
      </c>
      <c r="E223" s="13" t="str">
        <f>IFERROR(__xludf.DUMMYFUNCTION("""COMPUTED_VALUE"""),"Closed - Enrolled")</f>
        <v>Closed - Enrolled</v>
      </c>
      <c r="F223" s="13" t="str">
        <f>IFERROR(__xludf.DUMMYFUNCTION("""COMPUTED_VALUE"""),"Non-congregate")</f>
        <v>Non-congregate</v>
      </c>
      <c r="G223" s="13" t="str">
        <f>IFERROR(__xludf.DUMMYFUNCTION("""COMPUTED_VALUE"""),"2842 FRONT ST")</f>
        <v>2842 FRONT ST</v>
      </c>
      <c r="H223" s="13" t="str">
        <f>IFERROR(__xludf.DUMMYFUNCTION("""COMPUTED_VALUE"""),"CASTLE ROCK")</f>
        <v>CASTLE ROCK</v>
      </c>
      <c r="I223" s="13" t="str">
        <f>IFERROR(__xludf.DUMMYFUNCTION("""COMPUTED_VALUE"""),"CO")</f>
        <v>CO</v>
      </c>
      <c r="J223" s="13" t="str">
        <f>IFERROR(__xludf.DUMMYFUNCTION("""COMPUTED_VALUE"""),"80104-9496")</f>
        <v>80104-9496</v>
      </c>
      <c r="K223" s="13" t="str">
        <f>IFERROR(__xludf.DUMMYFUNCTION("""COMPUTED_VALUE"""),"Douglas")</f>
        <v>Douglas</v>
      </c>
      <c r="L223" s="17" t="str">
        <f>IFERROR(__xludf.DUMMYFUNCTION("""COMPUTED_VALUE"""),"Y")</f>
        <v>Y</v>
      </c>
      <c r="M223" s="17"/>
      <c r="N223" s="17" t="str">
        <f>IFERROR(__xludf.DUMMYFUNCTION("""COMPUTED_VALUE"""),"Y")</f>
        <v>Y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>
      <c r="A224" s="18" t="str">
        <f>IFERROR(__xludf.DUMMYFUNCTION("""COMPUTED_VALUE"""),"0900")</f>
        <v>0900</v>
      </c>
      <c r="B224" s="18" t="str">
        <f>IFERROR(__xludf.DUMMYFUNCTION("""COMPUTED_VALUE"""),"DOUGLAS COUNTY RE 1")</f>
        <v>DOUGLAS COUNTY RE 1</v>
      </c>
      <c r="C224" s="18" t="str">
        <f>IFERROR(__xludf.DUMMYFUNCTION("""COMPUTED_VALUE"""),"03327")</f>
        <v>03327</v>
      </c>
      <c r="D224" s="18" t="str">
        <f>IFERROR(__xludf.DUMMYFUNCTION("""COMPUTED_VALUE"""),"GLOBAL VILLAGE ACADMEY - DOUGLAS")</f>
        <v>GLOBAL VILLAGE ACADMEY - DOUGLAS</v>
      </c>
      <c r="E224" s="18" t="str">
        <f>IFERROR(__xludf.DUMMYFUNCTION("""COMPUTED_VALUE"""),"Closed - Enrolled")</f>
        <v>Closed - Enrolled</v>
      </c>
      <c r="F224" s="18" t="str">
        <f>IFERROR(__xludf.DUMMYFUNCTION("""COMPUTED_VALUE""")," ")</f>
        <v> </v>
      </c>
      <c r="G224" s="18" t="str">
        <f>IFERROR(__xludf.DUMMYFUNCTION("""COMPUTED_VALUE"""),"18451 PONDEROSA DR")</f>
        <v>18451 PONDEROSA DR</v>
      </c>
      <c r="H224" s="18" t="str">
        <f>IFERROR(__xludf.DUMMYFUNCTION("""COMPUTED_VALUE"""),"PARKER")</f>
        <v>PARKER</v>
      </c>
      <c r="I224" s="18" t="str">
        <f>IFERROR(__xludf.DUMMYFUNCTION("""COMPUTED_VALUE"""),"CO")</f>
        <v>CO</v>
      </c>
      <c r="J224" s="18" t="str">
        <f>IFERROR(__xludf.DUMMYFUNCTION("""COMPUTED_VALUE"""),"80134-5782")</f>
        <v>80134-5782</v>
      </c>
      <c r="K224" s="18" t="str">
        <f>IFERROR(__xludf.DUMMYFUNCTION("""COMPUTED_VALUE"""),"Douglas")</f>
        <v>Douglas</v>
      </c>
      <c r="L224" s="19" t="str">
        <f>IFERROR(__xludf.DUMMYFUNCTION("""COMPUTED_VALUE"""),"Y")</f>
        <v>Y</v>
      </c>
      <c r="M224" s="19"/>
      <c r="N224" s="19" t="str">
        <f>IFERROR(__xludf.DUMMYFUNCTION("""COMPUTED_VALUE"""),"Y")</f>
        <v>Y</v>
      </c>
      <c r="O224" s="19"/>
      <c r="P224" s="19"/>
      <c r="Q224" s="19" t="str">
        <f>IFERROR(__xludf.DUMMYFUNCTION("""COMPUTED_VALUE"""),"No Claims as of 11.24")</f>
        <v>No Claims as of 11.24</v>
      </c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>
      <c r="A225" s="13" t="str">
        <f>IFERROR(__xludf.DUMMYFUNCTION("""COMPUTED_VALUE"""),"0900")</f>
        <v>0900</v>
      </c>
      <c r="B225" s="13" t="str">
        <f>IFERROR(__xludf.DUMMYFUNCTION("""COMPUTED_VALUE"""),"DOUGLAS COUNTY RE 1")</f>
        <v>DOUGLAS COUNTY RE 1</v>
      </c>
      <c r="C225" s="13" t="str">
        <f>IFERROR(__xludf.DUMMYFUNCTION("""COMPUTED_VALUE"""),"07718")</f>
        <v>07718</v>
      </c>
      <c r="D225" s="13" t="str">
        <f>IFERROR(__xludf.DUMMYFUNCTION("""COMPUTED_VALUE"""),"SEDALIA ELEMENTARY SCHOOL")</f>
        <v>SEDALIA ELEMENTARY SCHOOL</v>
      </c>
      <c r="E225" s="13" t="str">
        <f>IFERROR(__xludf.DUMMYFUNCTION("""COMPUTED_VALUE"""),"Closed - Enrolled")</f>
        <v>Closed - Enrolled</v>
      </c>
      <c r="F225" s="13"/>
      <c r="G225" s="13" t="str">
        <f>IFERROR(__xludf.DUMMYFUNCTION("""COMPUTED_VALUE"""),"5449 HUXTABLE ST")</f>
        <v>5449 HUXTABLE ST</v>
      </c>
      <c r="H225" s="13" t="str">
        <f>IFERROR(__xludf.DUMMYFUNCTION("""COMPUTED_VALUE"""),"SEDALIA")</f>
        <v>SEDALIA</v>
      </c>
      <c r="I225" s="13" t="str">
        <f>IFERROR(__xludf.DUMMYFUNCTION("""COMPUTED_VALUE"""),"CO")</f>
        <v>CO</v>
      </c>
      <c r="J225" s="13" t="str">
        <f>IFERROR(__xludf.DUMMYFUNCTION("""COMPUTED_VALUE"""),"80135-8048")</f>
        <v>80135-8048</v>
      </c>
      <c r="K225" s="13" t="str">
        <f>IFERROR(__xludf.DUMMYFUNCTION("""COMPUTED_VALUE"""),"Douglas")</f>
        <v>Douglas</v>
      </c>
      <c r="L225" s="17" t="str">
        <f>IFERROR(__xludf.DUMMYFUNCTION("""COMPUTED_VALUE"""),"Y")</f>
        <v>Y</v>
      </c>
      <c r="M225" s="17"/>
      <c r="N225" s="17" t="str">
        <f>IFERROR(__xludf.DUMMYFUNCTION("""COMPUTED_VALUE"""),"Y")</f>
        <v>Y</v>
      </c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>
      <c r="A226" s="13" t="str">
        <f>IFERROR(__xludf.DUMMYFUNCTION("""COMPUTED_VALUE"""),"0900")</f>
        <v>0900</v>
      </c>
      <c r="B226" s="13" t="str">
        <f>IFERROR(__xludf.DUMMYFUNCTION("""COMPUTED_VALUE"""),"DOUGLAS COUNTY RE 1")</f>
        <v>DOUGLAS COUNTY RE 1</v>
      </c>
      <c r="C226" s="13" t="str">
        <f>IFERROR(__xludf.DUMMYFUNCTION("""COMPUTED_VALUE"""),"08126")</f>
        <v>08126</v>
      </c>
      <c r="D226" s="13" t="str">
        <f>IFERROR(__xludf.DUMMYFUNCTION("""COMPUTED_VALUE"""),"SOUTH RIDGE ELEMENTARY SCHOOL")</f>
        <v>SOUTH RIDGE ELEMENTARY SCHOOL</v>
      </c>
      <c r="E226" s="13" t="str">
        <f>IFERROR(__xludf.DUMMYFUNCTION("""COMPUTED_VALUE"""),"Open")</f>
        <v>Open</v>
      </c>
      <c r="F226" s="13"/>
      <c r="G226" s="13" t="str">
        <f>IFERROR(__xludf.DUMMYFUNCTION("""COMPUTED_VALUE"""),"1100 SOUTH ST")</f>
        <v>1100 SOUTH ST</v>
      </c>
      <c r="H226" s="13" t="str">
        <f>IFERROR(__xludf.DUMMYFUNCTION("""COMPUTED_VALUE"""),"CASTLE ROCK")</f>
        <v>CASTLE ROCK</v>
      </c>
      <c r="I226" s="13" t="str">
        <f>IFERROR(__xludf.DUMMYFUNCTION("""COMPUTED_VALUE"""),"CO")</f>
        <v>CO</v>
      </c>
      <c r="J226" s="13" t="str">
        <f>IFERROR(__xludf.DUMMYFUNCTION("""COMPUTED_VALUE"""),"80104-2139")</f>
        <v>80104-2139</v>
      </c>
      <c r="K226" s="13" t="str">
        <f>IFERROR(__xludf.DUMMYFUNCTION("""COMPUTED_VALUE"""),"Douglas")</f>
        <v>Douglas</v>
      </c>
      <c r="L226" s="17"/>
      <c r="M226" s="17"/>
      <c r="N226" s="17" t="str">
        <f>IFERROR(__xludf.DUMMYFUNCTION("""COMPUTED_VALUE"""),"Y")</f>
        <v>Y</v>
      </c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>
      <c r="A227" s="13" t="str">
        <f>IFERROR(__xludf.DUMMYFUNCTION("""COMPUTED_VALUE"""),"0900")</f>
        <v>0900</v>
      </c>
      <c r="B227" s="13" t="str">
        <f>IFERROR(__xludf.DUMMYFUNCTION("""COMPUTED_VALUE"""),"DOUGLAS COUNTY RE 1")</f>
        <v>DOUGLAS COUNTY RE 1</v>
      </c>
      <c r="C227" s="13" t="str">
        <f>IFERROR(__xludf.DUMMYFUNCTION("""COMPUTED_VALUE"""),"09593")</f>
        <v>09593</v>
      </c>
      <c r="D227" s="13" t="str">
        <f>IFERROR(__xludf.DUMMYFUNCTION("""COMPUTED_VALUE"""),"The Pines at Castle Rock")</f>
        <v>The Pines at Castle Rock</v>
      </c>
      <c r="E227" s="13" t="str">
        <f>IFERROR(__xludf.DUMMYFUNCTION("""COMPUTED_VALUE"""),"Open")</f>
        <v>Open</v>
      </c>
      <c r="F227" s="13"/>
      <c r="G227" s="13" t="str">
        <f>IFERROR(__xludf.DUMMYFUNCTION("""COMPUTED_VALUE"""),"6221 Castlegate Drive North")</f>
        <v>6221 Castlegate Drive North</v>
      </c>
      <c r="H227" s="13" t="str">
        <f>IFERROR(__xludf.DUMMYFUNCTION("""COMPUTED_VALUE"""),"CASTLE ROCK")</f>
        <v>CASTLE ROCK</v>
      </c>
      <c r="I227" s="13" t="str">
        <f>IFERROR(__xludf.DUMMYFUNCTION("""COMPUTED_VALUE"""),"CO")</f>
        <v>CO</v>
      </c>
      <c r="J227" s="13">
        <f>IFERROR(__xludf.DUMMYFUNCTION("""COMPUTED_VALUE"""),80108.0)</f>
        <v>80108</v>
      </c>
      <c r="K227" s="13" t="str">
        <f>IFERROR(__xludf.DUMMYFUNCTION("""COMPUTED_VALUE"""),"Douglas")</f>
        <v>Douglas</v>
      </c>
      <c r="L227" s="17"/>
      <c r="M227" s="17"/>
      <c r="N227" s="17" t="str">
        <f>IFERROR(__xludf.DUMMYFUNCTION("""COMPUTED_VALUE"""),"Y")</f>
        <v>Y</v>
      </c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>
      <c r="A228" s="13" t="str">
        <f>IFERROR(__xludf.DUMMYFUNCTION("""COMPUTED_VALUE"""),"0900")</f>
        <v>0900</v>
      </c>
      <c r="B228" s="13" t="str">
        <f>IFERROR(__xludf.DUMMYFUNCTION("""COMPUTED_VALUE"""),"DOUGLAS COUNTY RE 1")</f>
        <v>DOUGLAS COUNTY RE 1</v>
      </c>
      <c r="C228" s="13" t="str">
        <f>IFERROR(__xludf.DUMMYFUNCTION("""COMPUTED_VALUE"""),"09606")</f>
        <v>09606</v>
      </c>
      <c r="D228" s="13" t="str">
        <f>IFERROR(__xludf.DUMMYFUNCTION("""COMPUTED_VALUE"""),"Ranchstone Apartments")</f>
        <v>Ranchstone Apartments</v>
      </c>
      <c r="E228" s="13" t="str">
        <f>IFERROR(__xludf.DUMMYFUNCTION("""COMPUTED_VALUE"""),"Open")</f>
        <v>Open</v>
      </c>
      <c r="F228" s="13"/>
      <c r="G228" s="13" t="str">
        <f>IFERROR(__xludf.DUMMYFUNCTION("""COMPUTED_VALUE"""),"17125 CARLSON DR")</f>
        <v>17125 CARLSON DR</v>
      </c>
      <c r="H228" s="13" t="str">
        <f>IFERROR(__xludf.DUMMYFUNCTION("""COMPUTED_VALUE"""),"PARKER")</f>
        <v>PARKER</v>
      </c>
      <c r="I228" s="13" t="str">
        <f>IFERROR(__xludf.DUMMYFUNCTION("""COMPUTED_VALUE"""),"CO")</f>
        <v>CO</v>
      </c>
      <c r="J228" s="13" t="str">
        <f>IFERROR(__xludf.DUMMYFUNCTION("""COMPUTED_VALUE"""),"80134-6813")</f>
        <v>80134-6813</v>
      </c>
      <c r="K228" s="13" t="str">
        <f>IFERROR(__xludf.DUMMYFUNCTION("""COMPUTED_VALUE"""),"Douglas")</f>
        <v>Douglas</v>
      </c>
      <c r="L228" s="17"/>
      <c r="M228" s="17"/>
      <c r="N228" s="17" t="str">
        <f>IFERROR(__xludf.DUMMYFUNCTION("""COMPUTED_VALUE"""),"Y")</f>
        <v>Y</v>
      </c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>
      <c r="A229" s="13" t="str">
        <f>IFERROR(__xludf.DUMMYFUNCTION("""COMPUTED_VALUE"""),"0900")</f>
        <v>0900</v>
      </c>
      <c r="B229" s="13" t="str">
        <f>IFERROR(__xludf.DUMMYFUNCTION("""COMPUTED_VALUE"""),"DOUGLAS COUNTY RE 1")</f>
        <v>DOUGLAS COUNTY RE 1</v>
      </c>
      <c r="C229" s="13" t="str">
        <f>IFERROR(__xludf.DUMMYFUNCTION("""COMPUTED_VALUE"""),"11130")</f>
        <v>11130</v>
      </c>
      <c r="D229" s="13" t="str">
        <f>IFERROR(__xludf.DUMMYFUNCTION("""COMPUTED_VALUE"""),"Centennial Park")</f>
        <v>Centennial Park</v>
      </c>
      <c r="E229" s="13" t="str">
        <f>IFERROR(__xludf.DUMMYFUNCTION("""COMPUTED_VALUE"""),"Open")</f>
        <v>Open</v>
      </c>
      <c r="F229" s="13"/>
      <c r="G229" s="13" t="str">
        <f>IFERROR(__xludf.DUMMYFUNCTION("""COMPUTED_VALUE"""),"22 Gilbert St.")</f>
        <v>22 Gilbert St.</v>
      </c>
      <c r="H229" s="13" t="str">
        <f>IFERROR(__xludf.DUMMYFUNCTION("""COMPUTED_VALUE"""),"CASTLE ROCK")</f>
        <v>CASTLE ROCK</v>
      </c>
      <c r="I229" s="13" t="str">
        <f>IFERROR(__xludf.DUMMYFUNCTION("""COMPUTED_VALUE"""),"CO")</f>
        <v>CO</v>
      </c>
      <c r="J229" s="13">
        <f>IFERROR(__xludf.DUMMYFUNCTION("""COMPUTED_VALUE"""),80104.0)</f>
        <v>80104</v>
      </c>
      <c r="K229" s="13" t="str">
        <f>IFERROR(__xludf.DUMMYFUNCTION("""COMPUTED_VALUE"""),"Douglas")</f>
        <v>Douglas</v>
      </c>
      <c r="L229" s="17"/>
      <c r="M229" s="17"/>
      <c r="N229" s="17" t="str">
        <f>IFERROR(__xludf.DUMMYFUNCTION("""COMPUTED_VALUE"""),"Y")</f>
        <v>Y</v>
      </c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>
      <c r="A230" s="13" t="str">
        <f>IFERROR(__xludf.DUMMYFUNCTION("""COMPUTED_VALUE"""),"0900")</f>
        <v>0900</v>
      </c>
      <c r="B230" s="13" t="str">
        <f>IFERROR(__xludf.DUMMYFUNCTION("""COMPUTED_VALUE"""),"DOUGLAS COUNTY RE 1")</f>
        <v>DOUGLAS COUNTY RE 1</v>
      </c>
      <c r="C230" s="13" t="str">
        <f>IFERROR(__xludf.DUMMYFUNCTION("""COMPUTED_VALUE"""),"12770")</f>
        <v>12770</v>
      </c>
      <c r="D230" s="13" t="str">
        <f>IFERROR(__xludf.DUMMYFUNCTION("""COMPUTED_VALUE"""),"Palomino Park Resort/Apartments")</f>
        <v>Palomino Park Resort/Apartments</v>
      </c>
      <c r="E230" s="13" t="str">
        <f>IFERROR(__xludf.DUMMYFUNCTION("""COMPUTED_VALUE"""),"Open")</f>
        <v>Open</v>
      </c>
      <c r="F230" s="13"/>
      <c r="G230" s="13" t="str">
        <f>IFERROR(__xludf.DUMMYFUNCTION("""COMPUTED_VALUE"""),"6602 GREEN RIVER DR")</f>
        <v>6602 GREEN RIVER DR</v>
      </c>
      <c r="H230" s="13" t="str">
        <f>IFERROR(__xludf.DUMMYFUNCTION("""COMPUTED_VALUE"""),"HGHLNDS RANCH")</f>
        <v>HGHLNDS RANCH</v>
      </c>
      <c r="I230" s="13" t="str">
        <f>IFERROR(__xludf.DUMMYFUNCTION("""COMPUTED_VALUE"""),"CO")</f>
        <v>CO</v>
      </c>
      <c r="J230" s="13" t="str">
        <f>IFERROR(__xludf.DUMMYFUNCTION("""COMPUTED_VALUE"""),"80130-3031")</f>
        <v>80130-3031</v>
      </c>
      <c r="K230" s="13" t="str">
        <f>IFERROR(__xludf.DUMMYFUNCTION("""COMPUTED_VALUE"""),"Douglas")</f>
        <v>Douglas</v>
      </c>
      <c r="L230" s="17"/>
      <c r="M230" s="17"/>
      <c r="N230" s="17" t="str">
        <f>IFERROR(__xludf.DUMMYFUNCTION("""COMPUTED_VALUE"""),"Y")</f>
        <v>Y</v>
      </c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>
      <c r="A231" s="13" t="str">
        <f>IFERROR(__xludf.DUMMYFUNCTION("""COMPUTED_VALUE"""),"0900")</f>
        <v>0900</v>
      </c>
      <c r="B231" s="13" t="str">
        <f>IFERROR(__xludf.DUMMYFUNCTION("""COMPUTED_VALUE"""),"DOUGLAS COUNTY RE 1")</f>
        <v>DOUGLAS COUNTY RE 1</v>
      </c>
      <c r="C231" s="13" t="str">
        <f>IFERROR(__xludf.DUMMYFUNCTION("""COMPUTED_VALUE"""),"12920")</f>
        <v>12920</v>
      </c>
      <c r="D231" s="13" t="str">
        <f>IFERROR(__xludf.DUMMYFUNCTION("""COMPUTED_VALUE"""),"Challenger Regional Park")</f>
        <v>Challenger Regional Park</v>
      </c>
      <c r="E231" s="13" t="str">
        <f>IFERROR(__xludf.DUMMYFUNCTION("""COMPUTED_VALUE"""),"Open")</f>
        <v>Open</v>
      </c>
      <c r="F231" s="13"/>
      <c r="G231" s="13" t="str">
        <f>IFERROR(__xludf.DUMMYFUNCTION("""COMPUTED_VALUE"""),"17301 LINCOLN AVE")</f>
        <v>17301 LINCOLN AVE</v>
      </c>
      <c r="H231" s="13" t="str">
        <f>IFERROR(__xludf.DUMMYFUNCTION("""COMPUTED_VALUE"""),"PARKER")</f>
        <v>PARKER</v>
      </c>
      <c r="I231" s="13" t="str">
        <f>IFERROR(__xludf.DUMMYFUNCTION("""COMPUTED_VALUE"""),"CO")</f>
        <v>CO</v>
      </c>
      <c r="J231" s="13" t="str">
        <f>IFERROR(__xludf.DUMMYFUNCTION("""COMPUTED_VALUE"""),"80134-9183")</f>
        <v>80134-9183</v>
      </c>
      <c r="K231" s="13" t="str">
        <f>IFERROR(__xludf.DUMMYFUNCTION("""COMPUTED_VALUE"""),"Douglas")</f>
        <v>Douglas</v>
      </c>
      <c r="L231" s="17"/>
      <c r="M231" s="17"/>
      <c r="N231" s="17" t="str">
        <f>IFERROR(__xludf.DUMMYFUNCTION("""COMPUTED_VALUE"""),"Y")</f>
        <v>Y</v>
      </c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>
      <c r="A232" s="13" t="str">
        <f>IFERROR(__xludf.DUMMYFUNCTION("""COMPUTED_VALUE"""),"0900")</f>
        <v>0900</v>
      </c>
      <c r="B232" s="13" t="str">
        <f>IFERROR(__xludf.DUMMYFUNCTION("""COMPUTED_VALUE"""),"DOUGLAS COUNTY RE 1")</f>
        <v>DOUGLAS COUNTY RE 1</v>
      </c>
      <c r="C232" s="13" t="str">
        <f>IFERROR(__xludf.DUMMYFUNCTION("""COMPUTED_VALUE"""),"91069")</f>
        <v>91069</v>
      </c>
      <c r="D232" s="13" t="str">
        <f>IFERROR(__xludf.DUMMYFUNCTION("""COMPUTED_VALUE"""),"O'Brien Park")</f>
        <v>O'Brien Park</v>
      </c>
      <c r="E232" s="13" t="str">
        <f>IFERROR(__xludf.DUMMYFUNCTION("""COMPUTED_VALUE"""),"Open")</f>
        <v>Open</v>
      </c>
      <c r="F232" s="13"/>
      <c r="G232" s="13" t="str">
        <f>IFERROR(__xludf.DUMMYFUNCTION("""COMPUTED_VALUE"""),"10795 Victorian Dr.")</f>
        <v>10795 Victorian Dr.</v>
      </c>
      <c r="H232" s="13" t="str">
        <f>IFERROR(__xludf.DUMMYFUNCTION("""COMPUTED_VALUE"""),"PARKER")</f>
        <v>PARKER</v>
      </c>
      <c r="I232" s="13" t="str">
        <f>IFERROR(__xludf.DUMMYFUNCTION("""COMPUTED_VALUE"""),"CO")</f>
        <v>CO</v>
      </c>
      <c r="J232" s="13">
        <f>IFERROR(__xludf.DUMMYFUNCTION("""COMPUTED_VALUE"""),80138.0)</f>
        <v>80138</v>
      </c>
      <c r="K232" s="13" t="str">
        <f>IFERROR(__xludf.DUMMYFUNCTION("""COMPUTED_VALUE"""),"Douglas")</f>
        <v>Douglas</v>
      </c>
      <c r="L232" s="17"/>
      <c r="M232" s="17"/>
      <c r="N232" s="17" t="str">
        <f>IFERROR(__xludf.DUMMYFUNCTION("""COMPUTED_VALUE"""),"Y")</f>
        <v>Y</v>
      </c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>
      <c r="A233" s="13" t="str">
        <f>IFERROR(__xludf.DUMMYFUNCTION("""COMPUTED_VALUE"""),"0900")</f>
        <v>0900</v>
      </c>
      <c r="B233" s="13" t="str">
        <f>IFERROR(__xludf.DUMMYFUNCTION("""COMPUTED_VALUE"""),"DOUGLAS COUNTY RE 1")</f>
        <v>DOUGLAS COUNTY RE 1</v>
      </c>
      <c r="C233" s="13" t="str">
        <f>IFERROR(__xludf.DUMMYFUNCTION("""COMPUTED_VALUE"""),"91579")</f>
        <v>91579</v>
      </c>
      <c r="D233" s="13" t="str">
        <f>IFERROR(__xludf.DUMMYFUNCTION("""COMPUTED_VALUE"""),"APEX Apartments")</f>
        <v>APEX Apartments</v>
      </c>
      <c r="E233" s="13" t="str">
        <f>IFERROR(__xludf.DUMMYFUNCTION("""COMPUTED_VALUE"""),"Open")</f>
        <v>Open</v>
      </c>
      <c r="F233" s="13"/>
      <c r="G233" s="13" t="str">
        <f>IFERROR(__xludf.DUMMYFUNCTION("""COMPUTED_VALUE"""),"362 INVERNESS PKWY")</f>
        <v>362 INVERNESS PKWY</v>
      </c>
      <c r="H233" s="13" t="str">
        <f>IFERROR(__xludf.DUMMYFUNCTION("""COMPUTED_VALUE"""),"ENGLEWOOD")</f>
        <v>ENGLEWOOD</v>
      </c>
      <c r="I233" s="13" t="str">
        <f>IFERROR(__xludf.DUMMYFUNCTION("""COMPUTED_VALUE"""),"CO")</f>
        <v>CO</v>
      </c>
      <c r="J233" s="13" t="str">
        <f>IFERROR(__xludf.DUMMYFUNCTION("""COMPUTED_VALUE"""),"80112-6343")</f>
        <v>80112-6343</v>
      </c>
      <c r="K233" s="13" t="str">
        <f>IFERROR(__xludf.DUMMYFUNCTION("""COMPUTED_VALUE"""),"Douglas")</f>
        <v>Douglas</v>
      </c>
      <c r="L233" s="17"/>
      <c r="M233" s="17"/>
      <c r="N233" s="17" t="str">
        <f>IFERROR(__xludf.DUMMYFUNCTION("""COMPUTED_VALUE"""),"Y")</f>
        <v>Y</v>
      </c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>
      <c r="A234" s="13" t="str">
        <f>IFERROR(__xludf.DUMMYFUNCTION("""COMPUTED_VALUE"""),"0900")</f>
        <v>0900</v>
      </c>
      <c r="B234" s="13" t="str">
        <f>IFERROR(__xludf.DUMMYFUNCTION("""COMPUTED_VALUE"""),"DOUGLAS COUNTY RE 1")</f>
        <v>DOUGLAS COUNTY RE 1</v>
      </c>
      <c r="C234" s="13" t="str">
        <f>IFERROR(__xludf.DUMMYFUNCTION("""COMPUTED_VALUE"""),"91580")</f>
        <v>91580</v>
      </c>
      <c r="D234" s="13" t="str">
        <f>IFERROR(__xludf.DUMMYFUNCTION("""COMPUTED_VALUE"""),"Castle Pines Library")</f>
        <v>Castle Pines Library</v>
      </c>
      <c r="E234" s="13" t="str">
        <f>IFERROR(__xludf.DUMMYFUNCTION("""COMPUTED_VALUE"""),"Open")</f>
        <v>Open</v>
      </c>
      <c r="F234" s="13"/>
      <c r="G234" s="13" t="str">
        <f>IFERROR(__xludf.DUMMYFUNCTION("""COMPUTED_VALUE"""),"360 VILLAGE SQUARE LN")</f>
        <v>360 VILLAGE SQUARE LN</v>
      </c>
      <c r="H234" s="13" t="str">
        <f>IFERROR(__xludf.DUMMYFUNCTION("""COMPUTED_VALUE"""),"CASTLE PINES")</f>
        <v>CASTLE PINES</v>
      </c>
      <c r="I234" s="13" t="str">
        <f>IFERROR(__xludf.DUMMYFUNCTION("""COMPUTED_VALUE"""),"CO")</f>
        <v>CO</v>
      </c>
      <c r="J234" s="13" t="str">
        <f>IFERROR(__xludf.DUMMYFUNCTION("""COMPUTED_VALUE"""),"80108-3706")</f>
        <v>80108-3706</v>
      </c>
      <c r="K234" s="13" t="str">
        <f>IFERROR(__xludf.DUMMYFUNCTION("""COMPUTED_VALUE"""),"Douglas")</f>
        <v>Douglas</v>
      </c>
      <c r="L234" s="17"/>
      <c r="M234" s="17"/>
      <c r="N234" s="17" t="str">
        <f>IFERROR(__xludf.DUMMYFUNCTION("""COMPUTED_VALUE"""),"Y")</f>
        <v>Y</v>
      </c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>
      <c r="A235" s="13" t="str">
        <f>IFERROR(__xludf.DUMMYFUNCTION("""COMPUTED_VALUE"""),"0900")</f>
        <v>0900</v>
      </c>
      <c r="B235" s="13" t="str">
        <f>IFERROR(__xludf.DUMMYFUNCTION("""COMPUTED_VALUE"""),"DOUGLAS COUNTY RE 1")</f>
        <v>DOUGLAS COUNTY RE 1</v>
      </c>
      <c r="C235" s="13" t="str">
        <f>IFERROR(__xludf.DUMMYFUNCTION("""COMPUTED_VALUE"""),"91661")</f>
        <v>91661</v>
      </c>
      <c r="D235" s="13" t="str">
        <f>IFERROR(__xludf.DUMMYFUNCTION("""COMPUTED_VALUE"""),"Parker Hilltop Apartments")</f>
        <v>Parker Hilltop Apartments</v>
      </c>
      <c r="E235" s="13" t="str">
        <f>IFERROR(__xludf.DUMMYFUNCTION("""COMPUTED_VALUE"""),"Open")</f>
        <v>Open</v>
      </c>
      <c r="F235" s="13"/>
      <c r="G235" s="13" t="str">
        <f>IFERROR(__xludf.DUMMYFUNCTION("""COMPUTED_VALUE"""),"19600 CLUBHOUSE DR")</f>
        <v>19600 CLUBHOUSE DR</v>
      </c>
      <c r="H235" s="13" t="str">
        <f>IFERROR(__xludf.DUMMYFUNCTION("""COMPUTED_VALUE"""),"PARKER")</f>
        <v>PARKER</v>
      </c>
      <c r="I235" s="13" t="str">
        <f>IFERROR(__xludf.DUMMYFUNCTION("""COMPUTED_VALUE"""),"CO")</f>
        <v>CO</v>
      </c>
      <c r="J235" s="13" t="str">
        <f>IFERROR(__xludf.DUMMYFUNCTION("""COMPUTED_VALUE"""),"80138-7146")</f>
        <v>80138-7146</v>
      </c>
      <c r="K235" s="13" t="str">
        <f>IFERROR(__xludf.DUMMYFUNCTION("""COMPUTED_VALUE"""),"Douglas")</f>
        <v>Douglas</v>
      </c>
      <c r="L235" s="17"/>
      <c r="M235" s="17"/>
      <c r="N235" s="17" t="str">
        <f>IFERROR(__xludf.DUMMYFUNCTION("""COMPUTED_VALUE"""),"Y")</f>
        <v>Y</v>
      </c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>
      <c r="A236" s="13" t="str">
        <f>IFERROR(__xludf.DUMMYFUNCTION("""COMPUTED_VALUE"""),"0900")</f>
        <v>0900</v>
      </c>
      <c r="B236" s="13" t="str">
        <f>IFERROR(__xludf.DUMMYFUNCTION("""COMPUTED_VALUE"""),"DOUGLAS COUNTY RE 1")</f>
        <v>DOUGLAS COUNTY RE 1</v>
      </c>
      <c r="C236" s="13" t="str">
        <f>IFERROR(__xludf.DUMMYFUNCTION("""COMPUTED_VALUE"""),"91819")</f>
        <v>91819</v>
      </c>
      <c r="D236" s="13" t="str">
        <f>IFERROR(__xludf.DUMMYFUNCTION("""COMPUTED_VALUE"""),"Castle Rock Library")</f>
        <v>Castle Rock Library</v>
      </c>
      <c r="E236" s="13" t="str">
        <f>IFERROR(__xludf.DUMMYFUNCTION("""COMPUTED_VALUE"""),"Open")</f>
        <v>Open</v>
      </c>
      <c r="F236" s="13"/>
      <c r="G236" s="13" t="str">
        <f>IFERROR(__xludf.DUMMYFUNCTION("""COMPUTED_VALUE"""),"100 S WILCOX ST")</f>
        <v>100 S WILCOX ST</v>
      </c>
      <c r="H236" s="13" t="str">
        <f>IFERROR(__xludf.DUMMYFUNCTION("""COMPUTED_VALUE"""),"CASTLE ROCK")</f>
        <v>CASTLE ROCK</v>
      </c>
      <c r="I236" s="13" t="str">
        <f>IFERROR(__xludf.DUMMYFUNCTION("""COMPUTED_VALUE"""),"CO")</f>
        <v>CO</v>
      </c>
      <c r="J236" s="13" t="str">
        <f>IFERROR(__xludf.DUMMYFUNCTION("""COMPUTED_VALUE"""),"80104-1911")</f>
        <v>80104-1911</v>
      </c>
      <c r="K236" s="13" t="str">
        <f>IFERROR(__xludf.DUMMYFUNCTION("""COMPUTED_VALUE"""),"Douglas")</f>
        <v>Douglas</v>
      </c>
      <c r="L236" s="17"/>
      <c r="M236" s="17"/>
      <c r="N236" s="17" t="str">
        <f>IFERROR(__xludf.DUMMYFUNCTION("""COMPUTED_VALUE"""),"Y")</f>
        <v>Y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>
      <c r="A237" s="13" t="str">
        <f>IFERROR(__xludf.DUMMYFUNCTION("""COMPUTED_VALUE"""),"0900")</f>
        <v>0900</v>
      </c>
      <c r="B237" s="13" t="str">
        <f>IFERROR(__xludf.DUMMYFUNCTION("""COMPUTED_VALUE"""),"DOUGLAS COUNTY RE 1")</f>
        <v>DOUGLAS COUNTY RE 1</v>
      </c>
      <c r="C237" s="13" t="str">
        <f>IFERROR(__xludf.DUMMYFUNCTION("""COMPUTED_VALUE"""),"91820")</f>
        <v>91820</v>
      </c>
      <c r="D237" s="13" t="str">
        <f>IFERROR(__xludf.DUMMYFUNCTION("""COMPUTED_VALUE"""),"Highlands Ranch Trail Head")</f>
        <v>Highlands Ranch Trail Head</v>
      </c>
      <c r="E237" s="13" t="str">
        <f>IFERROR(__xludf.DUMMYFUNCTION("""COMPUTED_VALUE"""),"Open")</f>
        <v>Open</v>
      </c>
      <c r="F237" s="13"/>
      <c r="G237" s="13" t="str">
        <f>IFERROR(__xludf.DUMMYFUNCTION("""COMPUTED_VALUE"""),"Grandview Trailhead- Heywood St")</f>
        <v>Grandview Trailhead- Heywood St</v>
      </c>
      <c r="H237" s="13" t="str">
        <f>IFERROR(__xludf.DUMMYFUNCTION("""COMPUTED_VALUE"""),"LITTLETON")</f>
        <v>LITTLETON</v>
      </c>
      <c r="I237" s="13" t="str">
        <f>IFERROR(__xludf.DUMMYFUNCTION("""COMPUTED_VALUE"""),"CO")</f>
        <v>CO</v>
      </c>
      <c r="J237" s="13">
        <f>IFERROR(__xludf.DUMMYFUNCTION("""COMPUTED_VALUE"""),80130.0)</f>
        <v>80130</v>
      </c>
      <c r="K237" s="13" t="str">
        <f>IFERROR(__xludf.DUMMYFUNCTION("""COMPUTED_VALUE"""),"Douglas")</f>
        <v>Douglas</v>
      </c>
      <c r="L237" s="17"/>
      <c r="M237" s="17"/>
      <c r="N237" s="17" t="str">
        <f>IFERROR(__xludf.DUMMYFUNCTION("""COMPUTED_VALUE"""),"Y")</f>
        <v>Y</v>
      </c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>
      <c r="A238" s="13" t="str">
        <f>IFERROR(__xludf.DUMMYFUNCTION("""COMPUTED_VALUE"""),"0900")</f>
        <v>0900</v>
      </c>
      <c r="B238" s="13" t="str">
        <f>IFERROR(__xludf.DUMMYFUNCTION("""COMPUTED_VALUE"""),"DOUGLAS COUNTY RE 1")</f>
        <v>DOUGLAS COUNTY RE 1</v>
      </c>
      <c r="C238" s="13" t="str">
        <f>IFERROR(__xludf.DUMMYFUNCTION("""COMPUTED_VALUE"""),"91821")</f>
        <v>91821</v>
      </c>
      <c r="D238" s="13" t="str">
        <f>IFERROR(__xludf.DUMMYFUNCTION("""COMPUTED_VALUE"""),"Inspiration Club")</f>
        <v>Inspiration Club</v>
      </c>
      <c r="E238" s="13" t="str">
        <f>IFERROR(__xludf.DUMMYFUNCTION("""COMPUTED_VALUE"""),"Open")</f>
        <v>Open</v>
      </c>
      <c r="F238" s="13"/>
      <c r="G238" s="13" t="str">
        <f>IFERROR(__xludf.DUMMYFUNCTION("""COMPUTED_VALUE"""),"23392 E GLIDDEN DR")</f>
        <v>23392 E GLIDDEN DR</v>
      </c>
      <c r="H238" s="13" t="str">
        <f>IFERROR(__xludf.DUMMYFUNCTION("""COMPUTED_VALUE"""),"AURORA")</f>
        <v>AURORA</v>
      </c>
      <c r="I238" s="13" t="str">
        <f>IFERROR(__xludf.DUMMYFUNCTION("""COMPUTED_VALUE"""),"CO")</f>
        <v>CO</v>
      </c>
      <c r="J238" s="13" t="str">
        <f>IFERROR(__xludf.DUMMYFUNCTION("""COMPUTED_VALUE"""),"80016-7928")</f>
        <v>80016-7928</v>
      </c>
      <c r="K238" s="13" t="str">
        <f>IFERROR(__xludf.DUMMYFUNCTION("""COMPUTED_VALUE"""),"Douglas")</f>
        <v>Douglas</v>
      </c>
      <c r="L238" s="17"/>
      <c r="M238" s="17"/>
      <c r="N238" s="17" t="str">
        <f>IFERROR(__xludf.DUMMYFUNCTION("""COMPUTED_VALUE"""),"Y")</f>
        <v>Y</v>
      </c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>
      <c r="A239" s="18" t="str">
        <f>IFERROR(__xludf.DUMMYFUNCTION("""COMPUTED_VALUE"""),"0980")</f>
        <v>0980</v>
      </c>
      <c r="B239" s="18" t="str">
        <f>IFERROR(__xludf.DUMMYFUNCTION("""COMPUTED_VALUE"""),"HARRISON 2")</f>
        <v>HARRISON 2</v>
      </c>
      <c r="C239" s="18" t="str">
        <f>IFERROR(__xludf.DUMMYFUNCTION("""COMPUTED_VALUE"""),"01000")</f>
        <v>01000</v>
      </c>
      <c r="D239" s="18" t="str">
        <f>IFERROR(__xludf.DUMMYFUNCTION("""COMPUTED_VALUE"""),"BRICKER ELEMENTARY SCHOOL")</f>
        <v>BRICKER ELEMENTARY SCHOOL</v>
      </c>
      <c r="E239" s="18" t="str">
        <f>IFERROR(__xludf.DUMMYFUNCTION("""COMPUTED_VALUE"""),"Closed - Enrolled")</f>
        <v>Closed - Enrolled</v>
      </c>
      <c r="F239" s="18"/>
      <c r="G239" s="18" t="str">
        <f>IFERROR(__xludf.DUMMYFUNCTION("""COMPUTED_VALUE"""),"4880 DOVER DR")</f>
        <v>4880 DOVER DR</v>
      </c>
      <c r="H239" s="18" t="str">
        <f>IFERROR(__xludf.DUMMYFUNCTION("""COMPUTED_VALUE"""),"COLORADO SPGS")</f>
        <v>COLORADO SPGS</v>
      </c>
      <c r="I239" s="18" t="str">
        <f>IFERROR(__xludf.DUMMYFUNCTION("""COMPUTED_VALUE"""),"CO")</f>
        <v>CO</v>
      </c>
      <c r="J239" s="18" t="str">
        <f>IFERROR(__xludf.DUMMYFUNCTION("""COMPUTED_VALUE"""),"80916-2699")</f>
        <v>80916-2699</v>
      </c>
      <c r="K239" s="18" t="str">
        <f>IFERROR(__xludf.DUMMYFUNCTION("""COMPUTED_VALUE"""),"El Paso")</f>
        <v>El Paso</v>
      </c>
      <c r="L239" s="19" t="str">
        <f>IFERROR(__xludf.DUMMYFUNCTION("""COMPUTED_VALUE"""),"Y")</f>
        <v>Y</v>
      </c>
      <c r="M239" s="19"/>
      <c r="N239" s="19" t="str">
        <f>IFERROR(__xludf.DUMMYFUNCTION("""COMPUTED_VALUE"""),"Y")</f>
        <v>Y</v>
      </c>
      <c r="O239" s="19"/>
      <c r="P239" s="19"/>
      <c r="Q239" s="19" t="str">
        <f>IFERROR(__xludf.DUMMYFUNCTION("""COMPUTED_VALUE"""),"SSO")</f>
        <v>SSO</v>
      </c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>
      <c r="A240" s="13" t="str">
        <f>IFERROR(__xludf.DUMMYFUNCTION("""COMPUTED_VALUE"""),"0980")</f>
        <v>0980</v>
      </c>
      <c r="B240" s="13" t="str">
        <f>IFERROR(__xludf.DUMMYFUNCTION("""COMPUTED_VALUE"""),"HARRISON 2")</f>
        <v>HARRISON 2</v>
      </c>
      <c r="C240" s="13" t="str">
        <f>IFERROR(__xludf.DUMMYFUNCTION("""COMPUTED_VALUE"""),"06018")</f>
        <v>06018</v>
      </c>
      <c r="D240" s="13" t="str">
        <f>IFERROR(__xludf.DUMMYFUNCTION("""COMPUTED_VALUE"""),"MONTEREY ELEMENTARY SCHOOL")</f>
        <v>MONTEREY ELEMENTARY SCHOOL</v>
      </c>
      <c r="E240" s="13" t="str">
        <f>IFERROR(__xludf.DUMMYFUNCTION("""COMPUTED_VALUE"""),"Open")</f>
        <v>Open</v>
      </c>
      <c r="F240" s="13"/>
      <c r="G240" s="13" t="str">
        <f>IFERROR(__xludf.DUMMYFUNCTION("""COMPUTED_VALUE"""),"2311 MONTEREY RD")</f>
        <v>2311 MONTEREY RD</v>
      </c>
      <c r="H240" s="13" t="str">
        <f>IFERROR(__xludf.DUMMYFUNCTION("""COMPUTED_VALUE"""),"COLORADO SPGS")</f>
        <v>COLORADO SPGS</v>
      </c>
      <c r="I240" s="13" t="str">
        <f>IFERROR(__xludf.DUMMYFUNCTION("""COMPUTED_VALUE"""),"CO")</f>
        <v>CO</v>
      </c>
      <c r="J240" s="13" t="str">
        <f>IFERROR(__xludf.DUMMYFUNCTION("""COMPUTED_VALUE"""),"80910-1273")</f>
        <v>80910-1273</v>
      </c>
      <c r="K240" s="13" t="str">
        <f>IFERROR(__xludf.DUMMYFUNCTION("""COMPUTED_VALUE"""),"El Paso")</f>
        <v>El Paso</v>
      </c>
      <c r="L240" s="17" t="str">
        <f>IFERROR(__xludf.DUMMYFUNCTION("""COMPUTED_VALUE"""),"Y")</f>
        <v>Y</v>
      </c>
      <c r="M240" s="17"/>
      <c r="N240" s="17" t="str">
        <f>IFERROR(__xludf.DUMMYFUNCTION("""COMPUTED_VALUE"""),"Y")</f>
        <v>Y</v>
      </c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>
      <c r="A241" s="13" t="str">
        <f>IFERROR(__xludf.DUMMYFUNCTION("""COMPUTED_VALUE"""),"0980")</f>
        <v>0980</v>
      </c>
      <c r="B241" s="13" t="str">
        <f>IFERROR(__xludf.DUMMYFUNCTION("""COMPUTED_VALUE"""),"HARRISON 2")</f>
        <v>HARRISON 2</v>
      </c>
      <c r="C241" s="13" t="str">
        <f>IFERROR(__xludf.DUMMYFUNCTION("""COMPUTED_VALUE"""),"06936")</f>
        <v>06936</v>
      </c>
      <c r="D241" s="13" t="str">
        <f>IFERROR(__xludf.DUMMYFUNCTION("""COMPUTED_VALUE"""),"PIKES PEAK ELEMENTARY SCHOOL")</f>
        <v>PIKES PEAK ELEMENTARY SCHOOL</v>
      </c>
      <c r="E241" s="13" t="str">
        <f>IFERROR(__xludf.DUMMYFUNCTION("""COMPUTED_VALUE"""),"Open")</f>
        <v>Open</v>
      </c>
      <c r="F241" s="13"/>
      <c r="G241" s="13" t="str">
        <f>IFERROR(__xludf.DUMMYFUNCTION("""COMPUTED_VALUE"""),"1520 VERDE DR")</f>
        <v>1520 VERDE DR</v>
      </c>
      <c r="H241" s="13" t="str">
        <f>IFERROR(__xludf.DUMMYFUNCTION("""COMPUTED_VALUE"""),"COLORADO SPGS")</f>
        <v>COLORADO SPGS</v>
      </c>
      <c r="I241" s="13" t="str">
        <f>IFERROR(__xludf.DUMMYFUNCTION("""COMPUTED_VALUE"""),"CO")</f>
        <v>CO</v>
      </c>
      <c r="J241" s="13" t="str">
        <f>IFERROR(__xludf.DUMMYFUNCTION("""COMPUTED_VALUE"""),"80910-1996")</f>
        <v>80910-1996</v>
      </c>
      <c r="K241" s="13" t="str">
        <f>IFERROR(__xludf.DUMMYFUNCTION("""COMPUTED_VALUE"""),"El Paso")</f>
        <v>El Paso</v>
      </c>
      <c r="L241" s="17" t="str">
        <f>IFERROR(__xludf.DUMMYFUNCTION("""COMPUTED_VALUE"""),"Y")</f>
        <v>Y</v>
      </c>
      <c r="M241" s="17"/>
      <c r="N241" s="17" t="str">
        <f>IFERROR(__xludf.DUMMYFUNCTION("""COMPUTED_VALUE"""),"Y")</f>
        <v>Y</v>
      </c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>
      <c r="A242" s="13" t="str">
        <f>IFERROR(__xludf.DUMMYFUNCTION("""COMPUTED_VALUE"""),"0980")</f>
        <v>0980</v>
      </c>
      <c r="B242" s="13" t="str">
        <f>IFERROR(__xludf.DUMMYFUNCTION("""COMPUTED_VALUE"""),"HARRISON 2")</f>
        <v>HARRISON 2</v>
      </c>
      <c r="C242" s="13" t="str">
        <f>IFERROR(__xludf.DUMMYFUNCTION("""COMPUTED_VALUE"""),"07611")</f>
        <v>07611</v>
      </c>
      <c r="D242" s="13" t="str">
        <f>IFERROR(__xludf.DUMMYFUNCTION("""COMPUTED_VALUE"""),"SAND CREEK ELEMENTARY SCHOOL")</f>
        <v>SAND CREEK ELEMENTARY SCHOOL</v>
      </c>
      <c r="E242" s="13" t="str">
        <f>IFERROR(__xludf.DUMMYFUNCTION("""COMPUTED_VALUE"""),"Open")</f>
        <v>Open</v>
      </c>
      <c r="F242" s="13"/>
      <c r="G242" s="13" t="str">
        <f>IFERROR(__xludf.DUMMYFUNCTION("""COMPUTED_VALUE"""),"550 SAND CREEK DR")</f>
        <v>550 SAND CREEK DR</v>
      </c>
      <c r="H242" s="13" t="str">
        <f>IFERROR(__xludf.DUMMYFUNCTION("""COMPUTED_VALUE"""),"COLORADO SPGS")</f>
        <v>COLORADO SPGS</v>
      </c>
      <c r="I242" s="13" t="str">
        <f>IFERROR(__xludf.DUMMYFUNCTION("""COMPUTED_VALUE"""),"CO")</f>
        <v>CO</v>
      </c>
      <c r="J242" s="13" t="str">
        <f>IFERROR(__xludf.DUMMYFUNCTION("""COMPUTED_VALUE"""),"80916-5515")</f>
        <v>80916-5515</v>
      </c>
      <c r="K242" s="13" t="str">
        <f>IFERROR(__xludf.DUMMYFUNCTION("""COMPUTED_VALUE"""),"El Paso")</f>
        <v>El Paso</v>
      </c>
      <c r="L242" s="17" t="str">
        <f>IFERROR(__xludf.DUMMYFUNCTION("""COMPUTED_VALUE"""),"Y")</f>
        <v>Y</v>
      </c>
      <c r="M242" s="17"/>
      <c r="N242" s="17" t="str">
        <f>IFERROR(__xludf.DUMMYFUNCTION("""COMPUTED_VALUE"""),"Y")</f>
        <v>Y</v>
      </c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>
      <c r="A243" s="13" t="str">
        <f>IFERROR(__xludf.DUMMYFUNCTION("""COMPUTED_VALUE"""),"0980")</f>
        <v>0980</v>
      </c>
      <c r="B243" s="13" t="str">
        <f>IFERROR(__xludf.DUMMYFUNCTION("""COMPUTED_VALUE"""),"HARRISON 2")</f>
        <v>HARRISON 2</v>
      </c>
      <c r="C243" s="13" t="str">
        <f>IFERROR(__xludf.DUMMYFUNCTION("""COMPUTED_VALUE"""),"08350")</f>
        <v>08350</v>
      </c>
      <c r="D243" s="13" t="str">
        <f>IFERROR(__xludf.DUMMYFUNCTION("""COMPUTED_VALUE"""),"STRATTON MEADOWS ELEMENTARY SCHOOL")</f>
        <v>STRATTON MEADOWS ELEMENTARY SCHOOL</v>
      </c>
      <c r="E243" s="13" t="str">
        <f>IFERROR(__xludf.DUMMYFUNCTION("""COMPUTED_VALUE"""),"Open")</f>
        <v>Open</v>
      </c>
      <c r="F243" s="13"/>
      <c r="G243" s="13" t="str">
        <f>IFERROR(__xludf.DUMMYFUNCTION("""COMPUTED_VALUE"""),"610 BROOKSHIRE AVE")</f>
        <v>610 BROOKSHIRE AVE</v>
      </c>
      <c r="H243" s="13" t="str">
        <f>IFERROR(__xludf.DUMMYFUNCTION("""COMPUTED_VALUE"""),"COLORADO SPGS")</f>
        <v>COLORADO SPGS</v>
      </c>
      <c r="I243" s="13" t="str">
        <f>IFERROR(__xludf.DUMMYFUNCTION("""COMPUTED_VALUE"""),"CO")</f>
        <v>CO</v>
      </c>
      <c r="J243" s="13" t="str">
        <f>IFERROR(__xludf.DUMMYFUNCTION("""COMPUTED_VALUE"""),"80905-2799")</f>
        <v>80905-2799</v>
      </c>
      <c r="K243" s="13" t="str">
        <f>IFERROR(__xludf.DUMMYFUNCTION("""COMPUTED_VALUE"""),"El Paso")</f>
        <v>El Paso</v>
      </c>
      <c r="L243" s="17" t="str">
        <f>IFERROR(__xludf.DUMMYFUNCTION("""COMPUTED_VALUE"""),"Y")</f>
        <v>Y</v>
      </c>
      <c r="M243" s="17"/>
      <c r="N243" s="17" t="str">
        <f>IFERROR(__xludf.DUMMYFUNCTION("""COMPUTED_VALUE"""),"Y")</f>
        <v>Y</v>
      </c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>
      <c r="A244" s="13" t="str">
        <f>IFERROR(__xludf.DUMMYFUNCTION("""COMPUTED_VALUE"""),"0980")</f>
        <v>0980</v>
      </c>
      <c r="B244" s="13" t="str">
        <f>IFERROR(__xludf.DUMMYFUNCTION("""COMPUTED_VALUE"""),"HARRISON 2")</f>
        <v>HARRISON 2</v>
      </c>
      <c r="C244" s="13" t="str">
        <f>IFERROR(__xludf.DUMMYFUNCTION("""COMPUTED_VALUE"""),"91893")</f>
        <v>91893</v>
      </c>
      <c r="D244" s="13" t="str">
        <f>IFERROR(__xludf.DUMMYFUNCTION("""COMPUTED_VALUE"""),"Hillside Community Center - Harrison 2")</f>
        <v>Hillside Community Center - Harrison 2</v>
      </c>
      <c r="E244" s="13" t="str">
        <f>IFERROR(__xludf.DUMMYFUNCTION("""COMPUTED_VALUE"""),"Closed - Enrolled")</f>
        <v>Closed - Enrolled</v>
      </c>
      <c r="F244" s="13"/>
      <c r="G244" s="13" t="str">
        <f>IFERROR(__xludf.DUMMYFUNCTION("""COMPUTED_VALUE"""),"925 S INSTITUTE ST")</f>
        <v>925 S INSTITUTE ST</v>
      </c>
      <c r="H244" s="13" t="str">
        <f>IFERROR(__xludf.DUMMYFUNCTION("""COMPUTED_VALUE"""),"COLORADO SPGS")</f>
        <v>COLORADO SPGS</v>
      </c>
      <c r="I244" s="13" t="str">
        <f>IFERROR(__xludf.DUMMYFUNCTION("""COMPUTED_VALUE"""),"CO")</f>
        <v>CO</v>
      </c>
      <c r="J244" s="13" t="str">
        <f>IFERROR(__xludf.DUMMYFUNCTION("""COMPUTED_VALUE"""),"80903-4634")</f>
        <v>80903-4634</v>
      </c>
      <c r="K244" s="13" t="str">
        <f>IFERROR(__xludf.DUMMYFUNCTION("""COMPUTED_VALUE"""),"El Paso")</f>
        <v>El Paso</v>
      </c>
      <c r="L244" s="17" t="str">
        <f>IFERROR(__xludf.DUMMYFUNCTION("""COMPUTED_VALUE"""),"Y")</f>
        <v>Y</v>
      </c>
      <c r="M244" s="17"/>
      <c r="N244" s="17" t="str">
        <f>IFERROR(__xludf.DUMMYFUNCTION("""COMPUTED_VALUE"""),"Y")</f>
        <v>Y</v>
      </c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>
      <c r="A245" s="13" t="str">
        <f>IFERROR(__xludf.DUMMYFUNCTION("""COMPUTED_VALUE"""),"0990")</f>
        <v>0990</v>
      </c>
      <c r="B245" s="13" t="str">
        <f>IFERROR(__xludf.DUMMYFUNCTION("""COMPUTED_VALUE"""),"WIDEFIELD 3")</f>
        <v>WIDEFIELD 3</v>
      </c>
      <c r="C245" s="13" t="str">
        <f>IFERROR(__xludf.DUMMYFUNCTION("""COMPUTED_VALUE"""),"03234")</f>
        <v>03234</v>
      </c>
      <c r="D245" s="13" t="str">
        <f>IFERROR(__xludf.DUMMYFUNCTION("""COMPUTED_VALUE"""),"FRENCH ELEMENTARY SCHOOL")</f>
        <v>FRENCH ELEMENTARY SCHOOL</v>
      </c>
      <c r="E245" s="13" t="str">
        <f>IFERROR(__xludf.DUMMYFUNCTION("""COMPUTED_VALUE"""),"Closed - Enrolled")</f>
        <v>Closed - Enrolled</v>
      </c>
      <c r="F245" s="13"/>
      <c r="G245" s="13" t="str">
        <f>IFERROR(__xludf.DUMMYFUNCTION("""COMPUTED_VALUE"""),"5225 ALTURAS DR")</f>
        <v>5225 ALTURAS DR</v>
      </c>
      <c r="H245" s="13" t="str">
        <f>IFERROR(__xludf.DUMMYFUNCTION("""COMPUTED_VALUE"""),"COLORADO SPGS")</f>
        <v>COLORADO SPGS</v>
      </c>
      <c r="I245" s="13" t="str">
        <f>IFERROR(__xludf.DUMMYFUNCTION("""COMPUTED_VALUE"""),"CO")</f>
        <v>CO</v>
      </c>
      <c r="J245" s="13" t="str">
        <f>IFERROR(__xludf.DUMMYFUNCTION("""COMPUTED_VALUE"""),"80911-3464")</f>
        <v>80911-3464</v>
      </c>
      <c r="K245" s="13" t="str">
        <f>IFERROR(__xludf.DUMMYFUNCTION("""COMPUTED_VALUE"""),"El Paso")</f>
        <v>El Paso</v>
      </c>
      <c r="L245" s="17" t="str">
        <f>IFERROR(__xludf.DUMMYFUNCTION("""COMPUTED_VALUE"""),"Y")</f>
        <v>Y</v>
      </c>
      <c r="M245" s="17"/>
      <c r="N245" s="17" t="str">
        <f>IFERROR(__xludf.DUMMYFUNCTION("""COMPUTED_VALUE"""),"Y")</f>
        <v>Y</v>
      </c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>
      <c r="A246" s="13" t="str">
        <f>IFERROR(__xludf.DUMMYFUNCTION("""COMPUTED_VALUE"""),"0990")</f>
        <v>0990</v>
      </c>
      <c r="B246" s="13" t="str">
        <f>IFERROR(__xludf.DUMMYFUNCTION("""COMPUTED_VALUE"""),"WIDEFIELD 3")</f>
        <v>WIDEFIELD 3</v>
      </c>
      <c r="C246" s="13" t="str">
        <f>IFERROR(__xludf.DUMMYFUNCTION("""COMPUTED_VALUE"""),"04346")</f>
        <v>04346</v>
      </c>
      <c r="D246" s="13" t="str">
        <f>IFERROR(__xludf.DUMMYFUNCTION("""COMPUTED_VALUE"""),"TALBOTT ELEMENTARY SCHOOL")</f>
        <v>TALBOTT ELEMENTARY SCHOOL</v>
      </c>
      <c r="E246" s="13" t="str">
        <f>IFERROR(__xludf.DUMMYFUNCTION("""COMPUTED_VALUE"""),"Closed - Enrolled")</f>
        <v>Closed - Enrolled</v>
      </c>
      <c r="F246" s="13"/>
      <c r="G246" s="13" t="str">
        <f>IFERROR(__xludf.DUMMYFUNCTION("""COMPUTED_VALUE"""),"401 DEAN DR")</f>
        <v>401 DEAN DR</v>
      </c>
      <c r="H246" s="13" t="str">
        <f>IFERROR(__xludf.DUMMYFUNCTION("""COMPUTED_VALUE"""),"COLORADO SPGS")</f>
        <v>COLORADO SPGS</v>
      </c>
      <c r="I246" s="13" t="str">
        <f>IFERROR(__xludf.DUMMYFUNCTION("""COMPUTED_VALUE"""),"CO")</f>
        <v>CO</v>
      </c>
      <c r="J246" s="13" t="str">
        <f>IFERROR(__xludf.DUMMYFUNCTION("""COMPUTED_VALUE"""),"80911-2253")</f>
        <v>80911-2253</v>
      </c>
      <c r="K246" s="13" t="str">
        <f>IFERROR(__xludf.DUMMYFUNCTION("""COMPUTED_VALUE"""),"El Paso")</f>
        <v>El Paso</v>
      </c>
      <c r="L246" s="17" t="str">
        <f>IFERROR(__xludf.DUMMYFUNCTION("""COMPUTED_VALUE"""),"Y")</f>
        <v>Y</v>
      </c>
      <c r="M246" s="17"/>
      <c r="N246" s="17" t="str">
        <f>IFERROR(__xludf.DUMMYFUNCTION("""COMPUTED_VALUE"""),"Y")</f>
        <v>Y</v>
      </c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>
      <c r="A247" s="13" t="str">
        <f>IFERROR(__xludf.DUMMYFUNCTION("""COMPUTED_VALUE"""),"0990")</f>
        <v>0990</v>
      </c>
      <c r="B247" s="13" t="str">
        <f>IFERROR(__xludf.DUMMYFUNCTION("""COMPUTED_VALUE"""),"WIDEFIELD 3")</f>
        <v>WIDEFIELD 3</v>
      </c>
      <c r="C247" s="13" t="str">
        <f>IFERROR(__xludf.DUMMYFUNCTION("""COMPUTED_VALUE"""),"06952")</f>
        <v>06952</v>
      </c>
      <c r="D247" s="13" t="str">
        <f>IFERROR(__xludf.DUMMYFUNCTION("""COMPUTED_VALUE"""),"PINELLO ELEMENTARY SCHOOL")</f>
        <v>PINELLO ELEMENTARY SCHOOL</v>
      </c>
      <c r="E247" s="13" t="str">
        <f>IFERROR(__xludf.DUMMYFUNCTION("""COMPUTED_VALUE"""),"Open")</f>
        <v>Open</v>
      </c>
      <c r="F247" s="13"/>
      <c r="G247" s="13" t="str">
        <f>IFERROR(__xludf.DUMMYFUNCTION("""COMPUTED_VALUE"""),"2515 CODY DR")</f>
        <v>2515 CODY DR</v>
      </c>
      <c r="H247" s="13" t="str">
        <f>IFERROR(__xludf.DUMMYFUNCTION("""COMPUTED_VALUE"""),"COLORADO SPGS")</f>
        <v>COLORADO SPGS</v>
      </c>
      <c r="I247" s="13" t="str">
        <f>IFERROR(__xludf.DUMMYFUNCTION("""COMPUTED_VALUE"""),"CO")</f>
        <v>CO</v>
      </c>
      <c r="J247" s="13" t="str">
        <f>IFERROR(__xludf.DUMMYFUNCTION("""COMPUTED_VALUE"""),"80911-1019")</f>
        <v>80911-1019</v>
      </c>
      <c r="K247" s="13" t="str">
        <f>IFERROR(__xludf.DUMMYFUNCTION("""COMPUTED_VALUE"""),"El Paso")</f>
        <v>El Paso</v>
      </c>
      <c r="L247" s="17" t="str">
        <f>IFERROR(__xludf.DUMMYFUNCTION("""COMPUTED_VALUE"""),"Y")</f>
        <v>Y</v>
      </c>
      <c r="M247" s="17"/>
      <c r="N247" s="17" t="str">
        <f>IFERROR(__xludf.DUMMYFUNCTION("""COMPUTED_VALUE"""),"Y")</f>
        <v>Y</v>
      </c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>
      <c r="A248" s="13" t="str">
        <f>IFERROR(__xludf.DUMMYFUNCTION("""COMPUTED_VALUE"""),"0990")</f>
        <v>0990</v>
      </c>
      <c r="B248" s="13" t="str">
        <f>IFERROR(__xludf.DUMMYFUNCTION("""COMPUTED_VALUE"""),"WIDEFIELD 3")</f>
        <v>WIDEFIELD 3</v>
      </c>
      <c r="C248" s="13" t="str">
        <f>IFERROR(__xludf.DUMMYFUNCTION("""COMPUTED_VALUE"""),"08392")</f>
        <v>08392</v>
      </c>
      <c r="D248" s="13" t="str">
        <f>IFERROR(__xludf.DUMMYFUNCTION("""COMPUTED_VALUE"""),"SUNRISE ELEMENTARY SCHOOL")</f>
        <v>SUNRISE ELEMENTARY SCHOOL</v>
      </c>
      <c r="E248" s="13" t="str">
        <f>IFERROR(__xludf.DUMMYFUNCTION("""COMPUTED_VALUE"""),"Open")</f>
        <v>Open</v>
      </c>
      <c r="F248" s="13"/>
      <c r="G248" s="13" t="str">
        <f>IFERROR(__xludf.DUMMYFUNCTION("""COMPUTED_VALUE"""),"7070 GRAND VALLEY DR")</f>
        <v>7070 GRAND VALLEY DR</v>
      </c>
      <c r="H248" s="13" t="str">
        <f>IFERROR(__xludf.DUMMYFUNCTION("""COMPUTED_VALUE"""),"COLORADO SPGS")</f>
        <v>COLORADO SPGS</v>
      </c>
      <c r="I248" s="13" t="str">
        <f>IFERROR(__xludf.DUMMYFUNCTION("""COMPUTED_VALUE"""),"CO")</f>
        <v>CO</v>
      </c>
      <c r="J248" s="13" t="str">
        <f>IFERROR(__xludf.DUMMYFUNCTION("""COMPUTED_VALUE"""),"80911-9687")</f>
        <v>80911-9687</v>
      </c>
      <c r="K248" s="13" t="str">
        <f>IFERROR(__xludf.DUMMYFUNCTION("""COMPUTED_VALUE"""),"El Paso")</f>
        <v>El Paso</v>
      </c>
      <c r="L248" s="17" t="str">
        <f>IFERROR(__xludf.DUMMYFUNCTION("""COMPUTED_VALUE"""),"Y")</f>
        <v>Y</v>
      </c>
      <c r="M248" s="17"/>
      <c r="N248" s="17" t="str">
        <f>IFERROR(__xludf.DUMMYFUNCTION("""COMPUTED_VALUE"""),"Y")</f>
        <v>Y</v>
      </c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>
      <c r="A249" s="13" t="str">
        <f>IFERROR(__xludf.DUMMYFUNCTION("""COMPUTED_VALUE"""),"0990")</f>
        <v>0990</v>
      </c>
      <c r="B249" s="13" t="str">
        <f>IFERROR(__xludf.DUMMYFUNCTION("""COMPUTED_VALUE"""),"WIDEFIELD 3")</f>
        <v>WIDEFIELD 3</v>
      </c>
      <c r="C249" s="13" t="str">
        <f>IFERROR(__xludf.DUMMYFUNCTION("""COMPUTED_VALUE"""),"91771")</f>
        <v>91771</v>
      </c>
      <c r="D249" s="13" t="str">
        <f>IFERROR(__xludf.DUMMYFUNCTION("""COMPUTED_VALUE"""),"Widefield Parks and Recreation")</f>
        <v>Widefield Parks and Recreation</v>
      </c>
      <c r="E249" s="13" t="str">
        <f>IFERROR(__xludf.DUMMYFUNCTION("""COMPUTED_VALUE"""),"Open")</f>
        <v>Open</v>
      </c>
      <c r="F249" s="13"/>
      <c r="G249" s="13" t="str">
        <f>IFERROR(__xludf.DUMMYFUNCTION("""COMPUTED_VALUE"""),"755 ASPEN DR")</f>
        <v>755 ASPEN DR</v>
      </c>
      <c r="H249" s="13" t="str">
        <f>IFERROR(__xludf.DUMMYFUNCTION("""COMPUTED_VALUE"""),"COLORADO SPGS")</f>
        <v>COLORADO SPGS</v>
      </c>
      <c r="I249" s="13" t="str">
        <f>IFERROR(__xludf.DUMMYFUNCTION("""COMPUTED_VALUE"""),"CO")</f>
        <v>CO</v>
      </c>
      <c r="J249" s="13">
        <f>IFERROR(__xludf.DUMMYFUNCTION("""COMPUTED_VALUE"""),80911.0)</f>
        <v>80911</v>
      </c>
      <c r="K249" s="13" t="str">
        <f>IFERROR(__xludf.DUMMYFUNCTION("""COMPUTED_VALUE"""),"El Paso")</f>
        <v>El Paso</v>
      </c>
      <c r="L249" s="17" t="str">
        <f>IFERROR(__xludf.DUMMYFUNCTION("""COMPUTED_VALUE"""),"Y")</f>
        <v>Y</v>
      </c>
      <c r="M249" s="17"/>
      <c r="N249" s="17" t="str">
        <f>IFERROR(__xludf.DUMMYFUNCTION("""COMPUTED_VALUE"""),"Y")</f>
        <v>Y</v>
      </c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>
      <c r="A250" s="13" t="str">
        <f>IFERROR(__xludf.DUMMYFUNCTION("""COMPUTED_VALUE"""),"1000")</f>
        <v>1000</v>
      </c>
      <c r="B250" s="13" t="str">
        <f>IFERROR(__xludf.DUMMYFUNCTION("""COMPUTED_VALUE"""),"FOUNTAIN 8")</f>
        <v>FOUNTAIN 8</v>
      </c>
      <c r="C250" s="13" t="str">
        <f>IFERROR(__xludf.DUMMYFUNCTION("""COMPUTED_VALUE"""),"03027")</f>
        <v>03027</v>
      </c>
      <c r="D250" s="13" t="str">
        <f>IFERROR(__xludf.DUMMYFUNCTION("""COMPUTED_VALUE"""),"EAGLESIDE ELEMENTARY SCHOOL")</f>
        <v>EAGLESIDE ELEMENTARY SCHOOL</v>
      </c>
      <c r="E250" s="13" t="str">
        <f>IFERROR(__xludf.DUMMYFUNCTION("""COMPUTED_VALUE"""),"Open")</f>
        <v>Open</v>
      </c>
      <c r="F250" s="13"/>
      <c r="G250" s="13" t="str">
        <f>IFERROR(__xludf.DUMMYFUNCTION("""COMPUTED_VALUE"""),"9750 SENTRY DR")</f>
        <v>9750 SENTRY DR</v>
      </c>
      <c r="H250" s="13" t="str">
        <f>IFERROR(__xludf.DUMMYFUNCTION("""COMPUTED_VALUE"""),"FOUNTAIN")</f>
        <v>FOUNTAIN</v>
      </c>
      <c r="I250" s="13" t="str">
        <f>IFERROR(__xludf.DUMMYFUNCTION("""COMPUTED_VALUE"""),"CO")</f>
        <v>CO</v>
      </c>
      <c r="J250" s="13" t="str">
        <f>IFERROR(__xludf.DUMMYFUNCTION("""COMPUTED_VALUE"""),"80817-4247")</f>
        <v>80817-4247</v>
      </c>
      <c r="K250" s="13" t="str">
        <f>IFERROR(__xludf.DUMMYFUNCTION("""COMPUTED_VALUE"""),"El Paso")</f>
        <v>El Paso</v>
      </c>
      <c r="L250" s="17" t="str">
        <f>IFERROR(__xludf.DUMMYFUNCTION("""COMPUTED_VALUE"""),"Y")</f>
        <v>Y</v>
      </c>
      <c r="M250" s="17"/>
      <c r="N250" s="17" t="str">
        <f>IFERROR(__xludf.DUMMYFUNCTION("""COMPUTED_VALUE"""),"Y")</f>
        <v>Y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>
      <c r="A251" s="13" t="str">
        <f>IFERROR(__xludf.DUMMYFUNCTION("""COMPUTED_VALUE"""),"1000")</f>
        <v>1000</v>
      </c>
      <c r="B251" s="13" t="str">
        <f>IFERROR(__xludf.DUMMYFUNCTION("""COMPUTED_VALUE"""),"FOUNTAIN 8")</f>
        <v>FOUNTAIN 8</v>
      </c>
      <c r="C251" s="13" t="str">
        <f>IFERROR(__xludf.DUMMYFUNCTION("""COMPUTED_VALUE"""),"03102")</f>
        <v>03102</v>
      </c>
      <c r="D251" s="13" t="str">
        <f>IFERROR(__xludf.DUMMYFUNCTION("""COMPUTED_VALUE"""),"ARAGON ELEMENTARY SCHOOL")</f>
        <v>ARAGON ELEMENTARY SCHOOL</v>
      </c>
      <c r="E251" s="13" t="str">
        <f>IFERROR(__xludf.DUMMYFUNCTION("""COMPUTED_VALUE"""),"Open")</f>
        <v>Open</v>
      </c>
      <c r="F251" s="13"/>
      <c r="G251" s="13" t="str">
        <f>IFERROR(__xludf.DUMMYFUNCTION("""COMPUTED_VALUE"""),"211 S MAIN ST")</f>
        <v>211 S MAIN ST</v>
      </c>
      <c r="H251" s="13" t="str">
        <f>IFERROR(__xludf.DUMMYFUNCTION("""COMPUTED_VALUE"""),"FOUNTAIN")</f>
        <v>FOUNTAIN</v>
      </c>
      <c r="I251" s="13" t="str">
        <f>IFERROR(__xludf.DUMMYFUNCTION("""COMPUTED_VALUE"""),"CO")</f>
        <v>CO</v>
      </c>
      <c r="J251" s="13" t="str">
        <f>IFERROR(__xludf.DUMMYFUNCTION("""COMPUTED_VALUE"""),"80817-2305")</f>
        <v>80817-2305</v>
      </c>
      <c r="K251" s="13" t="str">
        <f>IFERROR(__xludf.DUMMYFUNCTION("""COMPUTED_VALUE"""),"El Paso")</f>
        <v>El Paso</v>
      </c>
      <c r="L251" s="17" t="str">
        <f>IFERROR(__xludf.DUMMYFUNCTION("""COMPUTED_VALUE"""),"Y")</f>
        <v>Y</v>
      </c>
      <c r="M251" s="17"/>
      <c r="N251" s="17" t="str">
        <f>IFERROR(__xludf.DUMMYFUNCTION("""COMPUTED_VALUE"""),"Y")</f>
        <v>Y</v>
      </c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>
      <c r="A252" s="13" t="str">
        <f>IFERROR(__xludf.DUMMYFUNCTION("""COMPUTED_VALUE"""),"1000")</f>
        <v>1000</v>
      </c>
      <c r="B252" s="13" t="str">
        <f>IFERROR(__xludf.DUMMYFUNCTION("""COMPUTED_VALUE"""),"FOUNTAIN 8")</f>
        <v>FOUNTAIN 8</v>
      </c>
      <c r="C252" s="13" t="str">
        <f>IFERROR(__xludf.DUMMYFUNCTION("""COMPUTED_VALUE"""),"03106")</f>
        <v>03106</v>
      </c>
      <c r="D252" s="13" t="str">
        <f>IFERROR(__xludf.DUMMYFUNCTION("""COMPUTED_VALUE"""),"FOUNTAIN MIDDLE SCHOOL")</f>
        <v>FOUNTAIN MIDDLE SCHOOL</v>
      </c>
      <c r="E252" s="13" t="str">
        <f>IFERROR(__xludf.DUMMYFUNCTION("""COMPUTED_VALUE"""),"Open")</f>
        <v>Open</v>
      </c>
      <c r="F252" s="13"/>
      <c r="G252" s="13" t="str">
        <f>IFERROR(__xludf.DUMMYFUNCTION("""COMPUTED_VALUE"""),"515 N SANTA FE AVE")</f>
        <v>515 N SANTA FE AVE</v>
      </c>
      <c r="H252" s="13" t="str">
        <f>IFERROR(__xludf.DUMMYFUNCTION("""COMPUTED_VALUE"""),"FOUNTAIN")</f>
        <v>FOUNTAIN</v>
      </c>
      <c r="I252" s="13" t="str">
        <f>IFERROR(__xludf.DUMMYFUNCTION("""COMPUTED_VALUE"""),"CO")</f>
        <v>CO</v>
      </c>
      <c r="J252" s="13" t="str">
        <f>IFERROR(__xludf.DUMMYFUNCTION("""COMPUTED_VALUE"""),"80817-1743")</f>
        <v>80817-1743</v>
      </c>
      <c r="K252" s="13" t="str">
        <f>IFERROR(__xludf.DUMMYFUNCTION("""COMPUTED_VALUE"""),"El Paso")</f>
        <v>El Paso</v>
      </c>
      <c r="L252" s="17" t="str">
        <f>IFERROR(__xludf.DUMMYFUNCTION("""COMPUTED_VALUE"""),"Y")</f>
        <v>Y</v>
      </c>
      <c r="M252" s="17"/>
      <c r="N252" s="17" t="str">
        <f>IFERROR(__xludf.DUMMYFUNCTION("""COMPUTED_VALUE"""),"Y")</f>
        <v>Y</v>
      </c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>
      <c r="A253" s="13" t="str">
        <f>IFERROR(__xludf.DUMMYFUNCTION("""COMPUTED_VALUE"""),"1000")</f>
        <v>1000</v>
      </c>
      <c r="B253" s="13" t="str">
        <f>IFERROR(__xludf.DUMMYFUNCTION("""COMPUTED_VALUE"""),"FOUNTAIN 8")</f>
        <v>FOUNTAIN 8</v>
      </c>
      <c r="C253" s="13" t="str">
        <f>IFERROR(__xludf.DUMMYFUNCTION("""COMPUTED_VALUE"""),"06338")</f>
        <v>06338</v>
      </c>
      <c r="D253" s="13" t="str">
        <f>IFERROR(__xludf.DUMMYFUNCTION("""COMPUTED_VALUE"""),"PATRIOT ELEMENTARY SCHOOL")</f>
        <v>PATRIOT ELEMENTARY SCHOOL</v>
      </c>
      <c r="E253" s="13" t="str">
        <f>IFERROR(__xludf.DUMMYFUNCTION("""COMPUTED_VALUE"""),"Open")</f>
        <v>Open</v>
      </c>
      <c r="F253" s="13"/>
      <c r="G253" s="13" t="str">
        <f>IFERROR(__xludf.DUMMYFUNCTION("""COMPUTED_VALUE"""),"7010 HARR AVE")</f>
        <v>7010 HARR AVE</v>
      </c>
      <c r="H253" s="13" t="str">
        <f>IFERROR(__xludf.DUMMYFUNCTION("""COMPUTED_VALUE"""),"COLORADO SPGS")</f>
        <v>COLORADO SPGS</v>
      </c>
      <c r="I253" s="13" t="str">
        <f>IFERROR(__xludf.DUMMYFUNCTION("""COMPUTED_VALUE"""),"CO")</f>
        <v>CO</v>
      </c>
      <c r="J253" s="13" t="str">
        <f>IFERROR(__xludf.DUMMYFUNCTION("""COMPUTED_VALUE"""),"80902-2190")</f>
        <v>80902-2190</v>
      </c>
      <c r="K253" s="13" t="str">
        <f>IFERROR(__xludf.DUMMYFUNCTION("""COMPUTED_VALUE"""),"El Paso")</f>
        <v>El Paso</v>
      </c>
      <c r="L253" s="17" t="str">
        <f>IFERROR(__xludf.DUMMYFUNCTION("""COMPUTED_VALUE"""),"Y")</f>
        <v>Y</v>
      </c>
      <c r="M253" s="17"/>
      <c r="N253" s="17" t="str">
        <f>IFERROR(__xludf.DUMMYFUNCTION("""COMPUTED_VALUE"""),"Y")</f>
        <v>Y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>
      <c r="A254" s="13" t="str">
        <f>IFERROR(__xludf.DUMMYFUNCTION("""COMPUTED_VALUE"""),"1010")</f>
        <v>1010</v>
      </c>
      <c r="B254" s="13" t="str">
        <f>IFERROR(__xludf.DUMMYFUNCTION("""COMPUTED_VALUE"""),"COLORADO SPRINGS 11")</f>
        <v>COLORADO SPRINGS 11</v>
      </c>
      <c r="C254" s="13" t="str">
        <f>IFERROR(__xludf.DUMMYFUNCTION("""COMPUTED_VALUE"""),"01032")</f>
        <v>01032</v>
      </c>
      <c r="D254" s="13" t="str">
        <f>IFERROR(__xludf.DUMMYFUNCTION("""COMPUTED_VALUE"""),"BRISTOL ELEMENTARY SCHOOL")</f>
        <v>BRISTOL ELEMENTARY SCHOOL</v>
      </c>
      <c r="E254" s="13" t="str">
        <f>IFERROR(__xludf.DUMMYFUNCTION("""COMPUTED_VALUE"""),"Open")</f>
        <v>Open</v>
      </c>
      <c r="F254" s="13"/>
      <c r="G254" s="13" t="str">
        <f>IFERROR(__xludf.DUMMYFUNCTION("""COMPUTED_VALUE"""),"890 N WALNUT ST")</f>
        <v>890 N WALNUT ST</v>
      </c>
      <c r="H254" s="13" t="str">
        <f>IFERROR(__xludf.DUMMYFUNCTION("""COMPUTED_VALUE"""),"COLORADO SPGS")</f>
        <v>COLORADO SPGS</v>
      </c>
      <c r="I254" s="13" t="str">
        <f>IFERROR(__xludf.DUMMYFUNCTION("""COMPUTED_VALUE"""),"CO")</f>
        <v>CO</v>
      </c>
      <c r="J254" s="13" t="str">
        <f>IFERROR(__xludf.DUMMYFUNCTION("""COMPUTED_VALUE"""),"80905-1052")</f>
        <v>80905-1052</v>
      </c>
      <c r="K254" s="13" t="str">
        <f>IFERROR(__xludf.DUMMYFUNCTION("""COMPUTED_VALUE"""),"El Paso")</f>
        <v>El Paso</v>
      </c>
      <c r="L254" s="17" t="str">
        <f>IFERROR(__xludf.DUMMYFUNCTION("""COMPUTED_VALUE"""),"Y")</f>
        <v>Y</v>
      </c>
      <c r="M254" s="17"/>
      <c r="N254" s="17" t="str">
        <f>IFERROR(__xludf.DUMMYFUNCTION("""COMPUTED_VALUE"""),"Y")</f>
        <v>Y</v>
      </c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>
      <c r="A255" s="13" t="str">
        <f>IFERROR(__xludf.DUMMYFUNCTION("""COMPUTED_VALUE"""),"1010")</f>
        <v>1010</v>
      </c>
      <c r="B255" s="13" t="str">
        <f>IFERROR(__xludf.DUMMYFUNCTION("""COMPUTED_VALUE"""),"COLORADO SPRINGS 11")</f>
        <v>COLORADO SPRINGS 11</v>
      </c>
      <c r="C255" s="13" t="str">
        <f>IFERROR(__xludf.DUMMYFUNCTION("""COMPUTED_VALUE"""),"01340")</f>
        <v>01340</v>
      </c>
      <c r="D255" s="13" t="str">
        <f>IFERROR(__xludf.DUMMYFUNCTION("""COMPUTED_VALUE"""),"CARVER ELEMENTARY SCHOOL")</f>
        <v>CARVER ELEMENTARY SCHOOL</v>
      </c>
      <c r="E255" s="13" t="str">
        <f>IFERROR(__xludf.DUMMYFUNCTION("""COMPUTED_VALUE"""),"Open")</f>
        <v>Open</v>
      </c>
      <c r="F255" s="13"/>
      <c r="G255" s="13" t="str">
        <f>IFERROR(__xludf.DUMMYFUNCTION("""COMPUTED_VALUE"""),"4740 ARTISTIC CIR")</f>
        <v>4740 ARTISTIC CIR</v>
      </c>
      <c r="H255" s="13" t="str">
        <f>IFERROR(__xludf.DUMMYFUNCTION("""COMPUTED_VALUE"""),"COLORADO SPGS")</f>
        <v>COLORADO SPGS</v>
      </c>
      <c r="I255" s="13" t="str">
        <f>IFERROR(__xludf.DUMMYFUNCTION("""COMPUTED_VALUE"""),"CO")</f>
        <v>CO</v>
      </c>
      <c r="J255" s="13" t="str">
        <f>IFERROR(__xludf.DUMMYFUNCTION("""COMPUTED_VALUE"""),"80917-2102")</f>
        <v>80917-2102</v>
      </c>
      <c r="K255" s="13" t="str">
        <f>IFERROR(__xludf.DUMMYFUNCTION("""COMPUTED_VALUE"""),"El Paso")</f>
        <v>El Paso</v>
      </c>
      <c r="L255" s="17" t="str">
        <f>IFERROR(__xludf.DUMMYFUNCTION("""COMPUTED_VALUE"""),"Y")</f>
        <v>Y</v>
      </c>
      <c r="M255" s="17"/>
      <c r="N255" s="17" t="str">
        <f>IFERROR(__xludf.DUMMYFUNCTION("""COMPUTED_VALUE"""),"Y")</f>
        <v>Y</v>
      </c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>
      <c r="A256" s="13" t="str">
        <f>IFERROR(__xludf.DUMMYFUNCTION("""COMPUTED_VALUE"""),"1010")</f>
        <v>1010</v>
      </c>
      <c r="B256" s="13" t="str">
        <f>IFERROR(__xludf.DUMMYFUNCTION("""COMPUTED_VALUE"""),"COLORADO SPRINGS 11")</f>
        <v>COLORADO SPRINGS 11</v>
      </c>
      <c r="C256" s="13" t="str">
        <f>IFERROR(__xludf.DUMMYFUNCTION("""COMPUTED_VALUE"""),"01870")</f>
        <v>01870</v>
      </c>
      <c r="D256" s="13" t="str">
        <f>IFERROR(__xludf.DUMMYFUNCTION("""COMPUTED_VALUE"""),"CORONADO HIGH SCHOOL")</f>
        <v>CORONADO HIGH SCHOOL</v>
      </c>
      <c r="E256" s="13" t="str">
        <f>IFERROR(__xludf.DUMMYFUNCTION("""COMPUTED_VALUE"""),"Open")</f>
        <v>Open</v>
      </c>
      <c r="F256" s="13"/>
      <c r="G256" s="13" t="str">
        <f>IFERROR(__xludf.DUMMYFUNCTION("""COMPUTED_VALUE"""),"1590 W FILLMORE ST")</f>
        <v>1590 W FILLMORE ST</v>
      </c>
      <c r="H256" s="13" t="str">
        <f>IFERROR(__xludf.DUMMYFUNCTION("""COMPUTED_VALUE"""),"COLORADO SPGS")</f>
        <v>COLORADO SPGS</v>
      </c>
      <c r="I256" s="13" t="str">
        <f>IFERROR(__xludf.DUMMYFUNCTION("""COMPUTED_VALUE"""),"CO")</f>
        <v>CO</v>
      </c>
      <c r="J256" s="13" t="str">
        <f>IFERROR(__xludf.DUMMYFUNCTION("""COMPUTED_VALUE"""),"80904-1104")</f>
        <v>80904-1104</v>
      </c>
      <c r="K256" s="13" t="str">
        <f>IFERROR(__xludf.DUMMYFUNCTION("""COMPUTED_VALUE"""),"El Paso")</f>
        <v>El Paso</v>
      </c>
      <c r="L256" s="17" t="str">
        <f>IFERROR(__xludf.DUMMYFUNCTION("""COMPUTED_VALUE"""),"Y")</f>
        <v>Y</v>
      </c>
      <c r="M256" s="17"/>
      <c r="N256" s="17" t="str">
        <f>IFERROR(__xludf.DUMMYFUNCTION("""COMPUTED_VALUE"""),"Y")</f>
        <v>Y</v>
      </c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>
      <c r="A257" s="13" t="str">
        <f>IFERROR(__xludf.DUMMYFUNCTION("""COMPUTED_VALUE"""),"1010")</f>
        <v>1010</v>
      </c>
      <c r="B257" s="13" t="str">
        <f>IFERROR(__xludf.DUMMYFUNCTION("""COMPUTED_VALUE"""),"COLORADO SPRINGS 11")</f>
        <v>COLORADO SPRINGS 11</v>
      </c>
      <c r="C257" s="13" t="str">
        <f>IFERROR(__xludf.DUMMYFUNCTION("""COMPUTED_VALUE"""),"02202")</f>
        <v>02202</v>
      </c>
      <c r="D257" s="13" t="str">
        <f>IFERROR(__xludf.DUMMYFUNCTION("""COMPUTED_VALUE"""),"DOHERTY HIGH SCHOOL")</f>
        <v>DOHERTY HIGH SCHOOL</v>
      </c>
      <c r="E257" s="13" t="str">
        <f>IFERROR(__xludf.DUMMYFUNCTION("""COMPUTED_VALUE"""),"Open")</f>
        <v>Open</v>
      </c>
      <c r="F257" s="13"/>
      <c r="G257" s="13" t="str">
        <f>IFERROR(__xludf.DUMMYFUNCTION("""COMPUTED_VALUE"""),"4515 BARNES RD")</f>
        <v>4515 BARNES RD</v>
      </c>
      <c r="H257" s="13" t="str">
        <f>IFERROR(__xludf.DUMMYFUNCTION("""COMPUTED_VALUE"""),"COLORADO SPGS")</f>
        <v>COLORADO SPGS</v>
      </c>
      <c r="I257" s="13" t="str">
        <f>IFERROR(__xludf.DUMMYFUNCTION("""COMPUTED_VALUE"""),"CO")</f>
        <v>CO</v>
      </c>
      <c r="J257" s="13" t="str">
        <f>IFERROR(__xludf.DUMMYFUNCTION("""COMPUTED_VALUE"""),"80917-1519")</f>
        <v>80917-1519</v>
      </c>
      <c r="K257" s="13" t="str">
        <f>IFERROR(__xludf.DUMMYFUNCTION("""COMPUTED_VALUE"""),"El Paso")</f>
        <v>El Paso</v>
      </c>
      <c r="L257" s="17" t="str">
        <f>IFERROR(__xludf.DUMMYFUNCTION("""COMPUTED_VALUE"""),"Y")</f>
        <v>Y</v>
      </c>
      <c r="M257" s="17"/>
      <c r="N257" s="17" t="str">
        <f>IFERROR(__xludf.DUMMYFUNCTION("""COMPUTED_VALUE"""),"Y")</f>
        <v>Y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>
      <c r="A258" s="13" t="str">
        <f>IFERROR(__xludf.DUMMYFUNCTION("""COMPUTED_VALUE"""),"1010")</f>
        <v>1010</v>
      </c>
      <c r="B258" s="13" t="str">
        <f>IFERROR(__xludf.DUMMYFUNCTION("""COMPUTED_VALUE"""),"COLORADO SPRINGS 11")</f>
        <v>COLORADO SPRINGS 11</v>
      </c>
      <c r="C258" s="13" t="str">
        <f>IFERROR(__xludf.DUMMYFUNCTION("""COMPUTED_VALUE"""),"02528")</f>
        <v>02528</v>
      </c>
      <c r="D258" s="13" t="str">
        <f>IFERROR(__xludf.DUMMYFUNCTION("""COMPUTED_VALUE"""),"NIKOLA TESLA EDUCATION OPPORTUNITY CENTER")</f>
        <v>NIKOLA TESLA EDUCATION OPPORTUNITY CENTER</v>
      </c>
      <c r="E258" s="13" t="str">
        <f>IFERROR(__xludf.DUMMYFUNCTION("""COMPUTED_VALUE"""),"Open")</f>
        <v>Open</v>
      </c>
      <c r="F258" s="13"/>
      <c r="G258" s="13" t="str">
        <f>IFERROR(__xludf.DUMMYFUNCTION("""COMPUTED_VALUE"""),"3302 ALPINE PL")</f>
        <v>3302 ALPINE PL</v>
      </c>
      <c r="H258" s="13" t="str">
        <f>IFERROR(__xludf.DUMMYFUNCTION("""COMPUTED_VALUE"""),"COLORADO SPGS")</f>
        <v>COLORADO SPGS</v>
      </c>
      <c r="I258" s="13" t="str">
        <f>IFERROR(__xludf.DUMMYFUNCTION("""COMPUTED_VALUE"""),"CO")</f>
        <v>CO</v>
      </c>
      <c r="J258" s="13" t="str">
        <f>IFERROR(__xludf.DUMMYFUNCTION("""COMPUTED_VALUE"""),"80909-2100")</f>
        <v>80909-2100</v>
      </c>
      <c r="K258" s="13" t="str">
        <f>IFERROR(__xludf.DUMMYFUNCTION("""COMPUTED_VALUE"""),"El Paso")</f>
        <v>El Paso</v>
      </c>
      <c r="L258" s="17" t="str">
        <f>IFERROR(__xludf.DUMMYFUNCTION("""COMPUTED_VALUE"""),"Y")</f>
        <v>Y</v>
      </c>
      <c r="M258" s="17"/>
      <c r="N258" s="17" t="str">
        <f>IFERROR(__xludf.DUMMYFUNCTION("""COMPUTED_VALUE"""),"Y")</f>
        <v>Y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>
      <c r="A259" s="13" t="str">
        <f>IFERROR(__xludf.DUMMYFUNCTION("""COMPUTED_VALUE"""),"1010")</f>
        <v>1010</v>
      </c>
      <c r="B259" s="13" t="str">
        <f>IFERROR(__xludf.DUMMYFUNCTION("""COMPUTED_VALUE"""),"COLORADO SPRINGS 11")</f>
        <v>COLORADO SPRINGS 11</v>
      </c>
      <c r="C259" s="13" t="str">
        <f>IFERROR(__xludf.DUMMYFUNCTION("""COMPUTED_VALUE"""),"03592")</f>
        <v>03592</v>
      </c>
      <c r="D259" s="13" t="str">
        <f>IFERROR(__xludf.DUMMYFUNCTION("""COMPUTED_VALUE"""),"GRANT ELEMENTARY SCHOOL")</f>
        <v>GRANT ELEMENTARY SCHOOL</v>
      </c>
      <c r="E259" s="13" t="str">
        <f>IFERROR(__xludf.DUMMYFUNCTION("""COMPUTED_VALUE"""),"Open")</f>
        <v>Open</v>
      </c>
      <c r="F259" s="13"/>
      <c r="G259" s="13" t="str">
        <f>IFERROR(__xludf.DUMMYFUNCTION("""COMPUTED_VALUE"""),"3215 WESTWOOD BLVD")</f>
        <v>3215 WESTWOOD BLVD</v>
      </c>
      <c r="H259" s="13" t="str">
        <f>IFERROR(__xludf.DUMMYFUNCTION("""COMPUTED_VALUE"""),"COLORADO SPGS")</f>
        <v>COLORADO SPGS</v>
      </c>
      <c r="I259" s="13" t="str">
        <f>IFERROR(__xludf.DUMMYFUNCTION("""COMPUTED_VALUE"""),"CO")</f>
        <v>CO</v>
      </c>
      <c r="J259" s="13" t="str">
        <f>IFERROR(__xludf.DUMMYFUNCTION("""COMPUTED_VALUE"""),"80918-4221")</f>
        <v>80918-4221</v>
      </c>
      <c r="K259" s="13" t="str">
        <f>IFERROR(__xludf.DUMMYFUNCTION("""COMPUTED_VALUE"""),"El Paso")</f>
        <v>El Paso</v>
      </c>
      <c r="L259" s="17" t="str">
        <f>IFERROR(__xludf.DUMMYFUNCTION("""COMPUTED_VALUE"""),"Y")</f>
        <v>Y</v>
      </c>
      <c r="M259" s="17"/>
      <c r="N259" s="17" t="str">
        <f>IFERROR(__xludf.DUMMYFUNCTION("""COMPUTED_VALUE"""),"Y")</f>
        <v>Y</v>
      </c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>
      <c r="A260" s="13" t="str">
        <f>IFERROR(__xludf.DUMMYFUNCTION("""COMPUTED_VALUE"""),"1010")</f>
        <v>1010</v>
      </c>
      <c r="B260" s="13" t="str">
        <f>IFERROR(__xludf.DUMMYFUNCTION("""COMPUTED_VALUE"""),"COLORADO SPRINGS 11")</f>
        <v>COLORADO SPRINGS 11</v>
      </c>
      <c r="C260" s="13" t="str">
        <f>IFERROR(__xludf.DUMMYFUNCTION("""COMPUTED_VALUE"""),"03920")</f>
        <v>03920</v>
      </c>
      <c r="D260" s="13" t="str">
        <f>IFERROR(__xludf.DUMMYFUNCTION("""COMPUTED_VALUE"""),"HENRY ELEMENTARY SCHOOL")</f>
        <v>HENRY ELEMENTARY SCHOOL</v>
      </c>
      <c r="E260" s="13" t="str">
        <f>IFERROR(__xludf.DUMMYFUNCTION("""COMPUTED_VALUE"""),"Open")</f>
        <v>Open</v>
      </c>
      <c r="F260" s="13"/>
      <c r="G260" s="13" t="str">
        <f>IFERROR(__xludf.DUMMYFUNCTION("""COMPUTED_VALUE"""),"1310 LEHMBERG BLVD")</f>
        <v>1310 LEHMBERG BLVD</v>
      </c>
      <c r="H260" s="13" t="str">
        <f>IFERROR(__xludf.DUMMYFUNCTION("""COMPUTED_VALUE"""),"COLORADO SPGS")</f>
        <v>COLORADO SPGS</v>
      </c>
      <c r="I260" s="13" t="str">
        <f>IFERROR(__xludf.DUMMYFUNCTION("""COMPUTED_VALUE"""),"CO")</f>
        <v>CO</v>
      </c>
      <c r="J260" s="13" t="str">
        <f>IFERROR(__xludf.DUMMYFUNCTION("""COMPUTED_VALUE"""),"80915-2351")</f>
        <v>80915-2351</v>
      </c>
      <c r="K260" s="13" t="str">
        <f>IFERROR(__xludf.DUMMYFUNCTION("""COMPUTED_VALUE"""),"El Paso")</f>
        <v>El Paso</v>
      </c>
      <c r="L260" s="17" t="str">
        <f>IFERROR(__xludf.DUMMYFUNCTION("""COMPUTED_VALUE"""),"Y")</f>
        <v>Y</v>
      </c>
      <c r="M260" s="17"/>
      <c r="N260" s="17" t="str">
        <f>IFERROR(__xludf.DUMMYFUNCTION("""COMPUTED_VALUE"""),"Y")</f>
        <v>Y</v>
      </c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>
      <c r="A261" s="13" t="str">
        <f>IFERROR(__xludf.DUMMYFUNCTION("""COMPUTED_VALUE"""),"1010")</f>
        <v>1010</v>
      </c>
      <c r="B261" s="13" t="str">
        <f>IFERROR(__xludf.DUMMYFUNCTION("""COMPUTED_VALUE"""),"COLORADO SPRINGS 11")</f>
        <v>COLORADO SPRINGS 11</v>
      </c>
      <c r="C261" s="13" t="str">
        <f>IFERROR(__xludf.DUMMYFUNCTION("""COMPUTED_VALUE"""),"04358")</f>
        <v>04358</v>
      </c>
      <c r="D261" s="13" t="str">
        <f>IFERROR(__xludf.DUMMYFUNCTION("""COMPUTED_VALUE"""),"JACKSON ELEMENTARY SCHOOL")</f>
        <v>JACKSON ELEMENTARY SCHOOL</v>
      </c>
      <c r="E261" s="13" t="str">
        <f>IFERROR(__xludf.DUMMYFUNCTION("""COMPUTED_VALUE"""),"Open")</f>
        <v>Open</v>
      </c>
      <c r="F261" s="13"/>
      <c r="G261" s="13" t="str">
        <f>IFERROR(__xludf.DUMMYFUNCTION("""COMPUTED_VALUE"""),"4340 EDWINSTOWE AVE")</f>
        <v>4340 EDWINSTOWE AVE</v>
      </c>
      <c r="H261" s="13" t="str">
        <f>IFERROR(__xludf.DUMMYFUNCTION("""COMPUTED_VALUE"""),"COLORADO SPGS")</f>
        <v>COLORADO SPGS</v>
      </c>
      <c r="I261" s="13" t="str">
        <f>IFERROR(__xludf.DUMMYFUNCTION("""COMPUTED_VALUE"""),"CO")</f>
        <v>CO</v>
      </c>
      <c r="J261" s="13" t="str">
        <f>IFERROR(__xludf.DUMMYFUNCTION("""COMPUTED_VALUE"""),"80907-3940")</f>
        <v>80907-3940</v>
      </c>
      <c r="K261" s="13" t="str">
        <f>IFERROR(__xludf.DUMMYFUNCTION("""COMPUTED_VALUE"""),"El Paso")</f>
        <v>El Paso</v>
      </c>
      <c r="L261" s="17" t="str">
        <f>IFERROR(__xludf.DUMMYFUNCTION("""COMPUTED_VALUE"""),"Y")</f>
        <v>Y</v>
      </c>
      <c r="M261" s="17"/>
      <c r="N261" s="17" t="str">
        <f>IFERROR(__xludf.DUMMYFUNCTION("""COMPUTED_VALUE"""),"Y")</f>
        <v>Y</v>
      </c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>
      <c r="A262" s="13" t="str">
        <f>IFERROR(__xludf.DUMMYFUNCTION("""COMPUTED_VALUE"""),"1010")</f>
        <v>1010</v>
      </c>
      <c r="B262" s="13" t="str">
        <f>IFERROR(__xludf.DUMMYFUNCTION("""COMPUTED_VALUE"""),"COLORADO SPRINGS 11")</f>
        <v>COLORADO SPRINGS 11</v>
      </c>
      <c r="C262" s="13" t="str">
        <f>IFERROR(__xludf.DUMMYFUNCTION("""COMPUTED_VALUE"""),"04530")</f>
        <v>04530</v>
      </c>
      <c r="D262" s="13" t="str">
        <f>IFERROR(__xludf.DUMMYFUNCTION("""COMPUTED_VALUE"""),"KELLER ELEMENTARY SCHOOL")</f>
        <v>KELLER ELEMENTARY SCHOOL</v>
      </c>
      <c r="E262" s="13" t="str">
        <f>IFERROR(__xludf.DUMMYFUNCTION("""COMPUTED_VALUE"""),"Open")</f>
        <v>Open</v>
      </c>
      <c r="F262" s="13"/>
      <c r="G262" s="13" t="str">
        <f>IFERROR(__xludf.DUMMYFUNCTION("""COMPUTED_VALUE"""),"3730 MONTEBELLO DR W")</f>
        <v>3730 MONTEBELLO DR W</v>
      </c>
      <c r="H262" s="13" t="str">
        <f>IFERROR(__xludf.DUMMYFUNCTION("""COMPUTED_VALUE"""),"COLORADO SPGS")</f>
        <v>COLORADO SPGS</v>
      </c>
      <c r="I262" s="13" t="str">
        <f>IFERROR(__xludf.DUMMYFUNCTION("""COMPUTED_VALUE"""),"CO")</f>
        <v>CO</v>
      </c>
      <c r="J262" s="13" t="str">
        <f>IFERROR(__xludf.DUMMYFUNCTION("""COMPUTED_VALUE"""),"80918-2427")</f>
        <v>80918-2427</v>
      </c>
      <c r="K262" s="13" t="str">
        <f>IFERROR(__xludf.DUMMYFUNCTION("""COMPUTED_VALUE"""),"El Paso")</f>
        <v>El Paso</v>
      </c>
      <c r="L262" s="17" t="str">
        <f>IFERROR(__xludf.DUMMYFUNCTION("""COMPUTED_VALUE"""),"Y")</f>
        <v>Y</v>
      </c>
      <c r="M262" s="17"/>
      <c r="N262" s="17" t="str">
        <f>IFERROR(__xludf.DUMMYFUNCTION("""COMPUTED_VALUE"""),"Y")</f>
        <v>Y</v>
      </c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>
      <c r="A263" s="13" t="str">
        <f>IFERROR(__xludf.DUMMYFUNCTION("""COMPUTED_VALUE"""),"1010")</f>
        <v>1010</v>
      </c>
      <c r="B263" s="13" t="str">
        <f>IFERROR(__xludf.DUMMYFUNCTION("""COMPUTED_VALUE"""),"COLORADO SPRINGS 11")</f>
        <v>COLORADO SPRINGS 11</v>
      </c>
      <c r="C263" s="13" t="str">
        <f>IFERROR(__xludf.DUMMYFUNCTION("""COMPUTED_VALUE"""),"05948")</f>
        <v>05948</v>
      </c>
      <c r="D263" s="13" t="str">
        <f>IFERROR(__xludf.DUMMYFUNCTION("""COMPUTED_VALUE"""),"MITCHELL HIGH SCHOOL")</f>
        <v>MITCHELL HIGH SCHOOL</v>
      </c>
      <c r="E263" s="13" t="str">
        <f>IFERROR(__xludf.DUMMYFUNCTION("""COMPUTED_VALUE"""),"Open")</f>
        <v>Open</v>
      </c>
      <c r="F263" s="13"/>
      <c r="G263" s="13" t="str">
        <f>IFERROR(__xludf.DUMMYFUNCTION("""COMPUTED_VALUE"""),"1204 POTTER DR")</f>
        <v>1204 POTTER DR</v>
      </c>
      <c r="H263" s="13" t="str">
        <f>IFERROR(__xludf.DUMMYFUNCTION("""COMPUTED_VALUE"""),"COLORADO SPGS")</f>
        <v>COLORADO SPGS</v>
      </c>
      <c r="I263" s="13" t="str">
        <f>IFERROR(__xludf.DUMMYFUNCTION("""COMPUTED_VALUE"""),"CO")</f>
        <v>CO</v>
      </c>
      <c r="J263" s="13" t="str">
        <f>IFERROR(__xludf.DUMMYFUNCTION("""COMPUTED_VALUE"""),"80909-7133")</f>
        <v>80909-7133</v>
      </c>
      <c r="K263" s="13" t="str">
        <f>IFERROR(__xludf.DUMMYFUNCTION("""COMPUTED_VALUE"""),"El Paso")</f>
        <v>El Paso</v>
      </c>
      <c r="L263" s="17" t="str">
        <f>IFERROR(__xludf.DUMMYFUNCTION("""COMPUTED_VALUE"""),"Y")</f>
        <v>Y</v>
      </c>
      <c r="M263" s="17"/>
      <c r="N263" s="17" t="str">
        <f>IFERROR(__xludf.DUMMYFUNCTION("""COMPUTED_VALUE"""),"Y")</f>
        <v>Y</v>
      </c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>
      <c r="A264" s="13" t="str">
        <f>IFERROR(__xludf.DUMMYFUNCTION("""COMPUTED_VALUE"""),"1010")</f>
        <v>1010</v>
      </c>
      <c r="B264" s="13" t="str">
        <f>IFERROR(__xludf.DUMMYFUNCTION("""COMPUTED_VALUE"""),"COLORADO SPRINGS 11")</f>
        <v>COLORADO SPRINGS 11</v>
      </c>
      <c r="C264" s="13" t="str">
        <f>IFERROR(__xludf.DUMMYFUNCTION("""COMPUTED_VALUE"""),"06680")</f>
        <v>06680</v>
      </c>
      <c r="D264" s="13" t="str">
        <f>IFERROR(__xludf.DUMMYFUNCTION("""COMPUTED_VALUE"""),"PALMER HIGH SCHOOL")</f>
        <v>PALMER HIGH SCHOOL</v>
      </c>
      <c r="E264" s="13" t="str">
        <f>IFERROR(__xludf.DUMMYFUNCTION("""COMPUTED_VALUE"""),"Open")</f>
        <v>Open</v>
      </c>
      <c r="F264" s="13"/>
      <c r="G264" s="13" t="str">
        <f>IFERROR(__xludf.DUMMYFUNCTION("""COMPUTED_VALUE"""),"301 N NEVADA AVE")</f>
        <v>301 N NEVADA AVE</v>
      </c>
      <c r="H264" s="13" t="str">
        <f>IFERROR(__xludf.DUMMYFUNCTION("""COMPUTED_VALUE"""),"COLORADO SPGS")</f>
        <v>COLORADO SPGS</v>
      </c>
      <c r="I264" s="13" t="str">
        <f>IFERROR(__xludf.DUMMYFUNCTION("""COMPUTED_VALUE"""),"CO")</f>
        <v>CO</v>
      </c>
      <c r="J264" s="13" t="str">
        <f>IFERROR(__xludf.DUMMYFUNCTION("""COMPUTED_VALUE"""),"80903-1218")</f>
        <v>80903-1218</v>
      </c>
      <c r="K264" s="13" t="str">
        <f>IFERROR(__xludf.DUMMYFUNCTION("""COMPUTED_VALUE"""),"El Paso")</f>
        <v>El Paso</v>
      </c>
      <c r="L264" s="17" t="str">
        <f>IFERROR(__xludf.DUMMYFUNCTION("""COMPUTED_VALUE"""),"Y")</f>
        <v>Y</v>
      </c>
      <c r="M264" s="17"/>
      <c r="N264" s="17" t="str">
        <f>IFERROR(__xludf.DUMMYFUNCTION("""COMPUTED_VALUE"""),"Y")</f>
        <v>Y</v>
      </c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>
      <c r="A265" s="13" t="str">
        <f>IFERROR(__xludf.DUMMYFUNCTION("""COMPUTED_VALUE"""),"1010")</f>
        <v>1010</v>
      </c>
      <c r="B265" s="13" t="str">
        <f>IFERROR(__xludf.DUMMYFUNCTION("""COMPUTED_VALUE"""),"COLORADO SPRINGS 11")</f>
        <v>COLORADO SPRINGS 11</v>
      </c>
      <c r="C265" s="13" t="str">
        <f>IFERROR(__xludf.DUMMYFUNCTION("""COMPUTED_VALUE"""),"07482")</f>
        <v>07482</v>
      </c>
      <c r="D265" s="13" t="str">
        <f>IFERROR(__xludf.DUMMYFUNCTION("""COMPUTED_VALUE"""),"ROOSEVELT EDISON CHARTER SCHOOL")</f>
        <v>ROOSEVELT EDISON CHARTER SCHOOL</v>
      </c>
      <c r="E265" s="13" t="str">
        <f>IFERROR(__xludf.DUMMYFUNCTION("""COMPUTED_VALUE"""),"Open")</f>
        <v>Open</v>
      </c>
      <c r="F265" s="13"/>
      <c r="G265" s="13" t="str">
        <f>IFERROR(__xludf.DUMMYFUNCTION("""COMPUTED_VALUE"""),"205 BYRON DR")</f>
        <v>205 BYRON DR</v>
      </c>
      <c r="H265" s="13" t="str">
        <f>IFERROR(__xludf.DUMMYFUNCTION("""COMPUTED_VALUE"""),"COLORADO SPGS")</f>
        <v>COLORADO SPGS</v>
      </c>
      <c r="I265" s="13" t="str">
        <f>IFERROR(__xludf.DUMMYFUNCTION("""COMPUTED_VALUE"""),"CO")</f>
        <v>CO</v>
      </c>
      <c r="J265" s="13" t="str">
        <f>IFERROR(__xludf.DUMMYFUNCTION("""COMPUTED_VALUE"""),"80910-2508")</f>
        <v>80910-2508</v>
      </c>
      <c r="K265" s="13" t="str">
        <f>IFERROR(__xludf.DUMMYFUNCTION("""COMPUTED_VALUE"""),"El Paso")</f>
        <v>El Paso</v>
      </c>
      <c r="L265" s="17" t="str">
        <f>IFERROR(__xludf.DUMMYFUNCTION("""COMPUTED_VALUE"""),"Y")</f>
        <v>Y</v>
      </c>
      <c r="M265" s="17"/>
      <c r="N265" s="17" t="str">
        <f>IFERROR(__xludf.DUMMYFUNCTION("""COMPUTED_VALUE"""),"Y")</f>
        <v>Y</v>
      </c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>
      <c r="A266" s="13" t="str">
        <f>IFERROR(__xludf.DUMMYFUNCTION("""COMPUTED_VALUE"""),"1010")</f>
        <v>1010</v>
      </c>
      <c r="B266" s="13" t="str">
        <f>IFERROR(__xludf.DUMMYFUNCTION("""COMPUTED_VALUE"""),"COLORADO SPRINGS 11")</f>
        <v>COLORADO SPRINGS 11</v>
      </c>
      <c r="C266" s="13" t="str">
        <f>IFERROR(__xludf.DUMMYFUNCTION("""COMPUTED_VALUE"""),"08466")</f>
        <v>08466</v>
      </c>
      <c r="D266" s="13" t="str">
        <f>IFERROR(__xludf.DUMMYFUNCTION("""COMPUTED_VALUE"""),"TAYLOR ELEMENTARY SCHOOL")</f>
        <v>TAYLOR ELEMENTARY SCHOOL</v>
      </c>
      <c r="E266" s="13" t="str">
        <f>IFERROR(__xludf.DUMMYFUNCTION("""COMPUTED_VALUE"""),"Open")</f>
        <v>Open</v>
      </c>
      <c r="F266" s="13"/>
      <c r="G266" s="13" t="str">
        <f>IFERROR(__xludf.DUMMYFUNCTION("""COMPUTED_VALUE"""),"900 E BUENA VENTURA ST")</f>
        <v>900 E BUENA VENTURA ST</v>
      </c>
      <c r="H266" s="13" t="str">
        <f>IFERROR(__xludf.DUMMYFUNCTION("""COMPUTED_VALUE"""),"COLORADO SPGS")</f>
        <v>COLORADO SPGS</v>
      </c>
      <c r="I266" s="13" t="str">
        <f>IFERROR(__xludf.DUMMYFUNCTION("""COMPUTED_VALUE"""),"CO")</f>
        <v>CO</v>
      </c>
      <c r="J266" s="13" t="str">
        <f>IFERROR(__xludf.DUMMYFUNCTION("""COMPUTED_VALUE"""),"80907-7745")</f>
        <v>80907-7745</v>
      </c>
      <c r="K266" s="13" t="str">
        <f>IFERROR(__xludf.DUMMYFUNCTION("""COMPUTED_VALUE"""),"El Paso")</f>
        <v>El Paso</v>
      </c>
      <c r="L266" s="17" t="str">
        <f>IFERROR(__xludf.DUMMYFUNCTION("""COMPUTED_VALUE"""),"Y")</f>
        <v>Y</v>
      </c>
      <c r="M266" s="17"/>
      <c r="N266" s="17" t="str">
        <f>IFERROR(__xludf.DUMMYFUNCTION("""COMPUTED_VALUE"""),"Y")</f>
        <v>Y</v>
      </c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>
      <c r="A267" s="13" t="str">
        <f>IFERROR(__xludf.DUMMYFUNCTION("""COMPUTED_VALUE"""),"1010")</f>
        <v>1010</v>
      </c>
      <c r="B267" s="13" t="str">
        <f>IFERROR(__xludf.DUMMYFUNCTION("""COMPUTED_VALUE"""),"COLORADO SPRINGS 11")</f>
        <v>COLORADO SPRINGS 11</v>
      </c>
      <c r="C267" s="13" t="str">
        <f>IFERROR(__xludf.DUMMYFUNCTION("""COMPUTED_VALUE"""),"09618")</f>
        <v>09618</v>
      </c>
      <c r="D267" s="13" t="str">
        <f>IFERROR(__xludf.DUMMYFUNCTION("""COMPUTED_VALUE"""),"ROGERS ELEMENTARY SCHOOL")</f>
        <v>ROGERS ELEMENTARY SCHOOL</v>
      </c>
      <c r="E267" s="13" t="str">
        <f>IFERROR(__xludf.DUMMYFUNCTION("""COMPUTED_VALUE"""),"Open")</f>
        <v>Open</v>
      </c>
      <c r="F267" s="13"/>
      <c r="G267" s="13" t="str">
        <f>IFERROR(__xludf.DUMMYFUNCTION("""COMPUTED_VALUE"""),"110 S CIRCLE DR")</f>
        <v>110 S CIRCLE DR</v>
      </c>
      <c r="H267" s="13" t="str">
        <f>IFERROR(__xludf.DUMMYFUNCTION("""COMPUTED_VALUE"""),"COLORADO SPGS")</f>
        <v>COLORADO SPGS</v>
      </c>
      <c r="I267" s="13" t="str">
        <f>IFERROR(__xludf.DUMMYFUNCTION("""COMPUTED_VALUE"""),"CO")</f>
        <v>CO</v>
      </c>
      <c r="J267" s="13" t="str">
        <f>IFERROR(__xludf.DUMMYFUNCTION("""COMPUTED_VALUE"""),"80910-3023")</f>
        <v>80910-3023</v>
      </c>
      <c r="K267" s="13" t="str">
        <f>IFERROR(__xludf.DUMMYFUNCTION("""COMPUTED_VALUE"""),"El Paso")</f>
        <v>El Paso</v>
      </c>
      <c r="L267" s="17" t="str">
        <f>IFERROR(__xludf.DUMMYFUNCTION("""COMPUTED_VALUE"""),"Y")</f>
        <v>Y</v>
      </c>
      <c r="M267" s="17"/>
      <c r="N267" s="17" t="str">
        <f>IFERROR(__xludf.DUMMYFUNCTION("""COMPUTED_VALUE"""),"Y")</f>
        <v>Y</v>
      </c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>
      <c r="A268" s="13" t="str">
        <f>IFERROR(__xludf.DUMMYFUNCTION("""COMPUTED_VALUE"""),"1010")</f>
        <v>1010</v>
      </c>
      <c r="B268" s="13" t="str">
        <f>IFERROR(__xludf.DUMMYFUNCTION("""COMPUTED_VALUE"""),"COLORADO SPRINGS 11")</f>
        <v>COLORADO SPRINGS 11</v>
      </c>
      <c r="C268" s="13" t="str">
        <f>IFERROR(__xludf.DUMMYFUNCTION("""COMPUTED_VALUE"""),"09662")</f>
        <v>09662</v>
      </c>
      <c r="D268" s="13" t="str">
        <f>IFERROR(__xludf.DUMMYFUNCTION("""COMPUTED_VALUE"""),"Canterbury Mobile Home Park")</f>
        <v>Canterbury Mobile Home Park</v>
      </c>
      <c r="E268" s="13" t="str">
        <f>IFERROR(__xludf.DUMMYFUNCTION("""COMPUTED_VALUE"""),"Open")</f>
        <v>Open</v>
      </c>
      <c r="F268" s="13"/>
      <c r="G268" s="13" t="str">
        <f>IFERROR(__xludf.DUMMYFUNCTION("""COMPUTED_VALUE"""),"3020 S POWERS BLVD")</f>
        <v>3020 S POWERS BLVD</v>
      </c>
      <c r="H268" s="13" t="str">
        <f>IFERROR(__xludf.DUMMYFUNCTION("""COMPUTED_VALUE"""),"COLORADO SPGS")</f>
        <v>COLORADO SPGS</v>
      </c>
      <c r="I268" s="13" t="str">
        <f>IFERROR(__xludf.DUMMYFUNCTION("""COMPUTED_VALUE"""),"CO")</f>
        <v>CO</v>
      </c>
      <c r="J268" s="13" t="str">
        <f>IFERROR(__xludf.DUMMYFUNCTION("""COMPUTED_VALUE"""),"80916-4711")</f>
        <v>80916-4711</v>
      </c>
      <c r="K268" s="13" t="str">
        <f>IFERROR(__xludf.DUMMYFUNCTION("""COMPUTED_VALUE"""),"El Paso")</f>
        <v>El Paso</v>
      </c>
      <c r="L268" s="17"/>
      <c r="M268" s="17"/>
      <c r="N268" s="17" t="str">
        <f>IFERROR(__xludf.DUMMYFUNCTION("""COMPUTED_VALUE"""),"Y")</f>
        <v>Y</v>
      </c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>
      <c r="A269" s="13" t="str">
        <f>IFERROR(__xludf.DUMMYFUNCTION("""COMPUTED_VALUE"""),"1010")</f>
        <v>1010</v>
      </c>
      <c r="B269" s="13" t="str">
        <f>IFERROR(__xludf.DUMMYFUNCTION("""COMPUTED_VALUE"""),"COLORADO SPRINGS 11")</f>
        <v>COLORADO SPRINGS 11</v>
      </c>
      <c r="C269" s="13" t="str">
        <f>IFERROR(__xludf.DUMMYFUNCTION("""COMPUTED_VALUE"""),"09683")</f>
        <v>09683</v>
      </c>
      <c r="D269" s="13" t="str">
        <f>IFERROR(__xludf.DUMMYFUNCTION("""COMPUTED_VALUE"""),"Memorial 2 Park")</f>
        <v>Memorial 2 Park</v>
      </c>
      <c r="E269" s="13" t="str">
        <f>IFERROR(__xludf.DUMMYFUNCTION("""COMPUTED_VALUE"""),"Open")</f>
        <v>Open</v>
      </c>
      <c r="F269" s="13"/>
      <c r="G269" s="13" t="str">
        <f>IFERROR(__xludf.DUMMYFUNCTION("""COMPUTED_VALUE"""),"1605 E PIKES PEAK AVE")</f>
        <v>1605 E PIKES PEAK AVE</v>
      </c>
      <c r="H269" s="13" t="str">
        <f>IFERROR(__xludf.DUMMYFUNCTION("""COMPUTED_VALUE"""),"COLORADO SPGS")</f>
        <v>COLORADO SPGS</v>
      </c>
      <c r="I269" s="13" t="str">
        <f>IFERROR(__xludf.DUMMYFUNCTION("""COMPUTED_VALUE"""),"CO")</f>
        <v>CO</v>
      </c>
      <c r="J269" s="13">
        <f>IFERROR(__xludf.DUMMYFUNCTION("""COMPUTED_VALUE"""),80909.0)</f>
        <v>80909</v>
      </c>
      <c r="K269" s="13" t="str">
        <f>IFERROR(__xludf.DUMMYFUNCTION("""COMPUTED_VALUE"""),"El Paso")</f>
        <v>El Paso</v>
      </c>
      <c r="L269" s="17"/>
      <c r="M269" s="17"/>
      <c r="N269" s="17" t="str">
        <f>IFERROR(__xludf.DUMMYFUNCTION("""COMPUTED_VALUE"""),"Y")</f>
        <v>Y</v>
      </c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>
      <c r="A270" s="13" t="str">
        <f>IFERROR(__xludf.DUMMYFUNCTION("""COMPUTED_VALUE"""),"1010")</f>
        <v>1010</v>
      </c>
      <c r="B270" s="13" t="str">
        <f>IFERROR(__xludf.DUMMYFUNCTION("""COMPUTED_VALUE"""),"COLORADO SPRINGS 11")</f>
        <v>COLORADO SPRINGS 11</v>
      </c>
      <c r="C270" s="13" t="str">
        <f>IFERROR(__xludf.DUMMYFUNCTION("""COMPUTED_VALUE"""),"09686")</f>
        <v>09686</v>
      </c>
      <c r="D270" s="13" t="str">
        <f>IFERROR(__xludf.DUMMYFUNCTION("""COMPUTED_VALUE"""),"Junior Academy Small Wonders")</f>
        <v>Junior Academy Small Wonders</v>
      </c>
      <c r="E270" s="13" t="str">
        <f>IFERROR(__xludf.DUMMYFUNCTION("""COMPUTED_VALUE"""),"Open")</f>
        <v>Open</v>
      </c>
      <c r="F270" s="13"/>
      <c r="G270" s="13" t="str">
        <f>IFERROR(__xludf.DUMMYFUNCTION("""COMPUTED_VALUE"""),"4750 EL CAMINO DR")</f>
        <v>4750 EL CAMINO DR</v>
      </c>
      <c r="H270" s="13" t="str">
        <f>IFERROR(__xludf.DUMMYFUNCTION("""COMPUTED_VALUE"""),"COLORADO SPGS")</f>
        <v>COLORADO SPGS</v>
      </c>
      <c r="I270" s="13" t="str">
        <f>IFERROR(__xludf.DUMMYFUNCTION("""COMPUTED_VALUE"""),"CO")</f>
        <v>CO</v>
      </c>
      <c r="J270" s="13" t="str">
        <f>IFERROR(__xludf.DUMMYFUNCTION("""COMPUTED_VALUE"""),"80918-2551")</f>
        <v>80918-2551</v>
      </c>
      <c r="K270" s="13" t="str">
        <f>IFERROR(__xludf.DUMMYFUNCTION("""COMPUTED_VALUE"""),"El Paso")</f>
        <v>El Paso</v>
      </c>
      <c r="L270" s="17"/>
      <c r="M270" s="17"/>
      <c r="N270" s="17" t="str">
        <f>IFERROR(__xludf.DUMMYFUNCTION("""COMPUTED_VALUE"""),"Y")</f>
        <v>Y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>
      <c r="A271" s="13" t="str">
        <f>IFERROR(__xludf.DUMMYFUNCTION("""COMPUTED_VALUE"""),"1010")</f>
        <v>1010</v>
      </c>
      <c r="B271" s="13" t="str">
        <f>IFERROR(__xludf.DUMMYFUNCTION("""COMPUTED_VALUE"""),"COLORADO SPRINGS 11")</f>
        <v>COLORADO SPRINGS 11</v>
      </c>
      <c r="C271" s="13" t="str">
        <f>IFERROR(__xludf.DUMMYFUNCTION("""COMPUTED_VALUE"""),"09688")</f>
        <v>09688</v>
      </c>
      <c r="D271" s="13" t="str">
        <f>IFERROR(__xludf.DUMMYFUNCTION("""COMPUTED_VALUE"""),"Junior Academy")</f>
        <v>Junior Academy</v>
      </c>
      <c r="E271" s="13" t="str">
        <f>IFERROR(__xludf.DUMMYFUNCTION("""COMPUTED_VALUE"""),"Open")</f>
        <v>Open</v>
      </c>
      <c r="F271" s="13"/>
      <c r="G271" s="13" t="str">
        <f>IFERROR(__xludf.DUMMYFUNCTION("""COMPUTED_VALUE"""),"1311 N NEVADA AVE")</f>
        <v>1311 N NEVADA AVE</v>
      </c>
      <c r="H271" s="13" t="str">
        <f>IFERROR(__xludf.DUMMYFUNCTION("""COMPUTED_VALUE"""),"COLORADO SPGS")</f>
        <v>COLORADO SPGS</v>
      </c>
      <c r="I271" s="13" t="str">
        <f>IFERROR(__xludf.DUMMYFUNCTION("""COMPUTED_VALUE"""),"CO")</f>
        <v>CO</v>
      </c>
      <c r="J271" s="13" t="str">
        <f>IFERROR(__xludf.DUMMYFUNCTION("""COMPUTED_VALUE"""),"80903-2431")</f>
        <v>80903-2431</v>
      </c>
      <c r="K271" s="13" t="str">
        <f>IFERROR(__xludf.DUMMYFUNCTION("""COMPUTED_VALUE"""),"El Paso")</f>
        <v>El Paso</v>
      </c>
      <c r="L271" s="17"/>
      <c r="M271" s="17"/>
      <c r="N271" s="17" t="str">
        <f>IFERROR(__xludf.DUMMYFUNCTION("""COMPUTED_VALUE"""),"Y")</f>
        <v>Y</v>
      </c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>
      <c r="A272" s="18" t="str">
        <f>IFERROR(__xludf.DUMMYFUNCTION("""COMPUTED_VALUE"""),"1010")</f>
        <v>1010</v>
      </c>
      <c r="B272" s="18" t="str">
        <f>IFERROR(__xludf.DUMMYFUNCTION("""COMPUTED_VALUE"""),"COLORADO SPRINGS 11")</f>
        <v>COLORADO SPRINGS 11</v>
      </c>
      <c r="C272" s="18" t="str">
        <f>IFERROR(__xludf.DUMMYFUNCTION("""COMPUTED_VALUE"""),"09699")</f>
        <v>09699</v>
      </c>
      <c r="D272" s="18" t="str">
        <f>IFERROR(__xludf.DUMMYFUNCTION("""COMPUTED_VALUE"""),"Holy Cross Lutheran Church")</f>
        <v>Holy Cross Lutheran Church</v>
      </c>
      <c r="E272" s="18" t="str">
        <f>IFERROR(__xludf.DUMMYFUNCTION("""COMPUTED_VALUE"""),"Open")</f>
        <v>Open</v>
      </c>
      <c r="F272" s="18" t="str">
        <f>IFERROR(__xludf.DUMMYFUNCTION("""COMPUTED_VALUE""")," ")</f>
        <v> </v>
      </c>
      <c r="G272" s="18" t="str">
        <f>IFERROR(__xludf.DUMMYFUNCTION("""COMPUTED_VALUE"""),"4125 CONSTITUTION AVE")</f>
        <v>4125 CONSTITUTION AVE</v>
      </c>
      <c r="H272" s="18" t="str">
        <f>IFERROR(__xludf.DUMMYFUNCTION("""COMPUTED_VALUE"""),"COLORADO SPGS")</f>
        <v>COLORADO SPGS</v>
      </c>
      <c r="I272" s="18" t="str">
        <f>IFERROR(__xludf.DUMMYFUNCTION("""COMPUTED_VALUE"""),"CO")</f>
        <v>CO</v>
      </c>
      <c r="J272" s="18" t="str">
        <f>IFERROR(__xludf.DUMMYFUNCTION("""COMPUTED_VALUE"""),"80909-1662")</f>
        <v>80909-1662</v>
      </c>
      <c r="K272" s="18" t="str">
        <f>IFERROR(__xludf.DUMMYFUNCTION("""COMPUTED_VALUE"""),"El Paso")</f>
        <v>El Paso</v>
      </c>
      <c r="L272" s="19"/>
      <c r="M272" s="19"/>
      <c r="N272" s="19" t="str">
        <f>IFERROR(__xludf.DUMMYFUNCTION("""COMPUTED_VALUE"""),"Y")</f>
        <v>Y</v>
      </c>
      <c r="O272" s="19"/>
      <c r="P272" s="19"/>
      <c r="Q272" s="19" t="str">
        <f>IFERROR(__xludf.DUMMYFUNCTION("""COMPUTED_VALUE"""),"No Claims as of 11.24")</f>
        <v>No Claims as of 11.24</v>
      </c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>
      <c r="A273" s="13" t="str">
        <f>IFERROR(__xludf.DUMMYFUNCTION("""COMPUTED_VALUE"""),"1010")</f>
        <v>1010</v>
      </c>
      <c r="B273" s="13" t="str">
        <f>IFERROR(__xludf.DUMMYFUNCTION("""COMPUTED_VALUE"""),"COLORADO SPRINGS 11")</f>
        <v>COLORADO SPRINGS 11</v>
      </c>
      <c r="C273" s="13" t="str">
        <f>IFERROR(__xludf.DUMMYFUNCTION("""COMPUTED_VALUE"""),"11038")</f>
        <v>11038</v>
      </c>
      <c r="D273" s="13" t="str">
        <f>IFERROR(__xludf.DUMMYFUNCTION("""COMPUTED_VALUE"""),"Meadows Mobile Home Park")</f>
        <v>Meadows Mobile Home Park</v>
      </c>
      <c r="E273" s="13" t="str">
        <f>IFERROR(__xludf.DUMMYFUNCTION("""COMPUTED_VALUE"""),"Open")</f>
        <v>Open</v>
      </c>
      <c r="F273" s="13"/>
      <c r="G273" s="13" t="str">
        <f>IFERROR(__xludf.DUMMYFUNCTION("""COMPUTED_VALUE"""),"4825 ASTROZON BLVD")</f>
        <v>4825 ASTROZON BLVD</v>
      </c>
      <c r="H273" s="13" t="str">
        <f>IFERROR(__xludf.DUMMYFUNCTION("""COMPUTED_VALUE"""),"COLORADO SPGS")</f>
        <v>COLORADO SPGS</v>
      </c>
      <c r="I273" s="13" t="str">
        <f>IFERROR(__xludf.DUMMYFUNCTION("""COMPUTED_VALUE"""),"CO")</f>
        <v>CO</v>
      </c>
      <c r="J273" s="13" t="str">
        <f>IFERROR(__xludf.DUMMYFUNCTION("""COMPUTED_VALUE"""),"80916-2656")</f>
        <v>80916-2656</v>
      </c>
      <c r="K273" s="13" t="str">
        <f>IFERROR(__xludf.DUMMYFUNCTION("""COMPUTED_VALUE"""),"El Paso")</f>
        <v>El Paso</v>
      </c>
      <c r="L273" s="17"/>
      <c r="M273" s="17"/>
      <c r="N273" s="17" t="str">
        <f>IFERROR(__xludf.DUMMYFUNCTION("""COMPUTED_VALUE"""),"Y")</f>
        <v>Y</v>
      </c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>
      <c r="A274" s="13" t="str">
        <f>IFERROR(__xludf.DUMMYFUNCTION("""COMPUTED_VALUE"""),"1010")</f>
        <v>1010</v>
      </c>
      <c r="B274" s="13" t="str">
        <f>IFERROR(__xludf.DUMMYFUNCTION("""COMPUTED_VALUE"""),"COLORADO SPRINGS 11")</f>
        <v>COLORADO SPRINGS 11</v>
      </c>
      <c r="C274" s="13" t="str">
        <f>IFERROR(__xludf.DUMMYFUNCTION("""COMPUTED_VALUE"""),"11057")</f>
        <v>11057</v>
      </c>
      <c r="D274" s="13" t="str">
        <f>IFERROR(__xludf.DUMMYFUNCTION("""COMPUTED_VALUE"""),"A1 Mobile Home Park")</f>
        <v>A1 Mobile Home Park</v>
      </c>
      <c r="E274" s="13" t="str">
        <f>IFERROR(__xludf.DUMMYFUNCTION("""COMPUTED_VALUE"""),"Open")</f>
        <v>Open</v>
      </c>
      <c r="F274" s="13"/>
      <c r="G274" s="13" t="str">
        <f>IFERROR(__xludf.DUMMYFUNCTION("""COMPUTED_VALUE"""),"1025 Gamer St.")</f>
        <v>1025 Gamer St.</v>
      </c>
      <c r="H274" s="13" t="str">
        <f>IFERROR(__xludf.DUMMYFUNCTION("""COMPUTED_VALUE"""),"COLORADO SPRINGS")</f>
        <v>COLORADO SPRINGS</v>
      </c>
      <c r="I274" s="13" t="str">
        <f>IFERROR(__xludf.DUMMYFUNCTION("""COMPUTED_VALUE"""),"CO")</f>
        <v>CO</v>
      </c>
      <c r="J274" s="13">
        <f>IFERROR(__xludf.DUMMYFUNCTION("""COMPUTED_VALUE"""),80905.0)</f>
        <v>80905</v>
      </c>
      <c r="K274" s="13" t="str">
        <f>IFERROR(__xludf.DUMMYFUNCTION("""COMPUTED_VALUE"""),"El Paso")</f>
        <v>El Paso</v>
      </c>
      <c r="L274" s="17"/>
      <c r="M274" s="17"/>
      <c r="N274" s="17" t="str">
        <f>IFERROR(__xludf.DUMMYFUNCTION("""COMPUTED_VALUE"""),"Y")</f>
        <v>Y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>
      <c r="A275" s="13" t="str">
        <f>IFERROR(__xludf.DUMMYFUNCTION("""COMPUTED_VALUE"""),"1010")</f>
        <v>1010</v>
      </c>
      <c r="B275" s="13" t="str">
        <f>IFERROR(__xludf.DUMMYFUNCTION("""COMPUTED_VALUE"""),"COLORADO SPRINGS 11")</f>
        <v>COLORADO SPRINGS 11</v>
      </c>
      <c r="C275" s="13" t="str">
        <f>IFERROR(__xludf.DUMMYFUNCTION("""COMPUTED_VALUE"""),"11059")</f>
        <v>11059</v>
      </c>
      <c r="D275" s="13" t="str">
        <f>IFERROR(__xludf.DUMMYFUNCTION("""COMPUTED_VALUE"""),"Memorial Park")</f>
        <v>Memorial Park</v>
      </c>
      <c r="E275" s="13" t="str">
        <f>IFERROR(__xludf.DUMMYFUNCTION("""COMPUTED_VALUE"""),"Open")</f>
        <v>Open</v>
      </c>
      <c r="F275" s="13"/>
      <c r="G275" s="13" t="str">
        <f>IFERROR(__xludf.DUMMYFUNCTION("""COMPUTED_VALUE"""),"1605 E PIKES PEAK AVE")</f>
        <v>1605 E PIKES PEAK AVE</v>
      </c>
      <c r="H275" s="13" t="str">
        <f>IFERROR(__xludf.DUMMYFUNCTION("""COMPUTED_VALUE"""),"COLORADO SPGS")</f>
        <v>COLORADO SPGS</v>
      </c>
      <c r="I275" s="13" t="str">
        <f>IFERROR(__xludf.DUMMYFUNCTION("""COMPUTED_VALUE"""),"CO")</f>
        <v>CO</v>
      </c>
      <c r="J275" s="13">
        <f>IFERROR(__xludf.DUMMYFUNCTION("""COMPUTED_VALUE"""),80909.0)</f>
        <v>80909</v>
      </c>
      <c r="K275" s="13" t="str">
        <f>IFERROR(__xludf.DUMMYFUNCTION("""COMPUTED_VALUE"""),"El Paso")</f>
        <v>El Paso</v>
      </c>
      <c r="L275" s="17"/>
      <c r="M275" s="17"/>
      <c r="N275" s="17" t="str">
        <f>IFERROR(__xludf.DUMMYFUNCTION("""COMPUTED_VALUE"""),"Y")</f>
        <v>Y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>
      <c r="A276" s="13" t="str">
        <f>IFERROR(__xludf.DUMMYFUNCTION("""COMPUTED_VALUE"""),"1010")</f>
        <v>1010</v>
      </c>
      <c r="B276" s="13" t="str">
        <f>IFERROR(__xludf.DUMMYFUNCTION("""COMPUTED_VALUE"""),"COLORADO SPRINGS 11")</f>
        <v>COLORADO SPRINGS 11</v>
      </c>
      <c r="C276" s="13" t="str">
        <f>IFERROR(__xludf.DUMMYFUNCTION("""COMPUTED_VALUE"""),"11067")</f>
        <v>11067</v>
      </c>
      <c r="D276" s="13" t="str">
        <f>IFERROR(__xludf.DUMMYFUNCTION("""COMPUTED_VALUE"""),"Hillside Community Center")</f>
        <v>Hillside Community Center</v>
      </c>
      <c r="E276" s="13" t="str">
        <f>IFERROR(__xludf.DUMMYFUNCTION("""COMPUTED_VALUE"""),"Open")</f>
        <v>Open</v>
      </c>
      <c r="F276" s="13"/>
      <c r="G276" s="13" t="str">
        <f>IFERROR(__xludf.DUMMYFUNCTION("""COMPUTED_VALUE"""),"925 S INSTITUTE ST")</f>
        <v>925 S INSTITUTE ST</v>
      </c>
      <c r="H276" s="13" t="str">
        <f>IFERROR(__xludf.DUMMYFUNCTION("""COMPUTED_VALUE"""),"COLORADO SPGS")</f>
        <v>COLORADO SPGS</v>
      </c>
      <c r="I276" s="13" t="str">
        <f>IFERROR(__xludf.DUMMYFUNCTION("""COMPUTED_VALUE"""),"CO")</f>
        <v>CO</v>
      </c>
      <c r="J276" s="13" t="str">
        <f>IFERROR(__xludf.DUMMYFUNCTION("""COMPUTED_VALUE"""),"80903-4634")</f>
        <v>80903-4634</v>
      </c>
      <c r="K276" s="13" t="str">
        <f>IFERROR(__xludf.DUMMYFUNCTION("""COMPUTED_VALUE"""),"El Paso")</f>
        <v>El Paso</v>
      </c>
      <c r="L276" s="17"/>
      <c r="M276" s="17"/>
      <c r="N276" s="17" t="str">
        <f>IFERROR(__xludf.DUMMYFUNCTION("""COMPUTED_VALUE"""),"Y")</f>
        <v>Y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>
      <c r="A277" s="13" t="str">
        <f>IFERROR(__xludf.DUMMYFUNCTION("""COMPUTED_VALUE"""),"1010")</f>
        <v>1010</v>
      </c>
      <c r="B277" s="13" t="str">
        <f>IFERROR(__xludf.DUMMYFUNCTION("""COMPUTED_VALUE"""),"COLORADO SPRINGS 11")</f>
        <v>COLORADO SPRINGS 11</v>
      </c>
      <c r="C277" s="13" t="str">
        <f>IFERROR(__xludf.DUMMYFUNCTION("""COMPUTED_VALUE"""),"12778")</f>
        <v>12778</v>
      </c>
      <c r="D277" s="13" t="str">
        <f>IFERROR(__xludf.DUMMYFUNCTION("""COMPUTED_VALUE"""),"Boys &amp; Girls Club")</f>
        <v>Boys &amp; Girls Club</v>
      </c>
      <c r="E277" s="13" t="str">
        <f>IFERROR(__xludf.DUMMYFUNCTION("""COMPUTED_VALUE"""),"Open")</f>
        <v>Open</v>
      </c>
      <c r="F277" s="13"/>
      <c r="G277" s="13" t="str">
        <f>IFERROR(__xludf.DUMMYFUNCTION("""COMPUTED_VALUE"""),"805 Praderia Avenue")</f>
        <v>805 Praderia Avenue</v>
      </c>
      <c r="H277" s="13" t="str">
        <f>IFERROR(__xludf.DUMMYFUNCTION("""COMPUTED_VALUE"""),"COLORADO SPGS")</f>
        <v>COLORADO SPGS</v>
      </c>
      <c r="I277" s="13" t="str">
        <f>IFERROR(__xludf.DUMMYFUNCTION("""COMPUTED_VALUE"""),"CO")</f>
        <v>CO</v>
      </c>
      <c r="J277" s="13">
        <f>IFERROR(__xludf.DUMMYFUNCTION("""COMPUTED_VALUE"""),80904.0)</f>
        <v>80904</v>
      </c>
      <c r="K277" s="13" t="str">
        <f>IFERROR(__xludf.DUMMYFUNCTION("""COMPUTED_VALUE"""),"El Paso")</f>
        <v>El Paso</v>
      </c>
      <c r="L277" s="17" t="str">
        <f>IFERROR(__xludf.DUMMYFUNCTION("""COMPUTED_VALUE"""),"Y")</f>
        <v>Y</v>
      </c>
      <c r="M277" s="17"/>
      <c r="N277" s="17" t="str">
        <f>IFERROR(__xludf.DUMMYFUNCTION("""COMPUTED_VALUE"""),"Y")</f>
        <v>Y</v>
      </c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>
      <c r="A278" s="13" t="str">
        <f>IFERROR(__xludf.DUMMYFUNCTION("""COMPUTED_VALUE"""),"1010")</f>
        <v>1010</v>
      </c>
      <c r="B278" s="13" t="str">
        <f>IFERROR(__xludf.DUMMYFUNCTION("""COMPUTED_VALUE"""),"COLORADO SPRINGS 11")</f>
        <v>COLORADO SPRINGS 11</v>
      </c>
      <c r="C278" s="13" t="str">
        <f>IFERROR(__xludf.DUMMYFUNCTION("""COMPUTED_VALUE"""),"12939")</f>
        <v>12939</v>
      </c>
      <c r="D278" s="13" t="str">
        <f>IFERROR(__xludf.DUMMYFUNCTION("""COMPUTED_VALUE"""),"East Library")</f>
        <v>East Library</v>
      </c>
      <c r="E278" s="13" t="str">
        <f>IFERROR(__xludf.DUMMYFUNCTION("""COMPUTED_VALUE"""),"Open")</f>
        <v>Open</v>
      </c>
      <c r="F278" s="13"/>
      <c r="G278" s="13" t="str">
        <f>IFERROR(__xludf.DUMMYFUNCTION("""COMPUTED_VALUE"""),"5550 N UNION BLVD")</f>
        <v>5550 N UNION BLVD</v>
      </c>
      <c r="H278" s="13" t="str">
        <f>IFERROR(__xludf.DUMMYFUNCTION("""COMPUTED_VALUE"""),"COLORADO SPGS")</f>
        <v>COLORADO SPGS</v>
      </c>
      <c r="I278" s="13" t="str">
        <f>IFERROR(__xludf.DUMMYFUNCTION("""COMPUTED_VALUE"""),"CO")</f>
        <v>CO</v>
      </c>
      <c r="J278" s="13" t="str">
        <f>IFERROR(__xludf.DUMMYFUNCTION("""COMPUTED_VALUE"""),"80918-1950")</f>
        <v>80918-1950</v>
      </c>
      <c r="K278" s="13" t="str">
        <f>IFERROR(__xludf.DUMMYFUNCTION("""COMPUTED_VALUE"""),"El Paso")</f>
        <v>El Paso</v>
      </c>
      <c r="L278" s="17"/>
      <c r="M278" s="17"/>
      <c r="N278" s="17" t="str">
        <f>IFERROR(__xludf.DUMMYFUNCTION("""COMPUTED_VALUE"""),"Y")</f>
        <v>Y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>
      <c r="A279" s="13" t="str">
        <f>IFERROR(__xludf.DUMMYFUNCTION("""COMPUTED_VALUE"""),"1010")</f>
        <v>1010</v>
      </c>
      <c r="B279" s="13" t="str">
        <f>IFERROR(__xludf.DUMMYFUNCTION("""COMPUTED_VALUE"""),"COLORADO SPRINGS 11")</f>
        <v>COLORADO SPRINGS 11</v>
      </c>
      <c r="C279" s="13" t="str">
        <f>IFERROR(__xludf.DUMMYFUNCTION("""COMPUTED_VALUE"""),"23650")</f>
        <v>23650</v>
      </c>
      <c r="D279" s="13" t="str">
        <f>IFERROR(__xludf.DUMMYFUNCTION("""COMPUTED_VALUE"""),"Palmer Park")</f>
        <v>Palmer Park</v>
      </c>
      <c r="E279" s="13" t="str">
        <f>IFERROR(__xludf.DUMMYFUNCTION("""COMPUTED_VALUE"""),"Open")</f>
        <v>Open</v>
      </c>
      <c r="F279" s="13"/>
      <c r="G279" s="13" t="str">
        <f>IFERROR(__xludf.DUMMYFUNCTION("""COMPUTED_VALUE"""),"3650 Maizeland")</f>
        <v>3650 Maizeland</v>
      </c>
      <c r="H279" s="13" t="str">
        <f>IFERROR(__xludf.DUMMYFUNCTION("""COMPUTED_VALUE"""),"COLORADO SPRINGS")</f>
        <v>COLORADO SPRINGS</v>
      </c>
      <c r="I279" s="13" t="str">
        <f>IFERROR(__xludf.DUMMYFUNCTION("""COMPUTED_VALUE"""),"CO")</f>
        <v>CO</v>
      </c>
      <c r="J279" s="13">
        <f>IFERROR(__xludf.DUMMYFUNCTION("""COMPUTED_VALUE"""),80909.0)</f>
        <v>80909</v>
      </c>
      <c r="K279" s="13" t="str">
        <f>IFERROR(__xludf.DUMMYFUNCTION("""COMPUTED_VALUE"""),"El Paso")</f>
        <v>El Paso</v>
      </c>
      <c r="L279" s="17"/>
      <c r="M279" s="17"/>
      <c r="N279" s="17" t="str">
        <f>IFERROR(__xludf.DUMMYFUNCTION("""COMPUTED_VALUE"""),"Y")</f>
        <v>Y</v>
      </c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>
      <c r="A280" s="13" t="str">
        <f>IFERROR(__xludf.DUMMYFUNCTION("""COMPUTED_VALUE"""),"1010")</f>
        <v>1010</v>
      </c>
      <c r="B280" s="13" t="str">
        <f>IFERROR(__xludf.DUMMYFUNCTION("""COMPUTED_VALUE"""),"COLORADO SPRINGS 11")</f>
        <v>COLORADO SPRINGS 11</v>
      </c>
      <c r="C280" s="13" t="str">
        <f>IFERROR(__xludf.DUMMYFUNCTION("""COMPUTED_VALUE"""),"91485")</f>
        <v>91485</v>
      </c>
      <c r="D280" s="13" t="str">
        <f>IFERROR(__xludf.DUMMYFUNCTION("""COMPUTED_VALUE"""),"Round Up")</f>
        <v>Round Up</v>
      </c>
      <c r="E280" s="13" t="str">
        <f>IFERROR(__xludf.DUMMYFUNCTION("""COMPUTED_VALUE"""),"Open")</f>
        <v>Open</v>
      </c>
      <c r="F280" s="13"/>
      <c r="G280" s="13" t="str">
        <f>IFERROR(__xludf.DUMMYFUNCTION("""COMPUTED_VALUE"""),"2121 E LA SALLE ST")</f>
        <v>2121 E LA SALLE ST</v>
      </c>
      <c r="H280" s="13" t="str">
        <f>IFERROR(__xludf.DUMMYFUNCTION("""COMPUTED_VALUE"""),"COLORADO SPGS")</f>
        <v>COLORADO SPGS</v>
      </c>
      <c r="I280" s="13" t="str">
        <f>IFERROR(__xludf.DUMMYFUNCTION("""COMPUTED_VALUE"""),"CO")</f>
        <v>CO</v>
      </c>
      <c r="J280" s="13" t="str">
        <f>IFERROR(__xludf.DUMMYFUNCTION("""COMPUTED_VALUE"""),"80909-2270")</f>
        <v>80909-2270</v>
      </c>
      <c r="K280" s="13" t="str">
        <f>IFERROR(__xludf.DUMMYFUNCTION("""COMPUTED_VALUE"""),"El Paso")</f>
        <v>El Paso</v>
      </c>
      <c r="L280" s="17"/>
      <c r="M280" s="17"/>
      <c r="N280" s="17" t="str">
        <f>IFERROR(__xludf.DUMMYFUNCTION("""COMPUTED_VALUE"""),"Y")</f>
        <v>Y</v>
      </c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>
      <c r="A281" s="13" t="str">
        <f>IFERROR(__xludf.DUMMYFUNCTION("""COMPUTED_VALUE"""),"1010")</f>
        <v>1010</v>
      </c>
      <c r="B281" s="13" t="str">
        <f>IFERROR(__xludf.DUMMYFUNCTION("""COMPUTED_VALUE"""),"COLORADO SPRINGS 11")</f>
        <v>COLORADO SPRINGS 11</v>
      </c>
      <c r="C281" s="13" t="str">
        <f>IFERROR(__xludf.DUMMYFUNCTION("""COMPUTED_VALUE"""),"91634")</f>
        <v>91634</v>
      </c>
      <c r="D281" s="13" t="str">
        <f>IFERROR(__xludf.DUMMYFUNCTION("""COMPUTED_VALUE"""),"McCoy/Little John Child Care Center")</f>
        <v>McCoy/Little John Child Care Center</v>
      </c>
      <c r="E281" s="13" t="str">
        <f>IFERROR(__xludf.DUMMYFUNCTION("""COMPUTED_VALUE"""),"Open")</f>
        <v>Open</v>
      </c>
      <c r="F281" s="13"/>
      <c r="G281" s="13" t="str">
        <f>IFERROR(__xludf.DUMMYFUNCTION("""COMPUTED_VALUE"""),"6805 BISMARK RD")</f>
        <v>6805 BISMARK RD</v>
      </c>
      <c r="H281" s="13" t="str">
        <f>IFERROR(__xludf.DUMMYFUNCTION("""COMPUTED_VALUE"""),"COLORADO SPGS")</f>
        <v>COLORADO SPGS</v>
      </c>
      <c r="I281" s="13" t="str">
        <f>IFERROR(__xludf.DUMMYFUNCTION("""COMPUTED_VALUE"""),"CO")</f>
        <v>CO</v>
      </c>
      <c r="J281" s="13" t="str">
        <f>IFERROR(__xludf.DUMMYFUNCTION("""COMPUTED_VALUE"""),"80922-1116")</f>
        <v>80922-1116</v>
      </c>
      <c r="K281" s="13" t="str">
        <f>IFERROR(__xludf.DUMMYFUNCTION("""COMPUTED_VALUE"""),"El Paso")</f>
        <v>El Paso</v>
      </c>
      <c r="L281" s="17"/>
      <c r="M281" s="17"/>
      <c r="N281" s="17" t="str">
        <f>IFERROR(__xludf.DUMMYFUNCTION("""COMPUTED_VALUE"""),"Y")</f>
        <v>Y</v>
      </c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>
      <c r="A282" s="13" t="str">
        <f>IFERROR(__xludf.DUMMYFUNCTION("""COMPUTED_VALUE"""),"1010")</f>
        <v>1010</v>
      </c>
      <c r="B282" s="13" t="str">
        <f>IFERROR(__xludf.DUMMYFUNCTION("""COMPUTED_VALUE"""),"COLORADO SPRINGS 11")</f>
        <v>COLORADO SPRINGS 11</v>
      </c>
      <c r="C282" s="13" t="str">
        <f>IFERROR(__xludf.DUMMYFUNCTION("""COMPUTED_VALUE"""),"91789")</f>
        <v>91789</v>
      </c>
      <c r="D282" s="13" t="str">
        <f>IFERROR(__xludf.DUMMYFUNCTION("""COMPUTED_VALUE"""),"Panorama Park")</f>
        <v>Panorama Park</v>
      </c>
      <c r="E282" s="13" t="str">
        <f>IFERROR(__xludf.DUMMYFUNCTION("""COMPUTED_VALUE"""),"Open")</f>
        <v>Open</v>
      </c>
      <c r="F282" s="13"/>
      <c r="G282" s="13" t="str">
        <f>IFERROR(__xludf.DUMMYFUNCTION("""COMPUTED_VALUE"""),"4540 FENTON RD")</f>
        <v>4540 FENTON RD</v>
      </c>
      <c r="H282" s="13" t="str">
        <f>IFERROR(__xludf.DUMMYFUNCTION("""COMPUTED_VALUE"""),"COLORADO SPGS")</f>
        <v>COLORADO SPGS</v>
      </c>
      <c r="I282" s="13" t="str">
        <f>IFERROR(__xludf.DUMMYFUNCTION("""COMPUTED_VALUE"""),"CO")</f>
        <v>CO</v>
      </c>
      <c r="J282" s="13">
        <f>IFERROR(__xludf.DUMMYFUNCTION("""COMPUTED_VALUE"""),80916.0)</f>
        <v>80916</v>
      </c>
      <c r="K282" s="13" t="str">
        <f>IFERROR(__xludf.DUMMYFUNCTION("""COMPUTED_VALUE"""),"El Paso")</f>
        <v>El Paso</v>
      </c>
      <c r="L282" s="17"/>
      <c r="M282" s="17"/>
      <c r="N282" s="17" t="str">
        <f>IFERROR(__xludf.DUMMYFUNCTION("""COMPUTED_VALUE"""),"Y")</f>
        <v>Y</v>
      </c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>
      <c r="A283" s="13" t="str">
        <f>IFERROR(__xludf.DUMMYFUNCTION("""COMPUTED_VALUE"""),"1010")</f>
        <v>1010</v>
      </c>
      <c r="B283" s="13" t="str">
        <f>IFERROR(__xludf.DUMMYFUNCTION("""COMPUTED_VALUE"""),"COLORADO SPRINGS 11")</f>
        <v>COLORADO SPRINGS 11</v>
      </c>
      <c r="C283" s="13" t="str">
        <f>IFERROR(__xludf.DUMMYFUNCTION("""COMPUTED_VALUE"""),"91808")</f>
        <v>91808</v>
      </c>
      <c r="D283" s="13" t="str">
        <f>IFERROR(__xludf.DUMMYFUNCTION("""COMPUTED_VALUE"""),"Carmel Community Center")</f>
        <v>Carmel Community Center</v>
      </c>
      <c r="E283" s="13" t="str">
        <f>IFERROR(__xludf.DUMMYFUNCTION("""COMPUTED_VALUE"""),"Open")</f>
        <v>Open</v>
      </c>
      <c r="F283" s="13"/>
      <c r="G283" s="13" t="str">
        <f>IFERROR(__xludf.DUMMYFUNCTION("""COMPUTED_VALUE"""),"1700 S CHELTON RD")</f>
        <v>1700 S CHELTON RD</v>
      </c>
      <c r="H283" s="13" t="str">
        <f>IFERROR(__xludf.DUMMYFUNCTION("""COMPUTED_VALUE"""),"COLORADO SPGS")</f>
        <v>COLORADO SPGS</v>
      </c>
      <c r="I283" s="13" t="str">
        <f>IFERROR(__xludf.DUMMYFUNCTION("""COMPUTED_VALUE"""),"CO")</f>
        <v>CO</v>
      </c>
      <c r="J283" s="13" t="str">
        <f>IFERROR(__xludf.DUMMYFUNCTION("""COMPUTED_VALUE"""),"80910-1620")</f>
        <v>80910-1620</v>
      </c>
      <c r="K283" s="13" t="str">
        <f>IFERROR(__xludf.DUMMYFUNCTION("""COMPUTED_VALUE"""),"El Paso")</f>
        <v>El Paso</v>
      </c>
      <c r="L283" s="17"/>
      <c r="M283" s="17"/>
      <c r="N283" s="17" t="str">
        <f>IFERROR(__xludf.DUMMYFUNCTION("""COMPUTED_VALUE"""),"Y")</f>
        <v>Y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>
      <c r="A284" s="13" t="str">
        <f>IFERROR(__xludf.DUMMYFUNCTION("""COMPUTED_VALUE"""),"1010")</f>
        <v>1010</v>
      </c>
      <c r="B284" s="13" t="str">
        <f>IFERROR(__xludf.DUMMYFUNCTION("""COMPUTED_VALUE"""),"COLORADO SPRINGS 11")</f>
        <v>COLORADO SPRINGS 11</v>
      </c>
      <c r="C284" s="13" t="str">
        <f>IFERROR(__xludf.DUMMYFUNCTION("""COMPUTED_VALUE"""),"91809")</f>
        <v>91809</v>
      </c>
      <c r="D284" s="13" t="str">
        <f>IFERROR(__xludf.DUMMYFUNCTION("""COMPUTED_VALUE"""),"Centennial Elementary")</f>
        <v>Centennial Elementary</v>
      </c>
      <c r="E284" s="13" t="str">
        <f>IFERROR(__xludf.DUMMYFUNCTION("""COMPUTED_VALUE"""),"Open")</f>
        <v>Open</v>
      </c>
      <c r="F284" s="13"/>
      <c r="G284" s="13" t="str">
        <f>IFERROR(__xludf.DUMMYFUNCTION("""COMPUTED_VALUE"""),"1860 S CHELTON RD")</f>
        <v>1860 S CHELTON RD</v>
      </c>
      <c r="H284" s="13" t="str">
        <f>IFERROR(__xludf.DUMMYFUNCTION("""COMPUTED_VALUE"""),"COLORADO SPGS")</f>
        <v>COLORADO SPGS</v>
      </c>
      <c r="I284" s="13" t="str">
        <f>IFERROR(__xludf.DUMMYFUNCTION("""COMPUTED_VALUE"""),"CO")</f>
        <v>CO</v>
      </c>
      <c r="J284" s="13" t="str">
        <f>IFERROR(__xludf.DUMMYFUNCTION("""COMPUTED_VALUE"""),"80910-1630")</f>
        <v>80910-1630</v>
      </c>
      <c r="K284" s="13" t="str">
        <f>IFERROR(__xludf.DUMMYFUNCTION("""COMPUTED_VALUE"""),"El Paso")</f>
        <v>El Paso</v>
      </c>
      <c r="L284" s="17"/>
      <c r="M284" s="17"/>
      <c r="N284" s="17" t="str">
        <f>IFERROR(__xludf.DUMMYFUNCTION("""COMPUTED_VALUE"""),"Y")</f>
        <v>Y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>
      <c r="A285" s="13" t="str">
        <f>IFERROR(__xludf.DUMMYFUNCTION("""COMPUTED_VALUE"""),"1010")</f>
        <v>1010</v>
      </c>
      <c r="B285" s="13" t="str">
        <f>IFERROR(__xludf.DUMMYFUNCTION("""COMPUTED_VALUE"""),"COLORADO SPRINGS 11")</f>
        <v>COLORADO SPRINGS 11</v>
      </c>
      <c r="C285" s="13" t="str">
        <f>IFERROR(__xludf.DUMMYFUNCTION("""COMPUTED_VALUE"""),"91810")</f>
        <v>91810</v>
      </c>
      <c r="D285" s="13" t="str">
        <f>IFERROR(__xludf.DUMMYFUNCTION("""COMPUTED_VALUE"""),"Deerfield Hills Community Center")</f>
        <v>Deerfield Hills Community Center</v>
      </c>
      <c r="E285" s="13" t="str">
        <f>IFERROR(__xludf.DUMMYFUNCTION("""COMPUTED_VALUE"""),"Open")</f>
        <v>Open</v>
      </c>
      <c r="F285" s="13"/>
      <c r="G285" s="13" t="str">
        <f>IFERROR(__xludf.DUMMYFUNCTION("""COMPUTED_VALUE"""),"4290 DEERFIELD HILLS RD")</f>
        <v>4290 DEERFIELD HILLS RD</v>
      </c>
      <c r="H285" s="13" t="str">
        <f>IFERROR(__xludf.DUMMYFUNCTION("""COMPUTED_VALUE"""),"COLORADO SPGS")</f>
        <v>COLORADO SPGS</v>
      </c>
      <c r="I285" s="13" t="str">
        <f>IFERROR(__xludf.DUMMYFUNCTION("""COMPUTED_VALUE"""),"CO")</f>
        <v>CO</v>
      </c>
      <c r="J285" s="13" t="str">
        <f>IFERROR(__xludf.DUMMYFUNCTION("""COMPUTED_VALUE"""),"80916-3505")</f>
        <v>80916-3505</v>
      </c>
      <c r="K285" s="13" t="str">
        <f>IFERROR(__xludf.DUMMYFUNCTION("""COMPUTED_VALUE"""),"El Paso")</f>
        <v>El Paso</v>
      </c>
      <c r="L285" s="17"/>
      <c r="M285" s="17"/>
      <c r="N285" s="17" t="str">
        <f>IFERROR(__xludf.DUMMYFUNCTION("""COMPUTED_VALUE"""),"Y")</f>
        <v>Y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>
      <c r="A286" s="13" t="str">
        <f>IFERROR(__xludf.DUMMYFUNCTION("""COMPUTED_VALUE"""),"1050")</f>
        <v>1050</v>
      </c>
      <c r="B286" s="13" t="str">
        <f>IFERROR(__xludf.DUMMYFUNCTION("""COMPUTED_VALUE"""),"ELLICOTT 22")</f>
        <v>ELLICOTT 22</v>
      </c>
      <c r="C286" s="13" t="str">
        <f>IFERROR(__xludf.DUMMYFUNCTION("""COMPUTED_VALUE"""),"02640")</f>
        <v>02640</v>
      </c>
      <c r="D286" s="13" t="str">
        <f>IFERROR(__xludf.DUMMYFUNCTION("""COMPUTED_VALUE"""),"ELLICOTT MIDDLE SCHOOL")</f>
        <v>ELLICOTT MIDDLE SCHOOL</v>
      </c>
      <c r="E286" s="13" t="str">
        <f>IFERROR(__xludf.DUMMYFUNCTION("""COMPUTED_VALUE"""),"Open")</f>
        <v>Open</v>
      </c>
      <c r="F286" s="13"/>
      <c r="G286" s="13" t="str">
        <f>IFERROR(__xludf.DUMMYFUNCTION("""COMPUTED_VALUE"""),"350 S ELLICOTT HWY")</f>
        <v>350 S ELLICOTT HWY</v>
      </c>
      <c r="H286" s="13" t="str">
        <f>IFERROR(__xludf.DUMMYFUNCTION("""COMPUTED_VALUE"""),"CALHAN")</f>
        <v>CALHAN</v>
      </c>
      <c r="I286" s="13" t="str">
        <f>IFERROR(__xludf.DUMMYFUNCTION("""COMPUTED_VALUE"""),"CO")</f>
        <v>CO</v>
      </c>
      <c r="J286" s="13" t="str">
        <f>IFERROR(__xludf.DUMMYFUNCTION("""COMPUTED_VALUE"""),"80808-8963")</f>
        <v>80808-8963</v>
      </c>
      <c r="K286" s="13" t="str">
        <f>IFERROR(__xludf.DUMMYFUNCTION("""COMPUTED_VALUE"""),"El Paso")</f>
        <v>El Paso</v>
      </c>
      <c r="L286" s="17" t="str">
        <f>IFERROR(__xludf.DUMMYFUNCTION("""COMPUTED_VALUE"""),"Y")</f>
        <v>Y</v>
      </c>
      <c r="M286" s="17"/>
      <c r="N286" s="17" t="str">
        <f>IFERROR(__xludf.DUMMYFUNCTION("""COMPUTED_VALUE"""),"Y")</f>
        <v>Y</v>
      </c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>
      <c r="A287" s="13" t="str">
        <f>IFERROR(__xludf.DUMMYFUNCTION("""COMPUTED_VALUE"""),"1070")</f>
        <v>1070</v>
      </c>
      <c r="B287" s="13" t="str">
        <f>IFERROR(__xludf.DUMMYFUNCTION("""COMPUTED_VALUE"""),"Hanover School District 28")</f>
        <v>Hanover School District 28</v>
      </c>
      <c r="C287" s="13" t="str">
        <f>IFERROR(__xludf.DUMMYFUNCTION("""COMPUTED_VALUE"""),"03758")</f>
        <v>03758</v>
      </c>
      <c r="D287" s="13" t="str">
        <f>IFERROR(__xludf.DUMMYFUNCTION("""COMPUTED_VALUE"""),"HANOVER JUNIOR-SENIOR HIGH SCHOOL")</f>
        <v>HANOVER JUNIOR-SENIOR HIGH SCHOOL</v>
      </c>
      <c r="E287" s="13" t="str">
        <f>IFERROR(__xludf.DUMMYFUNCTION("""COMPUTED_VALUE"""),"Open")</f>
        <v>Open</v>
      </c>
      <c r="F287" s="13"/>
      <c r="G287" s="13" t="str">
        <f>IFERROR(__xludf.DUMMYFUNCTION("""COMPUTED_VALUE"""),"17050 S PEYTON HWY")</f>
        <v>17050 S PEYTON HWY</v>
      </c>
      <c r="H287" s="13" t="str">
        <f>IFERROR(__xludf.DUMMYFUNCTION("""COMPUTED_VALUE"""),"COLORADO SPGS")</f>
        <v>COLORADO SPGS</v>
      </c>
      <c r="I287" s="13" t="str">
        <f>IFERROR(__xludf.DUMMYFUNCTION("""COMPUTED_VALUE"""),"CO")</f>
        <v>CO</v>
      </c>
      <c r="J287" s="13" t="str">
        <f>IFERROR(__xludf.DUMMYFUNCTION("""COMPUTED_VALUE"""),"80928-9415")</f>
        <v>80928-9415</v>
      </c>
      <c r="K287" s="13" t="str">
        <f>IFERROR(__xludf.DUMMYFUNCTION("""COMPUTED_VALUE"""),"El Paso")</f>
        <v>El Paso</v>
      </c>
      <c r="L287" s="17" t="str">
        <f>IFERROR(__xludf.DUMMYFUNCTION("""COMPUTED_VALUE"""),"Y")</f>
        <v>Y</v>
      </c>
      <c r="M287" s="17"/>
      <c r="N287" s="17" t="str">
        <f>IFERROR(__xludf.DUMMYFUNCTION("""COMPUTED_VALUE"""),"Y")</f>
        <v>Y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>
      <c r="A288" s="13" t="str">
        <f>IFERROR(__xludf.DUMMYFUNCTION("""COMPUTED_VALUE"""),"1110")</f>
        <v>1110</v>
      </c>
      <c r="B288" s="13" t="str">
        <f>IFERROR(__xludf.DUMMYFUNCTION("""COMPUTED_VALUE"""),"DISTRICT 49")</f>
        <v>DISTRICT 49</v>
      </c>
      <c r="C288" s="13" t="str">
        <f>IFERROR(__xludf.DUMMYFUNCTION("""COMPUTED_VALUE"""),"07339")</f>
        <v>07339</v>
      </c>
      <c r="D288" s="13" t="str">
        <f>IFERROR(__xludf.DUMMYFUNCTION("""COMPUTED_VALUE"""),"RIDGEVIEW ELEMENTARY SCHOOL")</f>
        <v>RIDGEVIEW ELEMENTARY SCHOOL</v>
      </c>
      <c r="E288" s="13" t="str">
        <f>IFERROR(__xludf.DUMMYFUNCTION("""COMPUTED_VALUE"""),"Open")</f>
        <v>Open</v>
      </c>
      <c r="F288" s="13"/>
      <c r="G288" s="13" t="str">
        <f>IFERROR(__xludf.DUMMYFUNCTION("""COMPUTED_VALUE"""),"6573 SHIMMERING CREEK DR")</f>
        <v>6573 SHIMMERING CREEK DR</v>
      </c>
      <c r="H288" s="13" t="str">
        <f>IFERROR(__xludf.DUMMYFUNCTION("""COMPUTED_VALUE"""),"COLORADO SPGS")</f>
        <v>COLORADO SPGS</v>
      </c>
      <c r="I288" s="13" t="str">
        <f>IFERROR(__xludf.DUMMYFUNCTION("""COMPUTED_VALUE"""),"CO")</f>
        <v>CO</v>
      </c>
      <c r="J288" s="13" t="str">
        <f>IFERROR(__xludf.DUMMYFUNCTION("""COMPUTED_VALUE"""),"80923-4450")</f>
        <v>80923-4450</v>
      </c>
      <c r="K288" s="13" t="str">
        <f>IFERROR(__xludf.DUMMYFUNCTION("""COMPUTED_VALUE"""),"El Paso")</f>
        <v>El Paso</v>
      </c>
      <c r="L288" s="17" t="str">
        <f>IFERROR(__xludf.DUMMYFUNCTION("""COMPUTED_VALUE"""),"Y")</f>
        <v>Y</v>
      </c>
      <c r="M288" s="17"/>
      <c r="N288" s="17" t="str">
        <f>IFERROR(__xludf.DUMMYFUNCTION("""COMPUTED_VALUE"""),"Y")</f>
        <v>Y</v>
      </c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>
      <c r="A289" s="13" t="str">
        <f>IFERROR(__xludf.DUMMYFUNCTION("""COMPUTED_VALUE"""),"1140")</f>
        <v>1140</v>
      </c>
      <c r="B289" s="13" t="str">
        <f>IFERROR(__xludf.DUMMYFUNCTION("""COMPUTED_VALUE"""),"CANON CITY RE-1")</f>
        <v>CANON CITY RE-1</v>
      </c>
      <c r="C289" s="13" t="str">
        <f>IFERROR(__xludf.DUMMYFUNCTION("""COMPUTED_VALUE"""),"01262")</f>
        <v>01262</v>
      </c>
      <c r="D289" s="13" t="str">
        <f>IFERROR(__xludf.DUMMYFUNCTION("""COMPUTED_VALUE"""),"CANON CITY MIDDLE SCHOOL")</f>
        <v>CANON CITY MIDDLE SCHOOL</v>
      </c>
      <c r="E289" s="13" t="str">
        <f>IFERROR(__xludf.DUMMYFUNCTION("""COMPUTED_VALUE"""),"Open")</f>
        <v>Open</v>
      </c>
      <c r="F289" s="13"/>
      <c r="G289" s="13" t="str">
        <f>IFERROR(__xludf.DUMMYFUNCTION("""COMPUTED_VALUE"""),"1215 MAIN ST")</f>
        <v>1215 MAIN ST</v>
      </c>
      <c r="H289" s="13" t="str">
        <f>IFERROR(__xludf.DUMMYFUNCTION("""COMPUTED_VALUE"""),"CANON CITY")</f>
        <v>CANON CITY</v>
      </c>
      <c r="I289" s="13" t="str">
        <f>IFERROR(__xludf.DUMMYFUNCTION("""COMPUTED_VALUE"""),"CO")</f>
        <v>CO</v>
      </c>
      <c r="J289" s="13" t="str">
        <f>IFERROR(__xludf.DUMMYFUNCTION("""COMPUTED_VALUE"""),"81212-3505")</f>
        <v>81212-3505</v>
      </c>
      <c r="K289" s="13" t="str">
        <f>IFERROR(__xludf.DUMMYFUNCTION("""COMPUTED_VALUE"""),"Fremont")</f>
        <v>Fremont</v>
      </c>
      <c r="L289" s="17" t="str">
        <f>IFERROR(__xludf.DUMMYFUNCTION("""COMPUTED_VALUE"""),"Y")</f>
        <v>Y</v>
      </c>
      <c r="M289" s="17"/>
      <c r="N289" s="17" t="str">
        <f>IFERROR(__xludf.DUMMYFUNCTION("""COMPUTED_VALUE"""),"Y")</f>
        <v>Y</v>
      </c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>
      <c r="A290" s="13" t="str">
        <f>IFERROR(__xludf.DUMMYFUNCTION("""COMPUTED_VALUE"""),"1140")</f>
        <v>1140</v>
      </c>
      <c r="B290" s="13" t="str">
        <f>IFERROR(__xludf.DUMMYFUNCTION("""COMPUTED_VALUE"""),"CANON CITY RE-1")</f>
        <v>CANON CITY RE-1</v>
      </c>
      <c r="C290" s="13" t="str">
        <f>IFERROR(__xludf.DUMMYFUNCTION("""COMPUTED_VALUE"""),"01266")</f>
        <v>01266</v>
      </c>
      <c r="D290" s="13" t="str">
        <f>IFERROR(__xludf.DUMMYFUNCTION("""COMPUTED_VALUE"""),"CANON CITY HIGH SCHOOL")</f>
        <v>CANON CITY HIGH SCHOOL</v>
      </c>
      <c r="E290" s="13" t="str">
        <f>IFERROR(__xludf.DUMMYFUNCTION("""COMPUTED_VALUE"""),"Open")</f>
        <v>Open</v>
      </c>
      <c r="F290" s="13"/>
      <c r="G290" s="13" t="str">
        <f>IFERROR(__xludf.DUMMYFUNCTION("""COMPUTED_VALUE"""),"1313 COLLEGE AVE")</f>
        <v>1313 COLLEGE AVE</v>
      </c>
      <c r="H290" s="13" t="str">
        <f>IFERROR(__xludf.DUMMYFUNCTION("""COMPUTED_VALUE"""),"CANON CITY")</f>
        <v>CANON CITY</v>
      </c>
      <c r="I290" s="13" t="str">
        <f>IFERROR(__xludf.DUMMYFUNCTION("""COMPUTED_VALUE"""),"CO")</f>
        <v>CO</v>
      </c>
      <c r="J290" s="13" t="str">
        <f>IFERROR(__xludf.DUMMYFUNCTION("""COMPUTED_VALUE"""),"81212-3540")</f>
        <v>81212-3540</v>
      </c>
      <c r="K290" s="13" t="str">
        <f>IFERROR(__xludf.DUMMYFUNCTION("""COMPUTED_VALUE"""),"Fremont")</f>
        <v>Fremont</v>
      </c>
      <c r="L290" s="17" t="str">
        <f>IFERROR(__xludf.DUMMYFUNCTION("""COMPUTED_VALUE"""),"Y")</f>
        <v>Y</v>
      </c>
      <c r="M290" s="17"/>
      <c r="N290" s="17" t="str">
        <f>IFERROR(__xludf.DUMMYFUNCTION("""COMPUTED_VALUE"""),"Y")</f>
        <v>Y</v>
      </c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>
      <c r="A291" s="13" t="str">
        <f>IFERROR(__xludf.DUMMYFUNCTION("""COMPUTED_VALUE"""),"1140")</f>
        <v>1140</v>
      </c>
      <c r="B291" s="13" t="str">
        <f>IFERROR(__xludf.DUMMYFUNCTION("""COMPUTED_VALUE"""),"CANON CITY RE-1")</f>
        <v>CANON CITY RE-1</v>
      </c>
      <c r="C291" s="13" t="str">
        <f>IFERROR(__xludf.DUMMYFUNCTION("""COMPUTED_VALUE"""),"03802")</f>
        <v>03802</v>
      </c>
      <c r="D291" s="13" t="str">
        <f>IFERROR(__xludf.DUMMYFUNCTION("""COMPUTED_VALUE"""),"HARRISON SCHOOL")</f>
        <v>HARRISON SCHOOL</v>
      </c>
      <c r="E291" s="13" t="str">
        <f>IFERROR(__xludf.DUMMYFUNCTION("""COMPUTED_VALUE"""),"Open")</f>
        <v>Open</v>
      </c>
      <c r="F291" s="13"/>
      <c r="G291" s="13" t="str">
        <f>IFERROR(__xludf.DUMMYFUNCTION("""COMPUTED_VALUE"""),"920 FIELD AVE")</f>
        <v>920 FIELD AVE</v>
      </c>
      <c r="H291" s="13" t="str">
        <f>IFERROR(__xludf.DUMMYFUNCTION("""COMPUTED_VALUE"""),"CANON CITY")</f>
        <v>CANON CITY</v>
      </c>
      <c r="I291" s="13" t="str">
        <f>IFERROR(__xludf.DUMMYFUNCTION("""COMPUTED_VALUE"""),"CO")</f>
        <v>CO</v>
      </c>
      <c r="J291" s="13" t="str">
        <f>IFERROR(__xludf.DUMMYFUNCTION("""COMPUTED_VALUE"""),"81212-2735")</f>
        <v>81212-2735</v>
      </c>
      <c r="K291" s="13" t="str">
        <f>IFERROR(__xludf.DUMMYFUNCTION("""COMPUTED_VALUE"""),"Fremont")</f>
        <v>Fremont</v>
      </c>
      <c r="L291" s="17"/>
      <c r="M291" s="17"/>
      <c r="N291" s="17" t="str">
        <f>IFERROR(__xludf.DUMMYFUNCTION("""COMPUTED_VALUE"""),"Y")</f>
        <v>Y</v>
      </c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>
      <c r="A292" s="13" t="str">
        <f>IFERROR(__xludf.DUMMYFUNCTION("""COMPUTED_VALUE"""),"1140")</f>
        <v>1140</v>
      </c>
      <c r="B292" s="13" t="str">
        <f>IFERROR(__xludf.DUMMYFUNCTION("""COMPUTED_VALUE"""),"CANON CITY RE-1")</f>
        <v>CANON CITY RE-1</v>
      </c>
      <c r="C292" s="13" t="str">
        <f>IFERROR(__xludf.DUMMYFUNCTION("""COMPUTED_VALUE"""),"05166")</f>
        <v>05166</v>
      </c>
      <c r="D292" s="13" t="str">
        <f>IFERROR(__xludf.DUMMYFUNCTION("""COMPUTED_VALUE"""),"Lincoln School of Science and Technology")</f>
        <v>Lincoln School of Science and Technology</v>
      </c>
      <c r="E292" s="13" t="str">
        <f>IFERROR(__xludf.DUMMYFUNCTION("""COMPUTED_VALUE"""),"Open")</f>
        <v>Open</v>
      </c>
      <c r="F292" s="13"/>
      <c r="G292" s="13" t="str">
        <f>IFERROR(__xludf.DUMMYFUNCTION("""COMPUTED_VALUE"""),"420 MYRTLE AVE")</f>
        <v>420 MYRTLE AVE</v>
      </c>
      <c r="H292" s="13" t="str">
        <f>IFERROR(__xludf.DUMMYFUNCTION("""COMPUTED_VALUE"""),"CANON CITY")</f>
        <v>CANON CITY</v>
      </c>
      <c r="I292" s="13" t="str">
        <f>IFERROR(__xludf.DUMMYFUNCTION("""COMPUTED_VALUE"""),"CO")</f>
        <v>CO</v>
      </c>
      <c r="J292" s="13" t="str">
        <f>IFERROR(__xludf.DUMMYFUNCTION("""COMPUTED_VALUE"""),"81212-4157")</f>
        <v>81212-4157</v>
      </c>
      <c r="K292" s="13" t="str">
        <f>IFERROR(__xludf.DUMMYFUNCTION("""COMPUTED_VALUE"""),"Fremont")</f>
        <v>Fremont</v>
      </c>
      <c r="L292" s="17"/>
      <c r="M292" s="17"/>
      <c r="N292" s="17" t="str">
        <f>IFERROR(__xludf.DUMMYFUNCTION("""COMPUTED_VALUE"""),"Y")</f>
        <v>Y</v>
      </c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>
      <c r="A293" s="13" t="str">
        <f>IFERROR(__xludf.DUMMYFUNCTION("""COMPUTED_VALUE"""),"1140")</f>
        <v>1140</v>
      </c>
      <c r="B293" s="13" t="str">
        <f>IFERROR(__xludf.DUMMYFUNCTION("""COMPUTED_VALUE"""),"CANON CITY RE-1")</f>
        <v>CANON CITY RE-1</v>
      </c>
      <c r="C293" s="13" t="str">
        <f>IFERROR(__xludf.DUMMYFUNCTION("""COMPUTED_VALUE"""),"05704")</f>
        <v>05704</v>
      </c>
      <c r="D293" s="13" t="str">
        <f>IFERROR(__xludf.DUMMYFUNCTION("""COMPUTED_VALUE"""),"MC KINLEY ELEMENTARY SCHOOL")</f>
        <v>MC KINLEY ELEMENTARY SCHOOL</v>
      </c>
      <c r="E293" s="13" t="str">
        <f>IFERROR(__xludf.DUMMYFUNCTION("""COMPUTED_VALUE"""),"Open")</f>
        <v>Open</v>
      </c>
      <c r="F293" s="13"/>
      <c r="G293" s="13" t="str">
        <f>IFERROR(__xludf.DUMMYFUNCTION("""COMPUTED_VALUE"""),"1240 MCKINLEY ST")</f>
        <v>1240 MCKINLEY ST</v>
      </c>
      <c r="H293" s="13" t="str">
        <f>IFERROR(__xludf.DUMMYFUNCTION("""COMPUTED_VALUE"""),"CANON CITY")</f>
        <v>CANON CITY</v>
      </c>
      <c r="I293" s="13" t="str">
        <f>IFERROR(__xludf.DUMMYFUNCTION("""COMPUTED_VALUE"""),"CO")</f>
        <v>CO</v>
      </c>
      <c r="J293" s="13" t="str">
        <f>IFERROR(__xludf.DUMMYFUNCTION("""COMPUTED_VALUE"""),"81212-4450")</f>
        <v>81212-4450</v>
      </c>
      <c r="K293" s="13" t="str">
        <f>IFERROR(__xludf.DUMMYFUNCTION("""COMPUTED_VALUE"""),"Fremont")</f>
        <v>Fremont</v>
      </c>
      <c r="L293" s="17"/>
      <c r="M293" s="17"/>
      <c r="N293" s="17" t="str">
        <f>IFERROR(__xludf.DUMMYFUNCTION("""COMPUTED_VALUE"""),"Y")</f>
        <v>Y</v>
      </c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>
      <c r="A294" s="13" t="str">
        <f>IFERROR(__xludf.DUMMYFUNCTION("""COMPUTED_VALUE"""),"1140")</f>
        <v>1140</v>
      </c>
      <c r="B294" s="13" t="str">
        <f>IFERROR(__xludf.DUMMYFUNCTION("""COMPUTED_VALUE"""),"CANON CITY RE-1")</f>
        <v>CANON CITY RE-1</v>
      </c>
      <c r="C294" s="13" t="str">
        <f>IFERROR(__xludf.DUMMYFUNCTION("""COMPUTED_VALUE"""),"07950")</f>
        <v>07950</v>
      </c>
      <c r="D294" s="13" t="str">
        <f>IFERROR(__xludf.DUMMYFUNCTION("""COMPUTED_VALUE"""),"Canon Exploratory School")</f>
        <v>Canon Exploratory School</v>
      </c>
      <c r="E294" s="13" t="str">
        <f>IFERROR(__xludf.DUMMYFUNCTION("""COMPUTED_VALUE"""),"Open")</f>
        <v>Open</v>
      </c>
      <c r="F294" s="13"/>
      <c r="G294" s="13" t="str">
        <f>IFERROR(__xludf.DUMMYFUNCTION("""COMPUTED_VALUE"""),"2855 N 9TH ST")</f>
        <v>2855 N 9TH ST</v>
      </c>
      <c r="H294" s="13" t="str">
        <f>IFERROR(__xludf.DUMMYFUNCTION("""COMPUTED_VALUE"""),"CANON CITY")</f>
        <v>CANON CITY</v>
      </c>
      <c r="I294" s="13" t="str">
        <f>IFERROR(__xludf.DUMMYFUNCTION("""COMPUTED_VALUE"""),"CO")</f>
        <v>CO</v>
      </c>
      <c r="J294" s="13" t="str">
        <f>IFERROR(__xludf.DUMMYFUNCTION("""COMPUTED_VALUE"""),"81212-8517")</f>
        <v>81212-8517</v>
      </c>
      <c r="K294" s="13" t="str">
        <f>IFERROR(__xludf.DUMMYFUNCTION("""COMPUTED_VALUE"""),"Fremont")</f>
        <v>Fremont</v>
      </c>
      <c r="L294" s="17"/>
      <c r="M294" s="17"/>
      <c r="N294" s="17" t="str">
        <f>IFERROR(__xludf.DUMMYFUNCTION("""COMPUTED_VALUE"""),"Y")</f>
        <v>Y</v>
      </c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>
      <c r="A295" s="13" t="str">
        <f>IFERROR(__xludf.DUMMYFUNCTION("""COMPUTED_VALUE"""),"1140")</f>
        <v>1140</v>
      </c>
      <c r="B295" s="13" t="str">
        <f>IFERROR(__xludf.DUMMYFUNCTION("""COMPUTED_VALUE"""),"CANON CITY RE-1")</f>
        <v>CANON CITY RE-1</v>
      </c>
      <c r="C295" s="13" t="str">
        <f>IFERROR(__xludf.DUMMYFUNCTION("""COMPUTED_VALUE"""),"09248")</f>
        <v>09248</v>
      </c>
      <c r="D295" s="13" t="str">
        <f>IFERROR(__xludf.DUMMYFUNCTION("""COMPUTED_VALUE"""),"WASHINGTON ELEMENTARY SCHOOL")</f>
        <v>WASHINGTON ELEMENTARY SCHOOL</v>
      </c>
      <c r="E295" s="13" t="str">
        <f>IFERROR(__xludf.DUMMYFUNCTION("""COMPUTED_VALUE"""),"Open")</f>
        <v>Open</v>
      </c>
      <c r="F295" s="13"/>
      <c r="G295" s="13" t="str">
        <f>IFERROR(__xludf.DUMMYFUNCTION("""COMPUTED_VALUE"""),"606 N 9TH ST")</f>
        <v>606 N 9TH ST</v>
      </c>
      <c r="H295" s="13" t="str">
        <f>IFERROR(__xludf.DUMMYFUNCTION("""COMPUTED_VALUE"""),"CANON CITY")</f>
        <v>CANON CITY</v>
      </c>
      <c r="I295" s="13" t="str">
        <f>IFERROR(__xludf.DUMMYFUNCTION("""COMPUTED_VALUE"""),"CO")</f>
        <v>CO</v>
      </c>
      <c r="J295" s="13" t="str">
        <f>IFERROR(__xludf.DUMMYFUNCTION("""COMPUTED_VALUE"""),"81212-3462")</f>
        <v>81212-3462</v>
      </c>
      <c r="K295" s="13" t="str">
        <f>IFERROR(__xludf.DUMMYFUNCTION("""COMPUTED_VALUE"""),"Fremont")</f>
        <v>Fremont</v>
      </c>
      <c r="L295" s="17"/>
      <c r="M295" s="17"/>
      <c r="N295" s="17" t="str">
        <f>IFERROR(__xludf.DUMMYFUNCTION("""COMPUTED_VALUE"""),"Y")</f>
        <v>Y</v>
      </c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>
      <c r="A296" s="13" t="str">
        <f>IFERROR(__xludf.DUMMYFUNCTION("""COMPUTED_VALUE"""),"1180")</f>
        <v>1180</v>
      </c>
      <c r="B296" s="13" t="str">
        <f>IFERROR(__xludf.DUMMYFUNCTION("""COMPUTED_VALUE"""),"ROARING FORK RE-1")</f>
        <v>ROARING FORK RE-1</v>
      </c>
      <c r="C296" s="13" t="str">
        <f>IFERROR(__xludf.DUMMYFUNCTION("""COMPUTED_VALUE"""),"00560")</f>
        <v>00560</v>
      </c>
      <c r="D296" s="13" t="str">
        <f>IFERROR(__xludf.DUMMYFUNCTION("""COMPUTED_VALUE"""),"BASALT ELEMENTARY SCHOOL")</f>
        <v>BASALT ELEMENTARY SCHOOL</v>
      </c>
      <c r="E296" s="13" t="str">
        <f>IFERROR(__xludf.DUMMYFUNCTION("""COMPUTED_VALUE"""),"Closed - Enrolled")</f>
        <v>Closed - Enrolled</v>
      </c>
      <c r="F296" s="13"/>
      <c r="G296" s="13" t="str">
        <f>IFERROR(__xludf.DUMMYFUNCTION("""COMPUTED_VALUE"""),"151 COTTONWOOD DR")</f>
        <v>151 COTTONWOOD DR</v>
      </c>
      <c r="H296" s="13" t="str">
        <f>IFERROR(__xludf.DUMMYFUNCTION("""COMPUTED_VALUE"""),"BASALT")</f>
        <v>BASALT</v>
      </c>
      <c r="I296" s="13" t="str">
        <f>IFERROR(__xludf.DUMMYFUNCTION("""COMPUTED_VALUE"""),"CO")</f>
        <v>CO</v>
      </c>
      <c r="J296" s="13" t="str">
        <f>IFERROR(__xludf.DUMMYFUNCTION("""COMPUTED_VALUE"""),"81621-8345")</f>
        <v>81621-8345</v>
      </c>
      <c r="K296" s="13" t="str">
        <f>IFERROR(__xludf.DUMMYFUNCTION("""COMPUTED_VALUE"""),"Eagle")</f>
        <v>Eagle</v>
      </c>
      <c r="L296" s="17" t="str">
        <f>IFERROR(__xludf.DUMMYFUNCTION("""COMPUTED_VALUE"""),"Y")</f>
        <v>Y</v>
      </c>
      <c r="M296" s="17"/>
      <c r="N296" s="17" t="str">
        <f>IFERROR(__xludf.DUMMYFUNCTION("""COMPUTED_VALUE"""),"Y")</f>
        <v>Y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>
      <c r="A297" s="13" t="str">
        <f>IFERROR(__xludf.DUMMYFUNCTION("""COMPUTED_VALUE"""),"1180")</f>
        <v>1180</v>
      </c>
      <c r="B297" s="13" t="str">
        <f>IFERROR(__xludf.DUMMYFUNCTION("""COMPUTED_VALUE"""),"ROARING FORK RE-1")</f>
        <v>ROARING FORK RE-1</v>
      </c>
      <c r="C297" s="13" t="str">
        <f>IFERROR(__xludf.DUMMYFUNCTION("""COMPUTED_VALUE"""),"00561")</f>
        <v>00561</v>
      </c>
      <c r="D297" s="13" t="str">
        <f>IFERROR(__xludf.DUMMYFUNCTION("""COMPUTED_VALUE"""),"BASALT MIDDLE SCHOOL")</f>
        <v>BASALT MIDDLE SCHOOL</v>
      </c>
      <c r="E297" s="13" t="str">
        <f>IFERROR(__xludf.DUMMYFUNCTION("""COMPUTED_VALUE"""),"Open")</f>
        <v>Open</v>
      </c>
      <c r="F297" s="13" t="str">
        <f>IFERROR(__xludf.DUMMYFUNCTION("""COMPUTED_VALUE"""),"Non-congregate")</f>
        <v>Non-congregate</v>
      </c>
      <c r="G297" s="13" t="str">
        <f>IFERROR(__xludf.DUMMYFUNCTION("""COMPUTED_VALUE"""),"51 SCHOOL ST")</f>
        <v>51 SCHOOL ST</v>
      </c>
      <c r="H297" s="13" t="str">
        <f>IFERROR(__xludf.DUMMYFUNCTION("""COMPUTED_VALUE"""),"BASALT")</f>
        <v>BASALT</v>
      </c>
      <c r="I297" s="13" t="str">
        <f>IFERROR(__xludf.DUMMYFUNCTION("""COMPUTED_VALUE"""),"CO")</f>
        <v>CO</v>
      </c>
      <c r="J297" s="13" t="str">
        <f>IFERROR(__xludf.DUMMYFUNCTION("""COMPUTED_VALUE"""),"81621-8223")</f>
        <v>81621-8223</v>
      </c>
      <c r="K297" s="13" t="str">
        <f>IFERROR(__xludf.DUMMYFUNCTION("""COMPUTED_VALUE"""),"Pitkin")</f>
        <v>Pitkin</v>
      </c>
      <c r="L297" s="17" t="str">
        <f>IFERROR(__xludf.DUMMYFUNCTION("""COMPUTED_VALUE"""),"Y")</f>
        <v>Y</v>
      </c>
      <c r="M297" s="17"/>
      <c r="N297" s="17" t="str">
        <f>IFERROR(__xludf.DUMMYFUNCTION("""COMPUTED_VALUE"""),"Y")</f>
        <v>Y</v>
      </c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>
      <c r="A298" s="13" t="str">
        <f>IFERROR(__xludf.DUMMYFUNCTION("""COMPUTED_VALUE"""),"1180")</f>
        <v>1180</v>
      </c>
      <c r="B298" s="13" t="str">
        <f>IFERROR(__xludf.DUMMYFUNCTION("""COMPUTED_VALUE"""),"ROARING FORK RE-1")</f>
        <v>ROARING FORK RE-1</v>
      </c>
      <c r="C298" s="13" t="str">
        <f>IFERROR(__xludf.DUMMYFUNCTION("""COMPUTED_VALUE"""),"01296")</f>
        <v>01296</v>
      </c>
      <c r="D298" s="13" t="str">
        <f>IFERROR(__xludf.DUMMYFUNCTION("""COMPUTED_VALUE"""),"CARBONDALE MIDDLE SCHOOL")</f>
        <v>CARBONDALE MIDDLE SCHOOL</v>
      </c>
      <c r="E298" s="13" t="str">
        <f>IFERROR(__xludf.DUMMYFUNCTION("""COMPUTED_VALUE"""),"Open")</f>
        <v>Open</v>
      </c>
      <c r="F298" s="13" t="str">
        <f>IFERROR(__xludf.DUMMYFUNCTION("""COMPUTED_VALUE"""),"Non-congregate")</f>
        <v>Non-congregate</v>
      </c>
      <c r="G298" s="13" t="str">
        <f>IFERROR(__xludf.DUMMYFUNCTION("""COMPUTED_VALUE"""),"180 SNOWMASS DR")</f>
        <v>180 SNOWMASS DR</v>
      </c>
      <c r="H298" s="13" t="str">
        <f>IFERROR(__xludf.DUMMYFUNCTION("""COMPUTED_VALUE"""),"CARBONDALE")</f>
        <v>CARBONDALE</v>
      </c>
      <c r="I298" s="13" t="str">
        <f>IFERROR(__xludf.DUMMYFUNCTION("""COMPUTED_VALUE"""),"CO")</f>
        <v>CO</v>
      </c>
      <c r="J298" s="13" t="str">
        <f>IFERROR(__xludf.DUMMYFUNCTION("""COMPUTED_VALUE"""),"81623-2166")</f>
        <v>81623-2166</v>
      </c>
      <c r="K298" s="13" t="str">
        <f>IFERROR(__xludf.DUMMYFUNCTION("""COMPUTED_VALUE"""),"Garfield")</f>
        <v>Garfield</v>
      </c>
      <c r="L298" s="17" t="str">
        <f>IFERROR(__xludf.DUMMYFUNCTION("""COMPUTED_VALUE"""),"Y")</f>
        <v>Y</v>
      </c>
      <c r="M298" s="17"/>
      <c r="N298" s="17" t="str">
        <f>IFERROR(__xludf.DUMMYFUNCTION("""COMPUTED_VALUE"""),"Y")</f>
        <v>Y</v>
      </c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>
      <c r="A299" s="13" t="str">
        <f>IFERROR(__xludf.DUMMYFUNCTION("""COMPUTED_VALUE"""),"1180")</f>
        <v>1180</v>
      </c>
      <c r="B299" s="13" t="str">
        <f>IFERROR(__xludf.DUMMYFUNCTION("""COMPUTED_VALUE"""),"ROARING FORK RE-1")</f>
        <v>ROARING FORK RE-1</v>
      </c>
      <c r="C299" s="13" t="str">
        <f>IFERROR(__xludf.DUMMYFUNCTION("""COMPUTED_VALUE"""),"02063")</f>
        <v>02063</v>
      </c>
      <c r="D299" s="13" t="str">
        <f>IFERROR(__xludf.DUMMYFUNCTION("""COMPUTED_VALUE"""),"CRYSTAL RIVER ELEMENTARY SCHOOL")</f>
        <v>CRYSTAL RIVER ELEMENTARY SCHOOL</v>
      </c>
      <c r="E299" s="13" t="str">
        <f>IFERROR(__xludf.DUMMYFUNCTION("""COMPUTED_VALUE"""),"Closed - Enrolled")</f>
        <v>Closed - Enrolled</v>
      </c>
      <c r="F299" s="13"/>
      <c r="G299" s="13" t="str">
        <f>IFERROR(__xludf.DUMMYFUNCTION("""COMPUTED_VALUE"""),"160 SNOWMASS DR")</f>
        <v>160 SNOWMASS DR</v>
      </c>
      <c r="H299" s="13" t="str">
        <f>IFERROR(__xludf.DUMMYFUNCTION("""COMPUTED_VALUE"""),"CARBONDALE")</f>
        <v>CARBONDALE</v>
      </c>
      <c r="I299" s="13" t="str">
        <f>IFERROR(__xludf.DUMMYFUNCTION("""COMPUTED_VALUE"""),"CO")</f>
        <v>CO</v>
      </c>
      <c r="J299" s="13" t="str">
        <f>IFERROR(__xludf.DUMMYFUNCTION("""COMPUTED_VALUE"""),"81623-2166")</f>
        <v>81623-2166</v>
      </c>
      <c r="K299" s="13" t="str">
        <f>IFERROR(__xludf.DUMMYFUNCTION("""COMPUTED_VALUE"""),"Garfield")</f>
        <v>Garfield</v>
      </c>
      <c r="L299" s="17" t="str">
        <f>IFERROR(__xludf.DUMMYFUNCTION("""COMPUTED_VALUE"""),"Y")</f>
        <v>Y</v>
      </c>
      <c r="M299" s="17"/>
      <c r="N299" s="17" t="str">
        <f>IFERROR(__xludf.DUMMYFUNCTION("""COMPUTED_VALUE"""),"Y")</f>
        <v>Y</v>
      </c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>
      <c r="A300" s="13" t="str">
        <f>IFERROR(__xludf.DUMMYFUNCTION("""COMPUTED_VALUE"""),"1180")</f>
        <v>1180</v>
      </c>
      <c r="B300" s="13" t="str">
        <f>IFERROR(__xludf.DUMMYFUNCTION("""COMPUTED_VALUE"""),"ROARING FORK RE-1")</f>
        <v>ROARING FORK RE-1</v>
      </c>
      <c r="C300" s="13" t="str">
        <f>IFERROR(__xludf.DUMMYFUNCTION("""COMPUTED_VALUE"""),"03460")</f>
        <v>03460</v>
      </c>
      <c r="D300" s="13" t="str">
        <f>IFERROR(__xludf.DUMMYFUNCTION("""COMPUTED_VALUE"""),"GLENWOOD SPRINGS ELEMENTARY SCHOOL")</f>
        <v>GLENWOOD SPRINGS ELEMENTARY SCHOOL</v>
      </c>
      <c r="E300" s="13" t="str">
        <f>IFERROR(__xludf.DUMMYFUNCTION("""COMPUTED_VALUE"""),"Closed - Enrolled")</f>
        <v>Closed - Enrolled</v>
      </c>
      <c r="F300" s="13"/>
      <c r="G300" s="13" t="str">
        <f>IFERROR(__xludf.DUMMYFUNCTION("""COMPUTED_VALUE"""),"915 SCHOOL ST")</f>
        <v>915 SCHOOL ST</v>
      </c>
      <c r="H300" s="13" t="str">
        <f>IFERROR(__xludf.DUMMYFUNCTION("""COMPUTED_VALUE"""),"GLENWOOD SPGS")</f>
        <v>GLENWOOD SPGS</v>
      </c>
      <c r="I300" s="13" t="str">
        <f>IFERROR(__xludf.DUMMYFUNCTION("""COMPUTED_VALUE"""),"CO")</f>
        <v>CO</v>
      </c>
      <c r="J300" s="13" t="str">
        <f>IFERROR(__xludf.DUMMYFUNCTION("""COMPUTED_VALUE"""),"81601-3325")</f>
        <v>81601-3325</v>
      </c>
      <c r="K300" s="13" t="str">
        <f>IFERROR(__xludf.DUMMYFUNCTION("""COMPUTED_VALUE"""),"Garfield")</f>
        <v>Garfield</v>
      </c>
      <c r="L300" s="17" t="str">
        <f>IFERROR(__xludf.DUMMYFUNCTION("""COMPUTED_VALUE"""),"Y")</f>
        <v>Y</v>
      </c>
      <c r="M300" s="17"/>
      <c r="N300" s="17" t="str">
        <f>IFERROR(__xludf.DUMMYFUNCTION("""COMPUTED_VALUE"""),"Y")</f>
        <v>Y</v>
      </c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>
      <c r="A301" s="13" t="str">
        <f>IFERROR(__xludf.DUMMYFUNCTION("""COMPUTED_VALUE"""),"1180")</f>
        <v>1180</v>
      </c>
      <c r="B301" s="13" t="str">
        <f>IFERROR(__xludf.DUMMYFUNCTION("""COMPUTED_VALUE"""),"ROARING FORK RE-1")</f>
        <v>ROARING FORK RE-1</v>
      </c>
      <c r="C301" s="13" t="str">
        <f>IFERROR(__xludf.DUMMYFUNCTION("""COMPUTED_VALUE"""),"03468")</f>
        <v>03468</v>
      </c>
      <c r="D301" s="13" t="str">
        <f>IFERROR(__xludf.DUMMYFUNCTION("""COMPUTED_VALUE"""),"GLENWOOD SPRINGS HIGH SCHOOL")</f>
        <v>GLENWOOD SPRINGS HIGH SCHOOL</v>
      </c>
      <c r="E301" s="13" t="str">
        <f>IFERROR(__xludf.DUMMYFUNCTION("""COMPUTED_VALUE"""),"Open")</f>
        <v>Open</v>
      </c>
      <c r="F301" s="13" t="str">
        <f>IFERROR(__xludf.DUMMYFUNCTION("""COMPUTED_VALUE"""),"Non-congregate")</f>
        <v>Non-congregate</v>
      </c>
      <c r="G301" s="13" t="str">
        <f>IFERROR(__xludf.DUMMYFUNCTION("""COMPUTED_VALUE"""),"1521 GRAND AVE")</f>
        <v>1521 GRAND AVE</v>
      </c>
      <c r="H301" s="13" t="str">
        <f>IFERROR(__xludf.DUMMYFUNCTION("""COMPUTED_VALUE"""),"GLENWOOD SPGS")</f>
        <v>GLENWOOD SPGS</v>
      </c>
      <c r="I301" s="13" t="str">
        <f>IFERROR(__xludf.DUMMYFUNCTION("""COMPUTED_VALUE"""),"CO")</f>
        <v>CO</v>
      </c>
      <c r="J301" s="13" t="str">
        <f>IFERROR(__xludf.DUMMYFUNCTION("""COMPUTED_VALUE"""),"81601-3809")</f>
        <v>81601-3809</v>
      </c>
      <c r="K301" s="13" t="str">
        <f>IFERROR(__xludf.DUMMYFUNCTION("""COMPUTED_VALUE"""),"Garfield")</f>
        <v>Garfield</v>
      </c>
      <c r="L301" s="17" t="str">
        <f>IFERROR(__xludf.DUMMYFUNCTION("""COMPUTED_VALUE"""),"Y")</f>
        <v>Y</v>
      </c>
      <c r="M301" s="17"/>
      <c r="N301" s="17" t="str">
        <f>IFERROR(__xludf.DUMMYFUNCTION("""COMPUTED_VALUE"""),"Y")</f>
        <v>Y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>
      <c r="A302" s="13" t="str">
        <f>IFERROR(__xludf.DUMMYFUNCTION("""COMPUTED_VALUE"""),"1195")</f>
        <v>1195</v>
      </c>
      <c r="B302" s="13" t="str">
        <f>IFERROR(__xludf.DUMMYFUNCTION("""COMPUTED_VALUE"""),"GARFIELD RE-2")</f>
        <v>GARFIELD RE-2</v>
      </c>
      <c r="C302" s="13" t="str">
        <f>IFERROR(__xludf.DUMMYFUNCTION("""COMPUTED_VALUE"""),"07356")</f>
        <v>07356</v>
      </c>
      <c r="D302" s="13" t="str">
        <f>IFERROR(__xludf.DUMMYFUNCTION("""COMPUTED_VALUE"""),"RIFLE MIDDLE SCHOOL")</f>
        <v>RIFLE MIDDLE SCHOOL</v>
      </c>
      <c r="E302" s="13" t="str">
        <f>IFERROR(__xludf.DUMMYFUNCTION("""COMPUTED_VALUE"""),"Open")</f>
        <v>Open</v>
      </c>
      <c r="F302" s="13"/>
      <c r="G302" s="13" t="str">
        <f>IFERROR(__xludf.DUMMYFUNCTION("""COMPUTED_VALUE"""),"753 RAILROAD AVE")</f>
        <v>753 RAILROAD AVE</v>
      </c>
      <c r="H302" s="13" t="str">
        <f>IFERROR(__xludf.DUMMYFUNCTION("""COMPUTED_VALUE"""),"RIFLE")</f>
        <v>RIFLE</v>
      </c>
      <c r="I302" s="13" t="str">
        <f>IFERROR(__xludf.DUMMYFUNCTION("""COMPUTED_VALUE"""),"CO")</f>
        <v>CO</v>
      </c>
      <c r="J302" s="13" t="str">
        <f>IFERROR(__xludf.DUMMYFUNCTION("""COMPUTED_VALUE"""),"81650-3551")</f>
        <v>81650-3551</v>
      </c>
      <c r="K302" s="13" t="str">
        <f>IFERROR(__xludf.DUMMYFUNCTION("""COMPUTED_VALUE"""),"Garfield")</f>
        <v>Garfield</v>
      </c>
      <c r="L302" s="17" t="str">
        <f>IFERROR(__xludf.DUMMYFUNCTION("""COMPUTED_VALUE"""),"Y")</f>
        <v>Y</v>
      </c>
      <c r="M302" s="17"/>
      <c r="N302" s="17" t="str">
        <f>IFERROR(__xludf.DUMMYFUNCTION("""COMPUTED_VALUE"""),"Y")</f>
        <v>Y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>
      <c r="A303" s="13" t="str">
        <f>IFERROR(__xludf.DUMMYFUNCTION("""COMPUTED_VALUE"""),"1195")</f>
        <v>1195</v>
      </c>
      <c r="B303" s="13" t="str">
        <f>IFERROR(__xludf.DUMMYFUNCTION("""COMPUTED_VALUE"""),"GARFIELD RE-2")</f>
        <v>GARFIELD RE-2</v>
      </c>
      <c r="C303" s="13" t="str">
        <f>IFERROR(__xludf.DUMMYFUNCTION("""COMPUTED_VALUE"""),"09238")</f>
        <v>09238</v>
      </c>
      <c r="D303" s="13" t="str">
        <f>IFERROR(__xludf.DUMMYFUNCTION("""COMPUTED_VALUE"""),"Heron's Nest RV Park")</f>
        <v>Heron's Nest RV Park</v>
      </c>
      <c r="E303" s="13" t="str">
        <f>IFERROR(__xludf.DUMMYFUNCTION("""COMPUTED_VALUE"""),"Open")</f>
        <v>Open</v>
      </c>
      <c r="F303" s="13"/>
      <c r="G303" s="13" t="str">
        <f>IFERROR(__xludf.DUMMYFUNCTION("""COMPUTED_VALUE"""),"32956 RIVER FRONTAGE RD")</f>
        <v>32956 RIVER FRONTAGE RD</v>
      </c>
      <c r="H303" s="13" t="str">
        <f>IFERROR(__xludf.DUMMYFUNCTION("""COMPUTED_VALUE"""),"SILT")</f>
        <v>SILT</v>
      </c>
      <c r="I303" s="13" t="str">
        <f>IFERROR(__xludf.DUMMYFUNCTION("""COMPUTED_VALUE"""),"CO")</f>
        <v>CO</v>
      </c>
      <c r="J303" s="13" t="str">
        <f>IFERROR(__xludf.DUMMYFUNCTION("""COMPUTED_VALUE"""),"81652-9573")</f>
        <v>81652-9573</v>
      </c>
      <c r="K303" s="13" t="str">
        <f>IFERROR(__xludf.DUMMYFUNCTION("""COMPUTED_VALUE"""),"Garfield")</f>
        <v>Garfield</v>
      </c>
      <c r="L303" s="17" t="str">
        <f>IFERROR(__xludf.DUMMYFUNCTION("""COMPUTED_VALUE"""),"Y")</f>
        <v>Y</v>
      </c>
      <c r="M303" s="17"/>
      <c r="N303" s="17" t="str">
        <f>IFERROR(__xludf.DUMMYFUNCTION("""COMPUTED_VALUE"""),"Y")</f>
        <v>Y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>
      <c r="A304" s="13" t="str">
        <f>IFERROR(__xludf.DUMMYFUNCTION("""COMPUTED_VALUE"""),"1195")</f>
        <v>1195</v>
      </c>
      <c r="B304" s="13" t="str">
        <f>IFERROR(__xludf.DUMMYFUNCTION("""COMPUTED_VALUE"""),"GARFIELD RE-2")</f>
        <v>GARFIELD RE-2</v>
      </c>
      <c r="C304" s="13" t="str">
        <f>IFERROR(__xludf.DUMMYFUNCTION("""COMPUTED_VALUE"""),"09239")</f>
        <v>09239</v>
      </c>
      <c r="D304" s="13" t="str">
        <f>IFERROR(__xludf.DUMMYFUNCTION("""COMPUTED_VALUE"""),"Burning Mountain Park in New Castle CO")</f>
        <v>Burning Mountain Park in New Castle CO</v>
      </c>
      <c r="E304" s="13" t="str">
        <f>IFERROR(__xludf.DUMMYFUNCTION("""COMPUTED_VALUE"""),"Open")</f>
        <v>Open</v>
      </c>
      <c r="F304" s="13"/>
      <c r="G304" s="13" t="str">
        <f>IFERROR(__xludf.DUMMYFUNCTION("""COMPUTED_VALUE"""),"243 N 7TH ST")</f>
        <v>243 N 7TH ST</v>
      </c>
      <c r="H304" s="13" t="str">
        <f>IFERROR(__xludf.DUMMYFUNCTION("""COMPUTED_VALUE"""),"NEW CASTLE")</f>
        <v>NEW CASTLE</v>
      </c>
      <c r="I304" s="13" t="str">
        <f>IFERROR(__xludf.DUMMYFUNCTION("""COMPUTED_VALUE"""),"CO")</f>
        <v>CO</v>
      </c>
      <c r="J304" s="13" t="str">
        <f>IFERROR(__xludf.DUMMYFUNCTION("""COMPUTED_VALUE"""),"81647-8404")</f>
        <v>81647-8404</v>
      </c>
      <c r="K304" s="13" t="str">
        <f>IFERROR(__xludf.DUMMYFUNCTION("""COMPUTED_VALUE"""),"Garfield")</f>
        <v>Garfield</v>
      </c>
      <c r="L304" s="17" t="str">
        <f>IFERROR(__xludf.DUMMYFUNCTION("""COMPUTED_VALUE"""),"Y")</f>
        <v>Y</v>
      </c>
      <c r="M304" s="17"/>
      <c r="N304" s="17" t="str">
        <f>IFERROR(__xludf.DUMMYFUNCTION("""COMPUTED_VALUE"""),"Y")</f>
        <v>Y</v>
      </c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>
      <c r="A305" s="13" t="str">
        <f>IFERROR(__xludf.DUMMYFUNCTION("""COMPUTED_VALUE"""),"1195")</f>
        <v>1195</v>
      </c>
      <c r="B305" s="13" t="str">
        <f>IFERROR(__xludf.DUMMYFUNCTION("""COMPUTED_VALUE"""),"GARFIELD RE-2")</f>
        <v>GARFIELD RE-2</v>
      </c>
      <c r="C305" s="13" t="str">
        <f>IFERROR(__xludf.DUMMYFUNCTION("""COMPUTED_VALUE"""),"09240")</f>
        <v>09240</v>
      </c>
      <c r="D305" s="13" t="str">
        <f>IFERROR(__xludf.DUMMYFUNCTION("""COMPUTED_VALUE"""),"Apple Tree Community")</f>
        <v>Apple Tree Community</v>
      </c>
      <c r="E305" s="13" t="str">
        <f>IFERROR(__xludf.DUMMYFUNCTION("""COMPUTED_VALUE"""),"Open")</f>
        <v>Open</v>
      </c>
      <c r="F305" s="13"/>
      <c r="G305" s="13" t="str">
        <f>IFERROR(__xludf.DUMMYFUNCTION("""COMPUTED_VALUE"""),"5033 COUNTY ROAD 335")</f>
        <v>5033 COUNTY ROAD 335</v>
      </c>
      <c r="H305" s="13" t="str">
        <f>IFERROR(__xludf.DUMMYFUNCTION("""COMPUTED_VALUE"""),"NEW CASTLE")</f>
        <v>NEW CASTLE</v>
      </c>
      <c r="I305" s="13" t="str">
        <f>IFERROR(__xludf.DUMMYFUNCTION("""COMPUTED_VALUE"""),"CO")</f>
        <v>CO</v>
      </c>
      <c r="J305" s="13" t="str">
        <f>IFERROR(__xludf.DUMMYFUNCTION("""COMPUTED_VALUE"""),"81647-9663")</f>
        <v>81647-9663</v>
      </c>
      <c r="K305" s="13" t="str">
        <f>IFERROR(__xludf.DUMMYFUNCTION("""COMPUTED_VALUE"""),"Garfield")</f>
        <v>Garfield</v>
      </c>
      <c r="L305" s="17" t="str">
        <f>IFERROR(__xludf.DUMMYFUNCTION("""COMPUTED_VALUE"""),"Y")</f>
        <v>Y</v>
      </c>
      <c r="M305" s="17"/>
      <c r="N305" s="17" t="str">
        <f>IFERROR(__xludf.DUMMYFUNCTION("""COMPUTED_VALUE"""),"Y")</f>
        <v>Y</v>
      </c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>
      <c r="A306" s="13" t="str">
        <f>IFERROR(__xludf.DUMMYFUNCTION("""COMPUTED_VALUE"""),"1195")</f>
        <v>1195</v>
      </c>
      <c r="B306" s="13" t="str">
        <f>IFERROR(__xludf.DUMMYFUNCTION("""COMPUTED_VALUE"""),"GARFIELD RE-2")</f>
        <v>GARFIELD RE-2</v>
      </c>
      <c r="C306" s="13" t="str">
        <f>IFERROR(__xludf.DUMMYFUNCTION("""COMPUTED_VALUE"""),"12466")</f>
        <v>12466</v>
      </c>
      <c r="D306" s="13" t="str">
        <f>IFERROR(__xludf.DUMMYFUNCTION("""COMPUTED_VALUE"""),"Cottonwood Park")</f>
        <v>Cottonwood Park</v>
      </c>
      <c r="E306" s="13" t="str">
        <f>IFERROR(__xludf.DUMMYFUNCTION("""COMPUTED_VALUE"""),"Open")</f>
        <v>Open</v>
      </c>
      <c r="F306" s="13"/>
      <c r="G306" s="13" t="str">
        <f>IFERROR(__xludf.DUMMYFUNCTION("""COMPUTED_VALUE"""),"27653 HIGHWAY 6")</f>
        <v>27653 HIGHWAY 6</v>
      </c>
      <c r="H306" s="13" t="str">
        <f>IFERROR(__xludf.DUMMYFUNCTION("""COMPUTED_VALUE"""),"RIFLE")</f>
        <v>RIFLE</v>
      </c>
      <c r="I306" s="13" t="str">
        <f>IFERROR(__xludf.DUMMYFUNCTION("""COMPUTED_VALUE"""),"CO")</f>
        <v>CO</v>
      </c>
      <c r="J306" s="13" t="str">
        <f>IFERROR(__xludf.DUMMYFUNCTION("""COMPUTED_VALUE"""),"81650-9434")</f>
        <v>81650-9434</v>
      </c>
      <c r="K306" s="13" t="str">
        <f>IFERROR(__xludf.DUMMYFUNCTION("""COMPUTED_VALUE"""),"Garfield")</f>
        <v>Garfield</v>
      </c>
      <c r="L306" s="17" t="str">
        <f>IFERROR(__xludf.DUMMYFUNCTION("""COMPUTED_VALUE"""),"Y")</f>
        <v>Y</v>
      </c>
      <c r="M306" s="17"/>
      <c r="N306" s="17" t="str">
        <f>IFERROR(__xludf.DUMMYFUNCTION("""COMPUTED_VALUE"""),"Y")</f>
        <v>Y</v>
      </c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>
      <c r="A307" s="13" t="str">
        <f>IFERROR(__xludf.DUMMYFUNCTION("""COMPUTED_VALUE"""),"1195")</f>
        <v>1195</v>
      </c>
      <c r="B307" s="13" t="str">
        <f>IFERROR(__xludf.DUMMYFUNCTION("""COMPUTED_VALUE"""),"GARFIELD RE-2")</f>
        <v>GARFIELD RE-2</v>
      </c>
      <c r="C307" s="13" t="str">
        <f>IFERROR(__xludf.DUMMYFUNCTION("""COMPUTED_VALUE"""),"12467")</f>
        <v>12467</v>
      </c>
      <c r="D307" s="13" t="str">
        <f>IFERROR(__xludf.DUMMYFUNCTION("""COMPUTED_VALUE"""),"Joyce Park")</f>
        <v>Joyce Park</v>
      </c>
      <c r="E307" s="13" t="str">
        <f>IFERROR(__xludf.DUMMYFUNCTION("""COMPUTED_VALUE"""),"Open")</f>
        <v>Open</v>
      </c>
      <c r="F307" s="13"/>
      <c r="G307" s="13" t="str">
        <f>IFERROR(__xludf.DUMMYFUNCTION("""COMPUTED_VALUE"""),"595 West 24th Street")</f>
        <v>595 West 24th Street</v>
      </c>
      <c r="H307" s="13" t="str">
        <f>IFERROR(__xludf.DUMMYFUNCTION("""COMPUTED_VALUE"""),"RIFLE")</f>
        <v>RIFLE</v>
      </c>
      <c r="I307" s="13" t="str">
        <f>IFERROR(__xludf.DUMMYFUNCTION("""COMPUTED_VALUE"""),"CO")</f>
        <v>CO</v>
      </c>
      <c r="J307" s="13">
        <f>IFERROR(__xludf.DUMMYFUNCTION("""COMPUTED_VALUE"""),81650.0)</f>
        <v>81650</v>
      </c>
      <c r="K307" s="13" t="str">
        <f>IFERROR(__xludf.DUMMYFUNCTION("""COMPUTED_VALUE"""),"Garfield")</f>
        <v>Garfield</v>
      </c>
      <c r="L307" s="17" t="str">
        <f>IFERROR(__xludf.DUMMYFUNCTION("""COMPUTED_VALUE"""),"Y")</f>
        <v>Y</v>
      </c>
      <c r="M307" s="17"/>
      <c r="N307" s="17" t="str">
        <f>IFERROR(__xludf.DUMMYFUNCTION("""COMPUTED_VALUE"""),"Y")</f>
        <v>Y</v>
      </c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>
      <c r="A308" s="13" t="str">
        <f>IFERROR(__xludf.DUMMYFUNCTION("""COMPUTED_VALUE"""),"1195")</f>
        <v>1195</v>
      </c>
      <c r="B308" s="13" t="str">
        <f>IFERROR(__xludf.DUMMYFUNCTION("""COMPUTED_VALUE"""),"GARFIELD RE-2")</f>
        <v>GARFIELD RE-2</v>
      </c>
      <c r="C308" s="13" t="str">
        <f>IFERROR(__xludf.DUMMYFUNCTION("""COMPUTED_VALUE"""),"12468")</f>
        <v>12468</v>
      </c>
      <c r="D308" s="13" t="str">
        <f>IFERROR(__xludf.DUMMYFUNCTION("""COMPUTED_VALUE"""),"Davidson Park")</f>
        <v>Davidson Park</v>
      </c>
      <c r="E308" s="13" t="str">
        <f>IFERROR(__xludf.DUMMYFUNCTION("""COMPUTED_VALUE"""),"Open")</f>
        <v>Open</v>
      </c>
      <c r="F308" s="13"/>
      <c r="G308" s="13" t="str">
        <f>IFERROR(__xludf.DUMMYFUNCTION("""COMPUTED_VALUE"""),"715 FIR AVE")</f>
        <v>715 FIR AVE</v>
      </c>
      <c r="H308" s="13" t="str">
        <f>IFERROR(__xludf.DUMMYFUNCTION("""COMPUTED_VALUE"""),"RIFLE")</f>
        <v>RIFLE</v>
      </c>
      <c r="I308" s="13" t="str">
        <f>IFERROR(__xludf.DUMMYFUNCTION("""COMPUTED_VALUE"""),"CO")</f>
        <v>CO</v>
      </c>
      <c r="J308" s="13">
        <f>IFERROR(__xludf.DUMMYFUNCTION("""COMPUTED_VALUE"""),81650.0)</f>
        <v>81650</v>
      </c>
      <c r="K308" s="13" t="str">
        <f>IFERROR(__xludf.DUMMYFUNCTION("""COMPUTED_VALUE"""),"Garfield")</f>
        <v>Garfield</v>
      </c>
      <c r="L308" s="17" t="str">
        <f>IFERROR(__xludf.DUMMYFUNCTION("""COMPUTED_VALUE"""),"Y")</f>
        <v>Y</v>
      </c>
      <c r="M308" s="17"/>
      <c r="N308" s="17" t="str">
        <f>IFERROR(__xludf.DUMMYFUNCTION("""COMPUTED_VALUE"""),"Y")</f>
        <v>Y</v>
      </c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>
      <c r="A309" s="13" t="str">
        <f>IFERROR(__xludf.DUMMYFUNCTION("""COMPUTED_VALUE"""),"1195")</f>
        <v>1195</v>
      </c>
      <c r="B309" s="13" t="str">
        <f>IFERROR(__xludf.DUMMYFUNCTION("""COMPUTED_VALUE"""),"GARFIELD RE-2")</f>
        <v>GARFIELD RE-2</v>
      </c>
      <c r="C309" s="13" t="str">
        <f>IFERROR(__xludf.DUMMYFUNCTION("""COMPUTED_VALUE"""),"12625")</f>
        <v>12625</v>
      </c>
      <c r="D309" s="13" t="str">
        <f>IFERROR(__xludf.DUMMYFUNCTION("""COMPUTED_VALUE"""),"Centennial Park")</f>
        <v>Centennial Park</v>
      </c>
      <c r="E309" s="13" t="str">
        <f>IFERROR(__xludf.DUMMYFUNCTION("""COMPUTED_VALUE"""),"Open")</f>
        <v>Open</v>
      </c>
      <c r="F309" s="13"/>
      <c r="G309" s="13" t="str">
        <f>IFERROR(__xludf.DUMMYFUNCTION("""COMPUTED_VALUE"""),"300 W. 5th St")</f>
        <v>300 W. 5th St</v>
      </c>
      <c r="H309" s="13" t="str">
        <f>IFERROR(__xludf.DUMMYFUNCTION("""COMPUTED_VALUE"""),"RIFLE")</f>
        <v>RIFLE</v>
      </c>
      <c r="I309" s="13" t="str">
        <f>IFERROR(__xludf.DUMMYFUNCTION("""COMPUTED_VALUE"""),"CO")</f>
        <v>CO</v>
      </c>
      <c r="J309" s="13">
        <f>IFERROR(__xludf.DUMMYFUNCTION("""COMPUTED_VALUE"""),81650.0)</f>
        <v>81650</v>
      </c>
      <c r="K309" s="13" t="str">
        <f>IFERROR(__xludf.DUMMYFUNCTION("""COMPUTED_VALUE"""),"Garfield")</f>
        <v>Garfield</v>
      </c>
      <c r="L309" s="17" t="str">
        <f>IFERROR(__xludf.DUMMYFUNCTION("""COMPUTED_VALUE"""),"Y")</f>
        <v>Y</v>
      </c>
      <c r="M309" s="17"/>
      <c r="N309" s="17" t="str">
        <f>IFERROR(__xludf.DUMMYFUNCTION("""COMPUTED_VALUE"""),"Y")</f>
        <v>Y</v>
      </c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>
      <c r="A310" s="13" t="str">
        <f>IFERROR(__xludf.DUMMYFUNCTION("""COMPUTED_VALUE"""),"1195")</f>
        <v>1195</v>
      </c>
      <c r="B310" s="13" t="str">
        <f>IFERROR(__xludf.DUMMYFUNCTION("""COMPUTED_VALUE"""),"GARFIELD RE-2")</f>
        <v>GARFIELD RE-2</v>
      </c>
      <c r="C310" s="13" t="str">
        <f>IFERROR(__xludf.DUMMYFUNCTION("""COMPUTED_VALUE"""),"15000")</f>
        <v>15000</v>
      </c>
      <c r="D310" s="13" t="str">
        <f>IFERROR(__xludf.DUMMYFUNCTION("""COMPUTED_VALUE"""),"Veterans Park")</f>
        <v>Veterans Park</v>
      </c>
      <c r="E310" s="13" t="str">
        <f>IFERROR(__xludf.DUMMYFUNCTION("""COMPUTED_VALUE"""),"Open")</f>
        <v>Open</v>
      </c>
      <c r="F310" s="13"/>
      <c r="G310" s="13" t="str">
        <f>IFERROR(__xludf.DUMMYFUNCTION("""COMPUTED_VALUE"""),"580 HOME AVE")</f>
        <v>580 HOME AVE</v>
      </c>
      <c r="H310" s="13" t="str">
        <f>IFERROR(__xludf.DUMMYFUNCTION("""COMPUTED_VALUE"""),"SILT")</f>
        <v>SILT</v>
      </c>
      <c r="I310" s="13" t="str">
        <f>IFERROR(__xludf.DUMMYFUNCTION("""COMPUTED_VALUE"""),"CO")</f>
        <v>CO</v>
      </c>
      <c r="J310" s="13" t="str">
        <f>IFERROR(__xludf.DUMMYFUNCTION("""COMPUTED_VALUE"""),"81652-9805")</f>
        <v>81652-9805</v>
      </c>
      <c r="K310" s="13" t="str">
        <f>IFERROR(__xludf.DUMMYFUNCTION("""COMPUTED_VALUE"""),"Garfield")</f>
        <v>Garfield</v>
      </c>
      <c r="L310" s="17" t="str">
        <f>IFERROR(__xludf.DUMMYFUNCTION("""COMPUTED_VALUE"""),"Y")</f>
        <v>Y</v>
      </c>
      <c r="M310" s="17"/>
      <c r="N310" s="17" t="str">
        <f>IFERROR(__xludf.DUMMYFUNCTION("""COMPUTED_VALUE"""),"Y")</f>
        <v>Y</v>
      </c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>
      <c r="A311" s="13" t="str">
        <f>IFERROR(__xludf.DUMMYFUNCTION("""COMPUTED_VALUE"""),"1220")</f>
        <v>1220</v>
      </c>
      <c r="B311" s="13" t="str">
        <f>IFERROR(__xludf.DUMMYFUNCTION("""COMPUTED_VALUE"""),"GARFIELD 16")</f>
        <v>GARFIELD 16</v>
      </c>
      <c r="C311" s="13" t="str">
        <f>IFERROR(__xludf.DUMMYFUNCTION("""COMPUTED_VALUE"""),"03578")</f>
        <v>03578</v>
      </c>
      <c r="D311" s="13" t="str">
        <f>IFERROR(__xludf.DUMMYFUNCTION("""COMPUTED_VALUE"""),"BEA UNDERWOOD ELEMENTARY SCHOOL")</f>
        <v>BEA UNDERWOOD ELEMENTARY SCHOOL</v>
      </c>
      <c r="E311" s="13" t="str">
        <f>IFERROR(__xludf.DUMMYFUNCTION("""COMPUTED_VALUE"""),"Open")</f>
        <v>Open</v>
      </c>
      <c r="F311" s="13"/>
      <c r="G311" s="13" t="str">
        <f>IFERROR(__xludf.DUMMYFUNCTION("""COMPUTED_VALUE"""),"741 TAMARISK TRL")</f>
        <v>741 TAMARISK TRL</v>
      </c>
      <c r="H311" s="13" t="str">
        <f>IFERROR(__xludf.DUMMYFUNCTION("""COMPUTED_VALUE"""),"PARACHUTE")</f>
        <v>PARACHUTE</v>
      </c>
      <c r="I311" s="13" t="str">
        <f>IFERROR(__xludf.DUMMYFUNCTION("""COMPUTED_VALUE"""),"CO")</f>
        <v>CO</v>
      </c>
      <c r="J311" s="13">
        <f>IFERROR(__xludf.DUMMYFUNCTION("""COMPUTED_VALUE"""),81635.0)</f>
        <v>81635</v>
      </c>
      <c r="K311" s="13" t="str">
        <f>IFERROR(__xludf.DUMMYFUNCTION("""COMPUTED_VALUE"""),"Garfield")</f>
        <v>Garfield</v>
      </c>
      <c r="L311" s="17"/>
      <c r="M311" s="17"/>
      <c r="N311" s="17" t="str">
        <f>IFERROR(__xludf.DUMMYFUNCTION("""COMPUTED_VALUE"""),"Y")</f>
        <v>Y</v>
      </c>
      <c r="O311" s="17" t="str">
        <f>IFERROR(__xludf.DUMMYFUNCTION("""COMPUTED_VALUE"""),"Y")</f>
        <v>Y</v>
      </c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>
      <c r="A312" s="13" t="str">
        <f>IFERROR(__xludf.DUMMYFUNCTION("""COMPUTED_VALUE"""),"1289")</f>
        <v>1289</v>
      </c>
      <c r="B312" s="13" t="str">
        <f>IFERROR(__xludf.DUMMYFUNCTION("""COMPUTED_VALUE"""),"Pinon Project")</f>
        <v>Pinon Project</v>
      </c>
      <c r="C312" s="13" t="str">
        <f>IFERROR(__xludf.DUMMYFUNCTION("""COMPUTED_VALUE"""),"91834")</f>
        <v>91834</v>
      </c>
      <c r="D312" s="13" t="str">
        <f>IFERROR(__xludf.DUMMYFUNCTION("""COMPUTED_VALUE"""),"Pinion Project")</f>
        <v>Pinion Project</v>
      </c>
      <c r="E312" s="13" t="str">
        <f>IFERROR(__xludf.DUMMYFUNCTION("""COMPUTED_VALUE"""),"Closed - Enrolled")</f>
        <v>Closed - Enrolled</v>
      </c>
      <c r="F312" s="13"/>
      <c r="G312" s="13" t="str">
        <f>IFERROR(__xludf.DUMMYFUNCTION("""COMPUTED_VALUE"""),"210 E MAIN ST")</f>
        <v>210 E MAIN ST</v>
      </c>
      <c r="H312" s="13" t="str">
        <f>IFERROR(__xludf.DUMMYFUNCTION("""COMPUTED_VALUE"""),"CORTEZ")</f>
        <v>CORTEZ</v>
      </c>
      <c r="I312" s="13" t="str">
        <f>IFERROR(__xludf.DUMMYFUNCTION("""COMPUTED_VALUE"""),"CO")</f>
        <v>CO</v>
      </c>
      <c r="J312" s="13" t="str">
        <f>IFERROR(__xludf.DUMMYFUNCTION("""COMPUTED_VALUE"""),"81321-3244")</f>
        <v>81321-3244</v>
      </c>
      <c r="K312" s="13" t="str">
        <f>IFERROR(__xludf.DUMMYFUNCTION("""COMPUTED_VALUE"""),"Montezuma")</f>
        <v>Montezuma</v>
      </c>
      <c r="L312" s="17" t="str">
        <f>IFERROR(__xludf.DUMMYFUNCTION("""COMPUTED_VALUE"""),"Y")</f>
        <v>Y</v>
      </c>
      <c r="M312" s="17"/>
      <c r="N312" s="17" t="str">
        <f>IFERROR(__xludf.DUMMYFUNCTION("""COMPUTED_VALUE"""),"Y")</f>
        <v>Y</v>
      </c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>
      <c r="A313" s="13" t="str">
        <f>IFERROR(__xludf.DUMMYFUNCTION("""COMPUTED_VALUE"""),"1360")</f>
        <v>1360</v>
      </c>
      <c r="B313" s="13" t="str">
        <f>IFERROR(__xludf.DUMMYFUNCTION("""COMPUTED_VALUE"""),"GUNNISON WATERSHED RE1J")</f>
        <v>GUNNISON WATERSHED RE1J</v>
      </c>
      <c r="C313" s="13" t="str">
        <f>IFERROR(__xludf.DUMMYFUNCTION("""COMPUTED_VALUE"""),"03690")</f>
        <v>03690</v>
      </c>
      <c r="D313" s="13" t="str">
        <f>IFERROR(__xludf.DUMMYFUNCTION("""COMPUTED_VALUE"""),"GUNNISON ELEMENTARY SCHOOL")</f>
        <v>GUNNISON ELEMENTARY SCHOOL</v>
      </c>
      <c r="E313" s="13" t="str">
        <f>IFERROR(__xludf.DUMMYFUNCTION("""COMPUTED_VALUE"""),"Open")</f>
        <v>Open</v>
      </c>
      <c r="F313" s="13"/>
      <c r="G313" s="13" t="str">
        <f>IFERROR(__xludf.DUMMYFUNCTION("""COMPUTED_VALUE"""),"1099 N 11TH ST")</f>
        <v>1099 N 11TH ST</v>
      </c>
      <c r="H313" s="13" t="str">
        <f>IFERROR(__xludf.DUMMYFUNCTION("""COMPUTED_VALUE"""),"GUNNISON")</f>
        <v>GUNNISON</v>
      </c>
      <c r="I313" s="13" t="str">
        <f>IFERROR(__xludf.DUMMYFUNCTION("""COMPUTED_VALUE"""),"CO")</f>
        <v>CO</v>
      </c>
      <c r="J313" s="13" t="str">
        <f>IFERROR(__xludf.DUMMYFUNCTION("""COMPUTED_VALUE"""),"81230-2847")</f>
        <v>81230-2847</v>
      </c>
      <c r="K313" s="13" t="str">
        <f>IFERROR(__xludf.DUMMYFUNCTION("""COMPUTED_VALUE"""),"Gunnison")</f>
        <v>Gunnison</v>
      </c>
      <c r="L313" s="17" t="str">
        <f>IFERROR(__xludf.DUMMYFUNCTION("""COMPUTED_VALUE"""),"Y")</f>
        <v>Y</v>
      </c>
      <c r="M313" s="17"/>
      <c r="N313" s="17" t="str">
        <f>IFERROR(__xludf.DUMMYFUNCTION("""COMPUTED_VALUE"""),"Y")</f>
        <v>Y</v>
      </c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>
      <c r="A314" s="13" t="str">
        <f>IFERROR(__xludf.DUMMYFUNCTION("""COMPUTED_VALUE"""),"1360")</f>
        <v>1360</v>
      </c>
      <c r="B314" s="13" t="str">
        <f>IFERROR(__xludf.DUMMYFUNCTION("""COMPUTED_VALUE"""),"GUNNISON WATERSHED RE1J")</f>
        <v>GUNNISON WATERSHED RE1J</v>
      </c>
      <c r="C314" s="13" t="str">
        <f>IFERROR(__xludf.DUMMYFUNCTION("""COMPUTED_VALUE"""),"03702")</f>
        <v>03702</v>
      </c>
      <c r="D314" s="13" t="str">
        <f>IFERROR(__xludf.DUMMYFUNCTION("""COMPUTED_VALUE"""),"LAKE PRESCHOOL")</f>
        <v>LAKE PRESCHOOL</v>
      </c>
      <c r="E314" s="13" t="str">
        <f>IFERROR(__xludf.DUMMYFUNCTION("""COMPUTED_VALUE"""),"Closed - Enrolled")</f>
        <v>Closed - Enrolled</v>
      </c>
      <c r="F314" s="13"/>
      <c r="G314" s="13" t="str">
        <f>IFERROR(__xludf.DUMMYFUNCTION("""COMPUTED_VALUE"""),"800 N BOULEVARD ST")</f>
        <v>800 N BOULEVARD ST</v>
      </c>
      <c r="H314" s="13" t="str">
        <f>IFERROR(__xludf.DUMMYFUNCTION("""COMPUTED_VALUE"""),"GUNNISON")</f>
        <v>GUNNISON</v>
      </c>
      <c r="I314" s="13" t="str">
        <f>IFERROR(__xludf.DUMMYFUNCTION("""COMPUTED_VALUE"""),"CO")</f>
        <v>CO</v>
      </c>
      <c r="J314" s="13" t="str">
        <f>IFERROR(__xludf.DUMMYFUNCTION("""COMPUTED_VALUE"""),"81230-2825")</f>
        <v>81230-2825</v>
      </c>
      <c r="K314" s="13" t="str">
        <f>IFERROR(__xludf.DUMMYFUNCTION("""COMPUTED_VALUE"""),"Gunnison")</f>
        <v>Gunnison</v>
      </c>
      <c r="L314" s="17" t="str">
        <f>IFERROR(__xludf.DUMMYFUNCTION("""COMPUTED_VALUE"""),"Y")</f>
        <v>Y</v>
      </c>
      <c r="M314" s="17"/>
      <c r="N314" s="17" t="str">
        <f>IFERROR(__xludf.DUMMYFUNCTION("""COMPUTED_VALUE"""),"Y")</f>
        <v>Y</v>
      </c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>
      <c r="A315" s="13" t="str">
        <f>IFERROR(__xludf.DUMMYFUNCTION("""COMPUTED_VALUE"""),"1420")</f>
        <v>1420</v>
      </c>
      <c r="B315" s="13" t="str">
        <f>IFERROR(__xludf.DUMMYFUNCTION("""COMPUTED_VALUE"""),"JEFFERSON COUNTY R-1")</f>
        <v>JEFFERSON COUNTY R-1</v>
      </c>
      <c r="C315" s="13" t="str">
        <f>IFERROR(__xludf.DUMMYFUNCTION("""COMPUTED_VALUE"""),"00660")</f>
        <v>00660</v>
      </c>
      <c r="D315" s="13" t="str">
        <f>IFERROR(__xludf.DUMMYFUNCTION("""COMPUTED_VALUE"""),"BEAR CREEK K-8 SCHOOL")</f>
        <v>BEAR CREEK K-8 SCHOOL</v>
      </c>
      <c r="E315" s="13" t="str">
        <f>IFERROR(__xludf.DUMMYFUNCTION("""COMPUTED_VALUE"""),"Open")</f>
        <v>Open</v>
      </c>
      <c r="F315" s="13"/>
      <c r="G315" s="13" t="str">
        <f>IFERROR(__xludf.DUMMYFUNCTION("""COMPUTED_VALUE"""),"9601 W DARTMOUTH PL")</f>
        <v>9601 W DARTMOUTH PL</v>
      </c>
      <c r="H315" s="13" t="str">
        <f>IFERROR(__xludf.DUMMYFUNCTION("""COMPUTED_VALUE"""),"LAKEWOOD")</f>
        <v>LAKEWOOD</v>
      </c>
      <c r="I315" s="13" t="str">
        <f>IFERROR(__xludf.DUMMYFUNCTION("""COMPUTED_VALUE"""),"CO")</f>
        <v>CO</v>
      </c>
      <c r="J315" s="13" t="str">
        <f>IFERROR(__xludf.DUMMYFUNCTION("""COMPUTED_VALUE"""),"80227-4409")</f>
        <v>80227-4409</v>
      </c>
      <c r="K315" s="13" t="str">
        <f>IFERROR(__xludf.DUMMYFUNCTION("""COMPUTED_VALUE"""),"Jefferson")</f>
        <v>Jefferson</v>
      </c>
      <c r="L315" s="17" t="str">
        <f>IFERROR(__xludf.DUMMYFUNCTION("""COMPUTED_VALUE"""),"Y")</f>
        <v>Y</v>
      </c>
      <c r="M315" s="17"/>
      <c r="N315" s="17" t="str">
        <f>IFERROR(__xludf.DUMMYFUNCTION("""COMPUTED_VALUE"""),"Y")</f>
        <v>Y</v>
      </c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>
      <c r="A316" s="13" t="str">
        <f>IFERROR(__xludf.DUMMYFUNCTION("""COMPUTED_VALUE"""),"1420")</f>
        <v>1420</v>
      </c>
      <c r="B316" s="13" t="str">
        <f>IFERROR(__xludf.DUMMYFUNCTION("""COMPUTED_VALUE"""),"JEFFERSON COUNTY R-1")</f>
        <v>JEFFERSON COUNTY R-1</v>
      </c>
      <c r="C316" s="13" t="str">
        <f>IFERROR(__xludf.DUMMYFUNCTION("""COMPUTED_VALUE"""),"02496")</f>
        <v>02496</v>
      </c>
      <c r="D316" s="13" t="str">
        <f>IFERROR(__xludf.DUMMYFUNCTION("""COMPUTED_VALUE"""),"EDGEWATER ELEMENTARY SCHOOL")</f>
        <v>EDGEWATER ELEMENTARY SCHOOL</v>
      </c>
      <c r="E316" s="13" t="str">
        <f>IFERROR(__xludf.DUMMYFUNCTION("""COMPUTED_VALUE"""),"Open")</f>
        <v>Open</v>
      </c>
      <c r="F316" s="13"/>
      <c r="G316" s="13" t="str">
        <f>IFERROR(__xludf.DUMMYFUNCTION("""COMPUTED_VALUE"""),"5570 W 24TH AVE")</f>
        <v>5570 W 24TH AVE</v>
      </c>
      <c r="H316" s="13" t="str">
        <f>IFERROR(__xludf.DUMMYFUNCTION("""COMPUTED_VALUE"""),"EDGEWATER")</f>
        <v>EDGEWATER</v>
      </c>
      <c r="I316" s="13" t="str">
        <f>IFERROR(__xludf.DUMMYFUNCTION("""COMPUTED_VALUE"""),"CO")</f>
        <v>CO</v>
      </c>
      <c r="J316" s="13" t="str">
        <f>IFERROR(__xludf.DUMMYFUNCTION("""COMPUTED_VALUE"""),"80214-3209")</f>
        <v>80214-3209</v>
      </c>
      <c r="K316" s="13" t="str">
        <f>IFERROR(__xludf.DUMMYFUNCTION("""COMPUTED_VALUE"""),"Jefferson")</f>
        <v>Jefferson</v>
      </c>
      <c r="L316" s="17" t="str">
        <f>IFERROR(__xludf.DUMMYFUNCTION("""COMPUTED_VALUE"""),"Y")</f>
        <v>Y</v>
      </c>
      <c r="M316" s="17"/>
      <c r="N316" s="17" t="str">
        <f>IFERROR(__xludf.DUMMYFUNCTION("""COMPUTED_VALUE"""),"Y")</f>
        <v>Y</v>
      </c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>
      <c r="A317" s="13" t="str">
        <f>IFERROR(__xludf.DUMMYFUNCTION("""COMPUTED_VALUE"""),"1420")</f>
        <v>1420</v>
      </c>
      <c r="B317" s="13" t="str">
        <f>IFERROR(__xludf.DUMMYFUNCTION("""COMPUTED_VALUE"""),"JEFFERSON COUNTY R-1")</f>
        <v>JEFFERSON COUNTY R-1</v>
      </c>
      <c r="C317" s="13" t="str">
        <f>IFERROR(__xludf.DUMMYFUNCTION("""COMPUTED_VALUE"""),"04942")</f>
        <v>04942</v>
      </c>
      <c r="D317" s="13" t="str">
        <f>IFERROR(__xludf.DUMMYFUNCTION("""COMPUTED_VALUE"""),"LAKEWOOD HIGH SCHOOL")</f>
        <v>LAKEWOOD HIGH SCHOOL</v>
      </c>
      <c r="E317" s="13" t="str">
        <f>IFERROR(__xludf.DUMMYFUNCTION("""COMPUTED_VALUE"""),"Open")</f>
        <v>Open</v>
      </c>
      <c r="F317" s="13"/>
      <c r="G317" s="13" t="str">
        <f>IFERROR(__xludf.DUMMYFUNCTION("""COMPUTED_VALUE"""),"9700 W 8TH AVE")</f>
        <v>9700 W 8TH AVE</v>
      </c>
      <c r="H317" s="13" t="str">
        <f>IFERROR(__xludf.DUMMYFUNCTION("""COMPUTED_VALUE"""),"LAKEWOOD")</f>
        <v>LAKEWOOD</v>
      </c>
      <c r="I317" s="13" t="str">
        <f>IFERROR(__xludf.DUMMYFUNCTION("""COMPUTED_VALUE"""),"CO")</f>
        <v>CO</v>
      </c>
      <c r="J317" s="13" t="str">
        <f>IFERROR(__xludf.DUMMYFUNCTION("""COMPUTED_VALUE"""),"80215-5807")</f>
        <v>80215-5807</v>
      </c>
      <c r="K317" s="13" t="str">
        <f>IFERROR(__xludf.DUMMYFUNCTION("""COMPUTED_VALUE"""),"Jefferson")</f>
        <v>Jefferson</v>
      </c>
      <c r="L317" s="17" t="str">
        <f>IFERROR(__xludf.DUMMYFUNCTION("""COMPUTED_VALUE"""),"Y")</f>
        <v>Y</v>
      </c>
      <c r="M317" s="17"/>
      <c r="N317" s="17" t="str">
        <f>IFERROR(__xludf.DUMMYFUNCTION("""COMPUTED_VALUE"""),"Y")</f>
        <v>Y</v>
      </c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>
      <c r="A318" s="13" t="str">
        <f>IFERROR(__xludf.DUMMYFUNCTION("""COMPUTED_VALUE"""),"1420")</f>
        <v>1420</v>
      </c>
      <c r="B318" s="13" t="str">
        <f>IFERROR(__xludf.DUMMYFUNCTION("""COMPUTED_VALUE"""),"JEFFERSON COUNTY R-1")</f>
        <v>JEFFERSON COUNTY R-1</v>
      </c>
      <c r="C318" s="13" t="str">
        <f>IFERROR(__xludf.DUMMYFUNCTION("""COMPUTED_VALUE"""),"07190")</f>
        <v>07190</v>
      </c>
      <c r="D318" s="13" t="str">
        <f>IFERROR(__xludf.DUMMYFUNCTION("""COMPUTED_VALUE"""),"PROSPECT VALLEY ELEMENTARY SCHOOL")</f>
        <v>PROSPECT VALLEY ELEMENTARY SCHOOL</v>
      </c>
      <c r="E318" s="13" t="str">
        <f>IFERROR(__xludf.DUMMYFUNCTION("""COMPUTED_VALUE"""),"Open")</f>
        <v>Open</v>
      </c>
      <c r="F318" s="13"/>
      <c r="G318" s="13" t="str">
        <f>IFERROR(__xludf.DUMMYFUNCTION("""COMPUTED_VALUE"""),"3400 PIERSON ST")</f>
        <v>3400 PIERSON ST</v>
      </c>
      <c r="H318" s="13" t="str">
        <f>IFERROR(__xludf.DUMMYFUNCTION("""COMPUTED_VALUE"""),"WHEAT RIDGE")</f>
        <v>WHEAT RIDGE</v>
      </c>
      <c r="I318" s="13" t="str">
        <f>IFERROR(__xludf.DUMMYFUNCTION("""COMPUTED_VALUE"""),"CO")</f>
        <v>CO</v>
      </c>
      <c r="J318" s="13" t="str">
        <f>IFERROR(__xludf.DUMMYFUNCTION("""COMPUTED_VALUE"""),"80033-5406")</f>
        <v>80033-5406</v>
      </c>
      <c r="K318" s="13" t="str">
        <f>IFERROR(__xludf.DUMMYFUNCTION("""COMPUTED_VALUE"""),"Jefferson")</f>
        <v>Jefferson</v>
      </c>
      <c r="L318" s="17" t="str">
        <f>IFERROR(__xludf.DUMMYFUNCTION("""COMPUTED_VALUE"""),"Y")</f>
        <v>Y</v>
      </c>
      <c r="M318" s="17"/>
      <c r="N318" s="17" t="str">
        <f>IFERROR(__xludf.DUMMYFUNCTION("""COMPUTED_VALUE"""),"Y")</f>
        <v>Y</v>
      </c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>
      <c r="A319" s="13" t="str">
        <f>IFERROR(__xludf.DUMMYFUNCTION("""COMPUTED_VALUE"""),"1420")</f>
        <v>1420</v>
      </c>
      <c r="B319" s="13" t="str">
        <f>IFERROR(__xludf.DUMMYFUNCTION("""COMPUTED_VALUE"""),"JEFFERSON COUNTY R-1")</f>
        <v>JEFFERSON COUNTY R-1</v>
      </c>
      <c r="C319" s="13" t="str">
        <f>IFERROR(__xludf.DUMMYFUNCTION("""COMPUTED_VALUE"""),"07753")</f>
        <v>07753</v>
      </c>
      <c r="D319" s="13" t="str">
        <f>IFERROR(__xludf.DUMMYFUNCTION("""COMPUTED_VALUE"""),"SEMPER ELEMENTARY SCHOOL")</f>
        <v>SEMPER ELEMENTARY SCHOOL</v>
      </c>
      <c r="E319" s="13" t="str">
        <f>IFERROR(__xludf.DUMMYFUNCTION("""COMPUTED_VALUE"""),"Open")</f>
        <v>Open</v>
      </c>
      <c r="F319" s="13"/>
      <c r="G319" s="13" t="str">
        <f>IFERROR(__xludf.DUMMYFUNCTION("""COMPUTED_VALUE"""),"7575 W 96TH AVE")</f>
        <v>7575 W 96TH AVE</v>
      </c>
      <c r="H319" s="13" t="str">
        <f>IFERROR(__xludf.DUMMYFUNCTION("""COMPUTED_VALUE"""),"WESTMINSTER")</f>
        <v>WESTMINSTER</v>
      </c>
      <c r="I319" s="13" t="str">
        <f>IFERROR(__xludf.DUMMYFUNCTION("""COMPUTED_VALUE"""),"CO")</f>
        <v>CO</v>
      </c>
      <c r="J319" s="13" t="str">
        <f>IFERROR(__xludf.DUMMYFUNCTION("""COMPUTED_VALUE"""),"80021-4873")</f>
        <v>80021-4873</v>
      </c>
      <c r="K319" s="13" t="str">
        <f>IFERROR(__xludf.DUMMYFUNCTION("""COMPUTED_VALUE"""),"Jefferson")</f>
        <v>Jefferson</v>
      </c>
      <c r="L319" s="17" t="str">
        <f>IFERROR(__xludf.DUMMYFUNCTION("""COMPUTED_VALUE"""),"Y")</f>
        <v>Y</v>
      </c>
      <c r="M319" s="17"/>
      <c r="N319" s="17" t="str">
        <f>IFERROR(__xludf.DUMMYFUNCTION("""COMPUTED_VALUE"""),"Y")</f>
        <v>Y</v>
      </c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>
      <c r="A320" s="13" t="str">
        <f>IFERROR(__xludf.DUMMYFUNCTION("""COMPUTED_VALUE"""),"1420")</f>
        <v>1420</v>
      </c>
      <c r="B320" s="13" t="str">
        <f>IFERROR(__xludf.DUMMYFUNCTION("""COMPUTED_VALUE"""),"JEFFERSON COUNTY R-1")</f>
        <v>JEFFERSON COUNTY R-1</v>
      </c>
      <c r="C320" s="13" t="str">
        <f>IFERROR(__xludf.DUMMYFUNCTION("""COMPUTED_VALUE"""),"91792")</f>
        <v>91792</v>
      </c>
      <c r="D320" s="13" t="str">
        <f>IFERROR(__xludf.DUMMYFUNCTION("""COMPUTED_VALUE"""),"Wolff Park")</f>
        <v>Wolff Park</v>
      </c>
      <c r="E320" s="13" t="str">
        <f>IFERROR(__xludf.DUMMYFUNCTION("""COMPUTED_VALUE"""),"Open")</f>
        <v>Open</v>
      </c>
      <c r="F320" s="13"/>
      <c r="G320" s="13" t="str">
        <f>IFERROR(__xludf.DUMMYFUNCTION("""COMPUTED_VALUE"""),"8475 W 57th Ave.")</f>
        <v>8475 W 57th Ave.</v>
      </c>
      <c r="H320" s="13" t="str">
        <f>IFERROR(__xludf.DUMMYFUNCTION("""COMPUTED_VALUE"""),"ARVADA")</f>
        <v>ARVADA</v>
      </c>
      <c r="I320" s="13" t="str">
        <f>IFERROR(__xludf.DUMMYFUNCTION("""COMPUTED_VALUE"""),"CO")</f>
        <v>CO</v>
      </c>
      <c r="J320" s="13">
        <f>IFERROR(__xludf.DUMMYFUNCTION("""COMPUTED_VALUE"""),80002.0)</f>
        <v>80002</v>
      </c>
      <c r="K320" s="13" t="str">
        <f>IFERROR(__xludf.DUMMYFUNCTION("""COMPUTED_VALUE"""),"Jefferson")</f>
        <v>Jefferson</v>
      </c>
      <c r="L320" s="17"/>
      <c r="M320" s="17"/>
      <c r="N320" s="17" t="str">
        <f>IFERROR(__xludf.DUMMYFUNCTION("""COMPUTED_VALUE"""),"Y")</f>
        <v>Y</v>
      </c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>
      <c r="A321" s="18" t="str">
        <f>IFERROR(__xludf.DUMMYFUNCTION("""COMPUTED_VALUE"""),"1510")</f>
        <v>1510</v>
      </c>
      <c r="B321" s="18" t="str">
        <f>IFERROR(__xludf.DUMMYFUNCTION("""COMPUTED_VALUE"""),"LAKE COUNTY R-1")</f>
        <v>LAKE COUNTY R-1</v>
      </c>
      <c r="C321" s="18" t="str">
        <f>IFERROR(__xludf.DUMMYFUNCTION("""COMPUTED_VALUE"""),"08804")</f>
        <v>08804</v>
      </c>
      <c r="D321" s="18" t="str">
        <f>IFERROR(__xludf.DUMMYFUNCTION("""COMPUTED_VALUE"""),"PITTS ELEMENTARY SCHOOL")</f>
        <v>PITTS ELEMENTARY SCHOOL</v>
      </c>
      <c r="E321" s="18" t="str">
        <f>IFERROR(__xludf.DUMMYFUNCTION("""COMPUTED_VALUE"""),"Closed - Enrolled")</f>
        <v>Closed - Enrolled</v>
      </c>
      <c r="F321" s="18" t="str">
        <f>IFERROR(__xludf.DUMMYFUNCTION("""COMPUTED_VALUE""")," ")</f>
        <v> </v>
      </c>
      <c r="G321" s="18" t="str">
        <f>IFERROR(__xludf.DUMMYFUNCTION("""COMPUTED_VALUE"""),"315 W 6TH ST")</f>
        <v>315 W 6TH ST</v>
      </c>
      <c r="H321" s="18" t="str">
        <f>IFERROR(__xludf.DUMMYFUNCTION("""COMPUTED_VALUE"""),"LEADVILLE")</f>
        <v>LEADVILLE</v>
      </c>
      <c r="I321" s="18" t="str">
        <f>IFERROR(__xludf.DUMMYFUNCTION("""COMPUTED_VALUE"""),"CO")</f>
        <v>CO</v>
      </c>
      <c r="J321" s="18" t="str">
        <f>IFERROR(__xludf.DUMMYFUNCTION("""COMPUTED_VALUE"""),"80461-3519")</f>
        <v>80461-3519</v>
      </c>
      <c r="K321" s="18" t="str">
        <f>IFERROR(__xludf.DUMMYFUNCTION("""COMPUTED_VALUE"""),"Lake")</f>
        <v>Lake</v>
      </c>
      <c r="L321" s="19" t="str">
        <f>IFERROR(__xludf.DUMMYFUNCTION("""COMPUTED_VALUE"""),"Y")</f>
        <v>Y</v>
      </c>
      <c r="M321" s="19"/>
      <c r="N321" s="19" t="str">
        <f>IFERROR(__xludf.DUMMYFUNCTION("""COMPUTED_VALUE"""),"Y")</f>
        <v>Y</v>
      </c>
      <c r="O321" s="19"/>
      <c r="P321" s="19"/>
      <c r="Q321" s="19" t="str">
        <f>IFERROR(__xludf.DUMMYFUNCTION("""COMPUTED_VALUE"""),"No Claims as of 11.24")</f>
        <v>No Claims as of 11.24</v>
      </c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>
      <c r="A322" s="13" t="str">
        <f>IFERROR(__xludf.DUMMYFUNCTION("""COMPUTED_VALUE"""),"1510")</f>
        <v>1510</v>
      </c>
      <c r="B322" s="13" t="str">
        <f>IFERROR(__xludf.DUMMYFUNCTION("""COMPUTED_VALUE"""),"LAKE COUNTY R-1")</f>
        <v>LAKE COUNTY R-1</v>
      </c>
      <c r="C322" s="13" t="str">
        <f>IFERROR(__xludf.DUMMYFUNCTION("""COMPUTED_VALUE"""),"09486")</f>
        <v>09486</v>
      </c>
      <c r="D322" s="13" t="str">
        <f>IFERROR(__xludf.DUMMYFUNCTION("""COMPUTED_VALUE"""),"Lake County Elementary School")</f>
        <v>Lake County Elementary School</v>
      </c>
      <c r="E322" s="13" t="str">
        <f>IFERROR(__xludf.DUMMYFUNCTION("""COMPUTED_VALUE"""),"Closed - Enrolled")</f>
        <v>Closed - Enrolled</v>
      </c>
      <c r="F322" s="13"/>
      <c r="G322" s="13" t="str">
        <f>IFERROR(__xludf.DUMMYFUNCTION("""COMPUTED_VALUE"""),"130 W 12TH ST")</f>
        <v>130 W 12TH ST</v>
      </c>
      <c r="H322" s="13" t="str">
        <f>IFERROR(__xludf.DUMMYFUNCTION("""COMPUTED_VALUE"""),"LEADVILLE")</f>
        <v>LEADVILLE</v>
      </c>
      <c r="I322" s="13" t="str">
        <f>IFERROR(__xludf.DUMMYFUNCTION("""COMPUTED_VALUE"""),"CO")</f>
        <v>CO</v>
      </c>
      <c r="J322" s="13" t="str">
        <f>IFERROR(__xludf.DUMMYFUNCTION("""COMPUTED_VALUE"""),"80461-3415")</f>
        <v>80461-3415</v>
      </c>
      <c r="K322" s="13" t="str">
        <f>IFERROR(__xludf.DUMMYFUNCTION("""COMPUTED_VALUE"""),"Lake")</f>
        <v>Lake</v>
      </c>
      <c r="L322" s="17" t="str">
        <f>IFERROR(__xludf.DUMMYFUNCTION("""COMPUTED_VALUE"""),"Y")</f>
        <v>Y</v>
      </c>
      <c r="M322" s="17"/>
      <c r="N322" s="17" t="str">
        <f>IFERROR(__xludf.DUMMYFUNCTION("""COMPUTED_VALUE"""),"Y")</f>
        <v>Y</v>
      </c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>
      <c r="A323" s="13" t="str">
        <f>IFERROR(__xludf.DUMMYFUNCTION("""COMPUTED_VALUE"""),"1510")</f>
        <v>1510</v>
      </c>
      <c r="B323" s="13" t="str">
        <f>IFERROR(__xludf.DUMMYFUNCTION("""COMPUTED_VALUE"""),"LAKE COUNTY R-1")</f>
        <v>LAKE COUNTY R-1</v>
      </c>
      <c r="C323" s="13" t="str">
        <f>IFERROR(__xludf.DUMMYFUNCTION("""COMPUTED_VALUE"""),"11137")</f>
        <v>11137</v>
      </c>
      <c r="D323" s="13" t="str">
        <f>IFERROR(__xludf.DUMMYFUNCTION("""COMPUTED_VALUE"""),"Colorado Mountain College")</f>
        <v>Colorado Mountain College</v>
      </c>
      <c r="E323" s="13" t="str">
        <f>IFERROR(__xludf.DUMMYFUNCTION("""COMPUTED_VALUE"""),"Closed - Enrolled")</f>
        <v>Closed - Enrolled</v>
      </c>
      <c r="F323" s="13"/>
      <c r="G323" s="13" t="str">
        <f>IFERROR(__xludf.DUMMYFUNCTION("""COMPUTED_VALUE"""),"901 US HIGHWAY 24")</f>
        <v>901 US HIGHWAY 24</v>
      </c>
      <c r="H323" s="13" t="str">
        <f>IFERROR(__xludf.DUMMYFUNCTION("""COMPUTED_VALUE"""),"LEADVILLE")</f>
        <v>LEADVILLE</v>
      </c>
      <c r="I323" s="13" t="str">
        <f>IFERROR(__xludf.DUMMYFUNCTION("""COMPUTED_VALUE"""),"CO")</f>
        <v>CO</v>
      </c>
      <c r="J323" s="13" t="str">
        <f>IFERROR(__xludf.DUMMYFUNCTION("""COMPUTED_VALUE"""),"80461-9724")</f>
        <v>80461-9724</v>
      </c>
      <c r="K323" s="13" t="str">
        <f>IFERROR(__xludf.DUMMYFUNCTION("""COMPUTED_VALUE"""),"Lake")</f>
        <v>Lake</v>
      </c>
      <c r="L323" s="17" t="str">
        <f>IFERROR(__xludf.DUMMYFUNCTION("""COMPUTED_VALUE"""),"Y")</f>
        <v>Y</v>
      </c>
      <c r="M323" s="17"/>
      <c r="N323" s="17" t="str">
        <f>IFERROR(__xludf.DUMMYFUNCTION("""COMPUTED_VALUE"""),"Y")</f>
        <v>Y</v>
      </c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>
      <c r="A324" s="13" t="str">
        <f>IFERROR(__xludf.DUMMYFUNCTION("""COMPUTED_VALUE"""),"1510")</f>
        <v>1510</v>
      </c>
      <c r="B324" s="13" t="str">
        <f>IFERROR(__xludf.DUMMYFUNCTION("""COMPUTED_VALUE"""),"LAKE COUNTY R-1")</f>
        <v>LAKE COUNTY R-1</v>
      </c>
      <c r="C324" s="13" t="str">
        <f>IFERROR(__xludf.DUMMYFUNCTION("""COMPUTED_VALUE"""),"91442")</f>
        <v>91442</v>
      </c>
      <c r="D324" s="13" t="str">
        <f>IFERROR(__xludf.DUMMYFUNCTION("""COMPUTED_VALUE"""),"Leadville National Fish Hatchery")</f>
        <v>Leadville National Fish Hatchery</v>
      </c>
      <c r="E324" s="13" t="str">
        <f>IFERROR(__xludf.DUMMYFUNCTION("""COMPUTED_VALUE"""),"Closed - Enrolled")</f>
        <v>Closed - Enrolled</v>
      </c>
      <c r="F324" s="13"/>
      <c r="G324" s="13" t="str">
        <f>IFERROR(__xludf.DUMMYFUNCTION("""COMPUTED_VALUE"""),"2846 County Road CO-300")</f>
        <v>2846 County Road CO-300</v>
      </c>
      <c r="H324" s="13" t="str">
        <f>IFERROR(__xludf.DUMMYFUNCTION("""COMPUTED_VALUE"""),"LEADVILLE")</f>
        <v>LEADVILLE</v>
      </c>
      <c r="I324" s="13" t="str">
        <f>IFERROR(__xludf.DUMMYFUNCTION("""COMPUTED_VALUE"""),"CO")</f>
        <v>CO</v>
      </c>
      <c r="J324" s="13">
        <f>IFERROR(__xludf.DUMMYFUNCTION("""COMPUTED_VALUE"""),80461.0)</f>
        <v>80461</v>
      </c>
      <c r="K324" s="13" t="str">
        <f>IFERROR(__xludf.DUMMYFUNCTION("""COMPUTED_VALUE"""),"Lake")</f>
        <v>Lake</v>
      </c>
      <c r="L324" s="17" t="str">
        <f>IFERROR(__xludf.DUMMYFUNCTION("""COMPUTED_VALUE"""),"Y")</f>
        <v>Y</v>
      </c>
      <c r="M324" s="17"/>
      <c r="N324" s="17" t="str">
        <f>IFERROR(__xludf.DUMMYFUNCTION("""COMPUTED_VALUE"""),"Y")</f>
        <v>Y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>
      <c r="A325" s="13" t="str">
        <f>IFERROR(__xludf.DUMMYFUNCTION("""COMPUTED_VALUE"""),"1510")</f>
        <v>1510</v>
      </c>
      <c r="B325" s="13" t="str">
        <f>IFERROR(__xludf.DUMMYFUNCTION("""COMPUTED_VALUE"""),"LAKE COUNTY R-1")</f>
        <v>LAKE COUNTY R-1</v>
      </c>
      <c r="C325" s="13" t="str">
        <f>IFERROR(__xludf.DUMMYFUNCTION("""COMPUTED_VALUE"""),"91443")</f>
        <v>91443</v>
      </c>
      <c r="D325" s="13" t="str">
        <f>IFERROR(__xludf.DUMMYFUNCTION("""COMPUTED_VALUE"""),"Ice Palace Park")</f>
        <v>Ice Palace Park</v>
      </c>
      <c r="E325" s="13" t="str">
        <f>IFERROR(__xludf.DUMMYFUNCTION("""COMPUTED_VALUE"""),"Closed - Enrolled")</f>
        <v>Closed - Enrolled</v>
      </c>
      <c r="F325" s="13"/>
      <c r="G325" s="13" t="str">
        <f>IFERROR(__xludf.DUMMYFUNCTION("""COMPUTED_VALUE"""),"198 W 10TH ST")</f>
        <v>198 W 10TH ST</v>
      </c>
      <c r="H325" s="13" t="str">
        <f>IFERROR(__xludf.DUMMYFUNCTION("""COMPUTED_VALUE"""),"LEADVILLE")</f>
        <v>LEADVILLE</v>
      </c>
      <c r="I325" s="13" t="str">
        <f>IFERROR(__xludf.DUMMYFUNCTION("""COMPUTED_VALUE"""),"CO")</f>
        <v>CO</v>
      </c>
      <c r="J325" s="13">
        <f>IFERROR(__xludf.DUMMYFUNCTION("""COMPUTED_VALUE"""),80461.0)</f>
        <v>80461</v>
      </c>
      <c r="K325" s="13" t="str">
        <f>IFERROR(__xludf.DUMMYFUNCTION("""COMPUTED_VALUE"""),"Lake")</f>
        <v>Lake</v>
      </c>
      <c r="L325" s="17" t="str">
        <f>IFERROR(__xludf.DUMMYFUNCTION("""COMPUTED_VALUE"""),"Y")</f>
        <v>Y</v>
      </c>
      <c r="M325" s="17"/>
      <c r="N325" s="17" t="str">
        <f>IFERROR(__xludf.DUMMYFUNCTION("""COMPUTED_VALUE"""),"Y")</f>
        <v>Y</v>
      </c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>
      <c r="A326" s="13" t="str">
        <f>IFERROR(__xludf.DUMMYFUNCTION("""COMPUTED_VALUE"""),"1510")</f>
        <v>1510</v>
      </c>
      <c r="B326" s="13" t="str">
        <f>IFERROR(__xludf.DUMMYFUNCTION("""COMPUTED_VALUE"""),"LAKE COUNTY R-1")</f>
        <v>LAKE COUNTY R-1</v>
      </c>
      <c r="C326" s="13" t="str">
        <f>IFERROR(__xludf.DUMMYFUNCTION("""COMPUTED_VALUE"""),"91444")</f>
        <v>91444</v>
      </c>
      <c r="D326" s="13" t="str">
        <f>IFERROR(__xludf.DUMMYFUNCTION("""COMPUTED_VALUE"""),"Lake County Community Field")</f>
        <v>Lake County Community Field</v>
      </c>
      <c r="E326" s="13" t="str">
        <f>IFERROR(__xludf.DUMMYFUNCTION("""COMPUTED_VALUE"""),"Closed - Enrolled")</f>
        <v>Closed - Enrolled</v>
      </c>
      <c r="F326" s="13"/>
      <c r="G326" s="13" t="str">
        <f>IFERROR(__xludf.DUMMYFUNCTION("""COMPUTED_VALUE"""),"445 McWethy Dr")</f>
        <v>445 McWethy Dr</v>
      </c>
      <c r="H326" s="13" t="str">
        <f>IFERROR(__xludf.DUMMYFUNCTION("""COMPUTED_VALUE"""),"LEADVILLE")</f>
        <v>LEADVILLE</v>
      </c>
      <c r="I326" s="13" t="str">
        <f>IFERROR(__xludf.DUMMYFUNCTION("""COMPUTED_VALUE"""),"CO")</f>
        <v>CO</v>
      </c>
      <c r="J326" s="13">
        <f>IFERROR(__xludf.DUMMYFUNCTION("""COMPUTED_VALUE"""),80461.0)</f>
        <v>80461</v>
      </c>
      <c r="K326" s="13" t="str">
        <f>IFERROR(__xludf.DUMMYFUNCTION("""COMPUTED_VALUE"""),"Lake")</f>
        <v>Lake</v>
      </c>
      <c r="L326" s="17" t="str">
        <f>IFERROR(__xludf.DUMMYFUNCTION("""COMPUTED_VALUE"""),"Y")</f>
        <v>Y</v>
      </c>
      <c r="M326" s="17"/>
      <c r="N326" s="17" t="str">
        <f>IFERROR(__xludf.DUMMYFUNCTION("""COMPUTED_VALUE"""),"Y")</f>
        <v>Y</v>
      </c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>
      <c r="A327" s="13" t="str">
        <f>IFERROR(__xludf.DUMMYFUNCTION("""COMPUTED_VALUE"""),"1520")</f>
        <v>1520</v>
      </c>
      <c r="B327" s="13" t="str">
        <f>IFERROR(__xludf.DUMMYFUNCTION("""COMPUTED_VALUE"""),"DURANGO 9-R")</f>
        <v>DURANGO 9-R</v>
      </c>
      <c r="C327" s="13" t="str">
        <f>IFERROR(__xludf.DUMMYFUNCTION("""COMPUTED_VALUE"""),"06222")</f>
        <v>06222</v>
      </c>
      <c r="D327" s="13" t="str">
        <f>IFERROR(__xludf.DUMMYFUNCTION("""COMPUTED_VALUE"""),"NEEDHAM ELEMENTARY SCHOOL")</f>
        <v>NEEDHAM ELEMENTARY SCHOOL</v>
      </c>
      <c r="E327" s="13" t="str">
        <f>IFERROR(__xludf.DUMMYFUNCTION("""COMPUTED_VALUE"""),"Closed - Enrolled")</f>
        <v>Closed - Enrolled</v>
      </c>
      <c r="F327" s="13"/>
      <c r="G327" s="13" t="str">
        <f>IFERROR(__xludf.DUMMYFUNCTION("""COMPUTED_VALUE"""),"2455 W 3RD AVE")</f>
        <v>2455 W 3RD AVE</v>
      </c>
      <c r="H327" s="13" t="str">
        <f>IFERROR(__xludf.DUMMYFUNCTION("""COMPUTED_VALUE"""),"DURANGO")</f>
        <v>DURANGO</v>
      </c>
      <c r="I327" s="13" t="str">
        <f>IFERROR(__xludf.DUMMYFUNCTION("""COMPUTED_VALUE"""),"CO")</f>
        <v>CO</v>
      </c>
      <c r="J327" s="13" t="str">
        <f>IFERROR(__xludf.DUMMYFUNCTION("""COMPUTED_VALUE"""),"81301-4515")</f>
        <v>81301-4515</v>
      </c>
      <c r="K327" s="13" t="str">
        <f>IFERROR(__xludf.DUMMYFUNCTION("""COMPUTED_VALUE"""),"La Plata")</f>
        <v>La Plata</v>
      </c>
      <c r="L327" s="17"/>
      <c r="M327" s="17"/>
      <c r="N327" s="17" t="str">
        <f>IFERROR(__xludf.DUMMYFUNCTION("""COMPUTED_VALUE"""),"Y")</f>
        <v>Y</v>
      </c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>
      <c r="A328" s="13" t="str">
        <f>IFERROR(__xludf.DUMMYFUNCTION("""COMPUTED_VALUE"""),"1520")</f>
        <v>1520</v>
      </c>
      <c r="B328" s="13" t="str">
        <f>IFERROR(__xludf.DUMMYFUNCTION("""COMPUTED_VALUE"""),"DURANGO 9-R")</f>
        <v>DURANGO 9-R</v>
      </c>
      <c r="C328" s="13" t="str">
        <f>IFERROR(__xludf.DUMMYFUNCTION("""COMPUTED_VALUE"""),"91476")</f>
        <v>91476</v>
      </c>
      <c r="D328" s="13" t="str">
        <f>IFERROR(__xludf.DUMMYFUNCTION("""COMPUTED_VALUE"""),"Fanto Park")</f>
        <v>Fanto Park</v>
      </c>
      <c r="E328" s="13" t="str">
        <f>IFERROR(__xludf.DUMMYFUNCTION("""COMPUTED_VALUE"""),"Open")</f>
        <v>Open</v>
      </c>
      <c r="F328" s="13" t="str">
        <f>IFERROR(__xludf.DUMMYFUNCTION("""COMPUTED_VALUE"""),"Non-congregate")</f>
        <v>Non-congregate</v>
      </c>
      <c r="G328" s="13" t="str">
        <f>IFERROR(__xludf.DUMMYFUNCTION("""COMPUTED_VALUE"""),"E 7th Ave")</f>
        <v>E 7th Ave</v>
      </c>
      <c r="H328" s="13" t="str">
        <f>IFERROR(__xludf.DUMMYFUNCTION("""COMPUTED_VALUE"""),"DURANGO")</f>
        <v>DURANGO</v>
      </c>
      <c r="I328" s="13" t="str">
        <f>IFERROR(__xludf.DUMMYFUNCTION("""COMPUTED_VALUE"""),"CO")</f>
        <v>CO</v>
      </c>
      <c r="J328" s="13">
        <f>IFERROR(__xludf.DUMMYFUNCTION("""COMPUTED_VALUE"""),81301.0)</f>
        <v>81301</v>
      </c>
      <c r="K328" s="13" t="str">
        <f>IFERROR(__xludf.DUMMYFUNCTION("""COMPUTED_VALUE"""),"La Plata")</f>
        <v>La Plata</v>
      </c>
      <c r="L328" s="17" t="str">
        <f>IFERROR(__xludf.DUMMYFUNCTION("""COMPUTED_VALUE"""),"Y")</f>
        <v>Y</v>
      </c>
      <c r="M328" s="17"/>
      <c r="N328" s="17" t="str">
        <f>IFERROR(__xludf.DUMMYFUNCTION("""COMPUTED_VALUE"""),"Y")</f>
        <v>Y</v>
      </c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>
      <c r="A329" s="13" t="str">
        <f>IFERROR(__xludf.DUMMYFUNCTION("""COMPUTED_VALUE"""),"1550")</f>
        <v>1550</v>
      </c>
      <c r="B329" s="13" t="str">
        <f>IFERROR(__xludf.DUMMYFUNCTION("""COMPUTED_VALUE"""),"POUDRE R-1")</f>
        <v>POUDRE R-1</v>
      </c>
      <c r="C329" s="13" t="str">
        <f>IFERROR(__xludf.DUMMYFUNCTION("""COMPUTED_VALUE"""),"00612")</f>
        <v>00612</v>
      </c>
      <c r="D329" s="13" t="str">
        <f>IFERROR(__xludf.DUMMYFUNCTION("""COMPUTED_VALUE"""),"BAUDER ELEMENTARY SCHOOL")</f>
        <v>BAUDER ELEMENTARY SCHOOL</v>
      </c>
      <c r="E329" s="13" t="str">
        <f>IFERROR(__xludf.DUMMYFUNCTION("""COMPUTED_VALUE"""),"Open")</f>
        <v>Open</v>
      </c>
      <c r="F329" s="13"/>
      <c r="G329" s="13" t="str">
        <f>IFERROR(__xludf.DUMMYFUNCTION("""COMPUTED_VALUE"""),"2345 W PROSPECT RD")</f>
        <v>2345 W PROSPECT RD</v>
      </c>
      <c r="H329" s="13" t="str">
        <f>IFERROR(__xludf.DUMMYFUNCTION("""COMPUTED_VALUE"""),"FORT COLLINS")</f>
        <v>FORT COLLINS</v>
      </c>
      <c r="I329" s="13" t="str">
        <f>IFERROR(__xludf.DUMMYFUNCTION("""COMPUTED_VALUE"""),"CO")</f>
        <v>CO</v>
      </c>
      <c r="J329" s="13" t="str">
        <f>IFERROR(__xludf.DUMMYFUNCTION("""COMPUTED_VALUE"""),"80526-1233")</f>
        <v>80526-1233</v>
      </c>
      <c r="K329" s="13" t="str">
        <f>IFERROR(__xludf.DUMMYFUNCTION("""COMPUTED_VALUE"""),"Larimer")</f>
        <v>Larimer</v>
      </c>
      <c r="L329" s="17"/>
      <c r="M329" s="17"/>
      <c r="N329" s="17" t="str">
        <f>IFERROR(__xludf.DUMMYFUNCTION("""COMPUTED_VALUE"""),"Y")</f>
        <v>Y</v>
      </c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>
      <c r="A330" s="13" t="str">
        <f>IFERROR(__xludf.DUMMYFUNCTION("""COMPUTED_VALUE"""),"1550")</f>
        <v>1550</v>
      </c>
      <c r="B330" s="13" t="str">
        <f>IFERROR(__xludf.DUMMYFUNCTION("""COMPUTED_VALUE"""),"POUDRE R-1")</f>
        <v>POUDRE R-1</v>
      </c>
      <c r="C330" s="13" t="str">
        <f>IFERROR(__xludf.DUMMYFUNCTION("""COMPUTED_VALUE"""),"00892")</f>
        <v>00892</v>
      </c>
      <c r="D330" s="13" t="str">
        <f>IFERROR(__xludf.DUMMYFUNCTION("""COMPUTED_VALUE"""),"BLEVINS JUNIOR HIGH SCHOOL")</f>
        <v>BLEVINS JUNIOR HIGH SCHOOL</v>
      </c>
      <c r="E330" s="13" t="str">
        <f>IFERROR(__xludf.DUMMYFUNCTION("""COMPUTED_VALUE"""),"Closed - Enrolled")</f>
        <v>Closed - Enrolled</v>
      </c>
      <c r="F330" s="13"/>
      <c r="G330" s="13" t="str">
        <f>IFERROR(__xludf.DUMMYFUNCTION("""COMPUTED_VALUE"""),"2102 S TAFT HILL RD")</f>
        <v>2102 S TAFT HILL RD</v>
      </c>
      <c r="H330" s="13" t="str">
        <f>IFERROR(__xludf.DUMMYFUNCTION("""COMPUTED_VALUE"""),"FORT COLLINS")</f>
        <v>FORT COLLINS</v>
      </c>
      <c r="I330" s="13" t="str">
        <f>IFERROR(__xludf.DUMMYFUNCTION("""COMPUTED_VALUE"""),"CO")</f>
        <v>CO</v>
      </c>
      <c r="J330" s="13">
        <f>IFERROR(__xludf.DUMMYFUNCTION("""COMPUTED_VALUE"""),80526.0)</f>
        <v>80526</v>
      </c>
      <c r="K330" s="13" t="str">
        <f>IFERROR(__xludf.DUMMYFUNCTION("""COMPUTED_VALUE"""),"Larimer")</f>
        <v>Larimer</v>
      </c>
      <c r="L330" s="17" t="str">
        <f>IFERROR(__xludf.DUMMYFUNCTION("""COMPUTED_VALUE"""),"Y")</f>
        <v>Y</v>
      </c>
      <c r="M330" s="17"/>
      <c r="N330" s="17" t="str">
        <f>IFERROR(__xludf.DUMMYFUNCTION("""COMPUTED_VALUE"""),"Y")</f>
        <v>Y</v>
      </c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>
      <c r="A331" s="13" t="str">
        <f>IFERROR(__xludf.DUMMYFUNCTION("""COMPUTED_VALUE"""),"1550")</f>
        <v>1550</v>
      </c>
      <c r="B331" s="13" t="str">
        <f>IFERROR(__xludf.DUMMYFUNCTION("""COMPUTED_VALUE"""),"POUDRE R-1")</f>
        <v>POUDRE R-1</v>
      </c>
      <c r="C331" s="13" t="str">
        <f>IFERROR(__xludf.DUMMYFUNCTION("""COMPUTED_VALUE"""),"03787")</f>
        <v>03787</v>
      </c>
      <c r="D331" s="13" t="str">
        <f>IFERROR(__xludf.DUMMYFUNCTION("""COMPUTED_VALUE"""),"HARRIS BILINGUAL ELEMENTARY SCHOOL")</f>
        <v>HARRIS BILINGUAL ELEMENTARY SCHOOL</v>
      </c>
      <c r="E331" s="13" t="str">
        <f>IFERROR(__xludf.DUMMYFUNCTION("""COMPUTED_VALUE"""),"Closed - Enrolled")</f>
        <v>Closed - Enrolled</v>
      </c>
      <c r="F331" s="13"/>
      <c r="G331" s="13" t="str">
        <f>IFERROR(__xludf.DUMMYFUNCTION("""COMPUTED_VALUE"""),"501 E ELIZABETH ST")</f>
        <v>501 E ELIZABETH ST</v>
      </c>
      <c r="H331" s="13" t="str">
        <f>IFERROR(__xludf.DUMMYFUNCTION("""COMPUTED_VALUE"""),"FORT COLLINS")</f>
        <v>FORT COLLINS</v>
      </c>
      <c r="I331" s="13" t="str">
        <f>IFERROR(__xludf.DUMMYFUNCTION("""COMPUTED_VALUE"""),"CO")</f>
        <v>CO</v>
      </c>
      <c r="J331" s="13" t="str">
        <f>IFERROR(__xludf.DUMMYFUNCTION("""COMPUTED_VALUE"""),"80524-3803")</f>
        <v>80524-3803</v>
      </c>
      <c r="K331" s="13" t="str">
        <f>IFERROR(__xludf.DUMMYFUNCTION("""COMPUTED_VALUE"""),"Larimer")</f>
        <v>Larimer</v>
      </c>
      <c r="L331" s="17" t="str">
        <f>IFERROR(__xludf.DUMMYFUNCTION("""COMPUTED_VALUE"""),"Y")</f>
        <v>Y</v>
      </c>
      <c r="M331" s="17"/>
      <c r="N331" s="17" t="str">
        <f>IFERROR(__xludf.DUMMYFUNCTION("""COMPUTED_VALUE"""),"Y")</f>
        <v>Y</v>
      </c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>
      <c r="A332" s="13" t="str">
        <f>IFERROR(__xludf.DUMMYFUNCTION("""COMPUTED_VALUE"""),"1550")</f>
        <v>1550</v>
      </c>
      <c r="B332" s="13" t="str">
        <f>IFERROR(__xludf.DUMMYFUNCTION("""COMPUTED_VALUE"""),"POUDRE R-1")</f>
        <v>POUDRE R-1</v>
      </c>
      <c r="C332" s="13" t="str">
        <f>IFERROR(__xludf.DUMMYFUNCTION("""COMPUTED_VALUE"""),"04282")</f>
        <v>04282</v>
      </c>
      <c r="D332" s="13" t="str">
        <f>IFERROR(__xludf.DUMMYFUNCTION("""COMPUTED_VALUE"""),"IRISH ELEMENTARY SCHOOL")</f>
        <v>IRISH ELEMENTARY SCHOOL</v>
      </c>
      <c r="E332" s="13" t="str">
        <f>IFERROR(__xludf.DUMMYFUNCTION("""COMPUTED_VALUE"""),"Closed - Enrolled")</f>
        <v>Closed - Enrolled</v>
      </c>
      <c r="F332" s="13"/>
      <c r="G332" s="13" t="str">
        <f>IFERROR(__xludf.DUMMYFUNCTION("""COMPUTED_VALUE"""),"515 IRISH DR")</f>
        <v>515 IRISH DR</v>
      </c>
      <c r="H332" s="13" t="str">
        <f>IFERROR(__xludf.DUMMYFUNCTION("""COMPUTED_VALUE"""),"FORT COLLINS")</f>
        <v>FORT COLLINS</v>
      </c>
      <c r="I332" s="13" t="str">
        <f>IFERROR(__xludf.DUMMYFUNCTION("""COMPUTED_VALUE"""),"CO")</f>
        <v>CO</v>
      </c>
      <c r="J332" s="13" t="str">
        <f>IFERROR(__xludf.DUMMYFUNCTION("""COMPUTED_VALUE"""),"80521-1524")</f>
        <v>80521-1524</v>
      </c>
      <c r="K332" s="13" t="str">
        <f>IFERROR(__xludf.DUMMYFUNCTION("""COMPUTED_VALUE"""),"Larimer")</f>
        <v>Larimer</v>
      </c>
      <c r="L332" s="17" t="str">
        <f>IFERROR(__xludf.DUMMYFUNCTION("""COMPUTED_VALUE"""),"Y")</f>
        <v>Y</v>
      </c>
      <c r="M332" s="17"/>
      <c r="N332" s="17" t="str">
        <f>IFERROR(__xludf.DUMMYFUNCTION("""COMPUTED_VALUE"""),"Y")</f>
        <v>Y</v>
      </c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>
      <c r="A333" s="13" t="str">
        <f>IFERROR(__xludf.DUMMYFUNCTION("""COMPUTED_VALUE"""),"1550")</f>
        <v>1550</v>
      </c>
      <c r="B333" s="13" t="str">
        <f>IFERROR(__xludf.DUMMYFUNCTION("""COMPUTED_VALUE"""),"POUDRE R-1")</f>
        <v>POUDRE R-1</v>
      </c>
      <c r="C333" s="13" t="str">
        <f>IFERROR(__xludf.DUMMYFUNCTION("""COMPUTED_VALUE"""),"05068")</f>
        <v>05068</v>
      </c>
      <c r="D333" s="13" t="str">
        <f>IFERROR(__xludf.DUMMYFUNCTION("""COMPUTED_VALUE"""),"LESHER JUNIOR HIGH SCHOOL")</f>
        <v>LESHER JUNIOR HIGH SCHOOL</v>
      </c>
      <c r="E333" s="13" t="str">
        <f>IFERROR(__xludf.DUMMYFUNCTION("""COMPUTED_VALUE"""),"Closed - Enrolled")</f>
        <v>Closed - Enrolled</v>
      </c>
      <c r="F333" s="13"/>
      <c r="G333" s="13" t="str">
        <f>IFERROR(__xludf.DUMMYFUNCTION("""COMPUTED_VALUE"""),"1400 STOVER ST")</f>
        <v>1400 STOVER ST</v>
      </c>
      <c r="H333" s="13" t="str">
        <f>IFERROR(__xludf.DUMMYFUNCTION("""COMPUTED_VALUE"""),"FORT COLLINS")</f>
        <v>FORT COLLINS</v>
      </c>
      <c r="I333" s="13" t="str">
        <f>IFERROR(__xludf.DUMMYFUNCTION("""COMPUTED_VALUE"""),"CO")</f>
        <v>CO</v>
      </c>
      <c r="J333" s="13" t="str">
        <f>IFERROR(__xludf.DUMMYFUNCTION("""COMPUTED_VALUE"""),"80524-4249")</f>
        <v>80524-4249</v>
      </c>
      <c r="K333" s="13" t="str">
        <f>IFERROR(__xludf.DUMMYFUNCTION("""COMPUTED_VALUE"""),"Larimer")</f>
        <v>Larimer</v>
      </c>
      <c r="L333" s="17"/>
      <c r="M333" s="17"/>
      <c r="N333" s="17" t="str">
        <f>IFERROR(__xludf.DUMMYFUNCTION("""COMPUTED_VALUE"""),"Y")</f>
        <v>Y</v>
      </c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>
      <c r="A334" s="13" t="str">
        <f>IFERROR(__xludf.DUMMYFUNCTION("""COMPUTED_VALUE"""),"1550")</f>
        <v>1550</v>
      </c>
      <c r="B334" s="13" t="str">
        <f>IFERROR(__xludf.DUMMYFUNCTION("""COMPUTED_VALUE"""),"POUDRE R-1")</f>
        <v>POUDRE R-1</v>
      </c>
      <c r="C334" s="13" t="str">
        <f>IFERROR(__xludf.DUMMYFUNCTION("""COMPUTED_VALUE"""),"05196")</f>
        <v>05196</v>
      </c>
      <c r="D334" s="13" t="str">
        <f>IFERROR(__xludf.DUMMYFUNCTION("""COMPUTED_VALUE"""),"LINTON ELEMENTARY SCHOOL")</f>
        <v>LINTON ELEMENTARY SCHOOL</v>
      </c>
      <c r="E334" s="13" t="str">
        <f>IFERROR(__xludf.DUMMYFUNCTION("""COMPUTED_VALUE"""),"Open")</f>
        <v>Open</v>
      </c>
      <c r="F334" s="13"/>
      <c r="G334" s="13" t="str">
        <f>IFERROR(__xludf.DUMMYFUNCTION("""COMPUTED_VALUE"""),"4100 CARIBOU DR")</f>
        <v>4100 CARIBOU DR</v>
      </c>
      <c r="H334" s="13" t="str">
        <f>IFERROR(__xludf.DUMMYFUNCTION("""COMPUTED_VALUE"""),"FORT COLLINS")</f>
        <v>FORT COLLINS</v>
      </c>
      <c r="I334" s="13" t="str">
        <f>IFERROR(__xludf.DUMMYFUNCTION("""COMPUTED_VALUE"""),"CO")</f>
        <v>CO</v>
      </c>
      <c r="J334" s="13" t="str">
        <f>IFERROR(__xludf.DUMMYFUNCTION("""COMPUTED_VALUE"""),"80525-5610")</f>
        <v>80525-5610</v>
      </c>
      <c r="K334" s="13" t="str">
        <f>IFERROR(__xludf.DUMMYFUNCTION("""COMPUTED_VALUE"""),"Larimer")</f>
        <v>Larimer</v>
      </c>
      <c r="L334" s="17"/>
      <c r="M334" s="17"/>
      <c r="N334" s="17" t="str">
        <f>IFERROR(__xludf.DUMMYFUNCTION("""COMPUTED_VALUE"""),"Y")</f>
        <v>Y</v>
      </c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>
      <c r="A335" s="13" t="str">
        <f>IFERROR(__xludf.DUMMYFUNCTION("""COMPUTED_VALUE"""),"1550")</f>
        <v>1550</v>
      </c>
      <c r="B335" s="13" t="str">
        <f>IFERROR(__xludf.DUMMYFUNCTION("""COMPUTED_VALUE"""),"POUDRE R-1")</f>
        <v>POUDRE R-1</v>
      </c>
      <c r="C335" s="13" t="str">
        <f>IFERROR(__xludf.DUMMYFUNCTION("""COMPUTED_VALUE"""),"07124")</f>
        <v>07124</v>
      </c>
      <c r="D335" s="13" t="str">
        <f>IFERROR(__xludf.DUMMYFUNCTION("""COMPUTED_VALUE"""),"POUDRE HIGH SCHOOL")</f>
        <v>POUDRE HIGH SCHOOL</v>
      </c>
      <c r="E335" s="13" t="str">
        <f>IFERROR(__xludf.DUMMYFUNCTION("""COMPUTED_VALUE"""),"Closed - Enrolled")</f>
        <v>Closed - Enrolled</v>
      </c>
      <c r="F335" s="13"/>
      <c r="G335" s="13" t="str">
        <f>IFERROR(__xludf.DUMMYFUNCTION("""COMPUTED_VALUE"""),"201 S IMPALA DR")</f>
        <v>201 S IMPALA DR</v>
      </c>
      <c r="H335" s="13" t="str">
        <f>IFERROR(__xludf.DUMMYFUNCTION("""COMPUTED_VALUE"""),"FORT COLLINS")</f>
        <v>FORT COLLINS</v>
      </c>
      <c r="I335" s="13" t="str">
        <f>IFERROR(__xludf.DUMMYFUNCTION("""COMPUTED_VALUE"""),"CO")</f>
        <v>CO</v>
      </c>
      <c r="J335" s="13" t="str">
        <f>IFERROR(__xludf.DUMMYFUNCTION("""COMPUTED_VALUE"""),"80521-2216")</f>
        <v>80521-2216</v>
      </c>
      <c r="K335" s="13" t="str">
        <f>IFERROR(__xludf.DUMMYFUNCTION("""COMPUTED_VALUE"""),"Larimer")</f>
        <v>Larimer</v>
      </c>
      <c r="L335" s="17" t="str">
        <f>IFERROR(__xludf.DUMMYFUNCTION("""COMPUTED_VALUE"""),"Y")</f>
        <v>Y</v>
      </c>
      <c r="M335" s="17"/>
      <c r="N335" s="17" t="str">
        <f>IFERROR(__xludf.DUMMYFUNCTION("""COMPUTED_VALUE"""),"Y")</f>
        <v>Y</v>
      </c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>
      <c r="A336" s="13" t="str">
        <f>IFERROR(__xludf.DUMMYFUNCTION("""COMPUTED_VALUE"""),"1550")</f>
        <v>1550</v>
      </c>
      <c r="B336" s="13" t="str">
        <f>IFERROR(__xludf.DUMMYFUNCTION("""COMPUTED_VALUE"""),"POUDRE R-1")</f>
        <v>POUDRE R-1</v>
      </c>
      <c r="C336" s="13" t="str">
        <f>IFERROR(__xludf.DUMMYFUNCTION("""COMPUTED_VALUE"""),"07218")</f>
        <v>07218</v>
      </c>
      <c r="D336" s="13" t="str">
        <f>IFERROR(__xludf.DUMMYFUNCTION("""COMPUTED_VALUE"""),"PUTNAM ELEMENTARY SCHOOL")</f>
        <v>PUTNAM ELEMENTARY SCHOOL</v>
      </c>
      <c r="E336" s="13" t="str">
        <f>IFERROR(__xludf.DUMMYFUNCTION("""COMPUTED_VALUE"""),"Closed - Enrolled")</f>
        <v>Closed - Enrolled</v>
      </c>
      <c r="F336" s="13"/>
      <c r="G336" s="13" t="str">
        <f>IFERROR(__xludf.DUMMYFUNCTION("""COMPUTED_VALUE"""),"1400 MAPLE ST")</f>
        <v>1400 MAPLE ST</v>
      </c>
      <c r="H336" s="13" t="str">
        <f>IFERROR(__xludf.DUMMYFUNCTION("""COMPUTED_VALUE"""),"FORT COLLINS")</f>
        <v>FORT COLLINS</v>
      </c>
      <c r="I336" s="13" t="str">
        <f>IFERROR(__xludf.DUMMYFUNCTION("""COMPUTED_VALUE"""),"CO")</f>
        <v>CO</v>
      </c>
      <c r="J336" s="13" t="str">
        <f>IFERROR(__xludf.DUMMYFUNCTION("""COMPUTED_VALUE"""),"80521-1717")</f>
        <v>80521-1717</v>
      </c>
      <c r="K336" s="13" t="str">
        <f>IFERROR(__xludf.DUMMYFUNCTION("""COMPUTED_VALUE"""),"Larimer")</f>
        <v>Larimer</v>
      </c>
      <c r="L336" s="17" t="str">
        <f>IFERROR(__xludf.DUMMYFUNCTION("""COMPUTED_VALUE"""),"Y")</f>
        <v>Y</v>
      </c>
      <c r="M336" s="17"/>
      <c r="N336" s="17" t="str">
        <f>IFERROR(__xludf.DUMMYFUNCTION("""COMPUTED_VALUE"""),"Y")</f>
        <v>Y</v>
      </c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>
      <c r="A337" s="13" t="str">
        <f>IFERROR(__xludf.DUMMYFUNCTION("""COMPUTED_VALUE"""),"1560")</f>
        <v>1560</v>
      </c>
      <c r="B337" s="13" t="str">
        <f>IFERROR(__xludf.DUMMYFUNCTION("""COMPUTED_VALUE"""),"THOMPSON R2-J")</f>
        <v>THOMPSON R2-J</v>
      </c>
      <c r="C337" s="13" t="str">
        <f>IFERROR(__xludf.DUMMYFUNCTION("""COMPUTED_VALUE"""),"00510")</f>
        <v>00510</v>
      </c>
      <c r="D337" s="13" t="str">
        <f>IFERROR(__xludf.DUMMYFUNCTION("""COMPUTED_VALUE"""),"PEAKVIEW ACADEMY AT CONRAD BALL")</f>
        <v>PEAKVIEW ACADEMY AT CONRAD BALL</v>
      </c>
      <c r="E337" s="13" t="str">
        <f>IFERROR(__xludf.DUMMYFUNCTION("""COMPUTED_VALUE"""),"Open")</f>
        <v>Open</v>
      </c>
      <c r="F337" s="13"/>
      <c r="G337" s="13" t="str">
        <f>IFERROR(__xludf.DUMMYFUNCTION("""COMPUTED_VALUE"""),"2660 MONROE AVE")</f>
        <v>2660 MONROE AVE</v>
      </c>
      <c r="H337" s="13" t="str">
        <f>IFERROR(__xludf.DUMMYFUNCTION("""COMPUTED_VALUE"""),"LOVELAND")</f>
        <v>LOVELAND</v>
      </c>
      <c r="I337" s="13" t="str">
        <f>IFERROR(__xludf.DUMMYFUNCTION("""COMPUTED_VALUE"""),"CO")</f>
        <v>CO</v>
      </c>
      <c r="J337" s="13" t="str">
        <f>IFERROR(__xludf.DUMMYFUNCTION("""COMPUTED_VALUE"""),"80538-3212")</f>
        <v>80538-3212</v>
      </c>
      <c r="K337" s="13" t="str">
        <f>IFERROR(__xludf.DUMMYFUNCTION("""COMPUTED_VALUE"""),"Larimer")</f>
        <v>Larimer</v>
      </c>
      <c r="L337" s="17" t="str">
        <f>IFERROR(__xludf.DUMMYFUNCTION("""COMPUTED_VALUE"""),"Y")</f>
        <v>Y</v>
      </c>
      <c r="M337" s="17"/>
      <c r="N337" s="17" t="str">
        <f>IFERROR(__xludf.DUMMYFUNCTION("""COMPUTED_VALUE"""),"Y")</f>
        <v>Y</v>
      </c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>
      <c r="A338" s="13" t="str">
        <f>IFERROR(__xludf.DUMMYFUNCTION("""COMPUTED_VALUE"""),"1560")</f>
        <v>1560</v>
      </c>
      <c r="B338" s="13" t="str">
        <f>IFERROR(__xludf.DUMMYFUNCTION("""COMPUTED_VALUE"""),"THOMPSON R2-J")</f>
        <v>THOMPSON R2-J</v>
      </c>
      <c r="C338" s="13" t="str">
        <f>IFERROR(__xludf.DUMMYFUNCTION("""COMPUTED_VALUE"""),"00865")</f>
        <v>00865</v>
      </c>
      <c r="D338" s="13" t="str">
        <f>IFERROR(__xludf.DUMMYFUNCTION("""COMPUTED_VALUE"""),"B F KITCHEN ELEMENTARY SCHOOL")</f>
        <v>B F KITCHEN ELEMENTARY SCHOOL</v>
      </c>
      <c r="E338" s="13" t="str">
        <f>IFERROR(__xludf.DUMMYFUNCTION("""COMPUTED_VALUE"""),"Closed - Enrolled")</f>
        <v>Closed - Enrolled</v>
      </c>
      <c r="F338" s="13"/>
      <c r="G338" s="13" t="str">
        <f>IFERROR(__xludf.DUMMYFUNCTION("""COMPUTED_VALUE"""),"915 DEBORAH DR")</f>
        <v>915 DEBORAH DR</v>
      </c>
      <c r="H338" s="13" t="str">
        <f>IFERROR(__xludf.DUMMYFUNCTION("""COMPUTED_VALUE"""),"LOVELAND")</f>
        <v>LOVELAND</v>
      </c>
      <c r="I338" s="13" t="str">
        <f>IFERROR(__xludf.DUMMYFUNCTION("""COMPUTED_VALUE"""),"CO")</f>
        <v>CO</v>
      </c>
      <c r="J338" s="13" t="str">
        <f>IFERROR(__xludf.DUMMYFUNCTION("""COMPUTED_VALUE"""),"80537-7022")</f>
        <v>80537-7022</v>
      </c>
      <c r="K338" s="13" t="str">
        <f>IFERROR(__xludf.DUMMYFUNCTION("""COMPUTED_VALUE"""),"Larimer")</f>
        <v>Larimer</v>
      </c>
      <c r="L338" s="17" t="str">
        <f>IFERROR(__xludf.DUMMYFUNCTION("""COMPUTED_VALUE"""),"Y")</f>
        <v>Y</v>
      </c>
      <c r="M338" s="17"/>
      <c r="N338" s="17" t="str">
        <f>IFERROR(__xludf.DUMMYFUNCTION("""COMPUTED_VALUE"""),"Y")</f>
        <v>Y</v>
      </c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>
      <c r="A339" s="13" t="str">
        <f>IFERROR(__xludf.DUMMYFUNCTION("""COMPUTED_VALUE"""),"1560")</f>
        <v>1560</v>
      </c>
      <c r="B339" s="13" t="str">
        <f>IFERROR(__xludf.DUMMYFUNCTION("""COMPUTED_VALUE"""),"THOMPSON R2-J")</f>
        <v>THOMPSON R2-J</v>
      </c>
      <c r="C339" s="13" t="str">
        <f>IFERROR(__xludf.DUMMYFUNCTION("""COMPUTED_VALUE"""),"03320")</f>
        <v>03320</v>
      </c>
      <c r="D339" s="13" t="str">
        <f>IFERROR(__xludf.DUMMYFUNCTION("""COMPUTED_VALUE"""),"GARFIELD ELEMENTARY SCHOOL")</f>
        <v>GARFIELD ELEMENTARY SCHOOL</v>
      </c>
      <c r="E339" s="13" t="str">
        <f>IFERROR(__xludf.DUMMYFUNCTION("""COMPUTED_VALUE"""),"Closed - Enrolled")</f>
        <v>Closed - Enrolled</v>
      </c>
      <c r="F339" s="13"/>
      <c r="G339" s="13" t="str">
        <f>IFERROR(__xludf.DUMMYFUNCTION("""COMPUTED_VALUE"""),"720 COLORADO AVE")</f>
        <v>720 COLORADO AVE</v>
      </c>
      <c r="H339" s="13" t="str">
        <f>IFERROR(__xludf.DUMMYFUNCTION("""COMPUTED_VALUE"""),"LOVELAND")</f>
        <v>LOVELAND</v>
      </c>
      <c r="I339" s="13" t="str">
        <f>IFERROR(__xludf.DUMMYFUNCTION("""COMPUTED_VALUE"""),"CO")</f>
        <v>CO</v>
      </c>
      <c r="J339" s="13" t="str">
        <f>IFERROR(__xludf.DUMMYFUNCTION("""COMPUTED_VALUE"""),"80537-5354")</f>
        <v>80537-5354</v>
      </c>
      <c r="K339" s="13" t="str">
        <f>IFERROR(__xludf.DUMMYFUNCTION("""COMPUTED_VALUE"""),"Larimer")</f>
        <v>Larimer</v>
      </c>
      <c r="L339" s="17"/>
      <c r="M339" s="17"/>
      <c r="N339" s="17" t="str">
        <f>IFERROR(__xludf.DUMMYFUNCTION("""COMPUTED_VALUE"""),"Y")</f>
        <v>Y</v>
      </c>
      <c r="O339" s="17" t="str">
        <f>IFERROR(__xludf.DUMMYFUNCTION("""COMPUTED_VALUE"""),"Y")</f>
        <v>Y</v>
      </c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>
      <c r="A340" s="13" t="str">
        <f>IFERROR(__xludf.DUMMYFUNCTION("""COMPUTED_VALUE"""),"1560")</f>
        <v>1560</v>
      </c>
      <c r="B340" s="13" t="str">
        <f>IFERROR(__xludf.DUMMYFUNCTION("""COMPUTED_VALUE"""),"THOMPSON R2-J")</f>
        <v>THOMPSON R2-J</v>
      </c>
      <c r="C340" s="13" t="str">
        <f>IFERROR(__xludf.DUMMYFUNCTION("""COMPUTED_VALUE"""),"05170")</f>
        <v>05170</v>
      </c>
      <c r="D340" s="13" t="str">
        <f>IFERROR(__xludf.DUMMYFUNCTION("""COMPUTED_VALUE"""),"LINCOLN ELEMENTARY SCHOOL")</f>
        <v>LINCOLN ELEMENTARY SCHOOL</v>
      </c>
      <c r="E340" s="13" t="str">
        <f>IFERROR(__xludf.DUMMYFUNCTION("""COMPUTED_VALUE"""),"Closed - Enrolled")</f>
        <v>Closed - Enrolled</v>
      </c>
      <c r="F340" s="13"/>
      <c r="G340" s="13" t="str">
        <f>IFERROR(__xludf.DUMMYFUNCTION("""COMPUTED_VALUE"""),"3312 DOUGLAS AVE")</f>
        <v>3312 DOUGLAS AVE</v>
      </c>
      <c r="H340" s="13" t="str">
        <f>IFERROR(__xludf.DUMMYFUNCTION("""COMPUTED_VALUE"""),"LOVELAND")</f>
        <v>LOVELAND</v>
      </c>
      <c r="I340" s="13" t="str">
        <f>IFERROR(__xludf.DUMMYFUNCTION("""COMPUTED_VALUE"""),"CO")</f>
        <v>CO</v>
      </c>
      <c r="J340" s="13" t="str">
        <f>IFERROR(__xludf.DUMMYFUNCTION("""COMPUTED_VALUE"""),"80538-2550")</f>
        <v>80538-2550</v>
      </c>
      <c r="K340" s="13" t="str">
        <f>IFERROR(__xludf.DUMMYFUNCTION("""COMPUTED_VALUE"""),"Larimer")</f>
        <v>Larimer</v>
      </c>
      <c r="L340" s="17" t="str">
        <f>IFERROR(__xludf.DUMMYFUNCTION("""COMPUTED_VALUE"""),"Y")</f>
        <v>Y</v>
      </c>
      <c r="M340" s="17"/>
      <c r="N340" s="17" t="str">
        <f>IFERROR(__xludf.DUMMYFUNCTION("""COMPUTED_VALUE"""),"Y")</f>
        <v>Y</v>
      </c>
      <c r="O340" s="17" t="str">
        <f>IFERROR(__xludf.DUMMYFUNCTION("""COMPUTED_VALUE"""),"Y")</f>
        <v>Y</v>
      </c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>
      <c r="A341" s="13" t="str">
        <f>IFERROR(__xludf.DUMMYFUNCTION("""COMPUTED_VALUE"""),"1560")</f>
        <v>1560</v>
      </c>
      <c r="B341" s="13" t="str">
        <f>IFERROR(__xludf.DUMMYFUNCTION("""COMPUTED_VALUE"""),"THOMPSON R2-J")</f>
        <v>THOMPSON R2-J</v>
      </c>
      <c r="C341" s="13" t="str">
        <f>IFERROR(__xludf.DUMMYFUNCTION("""COMPUTED_VALUE"""),"05312")</f>
        <v>05312</v>
      </c>
      <c r="D341" s="13" t="str">
        <f>IFERROR(__xludf.DUMMYFUNCTION("""COMPUTED_VALUE"""),"BILL REED MIDDLE SCHOOL")</f>
        <v>BILL REED MIDDLE SCHOOL</v>
      </c>
      <c r="E341" s="13" t="str">
        <f>IFERROR(__xludf.DUMMYFUNCTION("""COMPUTED_VALUE"""),"Closed - Enrolled")</f>
        <v>Closed - Enrolled</v>
      </c>
      <c r="F341" s="13"/>
      <c r="G341" s="13" t="str">
        <f>IFERROR(__xludf.DUMMYFUNCTION("""COMPUTED_VALUE"""),"370 W 4TH ST")</f>
        <v>370 W 4TH ST</v>
      </c>
      <c r="H341" s="13" t="str">
        <f>IFERROR(__xludf.DUMMYFUNCTION("""COMPUTED_VALUE"""),"LOVELAND")</f>
        <v>LOVELAND</v>
      </c>
      <c r="I341" s="13" t="str">
        <f>IFERROR(__xludf.DUMMYFUNCTION("""COMPUTED_VALUE"""),"CO")</f>
        <v>CO</v>
      </c>
      <c r="J341" s="13" t="str">
        <f>IFERROR(__xludf.DUMMYFUNCTION("""COMPUTED_VALUE"""),"80537-5416")</f>
        <v>80537-5416</v>
      </c>
      <c r="K341" s="13" t="str">
        <f>IFERROR(__xludf.DUMMYFUNCTION("""COMPUTED_VALUE"""),"Larimer")</f>
        <v>Larimer</v>
      </c>
      <c r="L341" s="17" t="str">
        <f>IFERROR(__xludf.DUMMYFUNCTION("""COMPUTED_VALUE"""),"Y")</f>
        <v>Y</v>
      </c>
      <c r="M341" s="17"/>
      <c r="N341" s="17" t="str">
        <f>IFERROR(__xludf.DUMMYFUNCTION("""COMPUTED_VALUE"""),"Y")</f>
        <v>Y</v>
      </c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>
      <c r="A342" s="13" t="str">
        <f>IFERROR(__xludf.DUMMYFUNCTION("""COMPUTED_VALUE"""),"1560")</f>
        <v>1560</v>
      </c>
      <c r="B342" s="13" t="str">
        <f>IFERROR(__xludf.DUMMYFUNCTION("""COMPUTED_VALUE"""),"THOMPSON R2-J")</f>
        <v>THOMPSON R2-J</v>
      </c>
      <c r="C342" s="13" t="str">
        <f>IFERROR(__xludf.DUMMYFUNCTION("""COMPUTED_VALUE"""),"05393")</f>
        <v>05393</v>
      </c>
      <c r="D342" s="13" t="str">
        <f>IFERROR(__xludf.DUMMYFUNCTION("""COMPUTED_VALUE"""),"EARLY CHILDHOOD EDUCATION AT STANSBERRY")</f>
        <v>EARLY CHILDHOOD EDUCATION AT STANSBERRY</v>
      </c>
      <c r="E342" s="13" t="str">
        <f>IFERROR(__xludf.DUMMYFUNCTION("""COMPUTED_VALUE"""),"Closed - Enrolled")</f>
        <v>Closed - Enrolled</v>
      </c>
      <c r="F342" s="13"/>
      <c r="G342" s="13" t="str">
        <f>IFERROR(__xludf.DUMMYFUNCTION("""COMPUTED_VALUE"""),"407 E 42ND ST")</f>
        <v>407 E 42ND ST</v>
      </c>
      <c r="H342" s="13" t="str">
        <f>IFERROR(__xludf.DUMMYFUNCTION("""COMPUTED_VALUE"""),"LOVELAND")</f>
        <v>LOVELAND</v>
      </c>
      <c r="I342" s="13" t="str">
        <f>IFERROR(__xludf.DUMMYFUNCTION("""COMPUTED_VALUE"""),"CO")</f>
        <v>CO</v>
      </c>
      <c r="J342" s="13" t="str">
        <f>IFERROR(__xludf.DUMMYFUNCTION("""COMPUTED_VALUE"""),"80538-2323")</f>
        <v>80538-2323</v>
      </c>
      <c r="K342" s="13" t="str">
        <f>IFERROR(__xludf.DUMMYFUNCTION("""COMPUTED_VALUE"""),"Larimer")</f>
        <v>Larimer</v>
      </c>
      <c r="L342" s="17" t="str">
        <f>IFERROR(__xludf.DUMMYFUNCTION("""COMPUTED_VALUE"""),"Y")</f>
        <v>Y</v>
      </c>
      <c r="M342" s="17"/>
      <c r="N342" s="17" t="str">
        <f>IFERROR(__xludf.DUMMYFUNCTION("""COMPUTED_VALUE"""),"Y")</f>
        <v>Y</v>
      </c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>
      <c r="A343" s="13" t="str">
        <f>IFERROR(__xludf.DUMMYFUNCTION("""COMPUTED_VALUE"""),"1560")</f>
        <v>1560</v>
      </c>
      <c r="B343" s="13" t="str">
        <f>IFERROR(__xludf.DUMMYFUNCTION("""COMPUTED_VALUE"""),"THOMPSON R2-J")</f>
        <v>THOMPSON R2-J</v>
      </c>
      <c r="C343" s="13" t="str">
        <f>IFERROR(__xludf.DUMMYFUNCTION("""COMPUTED_VALUE"""),"09228")</f>
        <v>09228</v>
      </c>
      <c r="D343" s="13" t="str">
        <f>IFERROR(__xludf.DUMMYFUNCTION("""COMPUTED_VALUE"""),"WALT CLARK MIDDLE SCHOOL")</f>
        <v>WALT CLARK MIDDLE SCHOOL</v>
      </c>
      <c r="E343" s="13" t="str">
        <f>IFERROR(__xludf.DUMMYFUNCTION("""COMPUTED_VALUE"""),"Closed - Enrolled")</f>
        <v>Closed - Enrolled</v>
      </c>
      <c r="F343" s="13"/>
      <c r="G343" s="13" t="str">
        <f>IFERROR(__xludf.DUMMYFUNCTION("""COMPUTED_VALUE"""),"2605 CARLISLE DR")</f>
        <v>2605 CARLISLE DR</v>
      </c>
      <c r="H343" s="13" t="str">
        <f>IFERROR(__xludf.DUMMYFUNCTION("""COMPUTED_VALUE"""),"LOVELAND")</f>
        <v>LOVELAND</v>
      </c>
      <c r="I343" s="13" t="str">
        <f>IFERROR(__xludf.DUMMYFUNCTION("""COMPUTED_VALUE"""),"CO")</f>
        <v>CO</v>
      </c>
      <c r="J343" s="13" t="str">
        <f>IFERROR(__xludf.DUMMYFUNCTION("""COMPUTED_VALUE"""),"80537-6714")</f>
        <v>80537-6714</v>
      </c>
      <c r="K343" s="13" t="str">
        <f>IFERROR(__xludf.DUMMYFUNCTION("""COMPUTED_VALUE"""),"Larimer")</f>
        <v>Larimer</v>
      </c>
      <c r="L343" s="17" t="str">
        <f>IFERROR(__xludf.DUMMYFUNCTION("""COMPUTED_VALUE"""),"Y")</f>
        <v>Y</v>
      </c>
      <c r="M343" s="17"/>
      <c r="N343" s="17" t="str">
        <f>IFERROR(__xludf.DUMMYFUNCTION("""COMPUTED_VALUE"""),"Y")</f>
        <v>Y</v>
      </c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>
      <c r="A344" s="13" t="str">
        <f>IFERROR(__xludf.DUMMYFUNCTION("""COMPUTED_VALUE"""),"1560")</f>
        <v>1560</v>
      </c>
      <c r="B344" s="13" t="str">
        <f>IFERROR(__xludf.DUMMYFUNCTION("""COMPUTED_VALUE"""),"THOMPSON R2-J")</f>
        <v>THOMPSON R2-J</v>
      </c>
      <c r="C344" s="13" t="str">
        <f>IFERROR(__xludf.DUMMYFUNCTION("""COMPUTED_VALUE"""),"09674")</f>
        <v>09674</v>
      </c>
      <c r="D344" s="13" t="str">
        <f>IFERROR(__xludf.DUMMYFUNCTION("""COMPUTED_VALUE"""),"WINONA ELEMENTARY SCHOOL")</f>
        <v>WINONA ELEMENTARY SCHOOL</v>
      </c>
      <c r="E344" s="13" t="str">
        <f>IFERROR(__xludf.DUMMYFUNCTION("""COMPUTED_VALUE"""),"Open")</f>
        <v>Open</v>
      </c>
      <c r="F344" s="13"/>
      <c r="G344" s="13" t="str">
        <f>IFERROR(__xludf.DUMMYFUNCTION("""COMPUTED_VALUE"""),"201 S BOISE AVE")</f>
        <v>201 S BOISE AVE</v>
      </c>
      <c r="H344" s="13" t="str">
        <f>IFERROR(__xludf.DUMMYFUNCTION("""COMPUTED_VALUE"""),"LOVELAND")</f>
        <v>LOVELAND</v>
      </c>
      <c r="I344" s="13" t="str">
        <f>IFERROR(__xludf.DUMMYFUNCTION("""COMPUTED_VALUE"""),"CO")</f>
        <v>CO</v>
      </c>
      <c r="J344" s="13" t="str">
        <f>IFERROR(__xludf.DUMMYFUNCTION("""COMPUTED_VALUE"""),"80537-6502")</f>
        <v>80537-6502</v>
      </c>
      <c r="K344" s="13" t="str">
        <f>IFERROR(__xludf.DUMMYFUNCTION("""COMPUTED_VALUE"""),"Larimer")</f>
        <v>Larimer</v>
      </c>
      <c r="L344" s="17" t="str">
        <f>IFERROR(__xludf.DUMMYFUNCTION("""COMPUTED_VALUE"""),"Y")</f>
        <v>Y</v>
      </c>
      <c r="M344" s="17"/>
      <c r="N344" s="17" t="str">
        <f>IFERROR(__xludf.DUMMYFUNCTION("""COMPUTED_VALUE"""),"Y")</f>
        <v>Y</v>
      </c>
      <c r="O344" s="17" t="str">
        <f>IFERROR(__xludf.DUMMYFUNCTION("""COMPUTED_VALUE"""),"Y")</f>
        <v>Y</v>
      </c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>
      <c r="A345" s="13" t="str">
        <f>IFERROR(__xludf.DUMMYFUNCTION("""COMPUTED_VALUE"""),"1560")</f>
        <v>1560</v>
      </c>
      <c r="B345" s="13" t="str">
        <f>IFERROR(__xludf.DUMMYFUNCTION("""COMPUTED_VALUE"""),"THOMPSON R2-J")</f>
        <v>THOMPSON R2-J</v>
      </c>
      <c r="C345" s="13" t="str">
        <f>IFERROR(__xludf.DUMMYFUNCTION("""COMPUTED_VALUE"""),"09676")</f>
        <v>09676</v>
      </c>
      <c r="D345" s="13" t="str">
        <f>IFERROR(__xludf.DUMMYFUNCTION("""COMPUTED_VALUE"""),"Truscott Elementary")</f>
        <v>Truscott Elementary</v>
      </c>
      <c r="E345" s="13" t="str">
        <f>IFERROR(__xludf.DUMMYFUNCTION("""COMPUTED_VALUE"""),"Closed - Enrolled")</f>
        <v>Closed - Enrolled</v>
      </c>
      <c r="F345" s="13"/>
      <c r="G345" s="13" t="str">
        <f>IFERROR(__xludf.DUMMYFUNCTION("""COMPUTED_VALUE"""),"211 W 6TH ST")</f>
        <v>211 W 6TH ST</v>
      </c>
      <c r="H345" s="13" t="str">
        <f>IFERROR(__xludf.DUMMYFUNCTION("""COMPUTED_VALUE"""),"LOVELAND")</f>
        <v>LOVELAND</v>
      </c>
      <c r="I345" s="13" t="str">
        <f>IFERROR(__xludf.DUMMYFUNCTION("""COMPUTED_VALUE"""),"CO")</f>
        <v>CO</v>
      </c>
      <c r="J345" s="13" t="str">
        <f>IFERROR(__xludf.DUMMYFUNCTION("""COMPUTED_VALUE"""),"80537-5547")</f>
        <v>80537-5547</v>
      </c>
      <c r="K345" s="13" t="str">
        <f>IFERROR(__xludf.DUMMYFUNCTION("""COMPUTED_VALUE"""),"Larimer")</f>
        <v>Larimer</v>
      </c>
      <c r="L345" s="17" t="str">
        <f>IFERROR(__xludf.DUMMYFUNCTION("""COMPUTED_VALUE"""),"Y")</f>
        <v>Y</v>
      </c>
      <c r="M345" s="17"/>
      <c r="N345" s="17" t="str">
        <f>IFERROR(__xludf.DUMMYFUNCTION("""COMPUTED_VALUE"""),"Y")</f>
        <v>Y</v>
      </c>
      <c r="O345" s="17" t="str">
        <f>IFERROR(__xludf.DUMMYFUNCTION("""COMPUTED_VALUE"""),"Y")</f>
        <v>Y</v>
      </c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>
      <c r="A346" s="13" t="str">
        <f>IFERROR(__xludf.DUMMYFUNCTION("""COMPUTED_VALUE"""),"1560")</f>
        <v>1560</v>
      </c>
      <c r="B346" s="13" t="str">
        <f>IFERROR(__xludf.DUMMYFUNCTION("""COMPUTED_VALUE"""),"THOMPSON R2-J")</f>
        <v>THOMPSON R2-J</v>
      </c>
      <c r="C346" s="13" t="str">
        <f>IFERROR(__xludf.DUMMYFUNCTION("""COMPUTED_VALUE"""),"91436")</f>
        <v>91436</v>
      </c>
      <c r="D346" s="13" t="str">
        <f>IFERROR(__xludf.DUMMYFUNCTION("""COMPUTED_VALUE"""),"Fickel Park")</f>
        <v>Fickel Park</v>
      </c>
      <c r="E346" s="13" t="str">
        <f>IFERROR(__xludf.DUMMYFUNCTION("""COMPUTED_VALUE"""),"Open")</f>
        <v>Open</v>
      </c>
      <c r="F346" s="13"/>
      <c r="G346" s="13" t="str">
        <f>IFERROR(__xludf.DUMMYFUNCTION("""COMPUTED_VALUE"""),"620 MOUNTAIN AVE")</f>
        <v>620 MOUNTAIN AVE</v>
      </c>
      <c r="H346" s="13" t="str">
        <f>IFERROR(__xludf.DUMMYFUNCTION("""COMPUTED_VALUE"""),"BERTHOUD")</f>
        <v>BERTHOUD</v>
      </c>
      <c r="I346" s="13" t="str">
        <f>IFERROR(__xludf.DUMMYFUNCTION("""COMPUTED_VALUE"""),"CO")</f>
        <v>CO</v>
      </c>
      <c r="J346" s="13">
        <f>IFERROR(__xludf.DUMMYFUNCTION("""COMPUTED_VALUE"""),80513.0)</f>
        <v>80513</v>
      </c>
      <c r="K346" s="13" t="str">
        <f>IFERROR(__xludf.DUMMYFUNCTION("""COMPUTED_VALUE"""),"Larimer")</f>
        <v>Larimer</v>
      </c>
      <c r="L346" s="17"/>
      <c r="M346" s="17"/>
      <c r="N346" s="17" t="str">
        <f>IFERROR(__xludf.DUMMYFUNCTION("""COMPUTED_VALUE"""),"Y")</f>
        <v>Y</v>
      </c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>
      <c r="A347" s="13" t="str">
        <f>IFERROR(__xludf.DUMMYFUNCTION("""COMPUTED_VALUE"""),"1570")</f>
        <v>1570</v>
      </c>
      <c r="B347" s="13" t="str">
        <f>IFERROR(__xludf.DUMMYFUNCTION("""COMPUTED_VALUE"""),"ESTES PARK R-3 SCHOOL DISTRICT")</f>
        <v>ESTES PARK R-3 SCHOOL DISTRICT</v>
      </c>
      <c r="C347" s="13" t="str">
        <f>IFERROR(__xludf.DUMMYFUNCTION("""COMPUTED_VALUE"""),"23299")</f>
        <v>23299</v>
      </c>
      <c r="D347" s="13" t="str">
        <f>IFERROR(__xludf.DUMMYFUNCTION("""COMPUTED_VALUE"""),"Boys &amp; Girls Club 1505 Brodie Ave.")</f>
        <v>Boys &amp; Girls Club 1505 Brodie Ave.</v>
      </c>
      <c r="E347" s="13" t="str">
        <f>IFERROR(__xludf.DUMMYFUNCTION("""COMPUTED_VALUE"""),"Open")</f>
        <v>Open</v>
      </c>
      <c r="F347" s="13"/>
      <c r="G347" s="13" t="str">
        <f>IFERROR(__xludf.DUMMYFUNCTION("""COMPUTED_VALUE"""),"1505 BRODIE AVE")</f>
        <v>1505 BRODIE AVE</v>
      </c>
      <c r="H347" s="13" t="str">
        <f>IFERROR(__xludf.DUMMYFUNCTION("""COMPUTED_VALUE"""),"ESTES PARK")</f>
        <v>ESTES PARK</v>
      </c>
      <c r="I347" s="13" t="str">
        <f>IFERROR(__xludf.DUMMYFUNCTION("""COMPUTED_VALUE"""),"CO")</f>
        <v>CO</v>
      </c>
      <c r="J347" s="13" t="str">
        <f>IFERROR(__xludf.DUMMYFUNCTION("""COMPUTED_VALUE"""),"80517-5428")</f>
        <v>80517-5428</v>
      </c>
      <c r="K347" s="13" t="str">
        <f>IFERROR(__xludf.DUMMYFUNCTION("""COMPUTED_VALUE"""),"Larimer")</f>
        <v>Larimer</v>
      </c>
      <c r="L347" s="17" t="str">
        <f>IFERROR(__xludf.DUMMYFUNCTION("""COMPUTED_VALUE"""),"Y")</f>
        <v>Y</v>
      </c>
      <c r="M347" s="17"/>
      <c r="N347" s="17" t="str">
        <f>IFERROR(__xludf.DUMMYFUNCTION("""COMPUTED_VALUE"""),"Y")</f>
        <v>Y</v>
      </c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>
      <c r="A348" s="13" t="str">
        <f>IFERROR(__xludf.DUMMYFUNCTION("""COMPUTED_VALUE"""),"1580")</f>
        <v>1580</v>
      </c>
      <c r="B348" s="13" t="str">
        <f>IFERROR(__xludf.DUMMYFUNCTION("""COMPUTED_VALUE"""),"TRINIDAD 1")</f>
        <v>TRINIDAD 1</v>
      </c>
      <c r="C348" s="13" t="str">
        <f>IFERROR(__xludf.DUMMYFUNCTION("""COMPUTED_VALUE"""),"01386")</f>
        <v>01386</v>
      </c>
      <c r="D348" s="13" t="str">
        <f>IFERROR(__xludf.DUMMYFUNCTION("""COMPUTED_VALUE"""),"TRINIDAD MIDDLE SCHOOL")</f>
        <v>TRINIDAD MIDDLE SCHOOL</v>
      </c>
      <c r="E348" s="13" t="str">
        <f>IFERROR(__xludf.DUMMYFUNCTION("""COMPUTED_VALUE"""),"Open")</f>
        <v>Open</v>
      </c>
      <c r="F348" s="13" t="str">
        <f>IFERROR(__xludf.DUMMYFUNCTION("""COMPUTED_VALUE"""),"Hybrid")</f>
        <v>Hybrid</v>
      </c>
      <c r="G348" s="13" t="str">
        <f>IFERROR(__xludf.DUMMYFUNCTION("""COMPUTED_VALUE"""),"607 MINER DR")</f>
        <v>607 MINER DR</v>
      </c>
      <c r="H348" s="13" t="str">
        <f>IFERROR(__xludf.DUMMYFUNCTION("""COMPUTED_VALUE"""),"TRINIDAD")</f>
        <v>TRINIDAD</v>
      </c>
      <c r="I348" s="13" t="str">
        <f>IFERROR(__xludf.DUMMYFUNCTION("""COMPUTED_VALUE"""),"CO")</f>
        <v>CO</v>
      </c>
      <c r="J348" s="13" t="str">
        <f>IFERROR(__xludf.DUMMYFUNCTION("""COMPUTED_VALUE"""),"81082-2342")</f>
        <v>81082-2342</v>
      </c>
      <c r="K348" s="13" t="str">
        <f>IFERROR(__xludf.DUMMYFUNCTION("""COMPUTED_VALUE"""),"Las Animas")</f>
        <v>Las Animas</v>
      </c>
      <c r="L348" s="17"/>
      <c r="M348" s="17"/>
      <c r="N348" s="17" t="str">
        <f>IFERROR(__xludf.DUMMYFUNCTION("""COMPUTED_VALUE"""),"Y")</f>
        <v>Y</v>
      </c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>
      <c r="A349" s="13" t="str">
        <f>IFERROR(__xludf.DUMMYFUNCTION("""COMPUTED_VALUE"""),"1828")</f>
        <v>1828</v>
      </c>
      <c r="B349" s="13" t="str">
        <f>IFERROR(__xludf.DUMMYFUNCTION("""COMPUTED_VALUE"""),"VALLEY RE-1")</f>
        <v>VALLEY RE-1</v>
      </c>
      <c r="C349" s="13" t="str">
        <f>IFERROR(__xludf.DUMMYFUNCTION("""COMPUTED_VALUE"""),"01321")</f>
        <v>01321</v>
      </c>
      <c r="D349" s="13" t="str">
        <f>IFERROR(__xludf.DUMMYFUNCTION("""COMPUTED_VALUE"""),"CAMPBELL ELEMENTARY SCHOOL")</f>
        <v>CAMPBELL ELEMENTARY SCHOOL</v>
      </c>
      <c r="E349" s="13" t="str">
        <f>IFERROR(__xludf.DUMMYFUNCTION("""COMPUTED_VALUE"""),"Open")</f>
        <v>Open</v>
      </c>
      <c r="F349" s="13"/>
      <c r="G349" s="13" t="str">
        <f>IFERROR(__xludf.DUMMYFUNCTION("""COMPUTED_VALUE"""),"902 CLARK ST")</f>
        <v>902 CLARK ST</v>
      </c>
      <c r="H349" s="13" t="str">
        <f>IFERROR(__xludf.DUMMYFUNCTION("""COMPUTED_VALUE"""),"STERLING")</f>
        <v>STERLING</v>
      </c>
      <c r="I349" s="13" t="str">
        <f>IFERROR(__xludf.DUMMYFUNCTION("""COMPUTED_VALUE"""),"CO")</f>
        <v>CO</v>
      </c>
      <c r="J349" s="13" t="str">
        <f>IFERROR(__xludf.DUMMYFUNCTION("""COMPUTED_VALUE"""),"80751-2826")</f>
        <v>80751-2826</v>
      </c>
      <c r="K349" s="13" t="str">
        <f>IFERROR(__xludf.DUMMYFUNCTION("""COMPUTED_VALUE"""),"Logan")</f>
        <v>Logan</v>
      </c>
      <c r="L349" s="17"/>
      <c r="M349" s="17" t="str">
        <f>IFERROR(__xludf.DUMMYFUNCTION("""COMPUTED_VALUE"""),"Y")</f>
        <v>Y</v>
      </c>
      <c r="N349" s="17" t="str">
        <f>IFERROR(__xludf.DUMMYFUNCTION("""COMPUTED_VALUE"""),"Y")</f>
        <v>Y</v>
      </c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>
      <c r="A350" s="13" t="str">
        <f>IFERROR(__xludf.DUMMYFUNCTION("""COMPUTED_VALUE"""),"1828")</f>
        <v>1828</v>
      </c>
      <c r="B350" s="13" t="str">
        <f>IFERROR(__xludf.DUMMYFUNCTION("""COMPUTED_VALUE"""),"VALLEY RE-1")</f>
        <v>VALLEY RE-1</v>
      </c>
      <c r="C350" s="13" t="str">
        <f>IFERROR(__xludf.DUMMYFUNCTION("""COMPUTED_VALUE"""),"08261")</f>
        <v>08261</v>
      </c>
      <c r="D350" s="13" t="str">
        <f>IFERROR(__xludf.DUMMYFUNCTION("""COMPUTED_VALUE"""),"Prairie Park")</f>
        <v>Prairie Park</v>
      </c>
      <c r="E350" s="13" t="str">
        <f>IFERROR(__xludf.DUMMYFUNCTION("""COMPUTED_VALUE"""),"Open")</f>
        <v>Open</v>
      </c>
      <c r="F350" s="13" t="str">
        <f>IFERROR(__xludf.DUMMYFUNCTION("""COMPUTED_VALUE"""),"Hybrid")</f>
        <v>Hybrid</v>
      </c>
      <c r="G350" s="13" t="str">
        <f>IFERROR(__xludf.DUMMYFUNCTION("""COMPUTED_VALUE"""),"808 ELM ST")</f>
        <v>808 ELM ST</v>
      </c>
      <c r="H350" s="13" t="str">
        <f>IFERROR(__xludf.DUMMYFUNCTION("""COMPUTED_VALUE"""),"STERLING")</f>
        <v>STERLING</v>
      </c>
      <c r="I350" s="13" t="str">
        <f>IFERROR(__xludf.DUMMYFUNCTION("""COMPUTED_VALUE"""),"CO")</f>
        <v>CO</v>
      </c>
      <c r="J350" s="13">
        <f>IFERROR(__xludf.DUMMYFUNCTION("""COMPUTED_VALUE"""),80751.0)</f>
        <v>80751</v>
      </c>
      <c r="K350" s="13" t="str">
        <f>IFERROR(__xludf.DUMMYFUNCTION("""COMPUTED_VALUE"""),"Logan")</f>
        <v>Logan</v>
      </c>
      <c r="L350" s="17"/>
      <c r="M350" s="17"/>
      <c r="N350" s="17" t="str">
        <f>IFERROR(__xludf.DUMMYFUNCTION("""COMPUTED_VALUE"""),"Y")</f>
        <v>Y</v>
      </c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>
      <c r="A351" s="13" t="str">
        <f>IFERROR(__xludf.DUMMYFUNCTION("""COMPUTED_VALUE"""),"2000")</f>
        <v>2000</v>
      </c>
      <c r="B351" s="13" t="str">
        <f>IFERROR(__xludf.DUMMYFUNCTION("""COMPUTED_VALUE"""),"MESA COUNTY VALLEY 51")</f>
        <v>MESA COUNTY VALLEY 51</v>
      </c>
      <c r="C351" s="13" t="str">
        <f>IFERROR(__xludf.DUMMYFUNCTION("""COMPUTED_VALUE"""),"00362")</f>
        <v>00362</v>
      </c>
      <c r="D351" s="13" t="str">
        <f>IFERROR(__xludf.DUMMYFUNCTION("""COMPUTED_VALUE"""),"RIM ROCK ELEMENTARY SCHOOL")</f>
        <v>RIM ROCK ELEMENTARY SCHOOL</v>
      </c>
      <c r="E351" s="13" t="str">
        <f>IFERROR(__xludf.DUMMYFUNCTION("""COMPUTED_VALUE"""),"Open")</f>
        <v>Open</v>
      </c>
      <c r="F351" s="13"/>
      <c r="G351" s="13" t="str">
        <f>IFERROR(__xludf.DUMMYFUNCTION("""COMPUTED_VALUE"""),"1810 J.6 RD")</f>
        <v>1810 J.6 RD</v>
      </c>
      <c r="H351" s="13" t="str">
        <f>IFERROR(__xludf.DUMMYFUNCTION("""COMPUTED_VALUE"""),"FRUITA")</f>
        <v>FRUITA</v>
      </c>
      <c r="I351" s="13" t="str">
        <f>IFERROR(__xludf.DUMMYFUNCTION("""COMPUTED_VALUE"""),"CO")</f>
        <v>CO</v>
      </c>
      <c r="J351" s="13" t="str">
        <f>IFERROR(__xludf.DUMMYFUNCTION("""COMPUTED_VALUE"""),"81521-9348")</f>
        <v>81521-9348</v>
      </c>
      <c r="K351" s="13" t="str">
        <f>IFERROR(__xludf.DUMMYFUNCTION("""COMPUTED_VALUE"""),"Mesa")</f>
        <v>Mesa</v>
      </c>
      <c r="L351" s="17" t="str">
        <f>IFERROR(__xludf.DUMMYFUNCTION("""COMPUTED_VALUE"""),"Y")</f>
        <v>Y</v>
      </c>
      <c r="M351" s="17"/>
      <c r="N351" s="17" t="str">
        <f>IFERROR(__xludf.DUMMYFUNCTION("""COMPUTED_VALUE"""),"Y")</f>
        <v>Y</v>
      </c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>
      <c r="A352" s="13" t="str">
        <f>IFERROR(__xludf.DUMMYFUNCTION("""COMPUTED_VALUE"""),"2000")</f>
        <v>2000</v>
      </c>
      <c r="B352" s="13" t="str">
        <f>IFERROR(__xludf.DUMMYFUNCTION("""COMPUTED_VALUE"""),"MESA COUNTY VALLEY 51")</f>
        <v>MESA COUNTY VALLEY 51</v>
      </c>
      <c r="C352" s="13" t="str">
        <f>IFERROR(__xludf.DUMMYFUNCTION("""COMPUTED_VALUE"""),"00363")</f>
        <v>00363</v>
      </c>
      <c r="D352" s="13" t="str">
        <f>IFERROR(__xludf.DUMMYFUNCTION("""COMPUTED_VALUE"""),"PEAR PARK ELEMENTARY SCHOOL")</f>
        <v>PEAR PARK ELEMENTARY SCHOOL</v>
      </c>
      <c r="E352" s="13" t="str">
        <f>IFERROR(__xludf.DUMMYFUNCTION("""COMPUTED_VALUE"""),"Open")</f>
        <v>Open</v>
      </c>
      <c r="F352" s="13"/>
      <c r="G352" s="13" t="str">
        <f>IFERROR(__xludf.DUMMYFUNCTION("""COMPUTED_VALUE"""),"432 30 1/4 RD")</f>
        <v>432 30 1/4 RD</v>
      </c>
      <c r="H352" s="13" t="str">
        <f>IFERROR(__xludf.DUMMYFUNCTION("""COMPUTED_VALUE"""),"GRAND JCT")</f>
        <v>GRAND JCT</v>
      </c>
      <c r="I352" s="13" t="str">
        <f>IFERROR(__xludf.DUMMYFUNCTION("""COMPUTED_VALUE"""),"CO")</f>
        <v>CO</v>
      </c>
      <c r="J352" s="13" t="str">
        <f>IFERROR(__xludf.DUMMYFUNCTION("""COMPUTED_VALUE"""),"81504-2547")</f>
        <v>81504-2547</v>
      </c>
      <c r="K352" s="13" t="str">
        <f>IFERROR(__xludf.DUMMYFUNCTION("""COMPUTED_VALUE"""),"Mesa")</f>
        <v>Mesa</v>
      </c>
      <c r="L352" s="17" t="str">
        <f>IFERROR(__xludf.DUMMYFUNCTION("""COMPUTED_VALUE"""),"Y")</f>
        <v>Y</v>
      </c>
      <c r="M352" s="17"/>
      <c r="N352" s="17" t="str">
        <f>IFERROR(__xludf.DUMMYFUNCTION("""COMPUTED_VALUE"""),"Y")</f>
        <v>Y</v>
      </c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>
      <c r="A353" s="13" t="str">
        <f>IFERROR(__xludf.DUMMYFUNCTION("""COMPUTED_VALUE"""),"2000")</f>
        <v>2000</v>
      </c>
      <c r="B353" s="13" t="str">
        <f>IFERROR(__xludf.DUMMYFUNCTION("""COMPUTED_VALUE"""),"MESA COUNTY VALLEY 51")</f>
        <v>MESA COUNTY VALLEY 51</v>
      </c>
      <c r="C353" s="13" t="str">
        <f>IFERROR(__xludf.DUMMYFUNCTION("""COMPUTED_VALUE"""),"01450")</f>
        <v>01450</v>
      </c>
      <c r="D353" s="13" t="str">
        <f>IFERROR(__xludf.DUMMYFUNCTION("""COMPUTED_VALUE"""),"CENTRAL HIGH SCHOOL")</f>
        <v>CENTRAL HIGH SCHOOL</v>
      </c>
      <c r="E353" s="13" t="str">
        <f>IFERROR(__xludf.DUMMYFUNCTION("""COMPUTED_VALUE"""),"Open")</f>
        <v>Open</v>
      </c>
      <c r="F353" s="13"/>
      <c r="G353" s="13" t="str">
        <f>IFERROR(__xludf.DUMMYFUNCTION("""COMPUTED_VALUE"""),"550 WARRIOR WAY")</f>
        <v>550 WARRIOR WAY</v>
      </c>
      <c r="H353" s="13" t="str">
        <f>IFERROR(__xludf.DUMMYFUNCTION("""COMPUTED_VALUE"""),"GRAND JCT")</f>
        <v>GRAND JCT</v>
      </c>
      <c r="I353" s="13" t="str">
        <f>IFERROR(__xludf.DUMMYFUNCTION("""COMPUTED_VALUE"""),"CO")</f>
        <v>CO</v>
      </c>
      <c r="J353" s="13" t="str">
        <f>IFERROR(__xludf.DUMMYFUNCTION("""COMPUTED_VALUE"""),"81504-6401")</f>
        <v>81504-6401</v>
      </c>
      <c r="K353" s="13" t="str">
        <f>IFERROR(__xludf.DUMMYFUNCTION("""COMPUTED_VALUE"""),"Mesa")</f>
        <v>Mesa</v>
      </c>
      <c r="L353" s="17"/>
      <c r="M353" s="17"/>
      <c r="N353" s="17" t="str">
        <f>IFERROR(__xludf.DUMMYFUNCTION("""COMPUTED_VALUE"""),"Y")</f>
        <v>Y</v>
      </c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>
      <c r="A354" s="13" t="str">
        <f>IFERROR(__xludf.DUMMYFUNCTION("""COMPUTED_VALUE"""),"2000")</f>
        <v>2000</v>
      </c>
      <c r="B354" s="13" t="str">
        <f>IFERROR(__xludf.DUMMYFUNCTION("""COMPUTED_VALUE"""),"MESA COUNTY VALLEY 51")</f>
        <v>MESA COUNTY VALLEY 51</v>
      </c>
      <c r="C354" s="13" t="str">
        <f>IFERROR(__xludf.DUMMYFUNCTION("""COMPUTED_VALUE"""),"01619")</f>
        <v>01619</v>
      </c>
      <c r="D354" s="13" t="str">
        <f>IFERROR(__xludf.DUMMYFUNCTION("""COMPUTED_VALUE"""),"CHIPETA ELEMENTARY SCHOOL")</f>
        <v>CHIPETA ELEMENTARY SCHOOL</v>
      </c>
      <c r="E354" s="13" t="str">
        <f>IFERROR(__xludf.DUMMYFUNCTION("""COMPUTED_VALUE"""),"Open")</f>
        <v>Open</v>
      </c>
      <c r="F354" s="13"/>
      <c r="G354" s="13" t="str">
        <f>IFERROR(__xludf.DUMMYFUNCTION("""COMPUTED_VALUE"""),"950 CHIPETA AVE")</f>
        <v>950 CHIPETA AVE</v>
      </c>
      <c r="H354" s="13" t="str">
        <f>IFERROR(__xludf.DUMMYFUNCTION("""COMPUTED_VALUE"""),"GRAND JCT")</f>
        <v>GRAND JCT</v>
      </c>
      <c r="I354" s="13" t="str">
        <f>IFERROR(__xludf.DUMMYFUNCTION("""COMPUTED_VALUE"""),"CO")</f>
        <v>CO</v>
      </c>
      <c r="J354" s="13" t="str">
        <f>IFERROR(__xludf.DUMMYFUNCTION("""COMPUTED_VALUE"""),"81501-3314")</f>
        <v>81501-3314</v>
      </c>
      <c r="K354" s="13" t="str">
        <f>IFERROR(__xludf.DUMMYFUNCTION("""COMPUTED_VALUE"""),"Mesa")</f>
        <v>Mesa</v>
      </c>
      <c r="L354" s="17" t="str">
        <f>IFERROR(__xludf.DUMMYFUNCTION("""COMPUTED_VALUE"""),"Y")</f>
        <v>Y</v>
      </c>
      <c r="M354" s="17"/>
      <c r="N354" s="17" t="str">
        <f>IFERROR(__xludf.DUMMYFUNCTION("""COMPUTED_VALUE"""),"Y")</f>
        <v>Y</v>
      </c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>
      <c r="A355" s="13" t="str">
        <f>IFERROR(__xludf.DUMMYFUNCTION("""COMPUTED_VALUE"""),"2000")</f>
        <v>2000</v>
      </c>
      <c r="B355" s="13" t="str">
        <f>IFERROR(__xludf.DUMMYFUNCTION("""COMPUTED_VALUE"""),"MESA COUNTY VALLEY 51")</f>
        <v>MESA COUNTY VALLEY 51</v>
      </c>
      <c r="C355" s="13" t="str">
        <f>IFERROR(__xludf.DUMMYFUNCTION("""COMPUTED_VALUE"""),"01686")</f>
        <v>01686</v>
      </c>
      <c r="D355" s="13" t="str">
        <f>IFERROR(__xludf.DUMMYFUNCTION("""COMPUTED_VALUE"""),"CLIFTON ELEMENTARY SCHOOL")</f>
        <v>CLIFTON ELEMENTARY SCHOOL</v>
      </c>
      <c r="E355" s="13" t="str">
        <f>IFERROR(__xludf.DUMMYFUNCTION("""COMPUTED_VALUE"""),"Open")</f>
        <v>Open</v>
      </c>
      <c r="F355" s="13"/>
      <c r="G355" s="13" t="str">
        <f>IFERROR(__xludf.DUMMYFUNCTION("""COMPUTED_VALUE"""),"3276 F RD")</f>
        <v>3276 F RD</v>
      </c>
      <c r="H355" s="13" t="str">
        <f>IFERROR(__xludf.DUMMYFUNCTION("""COMPUTED_VALUE"""),"CLIFTON")</f>
        <v>CLIFTON</v>
      </c>
      <c r="I355" s="13" t="str">
        <f>IFERROR(__xludf.DUMMYFUNCTION("""COMPUTED_VALUE"""),"CO")</f>
        <v>CO</v>
      </c>
      <c r="J355" s="13" t="str">
        <f>IFERROR(__xludf.DUMMYFUNCTION("""COMPUTED_VALUE"""),"81520-7536")</f>
        <v>81520-7536</v>
      </c>
      <c r="K355" s="13" t="str">
        <f>IFERROR(__xludf.DUMMYFUNCTION("""COMPUTED_VALUE"""),"Mesa")</f>
        <v>Mesa</v>
      </c>
      <c r="L355" s="17" t="str">
        <f>IFERROR(__xludf.DUMMYFUNCTION("""COMPUTED_VALUE"""),"Y")</f>
        <v>Y</v>
      </c>
      <c r="M355" s="17"/>
      <c r="N355" s="17" t="str">
        <f>IFERROR(__xludf.DUMMYFUNCTION("""COMPUTED_VALUE"""),"Y")</f>
        <v>Y</v>
      </c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>
      <c r="A356" s="13" t="str">
        <f>IFERROR(__xludf.DUMMYFUNCTION("""COMPUTED_VALUE"""),"2000")</f>
        <v>2000</v>
      </c>
      <c r="B356" s="13" t="str">
        <f>IFERROR(__xludf.DUMMYFUNCTION("""COMPUTED_VALUE"""),"MESA COUNTY VALLEY 51")</f>
        <v>MESA COUNTY VALLEY 51</v>
      </c>
      <c r="C356" s="13" t="str">
        <f>IFERROR(__xludf.DUMMYFUNCTION("""COMPUTED_VALUE"""),"02224")</f>
        <v>02224</v>
      </c>
      <c r="D356" s="13" t="str">
        <f>IFERROR(__xludf.DUMMYFUNCTION("""COMPUTED_VALUE"""),"DOS RIOS ELEMENTARY SCHOOL")</f>
        <v>DOS RIOS ELEMENTARY SCHOOL</v>
      </c>
      <c r="E356" s="13" t="str">
        <f>IFERROR(__xludf.DUMMYFUNCTION("""COMPUTED_VALUE"""),"Open")</f>
        <v>Open</v>
      </c>
      <c r="F356" s="13"/>
      <c r="G356" s="13" t="str">
        <f>IFERROR(__xludf.DUMMYFUNCTION("""COMPUTED_VALUE"""),"265 LINDEN AVE")</f>
        <v>265 LINDEN AVE</v>
      </c>
      <c r="H356" s="13" t="str">
        <f>IFERROR(__xludf.DUMMYFUNCTION("""COMPUTED_VALUE"""),"GRAND JCT")</f>
        <v>GRAND JCT</v>
      </c>
      <c r="I356" s="13" t="str">
        <f>IFERROR(__xludf.DUMMYFUNCTION("""COMPUTED_VALUE"""),"CO")</f>
        <v>CO</v>
      </c>
      <c r="J356" s="13" t="str">
        <f>IFERROR(__xludf.DUMMYFUNCTION("""COMPUTED_VALUE"""),"81503-4900")</f>
        <v>81503-4900</v>
      </c>
      <c r="K356" s="13" t="str">
        <f>IFERROR(__xludf.DUMMYFUNCTION("""COMPUTED_VALUE"""),"Mesa")</f>
        <v>Mesa</v>
      </c>
      <c r="L356" s="17" t="str">
        <f>IFERROR(__xludf.DUMMYFUNCTION("""COMPUTED_VALUE"""),"Y")</f>
        <v>Y</v>
      </c>
      <c r="M356" s="17"/>
      <c r="N356" s="17" t="str">
        <f>IFERROR(__xludf.DUMMYFUNCTION("""COMPUTED_VALUE"""),"Y")</f>
        <v>Y</v>
      </c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>
      <c r="A357" s="13" t="str">
        <f>IFERROR(__xludf.DUMMYFUNCTION("""COMPUTED_VALUE"""),"2000")</f>
        <v>2000</v>
      </c>
      <c r="B357" s="13" t="str">
        <f>IFERROR(__xludf.DUMMYFUNCTION("""COMPUTED_VALUE"""),"MESA COUNTY VALLEY 51")</f>
        <v>MESA COUNTY VALLEY 51</v>
      </c>
      <c r="C357" s="13" t="str">
        <f>IFERROR(__xludf.DUMMYFUNCTION("""COMPUTED_VALUE"""),"02297")</f>
        <v>02297</v>
      </c>
      <c r="D357" s="13" t="str">
        <f>IFERROR(__xludf.DUMMYFUNCTION("""COMPUTED_VALUE"""),"DUAL IMMERSION ACADEMY SCHOOL")</f>
        <v>DUAL IMMERSION ACADEMY SCHOOL</v>
      </c>
      <c r="E357" s="13" t="str">
        <f>IFERROR(__xludf.DUMMYFUNCTION("""COMPUTED_VALUE"""),"Open")</f>
        <v>Open</v>
      </c>
      <c r="F357" s="13"/>
      <c r="G357" s="13" t="str">
        <f>IFERROR(__xludf.DUMMYFUNCTION("""COMPUTED_VALUE"""),"552 W MAIN ST")</f>
        <v>552 W MAIN ST</v>
      </c>
      <c r="H357" s="13" t="str">
        <f>IFERROR(__xludf.DUMMYFUNCTION("""COMPUTED_VALUE"""),"GRAND JCT")</f>
        <v>GRAND JCT</v>
      </c>
      <c r="I357" s="13" t="str">
        <f>IFERROR(__xludf.DUMMYFUNCTION("""COMPUTED_VALUE"""),"CO")</f>
        <v>CO</v>
      </c>
      <c r="J357" s="13" t="str">
        <f>IFERROR(__xludf.DUMMYFUNCTION("""COMPUTED_VALUE"""),"81501-5660")</f>
        <v>81501-5660</v>
      </c>
      <c r="K357" s="13" t="str">
        <f>IFERROR(__xludf.DUMMYFUNCTION("""COMPUTED_VALUE"""),"Mesa")</f>
        <v>Mesa</v>
      </c>
      <c r="L357" s="17" t="str">
        <f>IFERROR(__xludf.DUMMYFUNCTION("""COMPUTED_VALUE"""),"Y")</f>
        <v>Y</v>
      </c>
      <c r="M357" s="17"/>
      <c r="N357" s="17" t="str">
        <f>IFERROR(__xludf.DUMMYFUNCTION("""COMPUTED_VALUE"""),"Y")</f>
        <v>Y</v>
      </c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>
      <c r="A358" s="13" t="str">
        <f>IFERROR(__xludf.DUMMYFUNCTION("""COMPUTED_VALUE"""),"2000")</f>
        <v>2000</v>
      </c>
      <c r="B358" s="13" t="str">
        <f>IFERROR(__xludf.DUMMYFUNCTION("""COMPUTED_VALUE"""),"MESA COUNTY VALLEY 51")</f>
        <v>MESA COUNTY VALLEY 51</v>
      </c>
      <c r="C358" s="13" t="str">
        <f>IFERROR(__xludf.DUMMYFUNCTION("""COMPUTED_VALUE"""),"03244")</f>
        <v>03244</v>
      </c>
      <c r="D358" s="13" t="str">
        <f>IFERROR(__xludf.DUMMYFUNCTION("""COMPUTED_VALUE"""),"FRUITA MIDDLE SCHOOL")</f>
        <v>FRUITA MIDDLE SCHOOL</v>
      </c>
      <c r="E358" s="13" t="str">
        <f>IFERROR(__xludf.DUMMYFUNCTION("""COMPUTED_VALUE"""),"Open")</f>
        <v>Open</v>
      </c>
      <c r="F358" s="13"/>
      <c r="G358" s="13" t="str">
        <f>IFERROR(__xludf.DUMMYFUNCTION("""COMPUTED_VALUE"""),"239 N MAPLE ST")</f>
        <v>239 N MAPLE ST</v>
      </c>
      <c r="H358" s="13" t="str">
        <f>IFERROR(__xludf.DUMMYFUNCTION("""COMPUTED_VALUE"""),"FRUITA")</f>
        <v>FRUITA</v>
      </c>
      <c r="I358" s="13" t="str">
        <f>IFERROR(__xludf.DUMMYFUNCTION("""COMPUTED_VALUE"""),"CO")</f>
        <v>CO</v>
      </c>
      <c r="J358" s="13" t="str">
        <f>IFERROR(__xludf.DUMMYFUNCTION("""COMPUTED_VALUE"""),"81521-2320")</f>
        <v>81521-2320</v>
      </c>
      <c r="K358" s="13" t="str">
        <f>IFERROR(__xludf.DUMMYFUNCTION("""COMPUTED_VALUE"""),"Mesa")</f>
        <v>Mesa</v>
      </c>
      <c r="L358" s="17"/>
      <c r="M358" s="17"/>
      <c r="N358" s="17" t="str">
        <f>IFERROR(__xludf.DUMMYFUNCTION("""COMPUTED_VALUE"""),"Y")</f>
        <v>Y</v>
      </c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>
      <c r="A359" s="13" t="str">
        <f>IFERROR(__xludf.DUMMYFUNCTION("""COMPUTED_VALUE"""),"2000")</f>
        <v>2000</v>
      </c>
      <c r="B359" s="13" t="str">
        <f>IFERROR(__xludf.DUMMYFUNCTION("""COMPUTED_VALUE"""),"MESA COUNTY VALLEY 51")</f>
        <v>MESA COUNTY VALLEY 51</v>
      </c>
      <c r="C359" s="13" t="str">
        <f>IFERROR(__xludf.DUMMYFUNCTION("""COMPUTED_VALUE"""),"06562")</f>
        <v>06562</v>
      </c>
      <c r="D359" s="13" t="str">
        <f>IFERROR(__xludf.DUMMYFUNCTION("""COMPUTED_VALUE"""),"ORCHARD MESA MIDDLE SCHOOL")</f>
        <v>ORCHARD MESA MIDDLE SCHOOL</v>
      </c>
      <c r="E359" s="13" t="str">
        <f>IFERROR(__xludf.DUMMYFUNCTION("""COMPUTED_VALUE"""),"Open")</f>
        <v>Open</v>
      </c>
      <c r="F359" s="13"/>
      <c r="G359" s="13" t="str">
        <f>IFERROR(__xludf.DUMMYFUNCTION("""COMPUTED_VALUE"""),"2736 C RD")</f>
        <v>2736 C RD</v>
      </c>
      <c r="H359" s="13" t="str">
        <f>IFERROR(__xludf.DUMMYFUNCTION("""COMPUTED_VALUE"""),"GRAND JCT")</f>
        <v>GRAND JCT</v>
      </c>
      <c r="I359" s="13" t="str">
        <f>IFERROR(__xludf.DUMMYFUNCTION("""COMPUTED_VALUE"""),"CO")</f>
        <v>CO</v>
      </c>
      <c r="J359" s="13" t="str">
        <f>IFERROR(__xludf.DUMMYFUNCTION("""COMPUTED_VALUE"""),"81503-2084")</f>
        <v>81503-2084</v>
      </c>
      <c r="K359" s="13" t="str">
        <f>IFERROR(__xludf.DUMMYFUNCTION("""COMPUTED_VALUE"""),"Mesa")</f>
        <v>Mesa</v>
      </c>
      <c r="L359" s="17" t="str">
        <f>IFERROR(__xludf.DUMMYFUNCTION("""COMPUTED_VALUE"""),"Y")</f>
        <v>Y</v>
      </c>
      <c r="M359" s="17"/>
      <c r="N359" s="17" t="str">
        <f>IFERROR(__xludf.DUMMYFUNCTION("""COMPUTED_VALUE"""),"Y")</f>
        <v>Y</v>
      </c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>
      <c r="A360" s="13" t="str">
        <f>IFERROR(__xludf.DUMMYFUNCTION("""COMPUTED_VALUE"""),"2000")</f>
        <v>2000</v>
      </c>
      <c r="B360" s="13" t="str">
        <f>IFERROR(__xludf.DUMMYFUNCTION("""COMPUTED_VALUE"""),"MESA COUNTY VALLEY 51")</f>
        <v>MESA COUNTY VALLEY 51</v>
      </c>
      <c r="C360" s="13" t="str">
        <f>IFERROR(__xludf.DUMMYFUNCTION("""COMPUTED_VALUE"""),"07832")</f>
        <v>07832</v>
      </c>
      <c r="D360" s="13" t="str">
        <f>IFERROR(__xludf.DUMMYFUNCTION("""COMPUTED_VALUE"""),"SHELLEDY ELEMENTARY SCHOOL")</f>
        <v>SHELLEDY ELEMENTARY SCHOOL</v>
      </c>
      <c r="E360" s="13" t="str">
        <f>IFERROR(__xludf.DUMMYFUNCTION("""COMPUTED_VALUE"""),"Open")</f>
        <v>Open</v>
      </c>
      <c r="F360" s="13"/>
      <c r="G360" s="13" t="str">
        <f>IFERROR(__xludf.DUMMYFUNCTION("""COMPUTED_VALUE"""),"363 N MESA ST")</f>
        <v>363 N MESA ST</v>
      </c>
      <c r="H360" s="13" t="str">
        <f>IFERROR(__xludf.DUMMYFUNCTION("""COMPUTED_VALUE"""),"FRUITA")</f>
        <v>FRUITA</v>
      </c>
      <c r="I360" s="13" t="str">
        <f>IFERROR(__xludf.DUMMYFUNCTION("""COMPUTED_VALUE"""),"CO")</f>
        <v>CO</v>
      </c>
      <c r="J360" s="13">
        <f>IFERROR(__xludf.DUMMYFUNCTION("""COMPUTED_VALUE"""),81521.0)</f>
        <v>81521</v>
      </c>
      <c r="K360" s="13" t="str">
        <f>IFERROR(__xludf.DUMMYFUNCTION("""COMPUTED_VALUE"""),"Mesa")</f>
        <v>Mesa</v>
      </c>
      <c r="L360" s="17"/>
      <c r="M360" s="17"/>
      <c r="N360" s="17" t="str">
        <f>IFERROR(__xludf.DUMMYFUNCTION("""COMPUTED_VALUE"""),"Y")</f>
        <v>Y</v>
      </c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>
      <c r="A361" s="13" t="str">
        <f>IFERROR(__xludf.DUMMYFUNCTION("""COMPUTED_VALUE"""),"2000")</f>
        <v>2000</v>
      </c>
      <c r="B361" s="13" t="str">
        <f>IFERROR(__xludf.DUMMYFUNCTION("""COMPUTED_VALUE"""),"MESA COUNTY VALLEY 51")</f>
        <v>MESA COUNTY VALLEY 51</v>
      </c>
      <c r="C361" s="13" t="str">
        <f>IFERROR(__xludf.DUMMYFUNCTION("""COMPUTED_VALUE"""),"09703")</f>
        <v>09703</v>
      </c>
      <c r="D361" s="13" t="str">
        <f>IFERROR(__xludf.DUMMYFUNCTION("""COMPUTED_VALUE"""),"Eureka Science Museum")</f>
        <v>Eureka Science Museum</v>
      </c>
      <c r="E361" s="13" t="str">
        <f>IFERROR(__xludf.DUMMYFUNCTION("""COMPUTED_VALUE"""),"Open")</f>
        <v>Open</v>
      </c>
      <c r="F361" s="13"/>
      <c r="G361" s="13" t="str">
        <f>IFERROR(__xludf.DUMMYFUNCTION("""COMPUTED_VALUE"""),"1400 N 7TH ST")</f>
        <v>1400 N 7TH ST</v>
      </c>
      <c r="H361" s="13" t="str">
        <f>IFERROR(__xludf.DUMMYFUNCTION("""COMPUTED_VALUE"""),"GRAND JCT")</f>
        <v>GRAND JCT</v>
      </c>
      <c r="I361" s="13" t="str">
        <f>IFERROR(__xludf.DUMMYFUNCTION("""COMPUTED_VALUE"""),"CO")</f>
        <v>CO</v>
      </c>
      <c r="J361" s="13">
        <f>IFERROR(__xludf.DUMMYFUNCTION("""COMPUTED_VALUE"""),81501.0)</f>
        <v>81501</v>
      </c>
      <c r="K361" s="13" t="str">
        <f>IFERROR(__xludf.DUMMYFUNCTION("""COMPUTED_VALUE"""),"Mesa")</f>
        <v>Mesa</v>
      </c>
      <c r="L361" s="17"/>
      <c r="M361" s="17"/>
      <c r="N361" s="17" t="str">
        <f>IFERROR(__xludf.DUMMYFUNCTION("""COMPUTED_VALUE"""),"Y")</f>
        <v>Y</v>
      </c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>
      <c r="A362" s="13" t="str">
        <f>IFERROR(__xludf.DUMMYFUNCTION("""COMPUTED_VALUE"""),"2000")</f>
        <v>2000</v>
      </c>
      <c r="B362" s="13" t="str">
        <f>IFERROR(__xludf.DUMMYFUNCTION("""COMPUTED_VALUE"""),"MESA COUNTY VALLEY 51")</f>
        <v>MESA COUNTY VALLEY 51</v>
      </c>
      <c r="C362" s="13" t="str">
        <f>IFERROR(__xludf.DUMMYFUNCTION("""COMPUTED_VALUE"""),"12312")</f>
        <v>12312</v>
      </c>
      <c r="D362" s="13" t="str">
        <f>IFERROR(__xludf.DUMMYFUNCTION("""COMPUTED_VALUE"""),"LINCOLN PARK (MOBILE)")</f>
        <v>LINCOLN PARK (MOBILE)</v>
      </c>
      <c r="E362" s="13" t="str">
        <f>IFERROR(__xludf.DUMMYFUNCTION("""COMPUTED_VALUE"""),"Open")</f>
        <v>Open</v>
      </c>
      <c r="F362" s="13"/>
      <c r="G362" s="13" t="str">
        <f>IFERROR(__xludf.DUMMYFUNCTION("""COMPUTED_VALUE"""),"910 N. 12 Street")</f>
        <v>910 N. 12 Street</v>
      </c>
      <c r="H362" s="13" t="str">
        <f>IFERROR(__xludf.DUMMYFUNCTION("""COMPUTED_VALUE"""),"GRAND JCT")</f>
        <v>GRAND JCT</v>
      </c>
      <c r="I362" s="13" t="str">
        <f>IFERROR(__xludf.DUMMYFUNCTION("""COMPUTED_VALUE"""),"CO")</f>
        <v>CO</v>
      </c>
      <c r="J362" s="13" t="str">
        <f>IFERROR(__xludf.DUMMYFUNCTION("""COMPUTED_VALUE"""),"81501-4403")</f>
        <v>81501-4403</v>
      </c>
      <c r="K362" s="13" t="str">
        <f>IFERROR(__xludf.DUMMYFUNCTION("""COMPUTED_VALUE"""),"Mesa")</f>
        <v>Mesa</v>
      </c>
      <c r="L362" s="17"/>
      <c r="M362" s="17"/>
      <c r="N362" s="17" t="str">
        <f>IFERROR(__xludf.DUMMYFUNCTION("""COMPUTED_VALUE"""),"Y")</f>
        <v>Y</v>
      </c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>
      <c r="A363" s="13" t="str">
        <f>IFERROR(__xludf.DUMMYFUNCTION("""COMPUTED_VALUE"""),"2000")</f>
        <v>2000</v>
      </c>
      <c r="B363" s="13" t="str">
        <f>IFERROR(__xludf.DUMMYFUNCTION("""COMPUTED_VALUE"""),"MESA COUNTY VALLEY 51")</f>
        <v>MESA COUNTY VALLEY 51</v>
      </c>
      <c r="C363" s="13" t="str">
        <f>IFERROR(__xludf.DUMMYFUNCTION("""COMPUTED_VALUE"""),"12497")</f>
        <v>12497</v>
      </c>
      <c r="D363" s="13" t="str">
        <f>IFERROR(__xludf.DUMMYFUNCTION("""COMPUTED_VALUE"""),"Mesa Avenue Park (mobile)")</f>
        <v>Mesa Avenue Park (mobile)</v>
      </c>
      <c r="E363" s="13" t="str">
        <f>IFERROR(__xludf.DUMMYFUNCTION("""COMPUTED_VALUE"""),"Open")</f>
        <v>Open</v>
      </c>
      <c r="F363" s="13"/>
      <c r="G363" s="13" t="str">
        <f>IFERROR(__xludf.DUMMYFUNCTION("""COMPUTED_VALUE"""),"3216 MESA AVE")</f>
        <v>3216 MESA AVE</v>
      </c>
      <c r="H363" s="13" t="str">
        <f>IFERROR(__xludf.DUMMYFUNCTION("""COMPUTED_VALUE"""),"CLIFTON")</f>
        <v>CLIFTON</v>
      </c>
      <c r="I363" s="13" t="str">
        <f>IFERROR(__xludf.DUMMYFUNCTION("""COMPUTED_VALUE"""),"CO")</f>
        <v>CO</v>
      </c>
      <c r="J363" s="13" t="str">
        <f>IFERROR(__xludf.DUMMYFUNCTION("""COMPUTED_VALUE"""),"81520-7310")</f>
        <v>81520-7310</v>
      </c>
      <c r="K363" s="13" t="str">
        <f>IFERROR(__xludf.DUMMYFUNCTION("""COMPUTED_VALUE"""),"Mesa")</f>
        <v>Mesa</v>
      </c>
      <c r="L363" s="17"/>
      <c r="M363" s="17"/>
      <c r="N363" s="17" t="str">
        <f>IFERROR(__xludf.DUMMYFUNCTION("""COMPUTED_VALUE"""),"Y")</f>
        <v>Y</v>
      </c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>
      <c r="A364" s="13" t="str">
        <f>IFERROR(__xludf.DUMMYFUNCTION("""COMPUTED_VALUE"""),"2000")</f>
        <v>2000</v>
      </c>
      <c r="B364" s="13" t="str">
        <f>IFERROR(__xludf.DUMMYFUNCTION("""COMPUTED_VALUE"""),"MESA COUNTY VALLEY 51")</f>
        <v>MESA COUNTY VALLEY 51</v>
      </c>
      <c r="C364" s="13" t="str">
        <f>IFERROR(__xludf.DUMMYFUNCTION("""COMPUTED_VALUE"""),"12498")</f>
        <v>12498</v>
      </c>
      <c r="D364" s="13" t="str">
        <f>IFERROR(__xludf.DUMMYFUNCTION("""COMPUTED_VALUE"""),"Kimwood Park (mobile)")</f>
        <v>Kimwood Park (mobile)</v>
      </c>
      <c r="E364" s="13" t="str">
        <f>IFERROR(__xludf.DUMMYFUNCTION("""COMPUTED_VALUE"""),"Open")</f>
        <v>Open</v>
      </c>
      <c r="F364" s="13"/>
      <c r="G364" s="13" t="str">
        <f>IFERROR(__xludf.DUMMYFUNCTION("""COMPUTED_VALUE"""),"3240 WHITE AVE")</f>
        <v>3240 WHITE AVE</v>
      </c>
      <c r="H364" s="13" t="str">
        <f>IFERROR(__xludf.DUMMYFUNCTION("""COMPUTED_VALUE"""),"CLIFTON")</f>
        <v>CLIFTON</v>
      </c>
      <c r="I364" s="13" t="str">
        <f>IFERROR(__xludf.DUMMYFUNCTION("""COMPUTED_VALUE"""),"CO")</f>
        <v>CO</v>
      </c>
      <c r="J364" s="13" t="str">
        <f>IFERROR(__xludf.DUMMYFUNCTION("""COMPUTED_VALUE"""),"81520-9066")</f>
        <v>81520-9066</v>
      </c>
      <c r="K364" s="13" t="str">
        <f>IFERROR(__xludf.DUMMYFUNCTION("""COMPUTED_VALUE"""),"Mesa")</f>
        <v>Mesa</v>
      </c>
      <c r="L364" s="17"/>
      <c r="M364" s="17"/>
      <c r="N364" s="17" t="str">
        <f>IFERROR(__xludf.DUMMYFUNCTION("""COMPUTED_VALUE"""),"Y")</f>
        <v>Y</v>
      </c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>
      <c r="A365" s="13" t="str">
        <f>IFERROR(__xludf.DUMMYFUNCTION("""COMPUTED_VALUE"""),"2000")</f>
        <v>2000</v>
      </c>
      <c r="B365" s="13" t="str">
        <f>IFERROR(__xludf.DUMMYFUNCTION("""COMPUTED_VALUE"""),"MESA COUNTY VALLEY 51")</f>
        <v>MESA COUNTY VALLEY 51</v>
      </c>
      <c r="C365" s="13" t="str">
        <f>IFERROR(__xludf.DUMMYFUNCTION("""COMPUTED_VALUE"""),"12499")</f>
        <v>12499</v>
      </c>
      <c r="D365" s="13" t="str">
        <f>IFERROR(__xludf.DUMMYFUNCTION("""COMPUTED_VALUE"""),"Candlewood (mobile)")</f>
        <v>Candlewood (mobile)</v>
      </c>
      <c r="E365" s="13" t="str">
        <f>IFERROR(__xludf.DUMMYFUNCTION("""COMPUTED_VALUE"""),"Open")</f>
        <v>Open</v>
      </c>
      <c r="F365" s="13"/>
      <c r="G365" s="13" t="str">
        <f>IFERROR(__xludf.DUMMYFUNCTION("""COMPUTED_VALUE"""),"424 32 Road #279")</f>
        <v>424 32 Road #279</v>
      </c>
      <c r="H365" s="13" t="str">
        <f>IFERROR(__xludf.DUMMYFUNCTION("""COMPUTED_VALUE"""),"CLIFTON")</f>
        <v>CLIFTON</v>
      </c>
      <c r="I365" s="13" t="str">
        <f>IFERROR(__xludf.DUMMYFUNCTION("""COMPUTED_VALUE"""),"CO")</f>
        <v>CO</v>
      </c>
      <c r="J365" s="13">
        <f>IFERROR(__xludf.DUMMYFUNCTION("""COMPUTED_VALUE"""),81520.0)</f>
        <v>81520</v>
      </c>
      <c r="K365" s="13" t="str">
        <f>IFERROR(__xludf.DUMMYFUNCTION("""COMPUTED_VALUE"""),"Mesa")</f>
        <v>Mesa</v>
      </c>
      <c r="L365" s="17"/>
      <c r="M365" s="17"/>
      <c r="N365" s="17" t="str">
        <f>IFERROR(__xludf.DUMMYFUNCTION("""COMPUTED_VALUE"""),"Y")</f>
        <v>Y</v>
      </c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>
      <c r="A366" s="13" t="str">
        <f>IFERROR(__xludf.DUMMYFUNCTION("""COMPUTED_VALUE"""),"2000")</f>
        <v>2000</v>
      </c>
      <c r="B366" s="13" t="str">
        <f>IFERROR(__xludf.DUMMYFUNCTION("""COMPUTED_VALUE"""),"MESA COUNTY VALLEY 51")</f>
        <v>MESA COUNTY VALLEY 51</v>
      </c>
      <c r="C366" s="13" t="str">
        <f>IFERROR(__xludf.DUMMYFUNCTION("""COMPUTED_VALUE"""),"12537")</f>
        <v>12537</v>
      </c>
      <c r="D366" s="13" t="str">
        <f>IFERROR(__xludf.DUMMYFUNCTION("""COMPUTED_VALUE"""),"APPLEWOOD")</f>
        <v>APPLEWOOD</v>
      </c>
      <c r="E366" s="13" t="str">
        <f>IFERROR(__xludf.DUMMYFUNCTION("""COMPUTED_VALUE"""),"Open")</f>
        <v>Open</v>
      </c>
      <c r="F366" s="13"/>
      <c r="G366" s="13" t="str">
        <f>IFERROR(__xludf.DUMMYFUNCTION("""COMPUTED_VALUE"""),"516 31 1/2 RD")</f>
        <v>516 31 1/2 RD</v>
      </c>
      <c r="H366" s="13" t="str">
        <f>IFERROR(__xludf.DUMMYFUNCTION("""COMPUTED_VALUE"""),"GRAND JCT")</f>
        <v>GRAND JCT</v>
      </c>
      <c r="I366" s="13" t="str">
        <f>IFERROR(__xludf.DUMMYFUNCTION("""COMPUTED_VALUE"""),"CO")</f>
        <v>CO</v>
      </c>
      <c r="J366" s="13" t="str">
        <f>IFERROR(__xludf.DUMMYFUNCTION("""COMPUTED_VALUE"""),"81504-6048")</f>
        <v>81504-6048</v>
      </c>
      <c r="K366" s="13" t="str">
        <f>IFERROR(__xludf.DUMMYFUNCTION("""COMPUTED_VALUE"""),"Mesa")</f>
        <v>Mesa</v>
      </c>
      <c r="L366" s="17"/>
      <c r="M366" s="17"/>
      <c r="N366" s="17" t="str">
        <f>IFERROR(__xludf.DUMMYFUNCTION("""COMPUTED_VALUE"""),"Y")</f>
        <v>Y</v>
      </c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>
      <c r="A367" s="13" t="str">
        <f>IFERROR(__xludf.DUMMYFUNCTION("""COMPUTED_VALUE"""),"2000")</f>
        <v>2000</v>
      </c>
      <c r="B367" s="13" t="str">
        <f>IFERROR(__xludf.DUMMYFUNCTION("""COMPUTED_VALUE"""),"MESA COUNTY VALLEY 51")</f>
        <v>MESA COUNTY VALLEY 51</v>
      </c>
      <c r="C367" s="13" t="str">
        <f>IFERROR(__xludf.DUMMYFUNCTION("""COMPUTED_VALUE"""),"91802")</f>
        <v>91802</v>
      </c>
      <c r="D367" s="13" t="str">
        <f>IFERROR(__xludf.DUMMYFUNCTION("""COMPUTED_VALUE"""),"CMU Tech")</f>
        <v>CMU Tech</v>
      </c>
      <c r="E367" s="13" t="str">
        <f>IFERROR(__xludf.DUMMYFUNCTION("""COMPUTED_VALUE"""),"Open")</f>
        <v>Open</v>
      </c>
      <c r="F367" s="13"/>
      <c r="G367" s="13" t="str">
        <f>IFERROR(__xludf.DUMMYFUNCTION("""COMPUTED_VALUE"""),"2508 BLICHMANN AVE")</f>
        <v>2508 BLICHMANN AVE</v>
      </c>
      <c r="H367" s="13" t="str">
        <f>IFERROR(__xludf.DUMMYFUNCTION("""COMPUTED_VALUE"""),"GRAND JCT")</f>
        <v>GRAND JCT</v>
      </c>
      <c r="I367" s="13" t="str">
        <f>IFERROR(__xludf.DUMMYFUNCTION("""COMPUTED_VALUE"""),"CO")</f>
        <v>CO</v>
      </c>
      <c r="J367" s="13" t="str">
        <f>IFERROR(__xludf.DUMMYFUNCTION("""COMPUTED_VALUE"""),"81505-1010")</f>
        <v>81505-1010</v>
      </c>
      <c r="K367" s="13" t="str">
        <f>IFERROR(__xludf.DUMMYFUNCTION("""COMPUTED_VALUE"""),"Mesa")</f>
        <v>Mesa</v>
      </c>
      <c r="L367" s="17"/>
      <c r="M367" s="17"/>
      <c r="N367" s="17" t="str">
        <f>IFERROR(__xludf.DUMMYFUNCTION("""COMPUTED_VALUE"""),"Y")</f>
        <v>Y</v>
      </c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>
      <c r="A368" s="13" t="str">
        <f>IFERROR(__xludf.DUMMYFUNCTION("""COMPUTED_VALUE"""),"2000")</f>
        <v>2000</v>
      </c>
      <c r="B368" s="13" t="str">
        <f>IFERROR(__xludf.DUMMYFUNCTION("""COMPUTED_VALUE"""),"MESA COUNTY VALLEY 51")</f>
        <v>MESA COUNTY VALLEY 51</v>
      </c>
      <c r="C368" s="13" t="str">
        <f>IFERROR(__xludf.DUMMYFUNCTION("""COMPUTED_VALUE"""),"91803")</f>
        <v>91803</v>
      </c>
      <c r="D368" s="13" t="str">
        <f>IFERROR(__xludf.DUMMYFUNCTION("""COMPUTED_VALUE"""),"Clifton Community Center")</f>
        <v>Clifton Community Center</v>
      </c>
      <c r="E368" s="13" t="str">
        <f>IFERROR(__xludf.DUMMYFUNCTION("""COMPUTED_VALUE"""),"Open")</f>
        <v>Open</v>
      </c>
      <c r="F368" s="13"/>
      <c r="G368" s="13" t="str">
        <f>IFERROR(__xludf.DUMMYFUNCTION("""COMPUTED_VALUE"""),"3270 D 1/2 RD")</f>
        <v>3270 D 1/2 RD</v>
      </c>
      <c r="H368" s="13" t="str">
        <f>IFERROR(__xludf.DUMMYFUNCTION("""COMPUTED_VALUE"""),"CLIFTON")</f>
        <v>CLIFTON</v>
      </c>
      <c r="I368" s="13" t="str">
        <f>IFERROR(__xludf.DUMMYFUNCTION("""COMPUTED_VALUE"""),"CO")</f>
        <v>CO</v>
      </c>
      <c r="J368" s="13" t="str">
        <f>IFERROR(__xludf.DUMMYFUNCTION("""COMPUTED_VALUE"""),"81520-8819")</f>
        <v>81520-8819</v>
      </c>
      <c r="K368" s="13" t="str">
        <f>IFERROR(__xludf.DUMMYFUNCTION("""COMPUTED_VALUE"""),"Mesa")</f>
        <v>Mesa</v>
      </c>
      <c r="L368" s="17"/>
      <c r="M368" s="17"/>
      <c r="N368" s="17" t="str">
        <f>IFERROR(__xludf.DUMMYFUNCTION("""COMPUTED_VALUE"""),"Y")</f>
        <v>Y</v>
      </c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>
      <c r="A369" s="13" t="str">
        <f>IFERROR(__xludf.DUMMYFUNCTION("""COMPUTED_VALUE"""),"2000")</f>
        <v>2000</v>
      </c>
      <c r="B369" s="13" t="str">
        <f>IFERROR(__xludf.DUMMYFUNCTION("""COMPUTED_VALUE"""),"MESA COUNTY VALLEY 51")</f>
        <v>MESA COUNTY VALLEY 51</v>
      </c>
      <c r="C369" s="13" t="str">
        <f>IFERROR(__xludf.DUMMYFUNCTION("""COMPUTED_VALUE"""),"91865")</f>
        <v>91865</v>
      </c>
      <c r="D369" s="13" t="str">
        <f>IFERROR(__xludf.DUMMYFUNCTION("""COMPUTED_VALUE"""),"The Art Center")</f>
        <v>The Art Center</v>
      </c>
      <c r="E369" s="13" t="str">
        <f>IFERROR(__xludf.DUMMYFUNCTION("""COMPUTED_VALUE"""),"Open")</f>
        <v>Open</v>
      </c>
      <c r="F369" s="13"/>
      <c r="G369" s="13" t="str">
        <f>IFERROR(__xludf.DUMMYFUNCTION("""COMPUTED_VALUE"""),"1803 N 7TH ST")</f>
        <v>1803 N 7TH ST</v>
      </c>
      <c r="H369" s="13" t="str">
        <f>IFERROR(__xludf.DUMMYFUNCTION("""COMPUTED_VALUE"""),"GRAND JCT")</f>
        <v>GRAND JCT</v>
      </c>
      <c r="I369" s="13" t="str">
        <f>IFERROR(__xludf.DUMMYFUNCTION("""COMPUTED_VALUE"""),"CO")</f>
        <v>CO</v>
      </c>
      <c r="J369" s="13" t="str">
        <f>IFERROR(__xludf.DUMMYFUNCTION("""COMPUTED_VALUE"""),"81501-3009")</f>
        <v>81501-3009</v>
      </c>
      <c r="K369" s="13" t="str">
        <f>IFERROR(__xludf.DUMMYFUNCTION("""COMPUTED_VALUE"""),"Mesa")</f>
        <v>Mesa</v>
      </c>
      <c r="L369" s="17"/>
      <c r="M369" s="17"/>
      <c r="N369" s="17" t="str">
        <f>IFERROR(__xludf.DUMMYFUNCTION("""COMPUTED_VALUE"""),"Y")</f>
        <v>Y</v>
      </c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>
      <c r="A370" s="18" t="str">
        <f>IFERROR(__xludf.DUMMYFUNCTION("""COMPUTED_VALUE"""),"2000")</f>
        <v>2000</v>
      </c>
      <c r="B370" s="18" t="str">
        <f>IFERROR(__xludf.DUMMYFUNCTION("""COMPUTED_VALUE"""),"MESA COUNTY VALLEY 51")</f>
        <v>MESA COUNTY VALLEY 51</v>
      </c>
      <c r="C370" s="18" t="str">
        <f>IFERROR(__xludf.DUMMYFUNCTION("""COMPUTED_VALUE"""),"91866")</f>
        <v>91866</v>
      </c>
      <c r="D370" s="18" t="str">
        <f>IFERROR(__xludf.DUMMYFUNCTION("""COMPUTED_VALUE"""),"Reed Park")</f>
        <v>Reed Park</v>
      </c>
      <c r="E370" s="18" t="str">
        <f>IFERROR(__xludf.DUMMYFUNCTION("""COMPUTED_VALUE"""),"Open")</f>
        <v>Open</v>
      </c>
      <c r="F370" s="18" t="str">
        <f>IFERROR(__xludf.DUMMYFUNCTION("""COMPUTED_VALUE""")," ")</f>
        <v> </v>
      </c>
      <c r="G370" s="18" t="str">
        <f>IFERROR(__xludf.DUMMYFUNCTION("""COMPUTED_VALUE"""),"250 S ELM ST")</f>
        <v>250 S ELM ST</v>
      </c>
      <c r="H370" s="18" t="str">
        <f>IFERROR(__xludf.DUMMYFUNCTION("""COMPUTED_VALUE"""),"FRUITA")</f>
        <v>FRUITA</v>
      </c>
      <c r="I370" s="18" t="str">
        <f>IFERROR(__xludf.DUMMYFUNCTION("""COMPUTED_VALUE"""),"CO")</f>
        <v>CO</v>
      </c>
      <c r="J370" s="18">
        <f>IFERROR(__xludf.DUMMYFUNCTION("""COMPUTED_VALUE"""),81521.0)</f>
        <v>81521</v>
      </c>
      <c r="K370" s="18" t="str">
        <f>IFERROR(__xludf.DUMMYFUNCTION("""COMPUTED_VALUE"""),"Mesa")</f>
        <v>Mesa</v>
      </c>
      <c r="L370" s="19"/>
      <c r="M370" s="19"/>
      <c r="N370" s="19" t="str">
        <f>IFERROR(__xludf.DUMMYFUNCTION("""COMPUTED_VALUE"""),"Y")</f>
        <v>Y</v>
      </c>
      <c r="O370" s="19"/>
      <c r="P370" s="19"/>
      <c r="Q370" s="19" t="str">
        <f>IFERROR(__xludf.DUMMYFUNCTION("""COMPUTED_VALUE"""),"No Claims as of 11.24")</f>
        <v>No Claims as of 11.24</v>
      </c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>
      <c r="A371" s="13" t="str">
        <f>IFERROR(__xludf.DUMMYFUNCTION("""COMPUTED_VALUE"""),"2000")</f>
        <v>2000</v>
      </c>
      <c r="B371" s="13" t="str">
        <f>IFERROR(__xludf.DUMMYFUNCTION("""COMPUTED_VALUE"""),"MESA COUNTY VALLEY 51")</f>
        <v>MESA COUNTY VALLEY 51</v>
      </c>
      <c r="C371" s="13" t="str">
        <f>IFERROR(__xludf.DUMMYFUNCTION("""COMPUTED_VALUE"""),"91867")</f>
        <v>91867</v>
      </c>
      <c r="D371" s="13" t="str">
        <f>IFERROR(__xludf.DUMMYFUNCTION("""COMPUTED_VALUE"""),"Heritage Park")</f>
        <v>Heritage Park</v>
      </c>
      <c r="E371" s="13" t="str">
        <f>IFERROR(__xludf.DUMMYFUNCTION("""COMPUTED_VALUE"""),"Open")</f>
        <v>Open</v>
      </c>
      <c r="F371" s="13"/>
      <c r="G371" s="13" t="str">
        <f>IFERROR(__xludf.DUMMYFUNCTION("""COMPUTED_VALUE"""),"210 I-70 Frontage Road")</f>
        <v>210 I-70 Frontage Road</v>
      </c>
      <c r="H371" s="13" t="str">
        <f>IFERROR(__xludf.DUMMYFUNCTION("""COMPUTED_VALUE"""),"FRUITA")</f>
        <v>FRUITA</v>
      </c>
      <c r="I371" s="13" t="str">
        <f>IFERROR(__xludf.DUMMYFUNCTION("""COMPUTED_VALUE"""),"CO")</f>
        <v>CO</v>
      </c>
      <c r="J371" s="13">
        <f>IFERROR(__xludf.DUMMYFUNCTION("""COMPUTED_VALUE"""),81521.0)</f>
        <v>81521</v>
      </c>
      <c r="K371" s="13" t="str">
        <f>IFERROR(__xludf.DUMMYFUNCTION("""COMPUTED_VALUE"""),"Mesa")</f>
        <v>Mesa</v>
      </c>
      <c r="L371" s="17"/>
      <c r="M371" s="17"/>
      <c r="N371" s="17" t="str">
        <f>IFERROR(__xludf.DUMMYFUNCTION("""COMPUTED_VALUE"""),"Y")</f>
        <v>Y</v>
      </c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>
      <c r="A372" s="13" t="str">
        <f>IFERROR(__xludf.DUMMYFUNCTION("""COMPUTED_VALUE"""),"2020")</f>
        <v>2020</v>
      </c>
      <c r="B372" s="13" t="str">
        <f>IFERROR(__xludf.DUMMYFUNCTION("""COMPUTED_VALUE"""),"MOFFAT COUNTY RE:NO 1")</f>
        <v>MOFFAT COUNTY RE:NO 1</v>
      </c>
      <c r="C372" s="13" t="str">
        <f>IFERROR(__xludf.DUMMYFUNCTION("""COMPUTED_VALUE"""),"01936")</f>
        <v>01936</v>
      </c>
      <c r="D372" s="13" t="str">
        <f>IFERROR(__xludf.DUMMYFUNCTION("""COMPUTED_VALUE"""),"SANDROCK ELEMENTARY")</f>
        <v>SANDROCK ELEMENTARY</v>
      </c>
      <c r="E372" s="13" t="str">
        <f>IFERROR(__xludf.DUMMYFUNCTION("""COMPUTED_VALUE"""),"Open")</f>
        <v>Open</v>
      </c>
      <c r="F372" s="13" t="str">
        <f>IFERROR(__xludf.DUMMYFUNCTION("""COMPUTED_VALUE"""),"Non-congregate")</f>
        <v>Non-congregate</v>
      </c>
      <c r="G372" s="13" t="str">
        <f>IFERROR(__xludf.DUMMYFUNCTION("""COMPUTED_VALUE"""),"201 E 9TH ST")</f>
        <v>201 E 9TH ST</v>
      </c>
      <c r="H372" s="13" t="str">
        <f>IFERROR(__xludf.DUMMYFUNCTION("""COMPUTED_VALUE"""),"CRAIG")</f>
        <v>CRAIG</v>
      </c>
      <c r="I372" s="13" t="str">
        <f>IFERROR(__xludf.DUMMYFUNCTION("""COMPUTED_VALUE"""),"CO")</f>
        <v>CO</v>
      </c>
      <c r="J372" s="13" t="str">
        <f>IFERROR(__xludf.DUMMYFUNCTION("""COMPUTED_VALUE"""),"81625-2027")</f>
        <v>81625-2027</v>
      </c>
      <c r="K372" s="13" t="str">
        <f>IFERROR(__xludf.DUMMYFUNCTION("""COMPUTED_VALUE"""),"Moffat")</f>
        <v>Moffat</v>
      </c>
      <c r="L372" s="17" t="str">
        <f>IFERROR(__xludf.DUMMYFUNCTION("""COMPUTED_VALUE"""),"Y")</f>
        <v>Y</v>
      </c>
      <c r="M372" s="17"/>
      <c r="N372" s="17" t="str">
        <f>IFERROR(__xludf.DUMMYFUNCTION("""COMPUTED_VALUE"""),"Y")</f>
        <v>Y</v>
      </c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>
      <c r="A373" s="13" t="str">
        <f>IFERROR(__xludf.DUMMYFUNCTION("""COMPUTED_VALUE"""),"2020")</f>
        <v>2020</v>
      </c>
      <c r="B373" s="13" t="str">
        <f>IFERROR(__xludf.DUMMYFUNCTION("""COMPUTED_VALUE"""),"MOFFAT COUNTY RE:NO 1")</f>
        <v>MOFFAT COUNTY RE:NO 1</v>
      </c>
      <c r="C373" s="13" t="str">
        <f>IFERROR(__xludf.DUMMYFUNCTION("""COMPUTED_VALUE"""),"08399")</f>
        <v>08399</v>
      </c>
      <c r="D373" s="13" t="str">
        <f>IFERROR(__xludf.DUMMYFUNCTION("""COMPUTED_VALUE"""),"Boys and Girls Club of Craig")</f>
        <v>Boys and Girls Club of Craig</v>
      </c>
      <c r="E373" s="13" t="str">
        <f>IFERROR(__xludf.DUMMYFUNCTION("""COMPUTED_VALUE"""),"Open")</f>
        <v>Open</v>
      </c>
      <c r="F373" s="13"/>
      <c r="G373" s="13" t="str">
        <f>IFERROR(__xludf.DUMMYFUNCTION("""COMPUTED_VALUE"""),"1324 E HIGHWAY 40")</f>
        <v>1324 E HIGHWAY 40</v>
      </c>
      <c r="H373" s="13" t="str">
        <f>IFERROR(__xludf.DUMMYFUNCTION("""COMPUTED_VALUE"""),"CRAIG")</f>
        <v>CRAIG</v>
      </c>
      <c r="I373" s="13" t="str">
        <f>IFERROR(__xludf.DUMMYFUNCTION("""COMPUTED_VALUE"""),"CO")</f>
        <v>CO</v>
      </c>
      <c r="J373" s="13" t="str">
        <f>IFERROR(__xludf.DUMMYFUNCTION("""COMPUTED_VALUE"""),"81625-1211")</f>
        <v>81625-1211</v>
      </c>
      <c r="K373" s="13" t="str">
        <f>IFERROR(__xludf.DUMMYFUNCTION("""COMPUTED_VALUE"""),"Moffat")</f>
        <v>Moffat</v>
      </c>
      <c r="L373" s="17" t="str">
        <f>IFERROR(__xludf.DUMMYFUNCTION("""COMPUTED_VALUE"""),"Y")</f>
        <v>Y</v>
      </c>
      <c r="M373" s="17"/>
      <c r="N373" s="17" t="str">
        <f>IFERROR(__xludf.DUMMYFUNCTION("""COMPUTED_VALUE"""),"Y")</f>
        <v>Y</v>
      </c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>
      <c r="A374" s="13" t="str">
        <f>IFERROR(__xludf.DUMMYFUNCTION("""COMPUTED_VALUE"""),"2035")</f>
        <v>2035</v>
      </c>
      <c r="B374" s="13" t="str">
        <f>IFERROR(__xludf.DUMMYFUNCTION("""COMPUTED_VALUE"""),"MONTEZUMA-CORTEZ RE-1")</f>
        <v>MONTEZUMA-CORTEZ RE-1</v>
      </c>
      <c r="C374" s="13" t="str">
        <f>IFERROR(__xludf.DUMMYFUNCTION("""COMPUTED_VALUE"""),"04546")</f>
        <v>04546</v>
      </c>
      <c r="D374" s="13" t="str">
        <f>IFERROR(__xludf.DUMMYFUNCTION("""COMPUTED_VALUE"""),"KEMPER ELEMENTARY SCHOOL")</f>
        <v>KEMPER ELEMENTARY SCHOOL</v>
      </c>
      <c r="E374" s="13" t="str">
        <f>IFERROR(__xludf.DUMMYFUNCTION("""COMPUTED_VALUE"""),"Open")</f>
        <v>Open</v>
      </c>
      <c r="F374" s="13" t="str">
        <f>IFERROR(__xludf.DUMMYFUNCTION("""COMPUTED_VALUE"""),"Non-congregate")</f>
        <v>Non-congregate</v>
      </c>
      <c r="G374" s="13" t="str">
        <f>IFERROR(__xludf.DUMMYFUNCTION("""COMPUTED_VALUE"""),"620 E MONTEZUMA AVE")</f>
        <v>620 E MONTEZUMA AVE</v>
      </c>
      <c r="H374" s="13" t="str">
        <f>IFERROR(__xludf.DUMMYFUNCTION("""COMPUTED_VALUE"""),"CORTEZ")</f>
        <v>CORTEZ</v>
      </c>
      <c r="I374" s="13" t="str">
        <f>IFERROR(__xludf.DUMMYFUNCTION("""COMPUTED_VALUE"""),"CO")</f>
        <v>CO</v>
      </c>
      <c r="J374" s="13" t="str">
        <f>IFERROR(__xludf.DUMMYFUNCTION("""COMPUTED_VALUE"""),"81321-3332")</f>
        <v>81321-3332</v>
      </c>
      <c r="K374" s="13" t="str">
        <f>IFERROR(__xludf.DUMMYFUNCTION("""COMPUTED_VALUE"""),"Montezuma")</f>
        <v>Montezuma</v>
      </c>
      <c r="L374" s="17" t="str">
        <f>IFERROR(__xludf.DUMMYFUNCTION("""COMPUTED_VALUE"""),"Y")</f>
        <v>Y</v>
      </c>
      <c r="M374" s="17"/>
      <c r="N374" s="17" t="str">
        <f>IFERROR(__xludf.DUMMYFUNCTION("""COMPUTED_VALUE"""),"Y")</f>
        <v>Y</v>
      </c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>
      <c r="A375" s="13" t="str">
        <f>IFERROR(__xludf.DUMMYFUNCTION("""COMPUTED_VALUE"""),"2070")</f>
        <v>2070</v>
      </c>
      <c r="B375" s="13" t="str">
        <f>IFERROR(__xludf.DUMMYFUNCTION("""COMPUTED_VALUE"""),"MANCOS RE-6")</f>
        <v>MANCOS RE-6</v>
      </c>
      <c r="C375" s="13" t="str">
        <f>IFERROR(__xludf.DUMMYFUNCTION("""COMPUTED_VALUE"""),"05446")</f>
        <v>05446</v>
      </c>
      <c r="D375" s="13" t="str">
        <f>IFERROR(__xludf.DUMMYFUNCTION("""COMPUTED_VALUE"""),"MANCOS ELEMENTARY SCHOOL")</f>
        <v>MANCOS ELEMENTARY SCHOOL</v>
      </c>
      <c r="E375" s="13" t="str">
        <f>IFERROR(__xludf.DUMMYFUNCTION("""COMPUTED_VALUE"""),"Closed - Enrolled")</f>
        <v>Closed - Enrolled</v>
      </c>
      <c r="F375" s="13"/>
      <c r="G375" s="13" t="str">
        <f>IFERROR(__xludf.DUMMYFUNCTION("""COMPUTED_VALUE"""),"301 W GRAND AVE")</f>
        <v>301 W GRAND AVE</v>
      </c>
      <c r="H375" s="13" t="str">
        <f>IFERROR(__xludf.DUMMYFUNCTION("""COMPUTED_VALUE"""),"MANCOS")</f>
        <v>MANCOS</v>
      </c>
      <c r="I375" s="13" t="str">
        <f>IFERROR(__xludf.DUMMYFUNCTION("""COMPUTED_VALUE"""),"CO")</f>
        <v>CO</v>
      </c>
      <c r="J375" s="13" t="str">
        <f>IFERROR(__xludf.DUMMYFUNCTION("""COMPUTED_VALUE"""),"81328-9071")</f>
        <v>81328-9071</v>
      </c>
      <c r="K375" s="13" t="str">
        <f>IFERROR(__xludf.DUMMYFUNCTION("""COMPUTED_VALUE"""),"Montezuma")</f>
        <v>Montezuma</v>
      </c>
      <c r="L375" s="17" t="str">
        <f>IFERROR(__xludf.DUMMYFUNCTION("""COMPUTED_VALUE"""),"Y")</f>
        <v>Y</v>
      </c>
      <c r="M375" s="17"/>
      <c r="N375" s="17" t="str">
        <f>IFERROR(__xludf.DUMMYFUNCTION("""COMPUTED_VALUE"""),"Y")</f>
        <v>Y</v>
      </c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>
      <c r="A376" s="13" t="str">
        <f>IFERROR(__xludf.DUMMYFUNCTION("""COMPUTED_VALUE"""),"2180")</f>
        <v>2180</v>
      </c>
      <c r="B376" s="13" t="str">
        <f>IFERROR(__xludf.DUMMYFUNCTION("""COMPUTED_VALUE"""),"MONTROSE COUNTY RE-1J")</f>
        <v>MONTROSE COUNTY RE-1J</v>
      </c>
      <c r="C376" s="13" t="str">
        <f>IFERROR(__xludf.DUMMYFUNCTION("""COMPUTED_VALUE"""),"06054")</f>
        <v>06054</v>
      </c>
      <c r="D376" s="13" t="str">
        <f>IFERROR(__xludf.DUMMYFUNCTION("""COMPUTED_VALUE"""),"COLUMBINE MIDDLE SCHOOL")</f>
        <v>COLUMBINE MIDDLE SCHOOL</v>
      </c>
      <c r="E376" s="13" t="str">
        <f>IFERROR(__xludf.DUMMYFUNCTION("""COMPUTED_VALUE"""),"Open")</f>
        <v>Open</v>
      </c>
      <c r="F376" s="13" t="str">
        <f>IFERROR(__xludf.DUMMYFUNCTION("""COMPUTED_VALUE"""),"Non-congregate")</f>
        <v>Non-congregate</v>
      </c>
      <c r="G376" s="13" t="str">
        <f>IFERROR(__xludf.DUMMYFUNCTION("""COMPUTED_VALUE"""),"610 YORK ST")</f>
        <v>610 YORK ST</v>
      </c>
      <c r="H376" s="13" t="str">
        <f>IFERROR(__xludf.DUMMYFUNCTION("""COMPUTED_VALUE"""),"MONTROSE")</f>
        <v>MONTROSE</v>
      </c>
      <c r="I376" s="13" t="str">
        <f>IFERROR(__xludf.DUMMYFUNCTION("""COMPUTED_VALUE"""),"CO")</f>
        <v>CO</v>
      </c>
      <c r="J376" s="13" t="str">
        <f>IFERROR(__xludf.DUMMYFUNCTION("""COMPUTED_VALUE"""),"81401-5149")</f>
        <v>81401-5149</v>
      </c>
      <c r="K376" s="13" t="str">
        <f>IFERROR(__xludf.DUMMYFUNCTION("""COMPUTED_VALUE"""),"Montrose")</f>
        <v>Montrose</v>
      </c>
      <c r="L376" s="17" t="str">
        <f>IFERROR(__xludf.DUMMYFUNCTION("""COMPUTED_VALUE"""),"Y")</f>
        <v>Y</v>
      </c>
      <c r="M376" s="17"/>
      <c r="N376" s="17" t="str">
        <f>IFERROR(__xludf.DUMMYFUNCTION("""COMPUTED_VALUE"""),"Y")</f>
        <v>Y</v>
      </c>
      <c r="O376" s="17" t="str">
        <f>IFERROR(__xludf.DUMMYFUNCTION("""COMPUTED_VALUE"""),"Y")</f>
        <v>Y</v>
      </c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>
      <c r="A377" s="13" t="str">
        <f>IFERROR(__xludf.DUMMYFUNCTION("""COMPUTED_VALUE"""),"2180")</f>
        <v>2180</v>
      </c>
      <c r="B377" s="13" t="str">
        <f>IFERROR(__xludf.DUMMYFUNCTION("""COMPUTED_VALUE"""),"MONTROSE COUNTY RE-1J")</f>
        <v>MONTROSE COUNTY RE-1J</v>
      </c>
      <c r="C377" s="13" t="str">
        <f>IFERROR(__xludf.DUMMYFUNCTION("""COMPUTED_VALUE"""),"06366")</f>
        <v>06366</v>
      </c>
      <c r="D377" s="13" t="str">
        <f>IFERROR(__xludf.DUMMYFUNCTION("""COMPUTED_VALUE"""),"NORTHSIDE ELEMENTARY SCHOOL")</f>
        <v>NORTHSIDE ELEMENTARY SCHOOL</v>
      </c>
      <c r="E377" s="13" t="str">
        <f>IFERROR(__xludf.DUMMYFUNCTION("""COMPUTED_VALUE"""),"Open")</f>
        <v>Open</v>
      </c>
      <c r="F377" s="13" t="str">
        <f>IFERROR(__xludf.DUMMYFUNCTION("""COMPUTED_VALUE"""),"Non-congregate")</f>
        <v>Non-congregate</v>
      </c>
      <c r="G377" s="13" t="str">
        <f>IFERROR(__xludf.DUMMYFUNCTION("""COMPUTED_VALUE"""),"528 N UNCOMPAHGRE AVE")</f>
        <v>528 N UNCOMPAHGRE AVE</v>
      </c>
      <c r="H377" s="13" t="str">
        <f>IFERROR(__xludf.DUMMYFUNCTION("""COMPUTED_VALUE"""),"MONTROSE")</f>
        <v>MONTROSE</v>
      </c>
      <c r="I377" s="13" t="str">
        <f>IFERROR(__xludf.DUMMYFUNCTION("""COMPUTED_VALUE"""),"CO")</f>
        <v>CO</v>
      </c>
      <c r="J377" s="13" t="str">
        <f>IFERROR(__xludf.DUMMYFUNCTION("""COMPUTED_VALUE"""),"81401-3127")</f>
        <v>81401-3127</v>
      </c>
      <c r="K377" s="13" t="str">
        <f>IFERROR(__xludf.DUMMYFUNCTION("""COMPUTED_VALUE"""),"Montrose")</f>
        <v>Montrose</v>
      </c>
      <c r="L377" s="17" t="str">
        <f>IFERROR(__xludf.DUMMYFUNCTION("""COMPUTED_VALUE"""),"Y")</f>
        <v>Y</v>
      </c>
      <c r="M377" s="17"/>
      <c r="N377" s="17" t="str">
        <f>IFERROR(__xludf.DUMMYFUNCTION("""COMPUTED_VALUE"""),"Y")</f>
        <v>Y</v>
      </c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>
      <c r="A378" s="13" t="str">
        <f>IFERROR(__xludf.DUMMYFUNCTION("""COMPUTED_VALUE"""),"2180")</f>
        <v>2180</v>
      </c>
      <c r="B378" s="13" t="str">
        <f>IFERROR(__xludf.DUMMYFUNCTION("""COMPUTED_VALUE"""),"MONTROSE COUNTY RE-1J")</f>
        <v>MONTROSE COUNTY RE-1J</v>
      </c>
      <c r="C378" s="13" t="str">
        <f>IFERROR(__xludf.DUMMYFUNCTION("""COMPUTED_VALUE"""),"06486")</f>
        <v>06486</v>
      </c>
      <c r="D378" s="13" t="str">
        <f>IFERROR(__xludf.DUMMYFUNCTION("""COMPUTED_VALUE"""),"OLATHE ELEMENTARY SCHOOL")</f>
        <v>OLATHE ELEMENTARY SCHOOL</v>
      </c>
      <c r="E378" s="13" t="str">
        <f>IFERROR(__xludf.DUMMYFUNCTION("""COMPUTED_VALUE"""),"Open")</f>
        <v>Open</v>
      </c>
      <c r="F378" s="13" t="str">
        <f>IFERROR(__xludf.DUMMYFUNCTION("""COMPUTED_VALUE"""),"Non-congregate")</f>
        <v>Non-congregate</v>
      </c>
      <c r="G378" s="13" t="str">
        <f>IFERROR(__xludf.DUMMYFUNCTION("""COMPUTED_VALUE"""),"211 S ROBERTS AVE")</f>
        <v>211 S ROBERTS AVE</v>
      </c>
      <c r="H378" s="13" t="str">
        <f>IFERROR(__xludf.DUMMYFUNCTION("""COMPUTED_VALUE"""),"OLATHE")</f>
        <v>OLATHE</v>
      </c>
      <c r="I378" s="13" t="str">
        <f>IFERROR(__xludf.DUMMYFUNCTION("""COMPUTED_VALUE"""),"CO")</f>
        <v>CO</v>
      </c>
      <c r="J378" s="13">
        <f>IFERROR(__xludf.DUMMYFUNCTION("""COMPUTED_VALUE"""),81425.0)</f>
        <v>81425</v>
      </c>
      <c r="K378" s="13" t="str">
        <f>IFERROR(__xludf.DUMMYFUNCTION("""COMPUTED_VALUE"""),"Montrose")</f>
        <v>Montrose</v>
      </c>
      <c r="L378" s="17" t="str">
        <f>IFERROR(__xludf.DUMMYFUNCTION("""COMPUTED_VALUE"""),"Y")</f>
        <v>Y</v>
      </c>
      <c r="M378" s="17"/>
      <c r="N378" s="17" t="str">
        <f>IFERROR(__xludf.DUMMYFUNCTION("""COMPUTED_VALUE"""),"Y")</f>
        <v>Y</v>
      </c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>
      <c r="A379" s="13" t="str">
        <f>IFERROR(__xludf.DUMMYFUNCTION("""COMPUTED_VALUE"""),"2180")</f>
        <v>2180</v>
      </c>
      <c r="B379" s="13" t="str">
        <f>IFERROR(__xludf.DUMMYFUNCTION("""COMPUTED_VALUE"""),"MONTROSE COUNTY RE-1J")</f>
        <v>MONTROSE COUNTY RE-1J</v>
      </c>
      <c r="C379" s="13" t="str">
        <f>IFERROR(__xludf.DUMMYFUNCTION("""COMPUTED_VALUE"""),"07106")</f>
        <v>07106</v>
      </c>
      <c r="D379" s="13" t="str">
        <f>IFERROR(__xludf.DUMMYFUNCTION("""COMPUTED_VALUE"""),"POMONA ELEMENTARY SCHOOL")</f>
        <v>POMONA ELEMENTARY SCHOOL</v>
      </c>
      <c r="E379" s="13" t="str">
        <f>IFERROR(__xludf.DUMMYFUNCTION("""COMPUTED_VALUE"""),"Closed - Enrolled")</f>
        <v>Closed - Enrolled</v>
      </c>
      <c r="F379" s="13"/>
      <c r="G379" s="13" t="str">
        <f>IFERROR(__xludf.DUMMYFUNCTION("""COMPUTED_VALUE"""),"1045 S CASCADE AVE")</f>
        <v>1045 S CASCADE AVE</v>
      </c>
      <c r="H379" s="13" t="str">
        <f>IFERROR(__xludf.DUMMYFUNCTION("""COMPUTED_VALUE"""),"MONTROSE")</f>
        <v>MONTROSE</v>
      </c>
      <c r="I379" s="13" t="str">
        <f>IFERROR(__xludf.DUMMYFUNCTION("""COMPUTED_VALUE"""),"CO")</f>
        <v>CO</v>
      </c>
      <c r="J379" s="13" t="str">
        <f>IFERROR(__xludf.DUMMYFUNCTION("""COMPUTED_VALUE"""),"81401-4982")</f>
        <v>81401-4982</v>
      </c>
      <c r="K379" s="13" t="str">
        <f>IFERROR(__xludf.DUMMYFUNCTION("""COMPUTED_VALUE"""),"Montrose")</f>
        <v>Montrose</v>
      </c>
      <c r="L379" s="17" t="str">
        <f>IFERROR(__xludf.DUMMYFUNCTION("""COMPUTED_VALUE"""),"Y")</f>
        <v>Y</v>
      </c>
      <c r="M379" s="17"/>
      <c r="N379" s="17" t="str">
        <f>IFERROR(__xludf.DUMMYFUNCTION("""COMPUTED_VALUE"""),"Y")</f>
        <v>Y</v>
      </c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>
      <c r="A380" s="13" t="str">
        <f>IFERROR(__xludf.DUMMYFUNCTION("""COMPUTED_VALUE"""),"2180")</f>
        <v>2180</v>
      </c>
      <c r="B380" s="13" t="str">
        <f>IFERROR(__xludf.DUMMYFUNCTION("""COMPUTED_VALUE"""),"MONTROSE COUNTY RE-1J")</f>
        <v>MONTROSE COUNTY RE-1J</v>
      </c>
      <c r="C380" s="13" t="str">
        <f>IFERROR(__xludf.DUMMYFUNCTION("""COMPUTED_VALUE"""),"09151")</f>
        <v>09151</v>
      </c>
      <c r="D380" s="13" t="str">
        <f>IFERROR(__xludf.DUMMYFUNCTION("""COMPUTED_VALUE"""),"Black Canyon Boys and Girls Club")</f>
        <v>Black Canyon Boys and Girls Club</v>
      </c>
      <c r="E380" s="13" t="str">
        <f>IFERROR(__xludf.DUMMYFUNCTION("""COMPUTED_VALUE"""),"Closed - Enrolled")</f>
        <v>Closed - Enrolled</v>
      </c>
      <c r="F380" s="13"/>
      <c r="G380" s="13" t="str">
        <f>IFERROR(__xludf.DUMMYFUNCTION("""COMPUTED_VALUE"""),"2900 SUNNYSIDE RD")</f>
        <v>2900 SUNNYSIDE RD</v>
      </c>
      <c r="H380" s="13" t="str">
        <f>IFERROR(__xludf.DUMMYFUNCTION("""COMPUTED_VALUE"""),"MONTROSE")</f>
        <v>MONTROSE</v>
      </c>
      <c r="I380" s="13" t="str">
        <f>IFERROR(__xludf.DUMMYFUNCTION("""COMPUTED_VALUE"""),"CO")</f>
        <v>CO</v>
      </c>
      <c r="J380" s="13" t="str">
        <f>IFERROR(__xludf.DUMMYFUNCTION("""COMPUTED_VALUE"""),"81401-5299")</f>
        <v>81401-5299</v>
      </c>
      <c r="K380" s="13" t="str">
        <f>IFERROR(__xludf.DUMMYFUNCTION("""COMPUTED_VALUE"""),"Montrose")</f>
        <v>Montrose</v>
      </c>
      <c r="L380" s="17"/>
      <c r="M380" s="17"/>
      <c r="N380" s="17" t="str">
        <f>IFERROR(__xludf.DUMMYFUNCTION("""COMPUTED_VALUE"""),"Y")</f>
        <v>Y</v>
      </c>
      <c r="O380" s="17" t="str">
        <f>IFERROR(__xludf.DUMMYFUNCTION("""COMPUTED_VALUE"""),"Y")</f>
        <v>Y</v>
      </c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>
      <c r="A381" s="13" t="str">
        <f>IFERROR(__xludf.DUMMYFUNCTION("""COMPUTED_VALUE"""),"2395")</f>
        <v>2395</v>
      </c>
      <c r="B381" s="13" t="str">
        <f>IFERROR(__xludf.DUMMYFUNCTION("""COMPUTED_VALUE"""),"BRUSH RE-2(J)")</f>
        <v>BRUSH RE-2(J)</v>
      </c>
      <c r="C381" s="13" t="str">
        <f>IFERROR(__xludf.DUMMYFUNCTION("""COMPUTED_VALUE"""),"01096")</f>
        <v>01096</v>
      </c>
      <c r="D381" s="13" t="str">
        <f>IFERROR(__xludf.DUMMYFUNCTION("""COMPUTED_VALUE"""),"BRUSH HIGH SCHOOL")</f>
        <v>BRUSH HIGH SCHOOL</v>
      </c>
      <c r="E381" s="13" t="str">
        <f>IFERROR(__xludf.DUMMYFUNCTION("""COMPUTED_VALUE"""),"Open")</f>
        <v>Open</v>
      </c>
      <c r="F381" s="13" t="str">
        <f>IFERROR(__xludf.DUMMYFUNCTION("""COMPUTED_VALUE"""),"Non-congregate")</f>
        <v>Non-congregate</v>
      </c>
      <c r="G381" s="13" t="str">
        <f>IFERROR(__xludf.DUMMYFUNCTION("""COMPUTED_VALUE"""),"400 WEST AVE")</f>
        <v>400 WEST AVE</v>
      </c>
      <c r="H381" s="13" t="str">
        <f>IFERROR(__xludf.DUMMYFUNCTION("""COMPUTED_VALUE"""),"BRUSH")</f>
        <v>BRUSH</v>
      </c>
      <c r="I381" s="13" t="str">
        <f>IFERROR(__xludf.DUMMYFUNCTION("""COMPUTED_VALUE"""),"CO")</f>
        <v>CO</v>
      </c>
      <c r="J381" s="13" t="str">
        <f>IFERROR(__xludf.DUMMYFUNCTION("""COMPUTED_VALUE"""),"80723-2332")</f>
        <v>80723-2332</v>
      </c>
      <c r="K381" s="13" t="str">
        <f>IFERROR(__xludf.DUMMYFUNCTION("""COMPUTED_VALUE"""),"Morgan")</f>
        <v>Morgan</v>
      </c>
      <c r="L381" s="17" t="str">
        <f>IFERROR(__xludf.DUMMYFUNCTION("""COMPUTED_VALUE"""),"Y")</f>
        <v>Y</v>
      </c>
      <c r="M381" s="17"/>
      <c r="N381" s="17" t="str">
        <f>IFERROR(__xludf.DUMMYFUNCTION("""COMPUTED_VALUE"""),"Y")</f>
        <v>Y</v>
      </c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>
      <c r="A382" s="18" t="str">
        <f>IFERROR(__xludf.DUMMYFUNCTION("""COMPUTED_VALUE"""),"2395")</f>
        <v>2395</v>
      </c>
      <c r="B382" s="18" t="str">
        <f>IFERROR(__xludf.DUMMYFUNCTION("""COMPUTED_VALUE"""),"BRUSH RE-2(J)")</f>
        <v>BRUSH RE-2(J)</v>
      </c>
      <c r="C382" s="18" t="str">
        <f>IFERROR(__xludf.DUMMYFUNCTION("""COMPUTED_VALUE"""),"01438")</f>
        <v>01438</v>
      </c>
      <c r="D382" s="18" t="str">
        <f>IFERROR(__xludf.DUMMYFUNCTION("""COMPUTED_VALUE"""),"BEAVER VALLEY ELEMENTARY SCHOOL")</f>
        <v>BEAVER VALLEY ELEMENTARY SCHOOL</v>
      </c>
      <c r="E382" s="18" t="str">
        <f>IFERROR(__xludf.DUMMYFUNCTION("""COMPUTED_VALUE"""),"Open")</f>
        <v>Open</v>
      </c>
      <c r="F382" s="18" t="str">
        <f>IFERROR(__xludf.DUMMYFUNCTION("""COMPUTED_VALUE""")," ")</f>
        <v> </v>
      </c>
      <c r="G382" s="18" t="str">
        <f>IFERROR(__xludf.DUMMYFUNCTION("""COMPUTED_VALUE"""),"420 GLACIER AVE")</f>
        <v>420 GLACIER AVE</v>
      </c>
      <c r="H382" s="18" t="str">
        <f>IFERROR(__xludf.DUMMYFUNCTION("""COMPUTED_VALUE"""),"BRUSH")</f>
        <v>BRUSH</v>
      </c>
      <c r="I382" s="18" t="str">
        <f>IFERROR(__xludf.DUMMYFUNCTION("""COMPUTED_VALUE"""),"CO")</f>
        <v>CO</v>
      </c>
      <c r="J382" s="18" t="str">
        <f>IFERROR(__xludf.DUMMYFUNCTION("""COMPUTED_VALUE"""),"80723-1324")</f>
        <v>80723-1324</v>
      </c>
      <c r="K382" s="18" t="str">
        <f>IFERROR(__xludf.DUMMYFUNCTION("""COMPUTED_VALUE"""),"Morgan")</f>
        <v>Morgan</v>
      </c>
      <c r="L382" s="19" t="str">
        <f>IFERROR(__xludf.DUMMYFUNCTION("""COMPUTED_VALUE"""),"Y")</f>
        <v>Y</v>
      </c>
      <c r="M382" s="19"/>
      <c r="N382" s="19" t="str">
        <f>IFERROR(__xludf.DUMMYFUNCTION("""COMPUTED_VALUE"""),"Y")</f>
        <v>Y</v>
      </c>
      <c r="O382" s="19"/>
      <c r="P382" s="19"/>
      <c r="Q382" s="19" t="str">
        <f>IFERROR(__xludf.DUMMYFUNCTION("""COMPUTED_VALUE"""),"No Claims as of 11.24")</f>
        <v>No Claims as of 11.24</v>
      </c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>
      <c r="A383" s="18" t="str">
        <f>IFERROR(__xludf.DUMMYFUNCTION("""COMPUTED_VALUE"""),"2395")</f>
        <v>2395</v>
      </c>
      <c r="B383" s="18" t="str">
        <f>IFERROR(__xludf.DUMMYFUNCTION("""COMPUTED_VALUE"""),"BRUSH RE-2(J)")</f>
        <v>BRUSH RE-2(J)</v>
      </c>
      <c r="C383" s="18" t="str">
        <f>IFERROR(__xludf.DUMMYFUNCTION("""COMPUTED_VALUE"""),"08832")</f>
        <v>08832</v>
      </c>
      <c r="D383" s="18" t="str">
        <f>IFERROR(__xludf.DUMMYFUNCTION("""COMPUTED_VALUE"""),"THOMSON PRIMARY SCHOOL")</f>
        <v>THOMSON PRIMARY SCHOOL</v>
      </c>
      <c r="E383" s="18" t="str">
        <f>IFERROR(__xludf.DUMMYFUNCTION("""COMPUTED_VALUE"""),"Open")</f>
        <v>Open</v>
      </c>
      <c r="F383" s="18" t="str">
        <f>IFERROR(__xludf.DUMMYFUNCTION("""COMPUTED_VALUE""")," ")</f>
        <v> </v>
      </c>
      <c r="G383" s="18" t="str">
        <f>IFERROR(__xludf.DUMMYFUNCTION("""COMPUTED_VALUE"""),"422 RAY ST")</f>
        <v>422 RAY ST</v>
      </c>
      <c r="H383" s="18" t="str">
        <f>IFERROR(__xludf.DUMMYFUNCTION("""COMPUTED_VALUE"""),"BRUSH")</f>
        <v>BRUSH</v>
      </c>
      <c r="I383" s="18" t="str">
        <f>IFERROR(__xludf.DUMMYFUNCTION("""COMPUTED_VALUE"""),"CO")</f>
        <v>CO</v>
      </c>
      <c r="J383" s="18" t="str">
        <f>IFERROR(__xludf.DUMMYFUNCTION("""COMPUTED_VALUE"""),"80723-2426")</f>
        <v>80723-2426</v>
      </c>
      <c r="K383" s="18" t="str">
        <f>IFERROR(__xludf.DUMMYFUNCTION("""COMPUTED_VALUE"""),"Morgan")</f>
        <v>Morgan</v>
      </c>
      <c r="L383" s="19" t="str">
        <f>IFERROR(__xludf.DUMMYFUNCTION("""COMPUTED_VALUE"""),"Y")</f>
        <v>Y</v>
      </c>
      <c r="M383" s="19"/>
      <c r="N383" s="19" t="str">
        <f>IFERROR(__xludf.DUMMYFUNCTION("""COMPUTED_VALUE"""),"Y")</f>
        <v>Y</v>
      </c>
      <c r="O383" s="19"/>
      <c r="P383" s="19"/>
      <c r="Q383" s="19" t="str">
        <f>IFERROR(__xludf.DUMMYFUNCTION("""COMPUTED_VALUE"""),"No Claims as of 11.24")</f>
        <v>No Claims as of 11.24</v>
      </c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>
      <c r="A384" s="13" t="str">
        <f>IFERROR(__xludf.DUMMYFUNCTION("""COMPUTED_VALUE"""),"2395")</f>
        <v>2395</v>
      </c>
      <c r="B384" s="13" t="str">
        <f>IFERROR(__xludf.DUMMYFUNCTION("""COMPUTED_VALUE"""),"BRUSH RE-2(J)")</f>
        <v>BRUSH RE-2(J)</v>
      </c>
      <c r="C384" s="13" t="str">
        <f>IFERROR(__xludf.DUMMYFUNCTION("""COMPUTED_VALUE"""),"08833")</f>
        <v>08833</v>
      </c>
      <c r="D384" s="13" t="str">
        <f>IFERROR(__xludf.DUMMYFUNCTION("""COMPUTED_VALUE"""),"Brush Memorial Park")</f>
        <v>Brush Memorial Park</v>
      </c>
      <c r="E384" s="13" t="str">
        <f>IFERROR(__xludf.DUMMYFUNCTION("""COMPUTED_VALUE"""),"Open")</f>
        <v>Open</v>
      </c>
      <c r="F384" s="13" t="str">
        <f>IFERROR(__xludf.DUMMYFUNCTION("""COMPUTED_VALUE"""),"Non-congregate")</f>
        <v>Non-congregate</v>
      </c>
      <c r="G384" s="13" t="str">
        <f>IFERROR(__xludf.DUMMYFUNCTION("""COMPUTED_VALUE"""),"500 ELLSWORTH ST")</f>
        <v>500 ELLSWORTH ST</v>
      </c>
      <c r="H384" s="13" t="str">
        <f>IFERROR(__xludf.DUMMYFUNCTION("""COMPUTED_VALUE"""),"BRUSH")</f>
        <v>BRUSH</v>
      </c>
      <c r="I384" s="13" t="str">
        <f>IFERROR(__xludf.DUMMYFUNCTION("""COMPUTED_VALUE"""),"CO")</f>
        <v>CO</v>
      </c>
      <c r="J384" s="13" t="str">
        <f>IFERROR(__xludf.DUMMYFUNCTION("""COMPUTED_VALUE"""),"80723-2713")</f>
        <v>80723-2713</v>
      </c>
      <c r="K384" s="13" t="str">
        <f>IFERROR(__xludf.DUMMYFUNCTION("""COMPUTED_VALUE"""),"Morgan")</f>
        <v>Morgan</v>
      </c>
      <c r="L384" s="17" t="str">
        <f>IFERROR(__xludf.DUMMYFUNCTION("""COMPUTED_VALUE"""),"Y")</f>
        <v>Y</v>
      </c>
      <c r="M384" s="17"/>
      <c r="N384" s="17" t="str">
        <f>IFERROR(__xludf.DUMMYFUNCTION("""COMPUTED_VALUE"""),"Y")</f>
        <v>Y</v>
      </c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>
      <c r="A385" s="18" t="str">
        <f>IFERROR(__xludf.DUMMYFUNCTION("""COMPUTED_VALUE"""),"2395")</f>
        <v>2395</v>
      </c>
      <c r="B385" s="18" t="str">
        <f>IFERROR(__xludf.DUMMYFUNCTION("""COMPUTED_VALUE"""),"BRUSH RE-2(J)")</f>
        <v>BRUSH RE-2(J)</v>
      </c>
      <c r="C385" s="18" t="str">
        <f>IFERROR(__xludf.DUMMYFUNCTION("""COMPUTED_VALUE"""),"91080")</f>
        <v>91080</v>
      </c>
      <c r="D385" s="18" t="str">
        <f>IFERROR(__xludf.DUMMYFUNCTION("""COMPUTED_VALUE"""),"Wiggins")</f>
        <v>Wiggins</v>
      </c>
      <c r="E385" s="18" t="str">
        <f>IFERROR(__xludf.DUMMYFUNCTION("""COMPUTED_VALUE"""),"Open")</f>
        <v>Open</v>
      </c>
      <c r="F385" s="18" t="str">
        <f>IFERROR(__xludf.DUMMYFUNCTION("""COMPUTED_VALUE""")," ")</f>
        <v> </v>
      </c>
      <c r="G385" s="18" t="str">
        <f>IFERROR(__xludf.DUMMYFUNCTION("""COMPUTED_VALUE"""),"201 2ND AVE")</f>
        <v>201 2ND AVE</v>
      </c>
      <c r="H385" s="18" t="str">
        <f>IFERROR(__xludf.DUMMYFUNCTION("""COMPUTED_VALUE"""),"WIGGINS")</f>
        <v>WIGGINS</v>
      </c>
      <c r="I385" s="18" t="str">
        <f>IFERROR(__xludf.DUMMYFUNCTION("""COMPUTED_VALUE"""),"CO")</f>
        <v>CO</v>
      </c>
      <c r="J385" s="18" t="str">
        <f>IFERROR(__xludf.DUMMYFUNCTION("""COMPUTED_VALUE"""),"80654-1339")</f>
        <v>80654-1339</v>
      </c>
      <c r="K385" s="18" t="str">
        <f>IFERROR(__xludf.DUMMYFUNCTION("""COMPUTED_VALUE"""),"Morgan")</f>
        <v>Morgan</v>
      </c>
      <c r="L385" s="19" t="str">
        <f>IFERROR(__xludf.DUMMYFUNCTION("""COMPUTED_VALUE"""),"Y")</f>
        <v>Y</v>
      </c>
      <c r="M385" s="19"/>
      <c r="N385" s="19" t="str">
        <f>IFERROR(__xludf.DUMMYFUNCTION("""COMPUTED_VALUE"""),"Y")</f>
        <v>Y</v>
      </c>
      <c r="O385" s="19"/>
      <c r="P385" s="19"/>
      <c r="Q385" s="19" t="str">
        <f>IFERROR(__xludf.DUMMYFUNCTION("""COMPUTED_VALUE"""),"No Claims as of 11.24")</f>
        <v>No Claims as of 11.24</v>
      </c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>
      <c r="A386" s="13" t="str">
        <f>IFERROR(__xludf.DUMMYFUNCTION("""COMPUTED_VALUE"""),"2395")</f>
        <v>2395</v>
      </c>
      <c r="B386" s="13" t="str">
        <f>IFERROR(__xludf.DUMMYFUNCTION("""COMPUTED_VALUE"""),"BRUSH RE-2(J)")</f>
        <v>BRUSH RE-2(J)</v>
      </c>
      <c r="C386" s="13" t="str">
        <f>IFERROR(__xludf.DUMMYFUNCTION("""COMPUTED_VALUE"""),"91855")</f>
        <v>91855</v>
      </c>
      <c r="D386" s="13" t="str">
        <f>IFERROR(__xludf.DUMMYFUNCTION("""COMPUTED_VALUE"""),"Brush Petty's Park")</f>
        <v>Brush Petty's Park</v>
      </c>
      <c r="E386" s="13" t="str">
        <f>IFERROR(__xludf.DUMMYFUNCTION("""COMPUTED_VALUE"""),"Open")</f>
        <v>Open</v>
      </c>
      <c r="F386" s="13"/>
      <c r="G386" s="13" t="str">
        <f>IFERROR(__xludf.DUMMYFUNCTION("""COMPUTED_VALUE"""),"The Course at Petty's Park")</f>
        <v>The Course at Petty's Park</v>
      </c>
      <c r="H386" s="13" t="str">
        <f>IFERROR(__xludf.DUMMYFUNCTION("""COMPUTED_VALUE"""),"BRUSH, CO")</f>
        <v>BRUSH, CO</v>
      </c>
      <c r="I386" s="13" t="str">
        <f>IFERROR(__xludf.DUMMYFUNCTION("""COMPUTED_VALUE"""),"CO")</f>
        <v>CO</v>
      </c>
      <c r="J386" s="13">
        <f>IFERROR(__xludf.DUMMYFUNCTION("""COMPUTED_VALUE"""),80723.0)</f>
        <v>80723</v>
      </c>
      <c r="K386" s="13" t="str">
        <f>IFERROR(__xludf.DUMMYFUNCTION("""COMPUTED_VALUE"""),"Morgan")</f>
        <v>Morgan</v>
      </c>
      <c r="L386" s="17" t="str">
        <f>IFERROR(__xludf.DUMMYFUNCTION("""COMPUTED_VALUE"""),"Y")</f>
        <v>Y</v>
      </c>
      <c r="M386" s="17"/>
      <c r="N386" s="17" t="str">
        <f>IFERROR(__xludf.DUMMYFUNCTION("""COMPUTED_VALUE"""),"Y")</f>
        <v>Y</v>
      </c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>
      <c r="A387" s="13" t="str">
        <f>IFERROR(__xludf.DUMMYFUNCTION("""COMPUTED_VALUE"""),"2395")</f>
        <v>2395</v>
      </c>
      <c r="B387" s="13" t="str">
        <f>IFERROR(__xludf.DUMMYFUNCTION("""COMPUTED_VALUE"""),"BRUSH RE-2(J)")</f>
        <v>BRUSH RE-2(J)</v>
      </c>
      <c r="C387" s="13" t="str">
        <f>IFERROR(__xludf.DUMMYFUNCTION("""COMPUTED_VALUE"""),"91856")</f>
        <v>91856</v>
      </c>
      <c r="D387" s="13" t="str">
        <f>IFERROR(__xludf.DUMMYFUNCTION("""COMPUTED_VALUE"""),"Yuma")</f>
        <v>Yuma</v>
      </c>
      <c r="E387" s="13" t="str">
        <f>IFERROR(__xludf.DUMMYFUNCTION("""COMPUTED_VALUE"""),"Open")</f>
        <v>Open</v>
      </c>
      <c r="F387" s="13" t="str">
        <f>IFERROR(__xludf.DUMMYFUNCTION("""COMPUTED_VALUE"""),"Non-congregate")</f>
        <v>Non-congregate</v>
      </c>
      <c r="G387" s="13" t="str">
        <f>IFERROR(__xludf.DUMMYFUNCTION("""COMPUTED_VALUE"""),"101 S ELM ST")</f>
        <v>101 S ELM ST</v>
      </c>
      <c r="H387" s="13" t="str">
        <f>IFERROR(__xludf.DUMMYFUNCTION("""COMPUTED_VALUE"""),"YUMA")</f>
        <v>YUMA</v>
      </c>
      <c r="I387" s="13" t="str">
        <f>IFERROR(__xludf.DUMMYFUNCTION("""COMPUTED_VALUE"""),"CO")</f>
        <v>CO</v>
      </c>
      <c r="J387" s="13">
        <f>IFERROR(__xludf.DUMMYFUNCTION("""COMPUTED_VALUE"""),80759.0)</f>
        <v>80759</v>
      </c>
      <c r="K387" s="13" t="str">
        <f>IFERROR(__xludf.DUMMYFUNCTION("""COMPUTED_VALUE"""),"Yuma")</f>
        <v>Yuma</v>
      </c>
      <c r="L387" s="17" t="str">
        <f>IFERROR(__xludf.DUMMYFUNCTION("""COMPUTED_VALUE"""),"Y")</f>
        <v>Y</v>
      </c>
      <c r="M387" s="17"/>
      <c r="N387" s="17" t="str">
        <f>IFERROR(__xludf.DUMMYFUNCTION("""COMPUTED_VALUE"""),"Y")</f>
        <v>Y</v>
      </c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>
      <c r="A388" s="13" t="str">
        <f>IFERROR(__xludf.DUMMYFUNCTION("""COMPUTED_VALUE"""),"2395")</f>
        <v>2395</v>
      </c>
      <c r="B388" s="13" t="str">
        <f>IFERROR(__xludf.DUMMYFUNCTION("""COMPUTED_VALUE"""),"BRUSH RE-2(J)")</f>
        <v>BRUSH RE-2(J)</v>
      </c>
      <c r="C388" s="13" t="str">
        <f>IFERROR(__xludf.DUMMYFUNCTION("""COMPUTED_VALUE"""),"91857")</f>
        <v>91857</v>
      </c>
      <c r="D388" s="13" t="str">
        <f>IFERROR(__xludf.DUMMYFUNCTION("""COMPUTED_VALUE"""),"Akron")</f>
        <v>Akron</v>
      </c>
      <c r="E388" s="13" t="str">
        <f>IFERROR(__xludf.DUMMYFUNCTION("""COMPUTED_VALUE"""),"Open")</f>
        <v>Open</v>
      </c>
      <c r="F388" s="13" t="str">
        <f>IFERROR(__xludf.DUMMYFUNCTION("""COMPUTED_VALUE"""),"Non-congregate")</f>
        <v>Non-congregate</v>
      </c>
      <c r="G388" s="13" t="str">
        <f>IFERROR(__xludf.DUMMYFUNCTION("""COMPUTED_VALUE"""),"237 ADAMS AVE")</f>
        <v>237 ADAMS AVE</v>
      </c>
      <c r="H388" s="13" t="str">
        <f>IFERROR(__xludf.DUMMYFUNCTION("""COMPUTED_VALUE"""),"AKRON")</f>
        <v>AKRON</v>
      </c>
      <c r="I388" s="13" t="str">
        <f>IFERROR(__xludf.DUMMYFUNCTION("""COMPUTED_VALUE"""),"CO")</f>
        <v>CO</v>
      </c>
      <c r="J388" s="13" t="str">
        <f>IFERROR(__xludf.DUMMYFUNCTION("""COMPUTED_VALUE"""),"80720-1428")</f>
        <v>80720-1428</v>
      </c>
      <c r="K388" s="13" t="str">
        <f>IFERROR(__xludf.DUMMYFUNCTION("""COMPUTED_VALUE"""),"Washington")</f>
        <v>Washington</v>
      </c>
      <c r="L388" s="17" t="str">
        <f>IFERROR(__xludf.DUMMYFUNCTION("""COMPUTED_VALUE"""),"Y")</f>
        <v>Y</v>
      </c>
      <c r="M388" s="17"/>
      <c r="N388" s="17" t="str">
        <f>IFERROR(__xludf.DUMMYFUNCTION("""COMPUTED_VALUE"""),"Y")</f>
        <v>Y</v>
      </c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>
      <c r="A389" s="13" t="str">
        <f>IFERROR(__xludf.DUMMYFUNCTION("""COMPUTED_VALUE"""),"2395")</f>
        <v>2395</v>
      </c>
      <c r="B389" s="13" t="str">
        <f>IFERROR(__xludf.DUMMYFUNCTION("""COMPUTED_VALUE"""),"BRUSH RE-2(J)")</f>
        <v>BRUSH RE-2(J)</v>
      </c>
      <c r="C389" s="13" t="str">
        <f>IFERROR(__xludf.DUMMYFUNCTION("""COMPUTED_VALUE"""),"91858")</f>
        <v>91858</v>
      </c>
      <c r="D389" s="13" t="str">
        <f>IFERROR(__xludf.DUMMYFUNCTION("""COMPUTED_VALUE"""),"Wray")</f>
        <v>Wray</v>
      </c>
      <c r="E389" s="13" t="str">
        <f>IFERROR(__xludf.DUMMYFUNCTION("""COMPUTED_VALUE"""),"Open")</f>
        <v>Open</v>
      </c>
      <c r="F389" s="13" t="str">
        <f>IFERROR(__xludf.DUMMYFUNCTION("""COMPUTED_VALUE"""),"Non-congregate")</f>
        <v>Non-congregate</v>
      </c>
      <c r="G389" s="13" t="str">
        <f>IFERROR(__xludf.DUMMYFUNCTION("""COMPUTED_VALUE"""),"245 W 4TH ST")</f>
        <v>245 W 4TH ST</v>
      </c>
      <c r="H389" s="13" t="str">
        <f>IFERROR(__xludf.DUMMYFUNCTION("""COMPUTED_VALUE"""),"WRAY")</f>
        <v>WRAY</v>
      </c>
      <c r="I389" s="13" t="str">
        <f>IFERROR(__xludf.DUMMYFUNCTION("""COMPUTED_VALUE"""),"CO")</f>
        <v>CO</v>
      </c>
      <c r="J389" s="13" t="str">
        <f>IFERROR(__xludf.DUMMYFUNCTION("""COMPUTED_VALUE"""),"80758-1703")</f>
        <v>80758-1703</v>
      </c>
      <c r="K389" s="13" t="str">
        <f>IFERROR(__xludf.DUMMYFUNCTION("""COMPUTED_VALUE"""),"Yuma")</f>
        <v>Yuma</v>
      </c>
      <c r="L389" s="17" t="str">
        <f>IFERROR(__xludf.DUMMYFUNCTION("""COMPUTED_VALUE"""),"Y")</f>
        <v>Y</v>
      </c>
      <c r="M389" s="17"/>
      <c r="N389" s="17" t="str">
        <f>IFERROR(__xludf.DUMMYFUNCTION("""COMPUTED_VALUE"""),"Y")</f>
        <v>Y</v>
      </c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>
      <c r="A390" s="13" t="str">
        <f>IFERROR(__xludf.DUMMYFUNCTION("""COMPUTED_VALUE"""),"2395")</f>
        <v>2395</v>
      </c>
      <c r="B390" s="13" t="str">
        <f>IFERROR(__xludf.DUMMYFUNCTION("""COMPUTED_VALUE"""),"BRUSH RE-2(J)")</f>
        <v>BRUSH RE-2(J)</v>
      </c>
      <c r="C390" s="13" t="str">
        <f>IFERROR(__xludf.DUMMYFUNCTION("""COMPUTED_VALUE"""),"91860")</f>
        <v>91860</v>
      </c>
      <c r="D390" s="13" t="str">
        <f>IFERROR(__xludf.DUMMYFUNCTION("""COMPUTED_VALUE"""),"Hugo")</f>
        <v>Hugo</v>
      </c>
      <c r="E390" s="13" t="str">
        <f>IFERROR(__xludf.DUMMYFUNCTION("""COMPUTED_VALUE"""),"Open")</f>
        <v>Open</v>
      </c>
      <c r="F390" s="13" t="str">
        <f>IFERROR(__xludf.DUMMYFUNCTION("""COMPUTED_VALUE"""),"Non-congregate")</f>
        <v>Non-congregate</v>
      </c>
      <c r="G390" s="13" t="str">
        <f>IFERROR(__xludf.DUMMYFUNCTION("""COMPUTED_VALUE"""),"507 4TH ST")</f>
        <v>507 4TH ST</v>
      </c>
      <c r="H390" s="13" t="str">
        <f>IFERROR(__xludf.DUMMYFUNCTION("""COMPUTED_VALUE"""),"HUGO")</f>
        <v>HUGO</v>
      </c>
      <c r="I390" s="13" t="str">
        <f>IFERROR(__xludf.DUMMYFUNCTION("""COMPUTED_VALUE"""),"CO")</f>
        <v>CO</v>
      </c>
      <c r="J390" s="13">
        <f>IFERROR(__xludf.DUMMYFUNCTION("""COMPUTED_VALUE"""),80821.0)</f>
        <v>80821</v>
      </c>
      <c r="K390" s="13" t="str">
        <f>IFERROR(__xludf.DUMMYFUNCTION("""COMPUTED_VALUE"""),"Lincoln")</f>
        <v>Lincoln</v>
      </c>
      <c r="L390" s="17" t="str">
        <f>IFERROR(__xludf.DUMMYFUNCTION("""COMPUTED_VALUE"""),"Y")</f>
        <v>Y</v>
      </c>
      <c r="M390" s="17"/>
      <c r="N390" s="17" t="str">
        <f>IFERROR(__xludf.DUMMYFUNCTION("""COMPUTED_VALUE"""),"Y")</f>
        <v>Y</v>
      </c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>
      <c r="A391" s="13" t="str">
        <f>IFERROR(__xludf.DUMMYFUNCTION("""COMPUTED_VALUE"""),"2405")</f>
        <v>2405</v>
      </c>
      <c r="B391" s="13" t="str">
        <f>IFERROR(__xludf.DUMMYFUNCTION("""COMPUTED_VALUE"""),"FORT MORGAN RE-3")</f>
        <v>FORT MORGAN RE-3</v>
      </c>
      <c r="C391" s="13" t="str">
        <f>IFERROR(__xludf.DUMMYFUNCTION("""COMPUTED_VALUE"""),"01009")</f>
        <v>01009</v>
      </c>
      <c r="D391" s="13" t="str">
        <f>IFERROR(__xludf.DUMMYFUNCTION("""COMPUTED_VALUE"""),"Baker Elementary School")</f>
        <v>Baker Elementary School</v>
      </c>
      <c r="E391" s="13" t="str">
        <f>IFERROR(__xludf.DUMMYFUNCTION("""COMPUTED_VALUE"""),"Restricted Open")</f>
        <v>Restricted Open</v>
      </c>
      <c r="F391" s="13"/>
      <c r="G391" s="13" t="str">
        <f>IFERROR(__xludf.DUMMYFUNCTION("""COMPUTED_VALUE"""),"300 LAKE ST")</f>
        <v>300 LAKE ST</v>
      </c>
      <c r="H391" s="13" t="str">
        <f>IFERROR(__xludf.DUMMYFUNCTION("""COMPUTED_VALUE"""),"FORT MORGAN")</f>
        <v>FORT MORGAN</v>
      </c>
      <c r="I391" s="13" t="str">
        <f>IFERROR(__xludf.DUMMYFUNCTION("""COMPUTED_VALUE"""),"CO")</f>
        <v>CO</v>
      </c>
      <c r="J391" s="13" t="str">
        <f>IFERROR(__xludf.DUMMYFUNCTION("""COMPUTED_VALUE"""),"80701-3118")</f>
        <v>80701-3118</v>
      </c>
      <c r="K391" s="13" t="str">
        <f>IFERROR(__xludf.DUMMYFUNCTION("""COMPUTED_VALUE"""),"Morgan")</f>
        <v>Morgan</v>
      </c>
      <c r="L391" s="17" t="str">
        <f>IFERROR(__xludf.DUMMYFUNCTION("""COMPUTED_VALUE"""),"Y")</f>
        <v>Y</v>
      </c>
      <c r="M391" s="17"/>
      <c r="N391" s="17" t="str">
        <f>IFERROR(__xludf.DUMMYFUNCTION("""COMPUTED_VALUE"""),"Y")</f>
        <v>Y</v>
      </c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>
      <c r="A392" s="13" t="str">
        <f>IFERROR(__xludf.DUMMYFUNCTION("""COMPUTED_VALUE"""),"2405")</f>
        <v>2405</v>
      </c>
      <c r="B392" s="13" t="str">
        <f>IFERROR(__xludf.DUMMYFUNCTION("""COMPUTED_VALUE"""),"FORT MORGAN RE-3")</f>
        <v>FORT MORGAN RE-3</v>
      </c>
      <c r="C392" s="13" t="str">
        <f>IFERROR(__xludf.DUMMYFUNCTION("""COMPUTED_VALUE"""),"01850")</f>
        <v>01850</v>
      </c>
      <c r="D392" s="13" t="str">
        <f>IFERROR(__xludf.DUMMYFUNCTION("""COMPUTED_VALUE"""),"COLUMBINE ELEMENTARY SCHOOL")</f>
        <v>COLUMBINE ELEMENTARY SCHOOL</v>
      </c>
      <c r="E392" s="13" t="str">
        <f>IFERROR(__xludf.DUMMYFUNCTION("""COMPUTED_VALUE"""),"Open")</f>
        <v>Open</v>
      </c>
      <c r="F392" s="13" t="str">
        <f>IFERROR(__xludf.DUMMYFUNCTION("""COMPUTED_VALUE"""),"Non-congregate")</f>
        <v>Non-congregate</v>
      </c>
      <c r="G392" s="13" t="str">
        <f>IFERROR(__xludf.DUMMYFUNCTION("""COMPUTED_VALUE"""),"815 WEST ST")</f>
        <v>815 WEST ST</v>
      </c>
      <c r="H392" s="13" t="str">
        <f>IFERROR(__xludf.DUMMYFUNCTION("""COMPUTED_VALUE"""),"FORT MORGAN")</f>
        <v>FORT MORGAN</v>
      </c>
      <c r="I392" s="13" t="str">
        <f>IFERROR(__xludf.DUMMYFUNCTION("""COMPUTED_VALUE"""),"CO")</f>
        <v>CO</v>
      </c>
      <c r="J392" s="13" t="str">
        <f>IFERROR(__xludf.DUMMYFUNCTION("""COMPUTED_VALUE"""),"80701-2836")</f>
        <v>80701-2836</v>
      </c>
      <c r="K392" s="13" t="str">
        <f>IFERROR(__xludf.DUMMYFUNCTION("""COMPUTED_VALUE"""),"Morgan")</f>
        <v>Morgan</v>
      </c>
      <c r="L392" s="17" t="str">
        <f>IFERROR(__xludf.DUMMYFUNCTION("""COMPUTED_VALUE"""),"Y")</f>
        <v>Y</v>
      </c>
      <c r="M392" s="17"/>
      <c r="N392" s="17" t="str">
        <f>IFERROR(__xludf.DUMMYFUNCTION("""COMPUTED_VALUE"""),"Y")</f>
        <v>Y</v>
      </c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>
      <c r="A393" s="13" t="str">
        <f>IFERROR(__xludf.DUMMYFUNCTION("""COMPUTED_VALUE"""),"2405")</f>
        <v>2405</v>
      </c>
      <c r="B393" s="13" t="str">
        <f>IFERROR(__xludf.DUMMYFUNCTION("""COMPUTED_VALUE"""),"FORT MORGAN RE-3")</f>
        <v>FORT MORGAN RE-3</v>
      </c>
      <c r="C393" s="13" t="str">
        <f>IFERROR(__xludf.DUMMYFUNCTION("""COMPUTED_VALUE"""),"03074")</f>
        <v>03074</v>
      </c>
      <c r="D393" s="13" t="str">
        <f>IFERROR(__xludf.DUMMYFUNCTION("""COMPUTED_VALUE"""),"FORT MORGAN MIDDLE SCHOOL")</f>
        <v>FORT MORGAN MIDDLE SCHOOL</v>
      </c>
      <c r="E393" s="13" t="str">
        <f>IFERROR(__xludf.DUMMYFUNCTION("""COMPUTED_VALUE"""),"Open")</f>
        <v>Open</v>
      </c>
      <c r="F393" s="13" t="str">
        <f>IFERROR(__xludf.DUMMYFUNCTION("""COMPUTED_VALUE"""),"Non-congregate")</f>
        <v>Non-congregate</v>
      </c>
      <c r="G393" s="13" t="str">
        <f>IFERROR(__xludf.DUMMYFUNCTION("""COMPUTED_VALUE"""),"605 EDUCATION AVE")</f>
        <v>605 EDUCATION AVE</v>
      </c>
      <c r="H393" s="13" t="str">
        <f>IFERROR(__xludf.DUMMYFUNCTION("""COMPUTED_VALUE"""),"FORT MORGAN")</f>
        <v>FORT MORGAN</v>
      </c>
      <c r="I393" s="13" t="str">
        <f>IFERROR(__xludf.DUMMYFUNCTION("""COMPUTED_VALUE"""),"CO")</f>
        <v>CO</v>
      </c>
      <c r="J393" s="13" t="str">
        <f>IFERROR(__xludf.DUMMYFUNCTION("""COMPUTED_VALUE"""),"80701-8806")</f>
        <v>80701-8806</v>
      </c>
      <c r="K393" s="13" t="str">
        <f>IFERROR(__xludf.DUMMYFUNCTION("""COMPUTED_VALUE"""),"Morgan")</f>
        <v>Morgan</v>
      </c>
      <c r="L393" s="17" t="str">
        <f>IFERROR(__xludf.DUMMYFUNCTION("""COMPUTED_VALUE"""),"Y")</f>
        <v>Y</v>
      </c>
      <c r="M393" s="17"/>
      <c r="N393" s="17" t="str">
        <f>IFERROR(__xludf.DUMMYFUNCTION("""COMPUTED_VALUE"""),"Y")</f>
        <v>Y</v>
      </c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>
      <c r="A394" s="13" t="str">
        <f>IFERROR(__xludf.DUMMYFUNCTION("""COMPUTED_VALUE"""),"2405")</f>
        <v>2405</v>
      </c>
      <c r="B394" s="13" t="str">
        <f>IFERROR(__xludf.DUMMYFUNCTION("""COMPUTED_VALUE"""),"FORT MORGAN RE-3")</f>
        <v>FORT MORGAN RE-3</v>
      </c>
      <c r="C394" s="13" t="str">
        <f>IFERROR(__xludf.DUMMYFUNCTION("""COMPUTED_VALUE"""),"03620")</f>
        <v>03620</v>
      </c>
      <c r="D394" s="13" t="str">
        <f>IFERROR(__xludf.DUMMYFUNCTION("""COMPUTED_VALUE"""),"GREEN ACRES ELEMENTARY SCHOOL")</f>
        <v>GREEN ACRES ELEMENTARY SCHOOL</v>
      </c>
      <c r="E394" s="13" t="str">
        <f>IFERROR(__xludf.DUMMYFUNCTION("""COMPUTED_VALUE"""),"Open")</f>
        <v>Open</v>
      </c>
      <c r="F394" s="13" t="str">
        <f>IFERROR(__xludf.DUMMYFUNCTION("""COMPUTED_VALUE"""),"Non-congregate")</f>
        <v>Non-congregate</v>
      </c>
      <c r="G394" s="13" t="str">
        <f>IFERROR(__xludf.DUMMYFUNCTION("""COMPUTED_VALUE"""),"930 SHERMAN ST")</f>
        <v>930 SHERMAN ST</v>
      </c>
      <c r="H394" s="13" t="str">
        <f>IFERROR(__xludf.DUMMYFUNCTION("""COMPUTED_VALUE"""),"FORT MORGAN")</f>
        <v>FORT MORGAN</v>
      </c>
      <c r="I394" s="13" t="str">
        <f>IFERROR(__xludf.DUMMYFUNCTION("""COMPUTED_VALUE"""),"CO")</f>
        <v>CO</v>
      </c>
      <c r="J394" s="13" t="str">
        <f>IFERROR(__xludf.DUMMYFUNCTION("""COMPUTED_VALUE"""),"80701-3544")</f>
        <v>80701-3544</v>
      </c>
      <c r="K394" s="13" t="str">
        <f>IFERROR(__xludf.DUMMYFUNCTION("""COMPUTED_VALUE"""),"Morgan")</f>
        <v>Morgan</v>
      </c>
      <c r="L394" s="17" t="str">
        <f>IFERROR(__xludf.DUMMYFUNCTION("""COMPUTED_VALUE"""),"Y")</f>
        <v>Y</v>
      </c>
      <c r="M394" s="17"/>
      <c r="N394" s="17" t="str">
        <f>IFERROR(__xludf.DUMMYFUNCTION("""COMPUTED_VALUE"""),"Y")</f>
        <v>Y</v>
      </c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>
      <c r="A395" s="13" t="str">
        <f>IFERROR(__xludf.DUMMYFUNCTION("""COMPUTED_VALUE"""),"2405")</f>
        <v>2405</v>
      </c>
      <c r="B395" s="13" t="str">
        <f>IFERROR(__xludf.DUMMYFUNCTION("""COMPUTED_VALUE"""),"FORT MORGAN RE-3")</f>
        <v>FORT MORGAN RE-3</v>
      </c>
      <c r="C395" s="13" t="str">
        <f>IFERROR(__xludf.DUMMYFUNCTION("""COMPUTED_VALUE"""),"07856")</f>
        <v>07856</v>
      </c>
      <c r="D395" s="13" t="str">
        <f>IFERROR(__xludf.DUMMYFUNCTION("""COMPUTED_VALUE"""),"SHERMAN EARLY CHILDHOOD CENTER")</f>
        <v>SHERMAN EARLY CHILDHOOD CENTER</v>
      </c>
      <c r="E395" s="13" t="str">
        <f>IFERROR(__xludf.DUMMYFUNCTION("""COMPUTED_VALUE"""),"Open")</f>
        <v>Open</v>
      </c>
      <c r="F395" s="13" t="str">
        <f>IFERROR(__xludf.DUMMYFUNCTION("""COMPUTED_VALUE"""),"Hybrid")</f>
        <v>Hybrid</v>
      </c>
      <c r="G395" s="13" t="str">
        <f>IFERROR(__xludf.DUMMYFUNCTION("""COMPUTED_VALUE"""),"300 SHERMAN ST")</f>
        <v>300 SHERMAN ST</v>
      </c>
      <c r="H395" s="13" t="str">
        <f>IFERROR(__xludf.DUMMYFUNCTION("""COMPUTED_VALUE"""),"FORT MORGAN")</f>
        <v>FORT MORGAN</v>
      </c>
      <c r="I395" s="13" t="str">
        <f>IFERROR(__xludf.DUMMYFUNCTION("""COMPUTED_VALUE"""),"CO")</f>
        <v>CO</v>
      </c>
      <c r="J395" s="13" t="str">
        <f>IFERROR(__xludf.DUMMYFUNCTION("""COMPUTED_VALUE"""),"80701-3624")</f>
        <v>80701-3624</v>
      </c>
      <c r="K395" s="13" t="str">
        <f>IFERROR(__xludf.DUMMYFUNCTION("""COMPUTED_VALUE"""),"Morgan")</f>
        <v>Morgan</v>
      </c>
      <c r="L395" s="17" t="str">
        <f>IFERROR(__xludf.DUMMYFUNCTION("""COMPUTED_VALUE"""),"Y")</f>
        <v>Y</v>
      </c>
      <c r="M395" s="17"/>
      <c r="N395" s="17" t="str">
        <f>IFERROR(__xludf.DUMMYFUNCTION("""COMPUTED_VALUE"""),"Y")</f>
        <v>Y</v>
      </c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>
      <c r="A396" s="13" t="str">
        <f>IFERROR(__xludf.DUMMYFUNCTION("""COMPUTED_VALUE"""),"2405")</f>
        <v>2405</v>
      </c>
      <c r="B396" s="13" t="str">
        <f>IFERROR(__xludf.DUMMYFUNCTION("""COMPUTED_VALUE"""),"FORT MORGAN RE-3")</f>
        <v>FORT MORGAN RE-3</v>
      </c>
      <c r="C396" s="13" t="str">
        <f>IFERROR(__xludf.DUMMYFUNCTION("""COMPUTED_VALUE"""),"07857")</f>
        <v>07857</v>
      </c>
      <c r="D396" s="13" t="str">
        <f>IFERROR(__xludf.DUMMYFUNCTION("""COMPUTED_VALUE"""),"Fort Morgan City Park")</f>
        <v>Fort Morgan City Park</v>
      </c>
      <c r="E396" s="13" t="str">
        <f>IFERROR(__xludf.DUMMYFUNCTION("""COMPUTED_VALUE"""),"Open")</f>
        <v>Open</v>
      </c>
      <c r="F396" s="13" t="str">
        <f>IFERROR(__xludf.DUMMYFUNCTION("""COMPUTED_VALUE"""),"Non-congregate")</f>
        <v>Non-congregate</v>
      </c>
      <c r="G396" s="13" t="str">
        <f>IFERROR(__xludf.DUMMYFUNCTION("""COMPUTED_VALUE"""),"414 MAIN ST")</f>
        <v>414 MAIN ST</v>
      </c>
      <c r="H396" s="13" t="str">
        <f>IFERROR(__xludf.DUMMYFUNCTION("""COMPUTED_VALUE"""),"FORT MORGAN")</f>
        <v>FORT MORGAN</v>
      </c>
      <c r="I396" s="13" t="str">
        <f>IFERROR(__xludf.DUMMYFUNCTION("""COMPUTED_VALUE"""),"CO")</f>
        <v>CO</v>
      </c>
      <c r="J396" s="13" t="str">
        <f>IFERROR(__xludf.DUMMYFUNCTION("""COMPUTED_VALUE"""),"80701-2143")</f>
        <v>80701-2143</v>
      </c>
      <c r="K396" s="13" t="str">
        <f>IFERROR(__xludf.DUMMYFUNCTION("""COMPUTED_VALUE"""),"Morgan")</f>
        <v>Morgan</v>
      </c>
      <c r="L396" s="17" t="str">
        <f>IFERROR(__xludf.DUMMYFUNCTION("""COMPUTED_VALUE"""),"Y")</f>
        <v>Y</v>
      </c>
      <c r="M396" s="17"/>
      <c r="N396" s="17" t="str">
        <f>IFERROR(__xludf.DUMMYFUNCTION("""COMPUTED_VALUE"""),"Y")</f>
        <v>Y</v>
      </c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>
      <c r="A397" s="13" t="str">
        <f>IFERROR(__xludf.DUMMYFUNCTION("""COMPUTED_VALUE"""),"2405")</f>
        <v>2405</v>
      </c>
      <c r="B397" s="13" t="str">
        <f>IFERROR(__xludf.DUMMYFUNCTION("""COMPUTED_VALUE"""),"FORT MORGAN RE-3")</f>
        <v>FORT MORGAN RE-3</v>
      </c>
      <c r="C397" s="13" t="str">
        <f>IFERROR(__xludf.DUMMYFUNCTION("""COMPUTED_VALUE"""),"91561")</f>
        <v>91561</v>
      </c>
      <c r="D397" s="13" t="str">
        <f>IFERROR(__xludf.DUMMYFUNCTION("""COMPUTED_VALUE"""),"Landmark Park")</f>
        <v>Landmark Park</v>
      </c>
      <c r="E397" s="13" t="str">
        <f>IFERROR(__xludf.DUMMYFUNCTION("""COMPUTED_VALUE"""),"Open")</f>
        <v>Open</v>
      </c>
      <c r="F397" s="13" t="str">
        <f>IFERROR(__xludf.DUMMYFUNCTION("""COMPUTED_VALUE"""),"Hybrid")</f>
        <v>Hybrid</v>
      </c>
      <c r="G397" s="13" t="str">
        <f>IFERROR(__xludf.DUMMYFUNCTION("""COMPUTED_VALUE"""),"114 BRENTWOOD AVE")</f>
        <v>114 BRENTWOOD AVE</v>
      </c>
      <c r="H397" s="13" t="str">
        <f>IFERROR(__xludf.DUMMYFUNCTION("""COMPUTED_VALUE"""),"FORT MORGAN")</f>
        <v>FORT MORGAN</v>
      </c>
      <c r="I397" s="13" t="str">
        <f>IFERROR(__xludf.DUMMYFUNCTION("""COMPUTED_VALUE"""),"CO")</f>
        <v>CO</v>
      </c>
      <c r="J397" s="13" t="str">
        <f>IFERROR(__xludf.DUMMYFUNCTION("""COMPUTED_VALUE"""),"80701-2405")</f>
        <v>80701-2405</v>
      </c>
      <c r="K397" s="13" t="str">
        <f>IFERROR(__xludf.DUMMYFUNCTION("""COMPUTED_VALUE"""),"Morgan")</f>
        <v>Morgan</v>
      </c>
      <c r="L397" s="17" t="str">
        <f>IFERROR(__xludf.DUMMYFUNCTION("""COMPUTED_VALUE"""),"Y")</f>
        <v>Y</v>
      </c>
      <c r="M397" s="17"/>
      <c r="N397" s="17" t="str">
        <f>IFERROR(__xludf.DUMMYFUNCTION("""COMPUTED_VALUE"""),"Y")</f>
        <v>Y</v>
      </c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>
      <c r="A398" s="13" t="str">
        <f>IFERROR(__xludf.DUMMYFUNCTION("""COMPUTED_VALUE"""),"2405")</f>
        <v>2405</v>
      </c>
      <c r="B398" s="13" t="str">
        <f>IFERROR(__xludf.DUMMYFUNCTION("""COMPUTED_VALUE"""),"FORT MORGAN RE-3")</f>
        <v>FORT MORGAN RE-3</v>
      </c>
      <c r="C398" s="13" t="str">
        <f>IFERROR(__xludf.DUMMYFUNCTION("""COMPUTED_VALUE"""),"91562")</f>
        <v>91562</v>
      </c>
      <c r="D398" s="13" t="str">
        <f>IFERROR(__xludf.DUMMYFUNCTION("""COMPUTED_VALUE"""),"Jaycee Park")</f>
        <v>Jaycee Park</v>
      </c>
      <c r="E398" s="13" t="str">
        <f>IFERROR(__xludf.DUMMYFUNCTION("""COMPUTED_VALUE"""),"Open")</f>
        <v>Open</v>
      </c>
      <c r="F398" s="13" t="str">
        <f>IFERROR(__xludf.DUMMYFUNCTION("""COMPUTED_VALUE"""),"Hybrid")</f>
        <v>Hybrid</v>
      </c>
      <c r="G398" s="13" t="str">
        <f>IFERROR(__xludf.DUMMYFUNCTION("""COMPUTED_VALUE"""),"520 Southridge Rd")</f>
        <v>520 Southridge Rd</v>
      </c>
      <c r="H398" s="13" t="str">
        <f>IFERROR(__xludf.DUMMYFUNCTION("""COMPUTED_VALUE"""),"FORT MORGAN")</f>
        <v>FORT MORGAN</v>
      </c>
      <c r="I398" s="13" t="str">
        <f>IFERROR(__xludf.DUMMYFUNCTION("""COMPUTED_VALUE"""),"CO")</f>
        <v>CO</v>
      </c>
      <c r="J398" s="13">
        <f>IFERROR(__xludf.DUMMYFUNCTION("""COMPUTED_VALUE"""),80701.0)</f>
        <v>80701</v>
      </c>
      <c r="K398" s="13" t="str">
        <f>IFERROR(__xludf.DUMMYFUNCTION("""COMPUTED_VALUE"""),"Morgan")</f>
        <v>Morgan</v>
      </c>
      <c r="L398" s="17" t="str">
        <f>IFERROR(__xludf.DUMMYFUNCTION("""COMPUTED_VALUE"""),"Y")</f>
        <v>Y</v>
      </c>
      <c r="M398" s="17"/>
      <c r="N398" s="17" t="str">
        <f>IFERROR(__xludf.DUMMYFUNCTION("""COMPUTED_VALUE"""),"Y")</f>
        <v>Y</v>
      </c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>
      <c r="A399" s="13" t="str">
        <f>IFERROR(__xludf.DUMMYFUNCTION("""COMPUTED_VALUE"""),"2405")</f>
        <v>2405</v>
      </c>
      <c r="B399" s="13" t="str">
        <f>IFERROR(__xludf.DUMMYFUNCTION("""COMPUTED_VALUE"""),"FORT MORGAN RE-3")</f>
        <v>FORT MORGAN RE-3</v>
      </c>
      <c r="C399" s="13" t="str">
        <f>IFERROR(__xludf.DUMMYFUNCTION("""COMPUTED_VALUE"""),"91563")</f>
        <v>91563</v>
      </c>
      <c r="D399" s="13" t="str">
        <f>IFERROR(__xludf.DUMMYFUNCTION("""COMPUTED_VALUE"""),"Log Lane Village")</f>
        <v>Log Lane Village</v>
      </c>
      <c r="E399" s="13" t="str">
        <f>IFERROR(__xludf.DUMMYFUNCTION("""COMPUTED_VALUE"""),"Open")</f>
        <v>Open</v>
      </c>
      <c r="F399" s="13" t="str">
        <f>IFERROR(__xludf.DUMMYFUNCTION("""COMPUTED_VALUE"""),"Hybrid")</f>
        <v>Hybrid</v>
      </c>
      <c r="G399" s="13" t="str">
        <f>IFERROR(__xludf.DUMMYFUNCTION("""COMPUTED_VALUE"""),"103 MAINE ST")</f>
        <v>103 MAINE ST</v>
      </c>
      <c r="H399" s="13" t="str">
        <f>IFERROR(__xludf.DUMMYFUNCTION("""COMPUTED_VALUE"""),"LOG LANE VLG")</f>
        <v>LOG LANE VLG</v>
      </c>
      <c r="I399" s="13" t="str">
        <f>IFERROR(__xludf.DUMMYFUNCTION("""COMPUTED_VALUE"""),"CO")</f>
        <v>CO</v>
      </c>
      <c r="J399" s="13" t="str">
        <f>IFERROR(__xludf.DUMMYFUNCTION("""COMPUTED_VALUE"""),"80705-4806")</f>
        <v>80705-4806</v>
      </c>
      <c r="K399" s="13" t="str">
        <f>IFERROR(__xludf.DUMMYFUNCTION("""COMPUTED_VALUE"""),"Morgan")</f>
        <v>Morgan</v>
      </c>
      <c r="L399" s="17" t="str">
        <f>IFERROR(__xludf.DUMMYFUNCTION("""COMPUTED_VALUE"""),"Y")</f>
        <v>Y</v>
      </c>
      <c r="M399" s="17"/>
      <c r="N399" s="17" t="str">
        <f>IFERROR(__xludf.DUMMYFUNCTION("""COMPUTED_VALUE"""),"Y")</f>
        <v>Y</v>
      </c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>
      <c r="A400" s="13" t="str">
        <f>IFERROR(__xludf.DUMMYFUNCTION("""COMPUTED_VALUE"""),"2405")</f>
        <v>2405</v>
      </c>
      <c r="B400" s="13" t="str">
        <f>IFERROR(__xludf.DUMMYFUNCTION("""COMPUTED_VALUE"""),"FORT MORGAN RE-3")</f>
        <v>FORT MORGAN RE-3</v>
      </c>
      <c r="C400" s="13" t="str">
        <f>IFERROR(__xludf.DUMMYFUNCTION("""COMPUTED_VALUE"""),"91564")</f>
        <v>91564</v>
      </c>
      <c r="D400" s="13" t="str">
        <f>IFERROR(__xludf.DUMMYFUNCTION("""COMPUTED_VALUE"""),"Pagels Park")</f>
        <v>Pagels Park</v>
      </c>
      <c r="E400" s="13" t="str">
        <f>IFERROR(__xludf.DUMMYFUNCTION("""COMPUTED_VALUE"""),"Open")</f>
        <v>Open</v>
      </c>
      <c r="F400" s="13" t="str">
        <f>IFERROR(__xludf.DUMMYFUNCTION("""COMPUTED_VALUE"""),"Hybrid")</f>
        <v>Hybrid</v>
      </c>
      <c r="G400" s="13" t="str">
        <f>IFERROR(__xludf.DUMMYFUNCTION("""COMPUTED_VALUE"""),"16220 COUNTY ROAD 19")</f>
        <v>16220 COUNTY ROAD 19</v>
      </c>
      <c r="H400" s="13" t="str">
        <f>IFERROR(__xludf.DUMMYFUNCTION("""COMPUTED_VALUE"""),"FORT MORGAN")</f>
        <v>FORT MORGAN</v>
      </c>
      <c r="I400" s="13" t="str">
        <f>IFERROR(__xludf.DUMMYFUNCTION("""COMPUTED_VALUE"""),"CO")</f>
        <v>CO</v>
      </c>
      <c r="J400" s="13" t="str">
        <f>IFERROR(__xludf.DUMMYFUNCTION("""COMPUTED_VALUE"""),"80701-7119")</f>
        <v>80701-7119</v>
      </c>
      <c r="K400" s="13" t="str">
        <f>IFERROR(__xludf.DUMMYFUNCTION("""COMPUTED_VALUE"""),"Morgan")</f>
        <v>Morgan</v>
      </c>
      <c r="L400" s="17" t="str">
        <f>IFERROR(__xludf.DUMMYFUNCTION("""COMPUTED_VALUE"""),"Y")</f>
        <v>Y</v>
      </c>
      <c r="M400" s="17"/>
      <c r="N400" s="17" t="str">
        <f>IFERROR(__xludf.DUMMYFUNCTION("""COMPUTED_VALUE"""),"Y")</f>
        <v>Y</v>
      </c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>
      <c r="A401" s="13" t="str">
        <f>IFERROR(__xludf.DUMMYFUNCTION("""COMPUTED_VALUE"""),"2405")</f>
        <v>2405</v>
      </c>
      <c r="B401" s="13" t="str">
        <f>IFERROR(__xludf.DUMMYFUNCTION("""COMPUTED_VALUE"""),"FORT MORGAN RE-3")</f>
        <v>FORT MORGAN RE-3</v>
      </c>
      <c r="C401" s="13" t="str">
        <f>IFERROR(__xludf.DUMMYFUNCTION("""COMPUTED_VALUE"""),"91776")</f>
        <v>91776</v>
      </c>
      <c r="D401" s="13" t="str">
        <f>IFERROR(__xludf.DUMMYFUNCTION("""COMPUTED_VALUE"""),"Gateway Park")</f>
        <v>Gateway Park</v>
      </c>
      <c r="E401" s="13" t="str">
        <f>IFERROR(__xludf.DUMMYFUNCTION("""COMPUTED_VALUE"""),"Open")</f>
        <v>Open</v>
      </c>
      <c r="F401" s="13" t="str">
        <f>IFERROR(__xludf.DUMMYFUNCTION("""COMPUTED_VALUE"""),"Non-congregate")</f>
        <v>Non-congregate</v>
      </c>
      <c r="G401" s="13" t="str">
        <f>IFERROR(__xludf.DUMMYFUNCTION("""COMPUTED_VALUE"""),"1960 Gateway Ave")</f>
        <v>1960 Gateway Ave</v>
      </c>
      <c r="H401" s="13" t="str">
        <f>IFERROR(__xludf.DUMMYFUNCTION("""COMPUTED_VALUE"""),"FORT MORGAN")</f>
        <v>FORT MORGAN</v>
      </c>
      <c r="I401" s="13" t="str">
        <f>IFERROR(__xludf.DUMMYFUNCTION("""COMPUTED_VALUE"""),"CO")</f>
        <v>CO</v>
      </c>
      <c r="J401" s="13">
        <f>IFERROR(__xludf.DUMMYFUNCTION("""COMPUTED_VALUE"""),80701.0)</f>
        <v>80701</v>
      </c>
      <c r="K401" s="13" t="str">
        <f>IFERROR(__xludf.DUMMYFUNCTION("""COMPUTED_VALUE"""),"Morgan")</f>
        <v>Morgan</v>
      </c>
      <c r="L401" s="17" t="str">
        <f>IFERROR(__xludf.DUMMYFUNCTION("""COMPUTED_VALUE"""),"Y")</f>
        <v>Y</v>
      </c>
      <c r="M401" s="17"/>
      <c r="N401" s="17" t="str">
        <f>IFERROR(__xludf.DUMMYFUNCTION("""COMPUTED_VALUE"""),"Y")</f>
        <v>Y</v>
      </c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>
      <c r="A402" s="13" t="str">
        <f>IFERROR(__xludf.DUMMYFUNCTION("""COMPUTED_VALUE"""),"2405")</f>
        <v>2405</v>
      </c>
      <c r="B402" s="13" t="str">
        <f>IFERROR(__xludf.DUMMYFUNCTION("""COMPUTED_VALUE"""),"FORT MORGAN RE-3")</f>
        <v>FORT MORGAN RE-3</v>
      </c>
      <c r="C402" s="13" t="str">
        <f>IFERROR(__xludf.DUMMYFUNCTION("""COMPUTED_VALUE"""),"91777")</f>
        <v>91777</v>
      </c>
      <c r="D402" s="13" t="str">
        <f>IFERROR(__xludf.DUMMYFUNCTION("""COMPUTED_VALUE"""),"Fulton Heights")</f>
        <v>Fulton Heights</v>
      </c>
      <c r="E402" s="13" t="str">
        <f>IFERROR(__xludf.DUMMYFUNCTION("""COMPUTED_VALUE"""),"Open")</f>
        <v>Open</v>
      </c>
      <c r="F402" s="13" t="str">
        <f>IFERROR(__xludf.DUMMYFUNCTION("""COMPUTED_VALUE"""),"Hybrid")</f>
        <v>Hybrid</v>
      </c>
      <c r="G402" s="13" t="str">
        <f>IFERROR(__xludf.DUMMYFUNCTION("""COMPUTED_VALUE"""),"301 Aurora Street")</f>
        <v>301 Aurora Street</v>
      </c>
      <c r="H402" s="13" t="str">
        <f>IFERROR(__xludf.DUMMYFUNCTION("""COMPUTED_VALUE"""),"FORT MORGAN")</f>
        <v>FORT MORGAN</v>
      </c>
      <c r="I402" s="13" t="str">
        <f>IFERROR(__xludf.DUMMYFUNCTION("""COMPUTED_VALUE"""),"CO")</f>
        <v>CO</v>
      </c>
      <c r="J402" s="13">
        <f>IFERROR(__xludf.DUMMYFUNCTION("""COMPUTED_VALUE"""),80701.0)</f>
        <v>80701</v>
      </c>
      <c r="K402" s="13" t="str">
        <f>IFERROR(__xludf.DUMMYFUNCTION("""COMPUTED_VALUE"""),"Morgan")</f>
        <v>Morgan</v>
      </c>
      <c r="L402" s="17" t="str">
        <f>IFERROR(__xludf.DUMMYFUNCTION("""COMPUTED_VALUE"""),"Y")</f>
        <v>Y</v>
      </c>
      <c r="M402" s="17"/>
      <c r="N402" s="17" t="str">
        <f>IFERROR(__xludf.DUMMYFUNCTION("""COMPUTED_VALUE"""),"Y")</f>
        <v>Y</v>
      </c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>
      <c r="A403" s="13" t="str">
        <f>IFERROR(__xludf.DUMMYFUNCTION("""COMPUTED_VALUE"""),"2405")</f>
        <v>2405</v>
      </c>
      <c r="B403" s="13" t="str">
        <f>IFERROR(__xludf.DUMMYFUNCTION("""COMPUTED_VALUE"""),"FORT MORGAN RE-3")</f>
        <v>FORT MORGAN RE-3</v>
      </c>
      <c r="C403" s="13" t="str">
        <f>IFERROR(__xludf.DUMMYFUNCTION("""COMPUTED_VALUE"""),"91778")</f>
        <v>91778</v>
      </c>
      <c r="D403" s="13" t="str">
        <f>IFERROR(__xludf.DUMMYFUNCTION("""COMPUTED_VALUE"""),"Optimist Park")</f>
        <v>Optimist Park</v>
      </c>
      <c r="E403" s="13" t="str">
        <f>IFERROR(__xludf.DUMMYFUNCTION("""COMPUTED_VALUE"""),"Open")</f>
        <v>Open</v>
      </c>
      <c r="F403" s="13" t="str">
        <f>IFERROR(__xludf.DUMMYFUNCTION("""COMPUTED_VALUE"""),"Hybrid")</f>
        <v>Hybrid</v>
      </c>
      <c r="G403" s="13" t="str">
        <f>IFERROR(__xludf.DUMMYFUNCTION("""COMPUTED_VALUE"""),"1000 Vickie Street")</f>
        <v>1000 Vickie Street</v>
      </c>
      <c r="H403" s="13" t="str">
        <f>IFERROR(__xludf.DUMMYFUNCTION("""COMPUTED_VALUE"""),"FORT MORGAN")</f>
        <v>FORT MORGAN</v>
      </c>
      <c r="I403" s="13" t="str">
        <f>IFERROR(__xludf.DUMMYFUNCTION("""COMPUTED_VALUE"""),"CO")</f>
        <v>CO</v>
      </c>
      <c r="J403" s="13">
        <f>IFERROR(__xludf.DUMMYFUNCTION("""COMPUTED_VALUE"""),80701.0)</f>
        <v>80701</v>
      </c>
      <c r="K403" s="13" t="str">
        <f>IFERROR(__xludf.DUMMYFUNCTION("""COMPUTED_VALUE"""),"Montrose")</f>
        <v>Montrose</v>
      </c>
      <c r="L403" s="17" t="str">
        <f>IFERROR(__xludf.DUMMYFUNCTION("""COMPUTED_VALUE"""),"Y")</f>
        <v>Y</v>
      </c>
      <c r="M403" s="17"/>
      <c r="N403" s="17" t="str">
        <f>IFERROR(__xludf.DUMMYFUNCTION("""COMPUTED_VALUE"""),"Y")</f>
        <v>Y</v>
      </c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>
      <c r="A404" s="13" t="str">
        <f>IFERROR(__xludf.DUMMYFUNCTION("""COMPUTED_VALUE"""),"2520")</f>
        <v>2520</v>
      </c>
      <c r="B404" s="13" t="str">
        <f>IFERROR(__xludf.DUMMYFUNCTION("""COMPUTED_VALUE"""),"East Otero School District R-1")</f>
        <v>East Otero School District R-1</v>
      </c>
      <c r="C404" s="13" t="str">
        <f>IFERROR(__xludf.DUMMYFUNCTION("""COMPUTED_VALUE"""),"04841")</f>
        <v>04841</v>
      </c>
      <c r="D404" s="13" t="str">
        <f>IFERROR(__xludf.DUMMYFUNCTION("""COMPUTED_VALUE"""),"LA JUNTA INTERMEDIATE SCHOOL")</f>
        <v>LA JUNTA INTERMEDIATE SCHOOL</v>
      </c>
      <c r="E404" s="13" t="str">
        <f>IFERROR(__xludf.DUMMYFUNCTION("""COMPUTED_VALUE"""),"Open")</f>
        <v>Open</v>
      </c>
      <c r="F404" s="13" t="str">
        <f>IFERROR(__xludf.DUMMYFUNCTION("""COMPUTED_VALUE"""),"Non-congregate")</f>
        <v>Non-congregate</v>
      </c>
      <c r="G404" s="13" t="str">
        <f>IFERROR(__xludf.DUMMYFUNCTION("""COMPUTED_VALUE"""),"901 SMITHLAND AVE")</f>
        <v>901 SMITHLAND AVE</v>
      </c>
      <c r="H404" s="13" t="str">
        <f>IFERROR(__xludf.DUMMYFUNCTION("""COMPUTED_VALUE"""),"LA JUNTA")</f>
        <v>LA JUNTA</v>
      </c>
      <c r="I404" s="13" t="str">
        <f>IFERROR(__xludf.DUMMYFUNCTION("""COMPUTED_VALUE"""),"CO")</f>
        <v>CO</v>
      </c>
      <c r="J404" s="13" t="str">
        <f>IFERROR(__xludf.DUMMYFUNCTION("""COMPUTED_VALUE"""),"81050-2506")</f>
        <v>81050-2506</v>
      </c>
      <c r="K404" s="13" t="str">
        <f>IFERROR(__xludf.DUMMYFUNCTION("""COMPUTED_VALUE"""),"Otero")</f>
        <v>Otero</v>
      </c>
      <c r="L404" s="17" t="str">
        <f>IFERROR(__xludf.DUMMYFUNCTION("""COMPUTED_VALUE"""),"Y")</f>
        <v>Y</v>
      </c>
      <c r="M404" s="17"/>
      <c r="N404" s="17" t="str">
        <f>IFERROR(__xludf.DUMMYFUNCTION("""COMPUTED_VALUE"""),"Y")</f>
        <v>Y</v>
      </c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>
      <c r="A405" s="13" t="str">
        <f>IFERROR(__xludf.DUMMYFUNCTION("""COMPUTED_VALUE"""),"2520")</f>
        <v>2520</v>
      </c>
      <c r="B405" s="13" t="str">
        <f>IFERROR(__xludf.DUMMYFUNCTION("""COMPUTED_VALUE"""),"East Otero School District R-1")</f>
        <v>East Otero School District R-1</v>
      </c>
      <c r="C405" s="13" t="str">
        <f>IFERROR(__xludf.DUMMYFUNCTION("""COMPUTED_VALUE"""),"04843")</f>
        <v>04843</v>
      </c>
      <c r="D405" s="13" t="str">
        <f>IFERROR(__xludf.DUMMYFUNCTION("""COMPUTED_VALUE"""),"LA JUNTA PRIMARY SCHOOL")</f>
        <v>LA JUNTA PRIMARY SCHOOL</v>
      </c>
      <c r="E405" s="13" t="str">
        <f>IFERROR(__xludf.DUMMYFUNCTION("""COMPUTED_VALUE"""),"Open")</f>
        <v>Open</v>
      </c>
      <c r="F405" s="13" t="str">
        <f>IFERROR(__xludf.DUMMYFUNCTION("""COMPUTED_VALUE"""),"Non-congregate")</f>
        <v>Non-congregate</v>
      </c>
      <c r="G405" s="13" t="str">
        <f>IFERROR(__xludf.DUMMYFUNCTION("""COMPUTED_VALUE"""),"601 TOPEKA AVE")</f>
        <v>601 TOPEKA AVE</v>
      </c>
      <c r="H405" s="13" t="str">
        <f>IFERROR(__xludf.DUMMYFUNCTION("""COMPUTED_VALUE"""),"LA JUNTA")</f>
        <v>LA JUNTA</v>
      </c>
      <c r="I405" s="13" t="str">
        <f>IFERROR(__xludf.DUMMYFUNCTION("""COMPUTED_VALUE"""),"CO")</f>
        <v>CO</v>
      </c>
      <c r="J405" s="13" t="str">
        <f>IFERROR(__xludf.DUMMYFUNCTION("""COMPUTED_VALUE"""),"81050-2103")</f>
        <v>81050-2103</v>
      </c>
      <c r="K405" s="13" t="str">
        <f>IFERROR(__xludf.DUMMYFUNCTION("""COMPUTED_VALUE"""),"Otero")</f>
        <v>Otero</v>
      </c>
      <c r="L405" s="17" t="str">
        <f>IFERROR(__xludf.DUMMYFUNCTION("""COMPUTED_VALUE"""),"Y")</f>
        <v>Y</v>
      </c>
      <c r="M405" s="17"/>
      <c r="N405" s="17" t="str">
        <f>IFERROR(__xludf.DUMMYFUNCTION("""COMPUTED_VALUE"""),"Y")</f>
        <v>Y</v>
      </c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>
      <c r="A406" s="13" t="str">
        <f>IFERROR(__xludf.DUMMYFUNCTION("""COMPUTED_VALUE"""),"2520")</f>
        <v>2520</v>
      </c>
      <c r="B406" s="13" t="str">
        <f>IFERROR(__xludf.DUMMYFUNCTION("""COMPUTED_VALUE"""),"East Otero School District R-1")</f>
        <v>East Otero School District R-1</v>
      </c>
      <c r="C406" s="13" t="str">
        <f>IFERROR(__xludf.DUMMYFUNCTION("""COMPUTED_VALUE"""),"05015")</f>
        <v>05015</v>
      </c>
      <c r="D406" s="13" t="str">
        <f>IFERROR(__xludf.DUMMYFUNCTION("""COMPUTED_VALUE"""),"LA JUNTA JUNIOR/SENIOR HIGH SCHOOL")</f>
        <v>LA JUNTA JUNIOR/SENIOR HIGH SCHOOL</v>
      </c>
      <c r="E406" s="13" t="str">
        <f>IFERROR(__xludf.DUMMYFUNCTION("""COMPUTED_VALUE"""),"Open")</f>
        <v>Open</v>
      </c>
      <c r="F406" s="13" t="str">
        <f>IFERROR(__xludf.DUMMYFUNCTION("""COMPUTED_VALUE"""),"Non-congregate")</f>
        <v>Non-congregate</v>
      </c>
      <c r="G406" s="13" t="str">
        <f>IFERROR(__xludf.DUMMYFUNCTION("""COMPUTED_VALUE"""),"1817 SMITHLAND AVE")</f>
        <v>1817 SMITHLAND AVE</v>
      </c>
      <c r="H406" s="13" t="str">
        <f>IFERROR(__xludf.DUMMYFUNCTION("""COMPUTED_VALUE"""),"LA JUNTA")</f>
        <v>LA JUNTA</v>
      </c>
      <c r="I406" s="13" t="str">
        <f>IFERROR(__xludf.DUMMYFUNCTION("""COMPUTED_VALUE"""),"CO")</f>
        <v>CO</v>
      </c>
      <c r="J406" s="13" t="str">
        <f>IFERROR(__xludf.DUMMYFUNCTION("""COMPUTED_VALUE"""),"81050-3455")</f>
        <v>81050-3455</v>
      </c>
      <c r="K406" s="13" t="str">
        <f>IFERROR(__xludf.DUMMYFUNCTION("""COMPUTED_VALUE"""),"Otero")</f>
        <v>Otero</v>
      </c>
      <c r="L406" s="17" t="str">
        <f>IFERROR(__xludf.DUMMYFUNCTION("""COMPUTED_VALUE"""),"Y")</f>
        <v>Y</v>
      </c>
      <c r="M406" s="17"/>
      <c r="N406" s="17" t="str">
        <f>IFERROR(__xludf.DUMMYFUNCTION("""COMPUTED_VALUE"""),"Y")</f>
        <v>Y</v>
      </c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>
      <c r="A407" s="13" t="str">
        <f>IFERROR(__xludf.DUMMYFUNCTION("""COMPUTED_VALUE"""),"2540")</f>
        <v>2540</v>
      </c>
      <c r="B407" s="13" t="str">
        <f>IFERROR(__xludf.DUMMYFUNCTION("""COMPUTED_VALUE"""),"Fowler R-4J")</f>
        <v>Fowler R-4J</v>
      </c>
      <c r="C407" s="13" t="str">
        <f>IFERROR(__xludf.DUMMYFUNCTION("""COMPUTED_VALUE"""),"03134")</f>
        <v>03134</v>
      </c>
      <c r="D407" s="13" t="str">
        <f>IFERROR(__xludf.DUMMYFUNCTION("""COMPUTED_VALUE"""),"FOWLER HIGH SCHOOL")</f>
        <v>FOWLER HIGH SCHOOL</v>
      </c>
      <c r="E407" s="13" t="str">
        <f>IFERROR(__xludf.DUMMYFUNCTION("""COMPUTED_VALUE"""),"Open")</f>
        <v>Open</v>
      </c>
      <c r="F407" s="13" t="str">
        <f>IFERROR(__xludf.DUMMYFUNCTION("""COMPUTED_VALUE"""),"Non-congregate")</f>
        <v>Non-congregate</v>
      </c>
      <c r="G407" s="13" t="str">
        <f>IFERROR(__xludf.DUMMYFUNCTION("""COMPUTED_VALUE"""),"PO BOX 218")</f>
        <v>PO BOX 218</v>
      </c>
      <c r="H407" s="13" t="str">
        <f>IFERROR(__xludf.DUMMYFUNCTION("""COMPUTED_VALUE"""),"FOWLER")</f>
        <v>FOWLER</v>
      </c>
      <c r="I407" s="13" t="str">
        <f>IFERROR(__xludf.DUMMYFUNCTION("""COMPUTED_VALUE"""),"CO")</f>
        <v>CO</v>
      </c>
      <c r="J407" s="13" t="str">
        <f>IFERROR(__xludf.DUMMYFUNCTION("""COMPUTED_VALUE"""),"81039-0218")</f>
        <v>81039-0218</v>
      </c>
      <c r="K407" s="13" t="str">
        <f>IFERROR(__xludf.DUMMYFUNCTION("""COMPUTED_VALUE"""),"Otero")</f>
        <v>Otero</v>
      </c>
      <c r="L407" s="17" t="str">
        <f>IFERROR(__xludf.DUMMYFUNCTION("""COMPUTED_VALUE"""),"Y")</f>
        <v>Y</v>
      </c>
      <c r="M407" s="17"/>
      <c r="N407" s="17" t="str">
        <f>IFERROR(__xludf.DUMMYFUNCTION("""COMPUTED_VALUE"""),"Y")</f>
        <v>Y</v>
      </c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>
      <c r="A408" s="13" t="str">
        <f>IFERROR(__xludf.DUMMYFUNCTION("""COMPUTED_VALUE"""),"2560")</f>
        <v>2560</v>
      </c>
      <c r="B408" s="13" t="str">
        <f>IFERROR(__xludf.DUMMYFUNCTION("""COMPUTED_VALUE"""),"CHERAW 31")</f>
        <v>CHERAW 31</v>
      </c>
      <c r="C408" s="13" t="str">
        <f>IFERROR(__xludf.DUMMYFUNCTION("""COMPUTED_VALUE"""),"01546")</f>
        <v>01546</v>
      </c>
      <c r="D408" s="13" t="str">
        <f>IFERROR(__xludf.DUMMYFUNCTION("""COMPUTED_VALUE"""),"CHERAW SCHOOL")</f>
        <v>CHERAW SCHOOL</v>
      </c>
      <c r="E408" s="13" t="str">
        <f>IFERROR(__xludf.DUMMYFUNCTION("""COMPUTED_VALUE"""),"Open")</f>
        <v>Open</v>
      </c>
      <c r="F408" s="13"/>
      <c r="G408" s="13" t="str">
        <f>IFERROR(__xludf.DUMMYFUNCTION("""COMPUTED_VALUE"""),"PO BOX 160")</f>
        <v>PO BOX 160</v>
      </c>
      <c r="H408" s="13" t="str">
        <f>IFERROR(__xludf.DUMMYFUNCTION("""COMPUTED_VALUE"""),"CHERAW")</f>
        <v>CHERAW</v>
      </c>
      <c r="I408" s="13" t="str">
        <f>IFERROR(__xludf.DUMMYFUNCTION("""COMPUTED_VALUE"""),"CO")</f>
        <v>CO</v>
      </c>
      <c r="J408" s="13" t="str">
        <f>IFERROR(__xludf.DUMMYFUNCTION("""COMPUTED_VALUE"""),"81030-0160")</f>
        <v>81030-0160</v>
      </c>
      <c r="K408" s="13" t="str">
        <f>IFERROR(__xludf.DUMMYFUNCTION("""COMPUTED_VALUE"""),"Otero")</f>
        <v>Otero</v>
      </c>
      <c r="L408" s="17" t="str">
        <f>IFERROR(__xludf.DUMMYFUNCTION("""COMPUTED_VALUE"""),"Y")</f>
        <v>Y</v>
      </c>
      <c r="M408" s="17"/>
      <c r="N408" s="17" t="str">
        <f>IFERROR(__xludf.DUMMYFUNCTION("""COMPUTED_VALUE"""),"Y")</f>
        <v>Y</v>
      </c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>
      <c r="A409" s="13" t="str">
        <f>IFERROR(__xludf.DUMMYFUNCTION("""COMPUTED_VALUE"""),"2620")</f>
        <v>2620</v>
      </c>
      <c r="B409" s="13" t="str">
        <f>IFERROR(__xludf.DUMMYFUNCTION("""COMPUTED_VALUE"""),"HOLYOKE RE-1J")</f>
        <v>HOLYOKE RE-1J</v>
      </c>
      <c r="C409" s="13" t="str">
        <f>IFERROR(__xludf.DUMMYFUNCTION("""COMPUTED_VALUE"""),"04076")</f>
        <v>04076</v>
      </c>
      <c r="D409" s="13" t="str">
        <f>IFERROR(__xludf.DUMMYFUNCTION("""COMPUTED_VALUE"""),"HOLYOKE ELEMENTARY SCHOOL")</f>
        <v>HOLYOKE ELEMENTARY SCHOOL</v>
      </c>
      <c r="E409" s="13" t="str">
        <f>IFERROR(__xludf.DUMMYFUNCTION("""COMPUTED_VALUE"""),"Open")</f>
        <v>Open</v>
      </c>
      <c r="F409" s="13" t="str">
        <f>IFERROR(__xludf.DUMMYFUNCTION("""COMPUTED_VALUE"""),"Non-congregate")</f>
        <v>Non-congregate</v>
      </c>
      <c r="G409" s="13" t="str">
        <f>IFERROR(__xludf.DUMMYFUNCTION("""COMPUTED_VALUE"""),"326 E KELLOGG ST")</f>
        <v>326 E KELLOGG ST</v>
      </c>
      <c r="H409" s="13" t="str">
        <f>IFERROR(__xludf.DUMMYFUNCTION("""COMPUTED_VALUE"""),"HOLYOKE")</f>
        <v>HOLYOKE</v>
      </c>
      <c r="I409" s="13" t="str">
        <f>IFERROR(__xludf.DUMMYFUNCTION("""COMPUTED_VALUE"""),"CO")</f>
        <v>CO</v>
      </c>
      <c r="J409" s="13" t="str">
        <f>IFERROR(__xludf.DUMMYFUNCTION("""COMPUTED_VALUE"""),"80734-1646")</f>
        <v>80734-1646</v>
      </c>
      <c r="K409" s="13" t="str">
        <f>IFERROR(__xludf.DUMMYFUNCTION("""COMPUTED_VALUE"""),"Phillips")</f>
        <v>Phillips</v>
      </c>
      <c r="L409" s="17" t="str">
        <f>IFERROR(__xludf.DUMMYFUNCTION("""COMPUTED_VALUE"""),"Y")</f>
        <v>Y</v>
      </c>
      <c r="M409" s="17"/>
      <c r="N409" s="17" t="str">
        <f>IFERROR(__xludf.DUMMYFUNCTION("""COMPUTED_VALUE"""),"Y")</f>
        <v>Y</v>
      </c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>
      <c r="A410" s="18" t="str">
        <f>IFERROR(__xludf.DUMMYFUNCTION("""COMPUTED_VALUE"""),"2620")</f>
        <v>2620</v>
      </c>
      <c r="B410" s="18" t="str">
        <f>IFERROR(__xludf.DUMMYFUNCTION("""COMPUTED_VALUE"""),"HOLYOKE RE-1J")</f>
        <v>HOLYOKE RE-1J</v>
      </c>
      <c r="C410" s="18" t="str">
        <f>IFERROR(__xludf.DUMMYFUNCTION("""COMPUTED_VALUE"""),"91781")</f>
        <v>91781</v>
      </c>
      <c r="D410" s="18" t="str">
        <f>IFERROR(__xludf.DUMMYFUNCTION("""COMPUTED_VALUE"""),"City Park")</f>
        <v>City Park</v>
      </c>
      <c r="E410" s="18" t="str">
        <f>IFERROR(__xludf.DUMMYFUNCTION("""COMPUTED_VALUE"""),"Open")</f>
        <v>Open</v>
      </c>
      <c r="F410" s="18" t="str">
        <f>IFERROR(__xludf.DUMMYFUNCTION("""COMPUTED_VALUE""")," ")</f>
        <v> </v>
      </c>
      <c r="G410" s="18" t="str">
        <f>IFERROR(__xludf.DUMMYFUNCTION("""COMPUTED_VALUE"""),"148 E Kellogg St")</f>
        <v>148 E Kellogg St</v>
      </c>
      <c r="H410" s="18" t="str">
        <f>IFERROR(__xludf.DUMMYFUNCTION("""COMPUTED_VALUE"""),"HOLYOKE")</f>
        <v>HOLYOKE</v>
      </c>
      <c r="I410" s="18" t="str">
        <f>IFERROR(__xludf.DUMMYFUNCTION("""COMPUTED_VALUE"""),"CO")</f>
        <v>CO</v>
      </c>
      <c r="J410" s="18">
        <f>IFERROR(__xludf.DUMMYFUNCTION("""COMPUTED_VALUE"""),80734.0)</f>
        <v>80734</v>
      </c>
      <c r="K410" s="18" t="str">
        <f>IFERROR(__xludf.DUMMYFUNCTION("""COMPUTED_VALUE"""),"Phillips")</f>
        <v>Phillips</v>
      </c>
      <c r="L410" s="19" t="str">
        <f>IFERROR(__xludf.DUMMYFUNCTION("""COMPUTED_VALUE"""),"Y")</f>
        <v>Y</v>
      </c>
      <c r="M410" s="19"/>
      <c r="N410" s="19" t="str">
        <f>IFERROR(__xludf.DUMMYFUNCTION("""COMPUTED_VALUE"""),"Y")</f>
        <v>Y</v>
      </c>
      <c r="O410" s="19"/>
      <c r="P410" s="19"/>
      <c r="Q410" s="19" t="str">
        <f>IFERROR(__xludf.DUMMYFUNCTION("""COMPUTED_VALUE"""),"No Claims as of 11.24")</f>
        <v>No Claims as of 11.24</v>
      </c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>
      <c r="A411" s="13" t="str">
        <f>IFERROR(__xludf.DUMMYFUNCTION("""COMPUTED_VALUE"""),"2660")</f>
        <v>2660</v>
      </c>
      <c r="B411" s="13" t="str">
        <f>IFERROR(__xludf.DUMMYFUNCTION("""COMPUTED_VALUE"""),"LAMAR RE-2")</f>
        <v>LAMAR RE-2</v>
      </c>
      <c r="C411" s="13" t="str">
        <f>IFERROR(__xludf.DUMMYFUNCTION("""COMPUTED_VALUE"""),"09268")</f>
        <v>09268</v>
      </c>
      <c r="D411" s="13" t="str">
        <f>IFERROR(__xludf.DUMMYFUNCTION("""COMPUTED_VALUE"""),"WASHINGTON ELEMENTARY SCHOOL")</f>
        <v>WASHINGTON ELEMENTARY SCHOOL</v>
      </c>
      <c r="E411" s="13" t="str">
        <f>IFERROR(__xludf.DUMMYFUNCTION("""COMPUTED_VALUE"""),"Open")</f>
        <v>Open</v>
      </c>
      <c r="F411" s="13" t="str">
        <f>IFERROR(__xludf.DUMMYFUNCTION("""COMPUTED_VALUE"""),"Non-congregate")</f>
        <v>Non-congregate</v>
      </c>
      <c r="G411" s="13" t="str">
        <f>IFERROR(__xludf.DUMMYFUNCTION("""COMPUTED_VALUE"""),"510 S 9TH ST")</f>
        <v>510 S 9TH ST</v>
      </c>
      <c r="H411" s="13" t="str">
        <f>IFERROR(__xludf.DUMMYFUNCTION("""COMPUTED_VALUE"""),"LAMAR")</f>
        <v>LAMAR</v>
      </c>
      <c r="I411" s="13" t="str">
        <f>IFERROR(__xludf.DUMMYFUNCTION("""COMPUTED_VALUE"""),"CO")</f>
        <v>CO</v>
      </c>
      <c r="J411" s="13" t="str">
        <f>IFERROR(__xludf.DUMMYFUNCTION("""COMPUTED_VALUE"""),"81052-3017")</f>
        <v>81052-3017</v>
      </c>
      <c r="K411" s="13" t="str">
        <f>IFERROR(__xludf.DUMMYFUNCTION("""COMPUTED_VALUE"""),"Prowers")</f>
        <v>Prowers</v>
      </c>
      <c r="L411" s="17" t="str">
        <f>IFERROR(__xludf.DUMMYFUNCTION("""COMPUTED_VALUE"""),"Y")</f>
        <v>Y</v>
      </c>
      <c r="M411" s="17"/>
      <c r="N411" s="17" t="str">
        <f>IFERROR(__xludf.DUMMYFUNCTION("""COMPUTED_VALUE"""),"Y")</f>
        <v>Y</v>
      </c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>
      <c r="A412" s="13" t="str">
        <f>IFERROR(__xludf.DUMMYFUNCTION("""COMPUTED_VALUE"""),"2660")</f>
        <v>2660</v>
      </c>
      <c r="B412" s="13" t="str">
        <f>IFERROR(__xludf.DUMMYFUNCTION("""COMPUTED_VALUE"""),"LAMAR RE-2")</f>
        <v>LAMAR RE-2</v>
      </c>
      <c r="C412" s="13" t="str">
        <f>IFERROR(__xludf.DUMMYFUNCTION("""COMPUTED_VALUE"""),"09270")</f>
        <v>09270</v>
      </c>
      <c r="D412" s="13" t="str">
        <f>IFERROR(__xludf.DUMMYFUNCTION("""COMPUTED_VALUE"""),"Willow Creek Park")</f>
        <v>Willow Creek Park</v>
      </c>
      <c r="E412" s="13" t="str">
        <f>IFERROR(__xludf.DUMMYFUNCTION("""COMPUTED_VALUE"""),"Open")</f>
        <v>Open</v>
      </c>
      <c r="F412" s="13" t="str">
        <f>IFERROR(__xludf.DUMMYFUNCTION("""COMPUTED_VALUE"""),"Non-congregate")</f>
        <v>Non-congregate</v>
      </c>
      <c r="G412" s="13" t="str">
        <f>IFERROR(__xludf.DUMMYFUNCTION("""COMPUTED_VALUE"""),"1107 PARKVIEW AVE")</f>
        <v>1107 PARKVIEW AVE</v>
      </c>
      <c r="H412" s="13" t="str">
        <f>IFERROR(__xludf.DUMMYFUNCTION("""COMPUTED_VALUE"""),"LAMAR")</f>
        <v>LAMAR</v>
      </c>
      <c r="I412" s="13" t="str">
        <f>IFERROR(__xludf.DUMMYFUNCTION("""COMPUTED_VALUE"""),"CO")</f>
        <v>CO</v>
      </c>
      <c r="J412" s="13">
        <f>IFERROR(__xludf.DUMMYFUNCTION("""COMPUTED_VALUE"""),81052.0)</f>
        <v>81052</v>
      </c>
      <c r="K412" s="13" t="str">
        <f>IFERROR(__xludf.DUMMYFUNCTION("""COMPUTED_VALUE"""),"Prowers")</f>
        <v>Prowers</v>
      </c>
      <c r="L412" s="17" t="str">
        <f>IFERROR(__xludf.DUMMYFUNCTION("""COMPUTED_VALUE"""),"Y")</f>
        <v>Y</v>
      </c>
      <c r="M412" s="17"/>
      <c r="N412" s="17" t="str">
        <f>IFERROR(__xludf.DUMMYFUNCTION("""COMPUTED_VALUE"""),"Y")</f>
        <v>Y</v>
      </c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>
      <c r="A413" s="13" t="str">
        <f>IFERROR(__xludf.DUMMYFUNCTION("""COMPUTED_VALUE"""),"2660")</f>
        <v>2660</v>
      </c>
      <c r="B413" s="13" t="str">
        <f>IFERROR(__xludf.DUMMYFUNCTION("""COMPUTED_VALUE"""),"LAMAR RE-2")</f>
        <v>LAMAR RE-2</v>
      </c>
      <c r="C413" s="13" t="str">
        <f>IFERROR(__xludf.DUMMYFUNCTION("""COMPUTED_VALUE"""),"23491")</f>
        <v>23491</v>
      </c>
      <c r="D413" s="13" t="str">
        <f>IFERROR(__xludf.DUMMYFUNCTION("""COMPUTED_VALUE"""),"Lincoln/Hope Center")</f>
        <v>Lincoln/Hope Center</v>
      </c>
      <c r="E413" s="13" t="str">
        <f>IFERROR(__xludf.DUMMYFUNCTION("""COMPUTED_VALUE"""),"Open")</f>
        <v>Open</v>
      </c>
      <c r="F413" s="13" t="str">
        <f>IFERROR(__xludf.DUMMYFUNCTION("""COMPUTED_VALUE"""),"Non-congregate")</f>
        <v>Non-congregate</v>
      </c>
      <c r="G413" s="13" t="str">
        <f>IFERROR(__xludf.DUMMYFUNCTION("""COMPUTED_VALUE"""),"200 N 10TH ST")</f>
        <v>200 N 10TH ST</v>
      </c>
      <c r="H413" s="13" t="str">
        <f>IFERROR(__xludf.DUMMYFUNCTION("""COMPUTED_VALUE"""),"LAMAR")</f>
        <v>LAMAR</v>
      </c>
      <c r="I413" s="13" t="str">
        <f>IFERROR(__xludf.DUMMYFUNCTION("""COMPUTED_VALUE"""),"CO")</f>
        <v>CO</v>
      </c>
      <c r="J413" s="13" t="str">
        <f>IFERROR(__xludf.DUMMYFUNCTION("""COMPUTED_VALUE"""),"81052-2334")</f>
        <v>81052-2334</v>
      </c>
      <c r="K413" s="13" t="str">
        <f>IFERROR(__xludf.DUMMYFUNCTION("""COMPUTED_VALUE"""),"Prowers")</f>
        <v>Prowers</v>
      </c>
      <c r="L413" s="17" t="str">
        <f>IFERROR(__xludf.DUMMYFUNCTION("""COMPUTED_VALUE"""),"Y")</f>
        <v>Y</v>
      </c>
      <c r="M413" s="17"/>
      <c r="N413" s="17" t="str">
        <f>IFERROR(__xludf.DUMMYFUNCTION("""COMPUTED_VALUE"""),"Y")</f>
        <v>Y</v>
      </c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>
      <c r="A414" s="13" t="str">
        <f>IFERROR(__xludf.DUMMYFUNCTION("""COMPUTED_VALUE"""),"2690")</f>
        <v>2690</v>
      </c>
      <c r="B414" s="13" t="str">
        <f>IFERROR(__xludf.DUMMYFUNCTION("""COMPUTED_VALUE"""),"Pueblo City 60")</f>
        <v>Pueblo City 60</v>
      </c>
      <c r="C414" s="13" t="str">
        <f>IFERROR(__xludf.DUMMYFUNCTION("""COMPUTED_VALUE"""),"00738")</f>
        <v>00738</v>
      </c>
      <c r="D414" s="13" t="str">
        <f>IFERROR(__xludf.DUMMYFUNCTION("""COMPUTED_VALUE"""),"BELMONT ELEMENTARY SCHOOL")</f>
        <v>BELMONT ELEMENTARY SCHOOL</v>
      </c>
      <c r="E414" s="13" t="str">
        <f>IFERROR(__xludf.DUMMYFUNCTION("""COMPUTED_VALUE"""),"Open")</f>
        <v>Open</v>
      </c>
      <c r="F414" s="13"/>
      <c r="G414" s="13" t="str">
        <f>IFERROR(__xludf.DUMMYFUNCTION("""COMPUTED_VALUE"""),"31 MACNAUGHTON RD")</f>
        <v>31 MACNAUGHTON RD</v>
      </c>
      <c r="H414" s="13" t="str">
        <f>IFERROR(__xludf.DUMMYFUNCTION("""COMPUTED_VALUE"""),"PUEBLO")</f>
        <v>PUEBLO</v>
      </c>
      <c r="I414" s="13" t="str">
        <f>IFERROR(__xludf.DUMMYFUNCTION("""COMPUTED_VALUE"""),"CO")</f>
        <v>CO</v>
      </c>
      <c r="J414" s="13" t="str">
        <f>IFERROR(__xludf.DUMMYFUNCTION("""COMPUTED_VALUE"""),"81001-1778")</f>
        <v>81001-1778</v>
      </c>
      <c r="K414" s="13" t="str">
        <f>IFERROR(__xludf.DUMMYFUNCTION("""COMPUTED_VALUE"""),"Pueblo")</f>
        <v>Pueblo</v>
      </c>
      <c r="L414" s="17" t="str">
        <f>IFERROR(__xludf.DUMMYFUNCTION("""COMPUTED_VALUE"""),"Y")</f>
        <v>Y</v>
      </c>
      <c r="M414" s="17"/>
      <c r="N414" s="17" t="str">
        <f>IFERROR(__xludf.DUMMYFUNCTION("""COMPUTED_VALUE"""),"Y")</f>
        <v>Y</v>
      </c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>
      <c r="A415" s="13" t="str">
        <f>IFERROR(__xludf.DUMMYFUNCTION("""COMPUTED_VALUE"""),"2690")</f>
        <v>2690</v>
      </c>
      <c r="B415" s="13" t="str">
        <f>IFERROR(__xludf.DUMMYFUNCTION("""COMPUTED_VALUE"""),"Pueblo City 60")</f>
        <v>Pueblo City 60</v>
      </c>
      <c r="C415" s="13" t="str">
        <f>IFERROR(__xludf.DUMMYFUNCTION("""COMPUTED_VALUE"""),"00756")</f>
        <v>00756</v>
      </c>
      <c r="D415" s="13" t="str">
        <f>IFERROR(__xludf.DUMMYFUNCTION("""COMPUTED_VALUE"""),"BENJAMIN FRANKLIN ELEMENTARY SCHOOL")</f>
        <v>BENJAMIN FRANKLIN ELEMENTARY SCHOOL</v>
      </c>
      <c r="E415" s="13" t="str">
        <f>IFERROR(__xludf.DUMMYFUNCTION("""COMPUTED_VALUE"""),"Open")</f>
        <v>Open</v>
      </c>
      <c r="F415" s="13"/>
      <c r="G415" s="13" t="str">
        <f>IFERROR(__xludf.DUMMYFUNCTION("""COMPUTED_VALUE"""),"1315 HORSESHOE DR")</f>
        <v>1315 HORSESHOE DR</v>
      </c>
      <c r="H415" s="13" t="str">
        <f>IFERROR(__xludf.DUMMYFUNCTION("""COMPUTED_VALUE"""),"PUEBLO")</f>
        <v>PUEBLO</v>
      </c>
      <c r="I415" s="13" t="str">
        <f>IFERROR(__xludf.DUMMYFUNCTION("""COMPUTED_VALUE"""),"CO")</f>
        <v>CO</v>
      </c>
      <c r="J415" s="13" t="str">
        <f>IFERROR(__xludf.DUMMYFUNCTION("""COMPUTED_VALUE"""),"81001-2060")</f>
        <v>81001-2060</v>
      </c>
      <c r="K415" s="13" t="str">
        <f>IFERROR(__xludf.DUMMYFUNCTION("""COMPUTED_VALUE"""),"Pueblo")</f>
        <v>Pueblo</v>
      </c>
      <c r="L415" s="17" t="str">
        <f>IFERROR(__xludf.DUMMYFUNCTION("""COMPUTED_VALUE"""),"Y")</f>
        <v>Y</v>
      </c>
      <c r="M415" s="17"/>
      <c r="N415" s="17" t="str">
        <f>IFERROR(__xludf.DUMMYFUNCTION("""COMPUTED_VALUE"""),"Y")</f>
        <v>Y</v>
      </c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>
      <c r="A416" s="13" t="str">
        <f>IFERROR(__xludf.DUMMYFUNCTION("""COMPUTED_VALUE"""),"2690")</f>
        <v>2690</v>
      </c>
      <c r="B416" s="13" t="str">
        <f>IFERROR(__xludf.DUMMYFUNCTION("""COMPUTED_VALUE"""),"Pueblo City 60")</f>
        <v>Pueblo City 60</v>
      </c>
      <c r="C416" s="13" t="str">
        <f>IFERROR(__xludf.DUMMYFUNCTION("""COMPUTED_VALUE"""),"00822")</f>
        <v>00822</v>
      </c>
      <c r="D416" s="13" t="str">
        <f>IFERROR(__xludf.DUMMYFUNCTION("""COMPUTED_VALUE"""),"BESSEMER ELEMENTARY SCHOOL")</f>
        <v>BESSEMER ELEMENTARY SCHOOL</v>
      </c>
      <c r="E416" s="13" t="str">
        <f>IFERROR(__xludf.DUMMYFUNCTION("""COMPUTED_VALUE"""),"Open")</f>
        <v>Open</v>
      </c>
      <c r="F416" s="13"/>
      <c r="G416" s="13" t="str">
        <f>IFERROR(__xludf.DUMMYFUNCTION("""COMPUTED_VALUE"""),"1125 E ROUTT AVE")</f>
        <v>1125 E ROUTT AVE</v>
      </c>
      <c r="H416" s="13" t="str">
        <f>IFERROR(__xludf.DUMMYFUNCTION("""COMPUTED_VALUE"""),"PUEBLO")</f>
        <v>PUEBLO</v>
      </c>
      <c r="I416" s="13" t="str">
        <f>IFERROR(__xludf.DUMMYFUNCTION("""COMPUTED_VALUE"""),"CO")</f>
        <v>CO</v>
      </c>
      <c r="J416" s="13" t="str">
        <f>IFERROR(__xludf.DUMMYFUNCTION("""COMPUTED_VALUE"""),"81004-2906")</f>
        <v>81004-2906</v>
      </c>
      <c r="K416" s="13" t="str">
        <f>IFERROR(__xludf.DUMMYFUNCTION("""COMPUTED_VALUE"""),"Pueblo")</f>
        <v>Pueblo</v>
      </c>
      <c r="L416" s="17" t="str">
        <f>IFERROR(__xludf.DUMMYFUNCTION("""COMPUTED_VALUE"""),"Y")</f>
        <v>Y</v>
      </c>
      <c r="M416" s="17"/>
      <c r="N416" s="17" t="str">
        <f>IFERROR(__xludf.DUMMYFUNCTION("""COMPUTED_VALUE"""),"Y")</f>
        <v>Y</v>
      </c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>
      <c r="A417" s="13" t="str">
        <f>IFERROR(__xludf.DUMMYFUNCTION("""COMPUTED_VALUE"""),"2690")</f>
        <v>2690</v>
      </c>
      <c r="B417" s="13" t="str">
        <f>IFERROR(__xludf.DUMMYFUNCTION("""COMPUTED_VALUE"""),"Pueblo City 60")</f>
        <v>Pueblo City 60</v>
      </c>
      <c r="C417" s="13" t="str">
        <f>IFERROR(__xludf.DUMMYFUNCTION("""COMPUTED_VALUE"""),"00860")</f>
        <v>00860</v>
      </c>
      <c r="D417" s="13" t="str">
        <f>IFERROR(__xludf.DUMMYFUNCTION("""COMPUTED_VALUE"""),"BEULAH HEIGHTS ELEMENTARY SCHOOL")</f>
        <v>BEULAH HEIGHTS ELEMENTARY SCHOOL</v>
      </c>
      <c r="E417" s="13" t="str">
        <f>IFERROR(__xludf.DUMMYFUNCTION("""COMPUTED_VALUE"""),"Open")</f>
        <v>Open</v>
      </c>
      <c r="F417" s="13"/>
      <c r="G417" s="13" t="str">
        <f>IFERROR(__xludf.DUMMYFUNCTION("""COMPUTED_VALUE"""),"2670 DELPHINIUM ST")</f>
        <v>2670 DELPHINIUM ST</v>
      </c>
      <c r="H417" s="13" t="str">
        <f>IFERROR(__xludf.DUMMYFUNCTION("""COMPUTED_VALUE"""),"PUEBLO")</f>
        <v>PUEBLO</v>
      </c>
      <c r="I417" s="13" t="str">
        <f>IFERROR(__xludf.DUMMYFUNCTION("""COMPUTED_VALUE"""),"CO")</f>
        <v>CO</v>
      </c>
      <c r="J417" s="13" t="str">
        <f>IFERROR(__xludf.DUMMYFUNCTION("""COMPUTED_VALUE"""),"81005-2810")</f>
        <v>81005-2810</v>
      </c>
      <c r="K417" s="13" t="str">
        <f>IFERROR(__xludf.DUMMYFUNCTION("""COMPUTED_VALUE"""),"Pueblo")</f>
        <v>Pueblo</v>
      </c>
      <c r="L417" s="17" t="str">
        <f>IFERROR(__xludf.DUMMYFUNCTION("""COMPUTED_VALUE"""),"Y")</f>
        <v>Y</v>
      </c>
      <c r="M417" s="17"/>
      <c r="N417" s="17" t="str">
        <f>IFERROR(__xludf.DUMMYFUNCTION("""COMPUTED_VALUE"""),"Y")</f>
        <v>Y</v>
      </c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>
      <c r="A418" s="13" t="str">
        <f>IFERROR(__xludf.DUMMYFUNCTION("""COMPUTED_VALUE"""),"2690")</f>
        <v>2690</v>
      </c>
      <c r="B418" s="13" t="str">
        <f>IFERROR(__xludf.DUMMYFUNCTION("""COMPUTED_VALUE"""),"Pueblo City 60")</f>
        <v>Pueblo City 60</v>
      </c>
      <c r="C418" s="13" t="str">
        <f>IFERROR(__xludf.DUMMYFUNCTION("""COMPUTED_VALUE"""),"00954")</f>
        <v>00954</v>
      </c>
      <c r="D418" s="13" t="str">
        <f>IFERROR(__xludf.DUMMYFUNCTION("""COMPUTED_VALUE"""),"BRADFORD ELEMENTARY SCHOOL")</f>
        <v>BRADFORD ELEMENTARY SCHOOL</v>
      </c>
      <c r="E418" s="13" t="str">
        <f>IFERROR(__xludf.DUMMYFUNCTION("""COMPUTED_VALUE"""),"Open")</f>
        <v>Open</v>
      </c>
      <c r="F418" s="13"/>
      <c r="G418" s="13" t="str">
        <f>IFERROR(__xludf.DUMMYFUNCTION("""COMPUTED_VALUE"""),"107 S LA CROSSE AVE")</f>
        <v>107 S LA CROSSE AVE</v>
      </c>
      <c r="H418" s="13" t="str">
        <f>IFERROR(__xludf.DUMMYFUNCTION("""COMPUTED_VALUE"""),"PUEBLO")</f>
        <v>PUEBLO</v>
      </c>
      <c r="I418" s="13" t="str">
        <f>IFERROR(__xludf.DUMMYFUNCTION("""COMPUTED_VALUE"""),"CO")</f>
        <v>CO</v>
      </c>
      <c r="J418" s="13" t="str">
        <f>IFERROR(__xludf.DUMMYFUNCTION("""COMPUTED_VALUE"""),"81001-4428")</f>
        <v>81001-4428</v>
      </c>
      <c r="K418" s="13" t="str">
        <f>IFERROR(__xludf.DUMMYFUNCTION("""COMPUTED_VALUE"""),"Pueblo")</f>
        <v>Pueblo</v>
      </c>
      <c r="L418" s="17" t="str">
        <f>IFERROR(__xludf.DUMMYFUNCTION("""COMPUTED_VALUE"""),"Y")</f>
        <v>Y</v>
      </c>
      <c r="M418" s="17"/>
      <c r="N418" s="17" t="str">
        <f>IFERROR(__xludf.DUMMYFUNCTION("""COMPUTED_VALUE"""),"Y")</f>
        <v>Y</v>
      </c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>
      <c r="A419" s="13" t="str">
        <f>IFERROR(__xludf.DUMMYFUNCTION("""COMPUTED_VALUE"""),"2690")</f>
        <v>2690</v>
      </c>
      <c r="B419" s="13" t="str">
        <f>IFERROR(__xludf.DUMMYFUNCTION("""COMPUTED_VALUE"""),"Pueblo City 60")</f>
        <v>Pueblo City 60</v>
      </c>
      <c r="C419" s="13" t="str">
        <f>IFERROR(__xludf.DUMMYFUNCTION("""COMPUTED_VALUE"""),"01488")</f>
        <v>01488</v>
      </c>
      <c r="D419" s="13" t="str">
        <f>IFERROR(__xludf.DUMMYFUNCTION("""COMPUTED_VALUE"""),"CHAVEZ/HUERTA K-12 PREPARATORY ACADEMY")</f>
        <v>CHAVEZ/HUERTA K-12 PREPARATORY ACADEMY</v>
      </c>
      <c r="E419" s="13" t="str">
        <f>IFERROR(__xludf.DUMMYFUNCTION("""COMPUTED_VALUE"""),"Open")</f>
        <v>Open</v>
      </c>
      <c r="F419" s="13"/>
      <c r="G419" s="13" t="str">
        <f>IFERROR(__xludf.DUMMYFUNCTION("""COMPUTED_VALUE"""),"2500 W 18TH ST")</f>
        <v>2500 W 18TH ST</v>
      </c>
      <c r="H419" s="13" t="str">
        <f>IFERROR(__xludf.DUMMYFUNCTION("""COMPUTED_VALUE"""),"PUEBLO")</f>
        <v>PUEBLO</v>
      </c>
      <c r="I419" s="13" t="str">
        <f>IFERROR(__xludf.DUMMYFUNCTION("""COMPUTED_VALUE"""),"CO")</f>
        <v>CO</v>
      </c>
      <c r="J419" s="13" t="str">
        <f>IFERROR(__xludf.DUMMYFUNCTION("""COMPUTED_VALUE"""),"81003-1152")</f>
        <v>81003-1152</v>
      </c>
      <c r="K419" s="13" t="str">
        <f>IFERROR(__xludf.DUMMYFUNCTION("""COMPUTED_VALUE"""),"Pueblo")</f>
        <v>Pueblo</v>
      </c>
      <c r="L419" s="17" t="str">
        <f>IFERROR(__xludf.DUMMYFUNCTION("""COMPUTED_VALUE"""),"Y")</f>
        <v>Y</v>
      </c>
      <c r="M419" s="17"/>
      <c r="N419" s="17" t="str">
        <f>IFERROR(__xludf.DUMMYFUNCTION("""COMPUTED_VALUE"""),"Y")</f>
        <v>Y</v>
      </c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>
      <c r="A420" s="13" t="str">
        <f>IFERROR(__xludf.DUMMYFUNCTION("""COMPUTED_VALUE"""),"2690")</f>
        <v>2690</v>
      </c>
      <c r="B420" s="13" t="str">
        <f>IFERROR(__xludf.DUMMYFUNCTION("""COMPUTED_VALUE"""),"Pueblo City 60")</f>
        <v>Pueblo City 60</v>
      </c>
      <c r="C420" s="13" t="str">
        <f>IFERROR(__xludf.DUMMYFUNCTION("""COMPUTED_VALUE"""),"01504")</f>
        <v>01504</v>
      </c>
      <c r="D420" s="13" t="str">
        <f>IFERROR(__xludf.DUMMYFUNCTION("""COMPUTED_VALUE"""),"GOODNIGHT ELEMENTARY SCHOOL")</f>
        <v>GOODNIGHT ELEMENTARY SCHOOL</v>
      </c>
      <c r="E420" s="13" t="str">
        <f>IFERROR(__xludf.DUMMYFUNCTION("""COMPUTED_VALUE"""),"Open")</f>
        <v>Open</v>
      </c>
      <c r="F420" s="13"/>
      <c r="G420" s="13" t="str">
        <f>IFERROR(__xludf.DUMMYFUNCTION("""COMPUTED_VALUE"""),"624 WINDY WAY")</f>
        <v>624 WINDY WAY</v>
      </c>
      <c r="H420" s="13" t="str">
        <f>IFERROR(__xludf.DUMMYFUNCTION("""COMPUTED_VALUE"""),"PUEBLO")</f>
        <v>PUEBLO</v>
      </c>
      <c r="I420" s="13" t="str">
        <f>IFERROR(__xludf.DUMMYFUNCTION("""COMPUTED_VALUE"""),"CO")</f>
        <v>CO</v>
      </c>
      <c r="J420" s="13" t="str">
        <f>IFERROR(__xludf.DUMMYFUNCTION("""COMPUTED_VALUE"""),"81005-1424")</f>
        <v>81005-1424</v>
      </c>
      <c r="K420" s="13" t="str">
        <f>IFERROR(__xludf.DUMMYFUNCTION("""COMPUTED_VALUE"""),"Pueblo")</f>
        <v>Pueblo</v>
      </c>
      <c r="L420" s="17" t="str">
        <f>IFERROR(__xludf.DUMMYFUNCTION("""COMPUTED_VALUE"""),"Y")</f>
        <v>Y</v>
      </c>
      <c r="M420" s="17"/>
      <c r="N420" s="17" t="str">
        <f>IFERROR(__xludf.DUMMYFUNCTION("""COMPUTED_VALUE"""),"Y")</f>
        <v>Y</v>
      </c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>
      <c r="A421" s="13" t="str">
        <f>IFERROR(__xludf.DUMMYFUNCTION("""COMPUTED_VALUE"""),"2690")</f>
        <v>2690</v>
      </c>
      <c r="B421" s="13" t="str">
        <f>IFERROR(__xludf.DUMMYFUNCTION("""COMPUTED_VALUE"""),"Pueblo City 60")</f>
        <v>Pueblo City 60</v>
      </c>
      <c r="C421" s="13" t="str">
        <f>IFERROR(__xludf.DUMMYFUNCTION("""COMPUTED_VALUE"""),"01828")</f>
        <v>01828</v>
      </c>
      <c r="D421" s="13" t="str">
        <f>IFERROR(__xludf.DUMMYFUNCTION("""COMPUTED_VALUE"""),"COLUMBIAN ELEMENTARY SCHOOL")</f>
        <v>COLUMBIAN ELEMENTARY SCHOOL</v>
      </c>
      <c r="E421" s="13" t="str">
        <f>IFERROR(__xludf.DUMMYFUNCTION("""COMPUTED_VALUE"""),"Open")</f>
        <v>Open</v>
      </c>
      <c r="F421" s="13"/>
      <c r="G421" s="13" t="str">
        <f>IFERROR(__xludf.DUMMYFUNCTION("""COMPUTED_VALUE"""),"1203 PALMER AVE")</f>
        <v>1203 PALMER AVE</v>
      </c>
      <c r="H421" s="13" t="str">
        <f>IFERROR(__xludf.DUMMYFUNCTION("""COMPUTED_VALUE"""),"PUEBLO")</f>
        <v>PUEBLO</v>
      </c>
      <c r="I421" s="13" t="str">
        <f>IFERROR(__xludf.DUMMYFUNCTION("""COMPUTED_VALUE"""),"CO")</f>
        <v>CO</v>
      </c>
      <c r="J421" s="13" t="str">
        <f>IFERROR(__xludf.DUMMYFUNCTION("""COMPUTED_VALUE"""),"81004-2821")</f>
        <v>81004-2821</v>
      </c>
      <c r="K421" s="13" t="str">
        <f>IFERROR(__xludf.DUMMYFUNCTION("""COMPUTED_VALUE"""),"Pueblo")</f>
        <v>Pueblo</v>
      </c>
      <c r="L421" s="17" t="str">
        <f>IFERROR(__xludf.DUMMYFUNCTION("""COMPUTED_VALUE"""),"Y")</f>
        <v>Y</v>
      </c>
      <c r="M421" s="17"/>
      <c r="N421" s="17" t="str">
        <f>IFERROR(__xludf.DUMMYFUNCTION("""COMPUTED_VALUE"""),"Y")</f>
        <v>Y</v>
      </c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>
      <c r="A422" s="13" t="str">
        <f>IFERROR(__xludf.DUMMYFUNCTION("""COMPUTED_VALUE"""),"2690")</f>
        <v>2690</v>
      </c>
      <c r="B422" s="13" t="str">
        <f>IFERROR(__xludf.DUMMYFUNCTION("""COMPUTED_VALUE"""),"Pueblo City 60")</f>
        <v>Pueblo City 60</v>
      </c>
      <c r="C422" s="13" t="str">
        <f>IFERROR(__xludf.DUMMYFUNCTION("""COMPUTED_VALUE"""),"02394")</f>
        <v>02394</v>
      </c>
      <c r="D422" s="13" t="str">
        <f>IFERROR(__xludf.DUMMYFUNCTION("""COMPUTED_VALUE"""),"EAST HIGH SCHOOL")</f>
        <v>EAST HIGH SCHOOL</v>
      </c>
      <c r="E422" s="13" t="str">
        <f>IFERROR(__xludf.DUMMYFUNCTION("""COMPUTED_VALUE"""),"Closed - Enrolled")</f>
        <v>Closed - Enrolled</v>
      </c>
      <c r="F422" s="13"/>
      <c r="G422" s="13" t="str">
        <f>IFERROR(__xludf.DUMMYFUNCTION("""COMPUTED_VALUE"""),"1521 CONSTITUTION RD")</f>
        <v>1521 CONSTITUTION RD</v>
      </c>
      <c r="H422" s="13" t="str">
        <f>IFERROR(__xludf.DUMMYFUNCTION("""COMPUTED_VALUE"""),"PUEBLO")</f>
        <v>PUEBLO</v>
      </c>
      <c r="I422" s="13" t="str">
        <f>IFERROR(__xludf.DUMMYFUNCTION("""COMPUTED_VALUE"""),"CO")</f>
        <v>CO</v>
      </c>
      <c r="J422" s="13" t="str">
        <f>IFERROR(__xludf.DUMMYFUNCTION("""COMPUTED_VALUE"""),"81001-2108")</f>
        <v>81001-2108</v>
      </c>
      <c r="K422" s="13" t="str">
        <f>IFERROR(__xludf.DUMMYFUNCTION("""COMPUTED_VALUE"""),"Pueblo")</f>
        <v>Pueblo</v>
      </c>
      <c r="L422" s="17" t="str">
        <f>IFERROR(__xludf.DUMMYFUNCTION("""COMPUTED_VALUE"""),"Y")</f>
        <v>Y</v>
      </c>
      <c r="M422" s="17"/>
      <c r="N422" s="17" t="str">
        <f>IFERROR(__xludf.DUMMYFUNCTION("""COMPUTED_VALUE"""),"Y")</f>
        <v>Y</v>
      </c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>
      <c r="A423" s="13" t="str">
        <f>IFERROR(__xludf.DUMMYFUNCTION("""COMPUTED_VALUE"""),"2690")</f>
        <v>2690</v>
      </c>
      <c r="B423" s="13" t="str">
        <f>IFERROR(__xludf.DUMMYFUNCTION("""COMPUTED_VALUE"""),"Pueblo City 60")</f>
        <v>Pueblo City 60</v>
      </c>
      <c r="C423" s="13" t="str">
        <f>IFERROR(__xludf.DUMMYFUNCTION("""COMPUTED_VALUE"""),"02438")</f>
        <v>02438</v>
      </c>
      <c r="D423" s="13" t="str">
        <f>IFERROR(__xludf.DUMMYFUNCTION("""COMPUTED_VALUE"""),"EVA R BACA ELEMENTARY SCHOOL")</f>
        <v>EVA R BACA ELEMENTARY SCHOOL</v>
      </c>
      <c r="E423" s="13" t="str">
        <f>IFERROR(__xludf.DUMMYFUNCTION("""COMPUTED_VALUE"""),"Open")</f>
        <v>Open</v>
      </c>
      <c r="F423" s="13"/>
      <c r="G423" s="13" t="str">
        <f>IFERROR(__xludf.DUMMYFUNCTION("""COMPUTED_VALUE"""),"2800 E 17TH ST")</f>
        <v>2800 E 17TH ST</v>
      </c>
      <c r="H423" s="13" t="str">
        <f>IFERROR(__xludf.DUMMYFUNCTION("""COMPUTED_VALUE"""),"PUEBLO")</f>
        <v>PUEBLO</v>
      </c>
      <c r="I423" s="13" t="str">
        <f>IFERROR(__xludf.DUMMYFUNCTION("""COMPUTED_VALUE"""),"CO")</f>
        <v>CO</v>
      </c>
      <c r="J423" s="13" t="str">
        <f>IFERROR(__xludf.DUMMYFUNCTION("""COMPUTED_VALUE"""),"81001-4741")</f>
        <v>81001-4741</v>
      </c>
      <c r="K423" s="13" t="str">
        <f>IFERROR(__xludf.DUMMYFUNCTION("""COMPUTED_VALUE"""),"Pueblo")</f>
        <v>Pueblo</v>
      </c>
      <c r="L423" s="17" t="str">
        <f>IFERROR(__xludf.DUMMYFUNCTION("""COMPUTED_VALUE"""),"Y")</f>
        <v>Y</v>
      </c>
      <c r="M423" s="17"/>
      <c r="N423" s="17" t="str">
        <f>IFERROR(__xludf.DUMMYFUNCTION("""COMPUTED_VALUE"""),"Y")</f>
        <v>Y</v>
      </c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>
      <c r="A424" s="13" t="str">
        <f>IFERROR(__xludf.DUMMYFUNCTION("""COMPUTED_VALUE"""),"2690")</f>
        <v>2690</v>
      </c>
      <c r="B424" s="13" t="str">
        <f>IFERROR(__xludf.DUMMYFUNCTION("""COMPUTED_VALUE"""),"Pueblo City 60")</f>
        <v>Pueblo City 60</v>
      </c>
      <c r="C424" s="13" t="str">
        <f>IFERROR(__xludf.DUMMYFUNCTION("""COMPUTED_VALUE"""),"03724")</f>
        <v>03724</v>
      </c>
      <c r="D424" s="13" t="str">
        <f>IFERROR(__xludf.DUMMYFUNCTION("""COMPUTED_VALUE"""),"HAAFF ELEMENTARY SCHOOL")</f>
        <v>HAAFF ELEMENTARY SCHOOL</v>
      </c>
      <c r="E424" s="13" t="str">
        <f>IFERROR(__xludf.DUMMYFUNCTION("""COMPUTED_VALUE"""),"Open")</f>
        <v>Open</v>
      </c>
      <c r="F424" s="13"/>
      <c r="G424" s="13" t="str">
        <f>IFERROR(__xludf.DUMMYFUNCTION("""COMPUTED_VALUE"""),"15 CHINOOK LN")</f>
        <v>15 CHINOOK LN</v>
      </c>
      <c r="H424" s="13" t="str">
        <f>IFERROR(__xludf.DUMMYFUNCTION("""COMPUTED_VALUE"""),"PUEBLO")</f>
        <v>PUEBLO</v>
      </c>
      <c r="I424" s="13" t="str">
        <f>IFERROR(__xludf.DUMMYFUNCTION("""COMPUTED_VALUE"""),"CO")</f>
        <v>CO</v>
      </c>
      <c r="J424" s="13" t="str">
        <f>IFERROR(__xludf.DUMMYFUNCTION("""COMPUTED_VALUE"""),"81001-1501")</f>
        <v>81001-1501</v>
      </c>
      <c r="K424" s="13" t="str">
        <f>IFERROR(__xludf.DUMMYFUNCTION("""COMPUTED_VALUE"""),"Pueblo")</f>
        <v>Pueblo</v>
      </c>
      <c r="L424" s="17" t="str">
        <f>IFERROR(__xludf.DUMMYFUNCTION("""COMPUTED_VALUE"""),"Y")</f>
        <v>Y</v>
      </c>
      <c r="M424" s="17"/>
      <c r="N424" s="17" t="str">
        <f>IFERROR(__xludf.DUMMYFUNCTION("""COMPUTED_VALUE"""),"Y")</f>
        <v>Y</v>
      </c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>
      <c r="A425" s="13" t="str">
        <f>IFERROR(__xludf.DUMMYFUNCTION("""COMPUTED_VALUE"""),"2690")</f>
        <v>2690</v>
      </c>
      <c r="B425" s="13" t="str">
        <f>IFERROR(__xludf.DUMMYFUNCTION("""COMPUTED_VALUE"""),"Pueblo City 60")</f>
        <v>Pueblo City 60</v>
      </c>
      <c r="C425" s="13" t="str">
        <f>IFERROR(__xludf.DUMMYFUNCTION("""COMPUTED_VALUE"""),"03924")</f>
        <v>03924</v>
      </c>
      <c r="D425" s="13" t="str">
        <f>IFERROR(__xludf.DUMMYFUNCTION("""COMPUTED_VALUE"""),"HERITAGE ELEMENTARY SCHOOL")</f>
        <v>HERITAGE ELEMENTARY SCHOOL</v>
      </c>
      <c r="E425" s="13" t="str">
        <f>IFERROR(__xludf.DUMMYFUNCTION("""COMPUTED_VALUE"""),"Open")</f>
        <v>Open</v>
      </c>
      <c r="F425" s="13"/>
      <c r="G425" s="13" t="str">
        <f>IFERROR(__xludf.DUMMYFUNCTION("""COMPUTED_VALUE"""),"625 BROWN AVE")</f>
        <v>625 BROWN AVE</v>
      </c>
      <c r="H425" s="13" t="str">
        <f>IFERROR(__xludf.DUMMYFUNCTION("""COMPUTED_VALUE"""),"PUEBLO")</f>
        <v>PUEBLO</v>
      </c>
      <c r="I425" s="13" t="str">
        <f>IFERROR(__xludf.DUMMYFUNCTION("""COMPUTED_VALUE"""),"CO")</f>
        <v>CO</v>
      </c>
      <c r="J425" s="13" t="str">
        <f>IFERROR(__xludf.DUMMYFUNCTION("""COMPUTED_VALUE"""),"81004-1658")</f>
        <v>81004-1658</v>
      </c>
      <c r="K425" s="13" t="str">
        <f>IFERROR(__xludf.DUMMYFUNCTION("""COMPUTED_VALUE"""),"Pueblo")</f>
        <v>Pueblo</v>
      </c>
      <c r="L425" s="17" t="str">
        <f>IFERROR(__xludf.DUMMYFUNCTION("""COMPUTED_VALUE"""),"Y")</f>
        <v>Y</v>
      </c>
      <c r="M425" s="17"/>
      <c r="N425" s="17" t="str">
        <f>IFERROR(__xludf.DUMMYFUNCTION("""COMPUTED_VALUE"""),"Y")</f>
        <v>Y</v>
      </c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>
      <c r="A426" s="13" t="str">
        <f>IFERROR(__xludf.DUMMYFUNCTION("""COMPUTED_VALUE"""),"2690")</f>
        <v>2690</v>
      </c>
      <c r="B426" s="13" t="str">
        <f>IFERROR(__xludf.DUMMYFUNCTION("""COMPUTED_VALUE"""),"Pueblo City 60")</f>
        <v>Pueblo City 60</v>
      </c>
      <c r="C426" s="13" t="str">
        <f>IFERROR(__xludf.DUMMYFUNCTION("""COMPUTED_VALUE"""),"03976")</f>
        <v>03976</v>
      </c>
      <c r="D426" s="13" t="str">
        <f>IFERROR(__xludf.DUMMYFUNCTION("""COMPUTED_VALUE"""),"HIGHLAND PARK ELEMENTARY SCHOOL")</f>
        <v>HIGHLAND PARK ELEMENTARY SCHOOL</v>
      </c>
      <c r="E426" s="13" t="str">
        <f>IFERROR(__xludf.DUMMYFUNCTION("""COMPUTED_VALUE"""),"Open")</f>
        <v>Open</v>
      </c>
      <c r="F426" s="13"/>
      <c r="G426" s="13" t="str">
        <f>IFERROR(__xludf.DUMMYFUNCTION("""COMPUTED_VALUE"""),"2701 VINEWOOD LN")</f>
        <v>2701 VINEWOOD LN</v>
      </c>
      <c r="H426" s="13" t="str">
        <f>IFERROR(__xludf.DUMMYFUNCTION("""COMPUTED_VALUE"""),"PUEBLO")</f>
        <v>PUEBLO</v>
      </c>
      <c r="I426" s="13" t="str">
        <f>IFERROR(__xludf.DUMMYFUNCTION("""COMPUTED_VALUE"""),"CO")</f>
        <v>CO</v>
      </c>
      <c r="J426" s="13" t="str">
        <f>IFERROR(__xludf.DUMMYFUNCTION("""COMPUTED_VALUE"""),"81005-3021")</f>
        <v>81005-3021</v>
      </c>
      <c r="K426" s="13" t="str">
        <f>IFERROR(__xludf.DUMMYFUNCTION("""COMPUTED_VALUE"""),"Pueblo")</f>
        <v>Pueblo</v>
      </c>
      <c r="L426" s="17" t="str">
        <f>IFERROR(__xludf.DUMMYFUNCTION("""COMPUTED_VALUE"""),"Y")</f>
        <v>Y</v>
      </c>
      <c r="M426" s="17"/>
      <c r="N426" s="17" t="str">
        <f>IFERROR(__xludf.DUMMYFUNCTION("""COMPUTED_VALUE"""),"Y")</f>
        <v>Y</v>
      </c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>
      <c r="A427" s="13" t="str">
        <f>IFERROR(__xludf.DUMMYFUNCTION("""COMPUTED_VALUE"""),"2690")</f>
        <v>2690</v>
      </c>
      <c r="B427" s="13" t="str">
        <f>IFERROR(__xludf.DUMMYFUNCTION("""COMPUTED_VALUE"""),"Pueblo City 60")</f>
        <v>Pueblo City 60</v>
      </c>
      <c r="C427" s="13" t="str">
        <f>IFERROR(__xludf.DUMMYFUNCTION("""COMPUTED_VALUE"""),"04302")</f>
        <v>04302</v>
      </c>
      <c r="D427" s="13" t="str">
        <f>IFERROR(__xludf.DUMMYFUNCTION("""COMPUTED_VALUE"""),"IRVING ELEMENTARY SCHOOL")</f>
        <v>IRVING ELEMENTARY SCHOOL</v>
      </c>
      <c r="E427" s="13" t="str">
        <f>IFERROR(__xludf.DUMMYFUNCTION("""COMPUTED_VALUE"""),"Open")</f>
        <v>Open</v>
      </c>
      <c r="F427" s="13"/>
      <c r="G427" s="13" t="str">
        <f>IFERROR(__xludf.DUMMYFUNCTION("""COMPUTED_VALUE"""),"1629 W 21ST ST")</f>
        <v>1629 W 21ST ST</v>
      </c>
      <c r="H427" s="13" t="str">
        <f>IFERROR(__xludf.DUMMYFUNCTION("""COMPUTED_VALUE"""),"PUEBLO")</f>
        <v>PUEBLO</v>
      </c>
      <c r="I427" s="13" t="str">
        <f>IFERROR(__xludf.DUMMYFUNCTION("""COMPUTED_VALUE"""),"CO")</f>
        <v>CO</v>
      </c>
      <c r="J427" s="13" t="str">
        <f>IFERROR(__xludf.DUMMYFUNCTION("""COMPUTED_VALUE"""),"81003-1528")</f>
        <v>81003-1528</v>
      </c>
      <c r="K427" s="13" t="str">
        <f>IFERROR(__xludf.DUMMYFUNCTION("""COMPUTED_VALUE"""),"Pueblo")</f>
        <v>Pueblo</v>
      </c>
      <c r="L427" s="17" t="str">
        <f>IFERROR(__xludf.DUMMYFUNCTION("""COMPUTED_VALUE"""),"Y")</f>
        <v>Y</v>
      </c>
      <c r="M427" s="17"/>
      <c r="N427" s="17" t="str">
        <f>IFERROR(__xludf.DUMMYFUNCTION("""COMPUTED_VALUE"""),"Y")</f>
        <v>Y</v>
      </c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>
      <c r="A428" s="13" t="str">
        <f>IFERROR(__xludf.DUMMYFUNCTION("""COMPUTED_VALUE"""),"2690")</f>
        <v>2690</v>
      </c>
      <c r="B428" s="13" t="str">
        <f>IFERROR(__xludf.DUMMYFUNCTION("""COMPUTED_VALUE"""),"Pueblo City 60")</f>
        <v>Pueblo City 60</v>
      </c>
      <c r="C428" s="13" t="str">
        <f>IFERROR(__xludf.DUMMYFUNCTION("""COMPUTED_VALUE"""),"04376")</f>
        <v>04376</v>
      </c>
      <c r="D428" s="13" t="str">
        <f>IFERROR(__xludf.DUMMYFUNCTION("""COMPUTED_VALUE"""),"RISLEY INTERNATIONAL ACADEMY OF INNOVATION")</f>
        <v>RISLEY INTERNATIONAL ACADEMY OF INNOVATION</v>
      </c>
      <c r="E428" s="13" t="str">
        <f>IFERROR(__xludf.DUMMYFUNCTION("""COMPUTED_VALUE"""),"Open")</f>
        <v>Open</v>
      </c>
      <c r="F428" s="13"/>
      <c r="G428" s="13" t="str">
        <f>IFERROR(__xludf.DUMMYFUNCTION("""COMPUTED_VALUE"""),"625 N MONUMENT AVE")</f>
        <v>625 N MONUMENT AVE</v>
      </c>
      <c r="H428" s="13" t="str">
        <f>IFERROR(__xludf.DUMMYFUNCTION("""COMPUTED_VALUE"""),"PUEBLO")</f>
        <v>PUEBLO</v>
      </c>
      <c r="I428" s="13" t="str">
        <f>IFERROR(__xludf.DUMMYFUNCTION("""COMPUTED_VALUE"""),"CO")</f>
        <v>CO</v>
      </c>
      <c r="J428" s="13" t="str">
        <f>IFERROR(__xludf.DUMMYFUNCTION("""COMPUTED_VALUE"""),"81001-5706")</f>
        <v>81001-5706</v>
      </c>
      <c r="K428" s="13" t="str">
        <f>IFERROR(__xludf.DUMMYFUNCTION("""COMPUTED_VALUE"""),"Pueblo")</f>
        <v>Pueblo</v>
      </c>
      <c r="L428" s="17" t="str">
        <f>IFERROR(__xludf.DUMMYFUNCTION("""COMPUTED_VALUE"""),"Y")</f>
        <v>Y</v>
      </c>
      <c r="M428" s="17"/>
      <c r="N428" s="17" t="str">
        <f>IFERROR(__xludf.DUMMYFUNCTION("""COMPUTED_VALUE"""),"Y")</f>
        <v>Y</v>
      </c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>
      <c r="A429" s="13" t="str">
        <f>IFERROR(__xludf.DUMMYFUNCTION("""COMPUTED_VALUE"""),"2690")</f>
        <v>2690</v>
      </c>
      <c r="B429" s="13" t="str">
        <f>IFERROR(__xludf.DUMMYFUNCTION("""COMPUTED_VALUE"""),"Pueblo City 60")</f>
        <v>Pueblo City 60</v>
      </c>
      <c r="C429" s="13" t="str">
        <f>IFERROR(__xludf.DUMMYFUNCTION("""COMPUTED_VALUE"""),"05048")</f>
        <v>05048</v>
      </c>
      <c r="D429" s="13" t="str">
        <f>IFERROR(__xludf.DUMMYFUNCTION("""COMPUTED_VALUE"""),"PUEBLO ACADEMY OF ARTS")</f>
        <v>PUEBLO ACADEMY OF ARTS</v>
      </c>
      <c r="E429" s="13" t="str">
        <f>IFERROR(__xludf.DUMMYFUNCTION("""COMPUTED_VALUE"""),"Open")</f>
        <v>Open</v>
      </c>
      <c r="F429" s="13"/>
      <c r="G429" s="13" t="str">
        <f>IFERROR(__xludf.DUMMYFUNCTION("""COMPUTED_VALUE"""),"29 LEHIGH AVE")</f>
        <v>29 LEHIGH AVE</v>
      </c>
      <c r="H429" s="13" t="str">
        <f>IFERROR(__xludf.DUMMYFUNCTION("""COMPUTED_VALUE"""),"PUEBLO")</f>
        <v>PUEBLO</v>
      </c>
      <c r="I429" s="13" t="str">
        <f>IFERROR(__xludf.DUMMYFUNCTION("""COMPUTED_VALUE"""),"CO")</f>
        <v>CO</v>
      </c>
      <c r="J429" s="13" t="str">
        <f>IFERROR(__xludf.DUMMYFUNCTION("""COMPUTED_VALUE"""),"81005-1961")</f>
        <v>81005-1961</v>
      </c>
      <c r="K429" s="13" t="str">
        <f>IFERROR(__xludf.DUMMYFUNCTION("""COMPUTED_VALUE"""),"Pueblo")</f>
        <v>Pueblo</v>
      </c>
      <c r="L429" s="17" t="str">
        <f>IFERROR(__xludf.DUMMYFUNCTION("""COMPUTED_VALUE"""),"Y")</f>
        <v>Y</v>
      </c>
      <c r="M429" s="17"/>
      <c r="N429" s="17" t="str">
        <f>IFERROR(__xludf.DUMMYFUNCTION("""COMPUTED_VALUE"""),"Y")</f>
        <v>Y</v>
      </c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>
      <c r="A430" s="13" t="str">
        <f>IFERROR(__xludf.DUMMYFUNCTION("""COMPUTED_VALUE"""),"2690")</f>
        <v>2690</v>
      </c>
      <c r="B430" s="13" t="str">
        <f>IFERROR(__xludf.DUMMYFUNCTION("""COMPUTED_VALUE"""),"Pueblo City 60")</f>
        <v>Pueblo City 60</v>
      </c>
      <c r="C430" s="13" t="str">
        <f>IFERROR(__xludf.DUMMYFUNCTION("""COMPUTED_VALUE"""),"05916")</f>
        <v>05916</v>
      </c>
      <c r="D430" s="13" t="str">
        <f>IFERROR(__xludf.DUMMYFUNCTION("""COMPUTED_VALUE"""),"MINNEQUA ELEMENTARY SCHOOL")</f>
        <v>MINNEQUA ELEMENTARY SCHOOL</v>
      </c>
      <c r="E430" s="13" t="str">
        <f>IFERROR(__xludf.DUMMYFUNCTION("""COMPUTED_VALUE"""),"Open")</f>
        <v>Open</v>
      </c>
      <c r="F430" s="13"/>
      <c r="G430" s="13" t="str">
        <f>IFERROR(__xludf.DUMMYFUNCTION("""COMPUTED_VALUE"""),"1708 E ORMAN AVE")</f>
        <v>1708 E ORMAN AVE</v>
      </c>
      <c r="H430" s="13" t="str">
        <f>IFERROR(__xludf.DUMMYFUNCTION("""COMPUTED_VALUE"""),"PUEBLO")</f>
        <v>PUEBLO</v>
      </c>
      <c r="I430" s="13" t="str">
        <f>IFERROR(__xludf.DUMMYFUNCTION("""COMPUTED_VALUE"""),"CO")</f>
        <v>CO</v>
      </c>
      <c r="J430" s="13" t="str">
        <f>IFERROR(__xludf.DUMMYFUNCTION("""COMPUTED_VALUE"""),"81004-3326")</f>
        <v>81004-3326</v>
      </c>
      <c r="K430" s="13" t="str">
        <f>IFERROR(__xludf.DUMMYFUNCTION("""COMPUTED_VALUE"""),"Pueblo")</f>
        <v>Pueblo</v>
      </c>
      <c r="L430" s="17" t="str">
        <f>IFERROR(__xludf.DUMMYFUNCTION("""COMPUTED_VALUE"""),"Y")</f>
        <v>Y</v>
      </c>
      <c r="M430" s="17"/>
      <c r="N430" s="17" t="str">
        <f>IFERROR(__xludf.DUMMYFUNCTION("""COMPUTED_VALUE"""),"Y")</f>
        <v>Y</v>
      </c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>
      <c r="A431" s="13" t="str">
        <f>IFERROR(__xludf.DUMMYFUNCTION("""COMPUTED_VALUE"""),"2690")</f>
        <v>2690</v>
      </c>
      <c r="B431" s="13" t="str">
        <f>IFERROR(__xludf.DUMMYFUNCTION("""COMPUTED_VALUE"""),"Pueblo City 60")</f>
        <v>Pueblo City 60</v>
      </c>
      <c r="C431" s="13" t="str">
        <f>IFERROR(__xludf.DUMMYFUNCTION("""COMPUTED_VALUE"""),"06132")</f>
        <v>06132</v>
      </c>
      <c r="D431" s="13" t="str">
        <f>IFERROR(__xludf.DUMMYFUNCTION("""COMPUTED_VALUE"""),"MORTON ELEMENTARY SCHOOL")</f>
        <v>MORTON ELEMENTARY SCHOOL</v>
      </c>
      <c r="E431" s="13" t="str">
        <f>IFERROR(__xludf.DUMMYFUNCTION("""COMPUTED_VALUE"""),"Open")</f>
        <v>Open</v>
      </c>
      <c r="F431" s="13"/>
      <c r="G431" s="13" t="str">
        <f>IFERROR(__xludf.DUMMYFUNCTION("""COMPUTED_VALUE"""),"1900 W 31ST ST")</f>
        <v>1900 W 31ST ST</v>
      </c>
      <c r="H431" s="13" t="str">
        <f>IFERROR(__xludf.DUMMYFUNCTION("""COMPUTED_VALUE"""),"PUEBLO")</f>
        <v>PUEBLO</v>
      </c>
      <c r="I431" s="13" t="str">
        <f>IFERROR(__xludf.DUMMYFUNCTION("""COMPUTED_VALUE"""),"CO")</f>
        <v>CO</v>
      </c>
      <c r="J431" s="13" t="str">
        <f>IFERROR(__xludf.DUMMYFUNCTION("""COMPUTED_VALUE"""),"81008-1308")</f>
        <v>81008-1308</v>
      </c>
      <c r="K431" s="13" t="str">
        <f>IFERROR(__xludf.DUMMYFUNCTION("""COMPUTED_VALUE"""),"Pueblo")</f>
        <v>Pueblo</v>
      </c>
      <c r="L431" s="17" t="str">
        <f>IFERROR(__xludf.DUMMYFUNCTION("""COMPUTED_VALUE"""),"Y")</f>
        <v>Y</v>
      </c>
      <c r="M431" s="17"/>
      <c r="N431" s="17" t="str">
        <f>IFERROR(__xludf.DUMMYFUNCTION("""COMPUTED_VALUE"""),"Y")</f>
        <v>Y</v>
      </c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>
      <c r="A432" s="13" t="str">
        <f>IFERROR(__xludf.DUMMYFUNCTION("""COMPUTED_VALUE"""),"2690")</f>
        <v>2690</v>
      </c>
      <c r="B432" s="13" t="str">
        <f>IFERROR(__xludf.DUMMYFUNCTION("""COMPUTED_VALUE"""),"Pueblo City 60")</f>
        <v>Pueblo City 60</v>
      </c>
      <c r="C432" s="13" t="str">
        <f>IFERROR(__xludf.DUMMYFUNCTION("""COMPUTED_VALUE"""),"06770")</f>
        <v>06770</v>
      </c>
      <c r="D432" s="13" t="str">
        <f>IFERROR(__xludf.DUMMYFUNCTION("""COMPUTED_VALUE"""),"PARK VIEW ELEMENTARY SCHOOL")</f>
        <v>PARK VIEW ELEMENTARY SCHOOL</v>
      </c>
      <c r="E432" s="13" t="str">
        <f>IFERROR(__xludf.DUMMYFUNCTION("""COMPUTED_VALUE"""),"Open")</f>
        <v>Open</v>
      </c>
      <c r="F432" s="13"/>
      <c r="G432" s="13" t="str">
        <f>IFERROR(__xludf.DUMMYFUNCTION("""COMPUTED_VALUE"""),"1327 E 9TH ST")</f>
        <v>1327 E 9TH ST</v>
      </c>
      <c r="H432" s="13" t="str">
        <f>IFERROR(__xludf.DUMMYFUNCTION("""COMPUTED_VALUE"""),"PUEBLO")</f>
        <v>PUEBLO</v>
      </c>
      <c r="I432" s="13" t="str">
        <f>IFERROR(__xludf.DUMMYFUNCTION("""COMPUTED_VALUE"""),"CO")</f>
        <v>CO</v>
      </c>
      <c r="J432" s="13" t="str">
        <f>IFERROR(__xludf.DUMMYFUNCTION("""COMPUTED_VALUE"""),"81001-3140")</f>
        <v>81001-3140</v>
      </c>
      <c r="K432" s="13" t="str">
        <f>IFERROR(__xludf.DUMMYFUNCTION("""COMPUTED_VALUE"""),"Pueblo")</f>
        <v>Pueblo</v>
      </c>
      <c r="L432" s="17" t="str">
        <f>IFERROR(__xludf.DUMMYFUNCTION("""COMPUTED_VALUE"""),"Y")</f>
        <v>Y</v>
      </c>
      <c r="M432" s="17"/>
      <c r="N432" s="17" t="str">
        <f>IFERROR(__xludf.DUMMYFUNCTION("""COMPUTED_VALUE"""),"Y")</f>
        <v>Y</v>
      </c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>
      <c r="A433" s="13" t="str">
        <f>IFERROR(__xludf.DUMMYFUNCTION("""COMPUTED_VALUE"""),"2690")</f>
        <v>2690</v>
      </c>
      <c r="B433" s="13" t="str">
        <f>IFERROR(__xludf.DUMMYFUNCTION("""COMPUTED_VALUE"""),"Pueblo City 60")</f>
        <v>Pueblo City 60</v>
      </c>
      <c r="C433" s="13" t="str">
        <f>IFERROR(__xludf.DUMMYFUNCTION("""COMPUTED_VALUE"""),"07217")</f>
        <v>07217</v>
      </c>
      <c r="D433" s="13" t="str">
        <f>IFERROR(__xludf.DUMMYFUNCTION("""COMPUTED_VALUE"""),"Nettie S. Freed K-8 Expeditionary School")</f>
        <v>Nettie S. Freed K-8 Expeditionary School</v>
      </c>
      <c r="E433" s="13" t="str">
        <f>IFERROR(__xludf.DUMMYFUNCTION("""COMPUTED_VALUE"""),"Open")</f>
        <v>Open</v>
      </c>
      <c r="F433" s="13"/>
      <c r="G433" s="13" t="str">
        <f>IFERROR(__xludf.DUMMYFUNCTION("""COMPUTED_VALUE"""),"715 W 20TH ST")</f>
        <v>715 W 20TH ST</v>
      </c>
      <c r="H433" s="13" t="str">
        <f>IFERROR(__xludf.DUMMYFUNCTION("""COMPUTED_VALUE"""),"PUEBLO")</f>
        <v>PUEBLO</v>
      </c>
      <c r="I433" s="13" t="str">
        <f>IFERROR(__xludf.DUMMYFUNCTION("""COMPUTED_VALUE"""),"CO")</f>
        <v>CO</v>
      </c>
      <c r="J433" s="13" t="str">
        <f>IFERROR(__xludf.DUMMYFUNCTION("""COMPUTED_VALUE"""),"81003-4052")</f>
        <v>81003-4052</v>
      </c>
      <c r="K433" s="13" t="str">
        <f>IFERROR(__xludf.DUMMYFUNCTION("""COMPUTED_VALUE"""),"Pueblo")</f>
        <v>Pueblo</v>
      </c>
      <c r="L433" s="17" t="str">
        <f>IFERROR(__xludf.DUMMYFUNCTION("""COMPUTED_VALUE"""),"Y")</f>
        <v>Y</v>
      </c>
      <c r="M433" s="17"/>
      <c r="N433" s="17" t="str">
        <f>IFERROR(__xludf.DUMMYFUNCTION("""COMPUTED_VALUE"""),"Y")</f>
        <v>Y</v>
      </c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>
      <c r="A434" s="13" t="str">
        <f>IFERROR(__xludf.DUMMYFUNCTION("""COMPUTED_VALUE"""),"2690")</f>
        <v>2690</v>
      </c>
      <c r="B434" s="13" t="str">
        <f>IFERROR(__xludf.DUMMYFUNCTION("""COMPUTED_VALUE"""),"Pueblo City 60")</f>
        <v>Pueblo City 60</v>
      </c>
      <c r="C434" s="13" t="str">
        <f>IFERROR(__xludf.DUMMYFUNCTION("""COMPUTED_VALUE"""),"08116")</f>
        <v>08116</v>
      </c>
      <c r="D434" s="13" t="str">
        <f>IFERROR(__xludf.DUMMYFUNCTION("""COMPUTED_VALUE"""),"SOUTH PARK ELEMENTARY SCHOOL")</f>
        <v>SOUTH PARK ELEMENTARY SCHOOL</v>
      </c>
      <c r="E434" s="13" t="str">
        <f>IFERROR(__xludf.DUMMYFUNCTION("""COMPUTED_VALUE"""),"Open")</f>
        <v>Open</v>
      </c>
      <c r="F434" s="13"/>
      <c r="G434" s="13" t="str">
        <f>IFERROR(__xludf.DUMMYFUNCTION("""COMPUTED_VALUE"""),"3100 HOLLYWOOD DR")</f>
        <v>3100 HOLLYWOOD DR</v>
      </c>
      <c r="H434" s="13" t="str">
        <f>IFERROR(__xludf.DUMMYFUNCTION("""COMPUTED_VALUE"""),"PUEBLO")</f>
        <v>PUEBLO</v>
      </c>
      <c r="I434" s="13" t="str">
        <f>IFERROR(__xludf.DUMMYFUNCTION("""COMPUTED_VALUE"""),"CO")</f>
        <v>CO</v>
      </c>
      <c r="J434" s="13" t="str">
        <f>IFERROR(__xludf.DUMMYFUNCTION("""COMPUTED_VALUE"""),"81005-3032")</f>
        <v>81005-3032</v>
      </c>
      <c r="K434" s="13" t="str">
        <f>IFERROR(__xludf.DUMMYFUNCTION("""COMPUTED_VALUE"""),"Pueblo")</f>
        <v>Pueblo</v>
      </c>
      <c r="L434" s="17" t="str">
        <f>IFERROR(__xludf.DUMMYFUNCTION("""COMPUTED_VALUE"""),"Y")</f>
        <v>Y</v>
      </c>
      <c r="M434" s="17"/>
      <c r="N434" s="17" t="str">
        <f>IFERROR(__xludf.DUMMYFUNCTION("""COMPUTED_VALUE"""),"Y")</f>
        <v>Y</v>
      </c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>
      <c r="A435" s="13" t="str">
        <f>IFERROR(__xludf.DUMMYFUNCTION("""COMPUTED_VALUE"""),"2690")</f>
        <v>2690</v>
      </c>
      <c r="B435" s="13" t="str">
        <f>IFERROR(__xludf.DUMMYFUNCTION("""COMPUTED_VALUE"""),"Pueblo City 60")</f>
        <v>Pueblo City 60</v>
      </c>
      <c r="C435" s="13" t="str">
        <f>IFERROR(__xludf.DUMMYFUNCTION("""COMPUTED_VALUE"""),"08402")</f>
        <v>08402</v>
      </c>
      <c r="D435" s="13" t="str">
        <f>IFERROR(__xludf.DUMMYFUNCTION("""COMPUTED_VALUE"""),"SUNSET PARK ELEMENTARY SCHOOL")</f>
        <v>SUNSET PARK ELEMENTARY SCHOOL</v>
      </c>
      <c r="E435" s="13" t="str">
        <f>IFERROR(__xludf.DUMMYFUNCTION("""COMPUTED_VALUE"""),"Open")</f>
        <v>Open</v>
      </c>
      <c r="F435" s="13"/>
      <c r="G435" s="13" t="str">
        <f>IFERROR(__xludf.DUMMYFUNCTION("""COMPUTED_VALUE"""),"110 UNIVERSITY CIR")</f>
        <v>110 UNIVERSITY CIR</v>
      </c>
      <c r="H435" s="13" t="str">
        <f>IFERROR(__xludf.DUMMYFUNCTION("""COMPUTED_VALUE"""),"PUEBLO")</f>
        <v>PUEBLO</v>
      </c>
      <c r="I435" s="13" t="str">
        <f>IFERROR(__xludf.DUMMYFUNCTION("""COMPUTED_VALUE"""),"CO")</f>
        <v>CO</v>
      </c>
      <c r="J435" s="13" t="str">
        <f>IFERROR(__xludf.DUMMYFUNCTION("""COMPUTED_VALUE"""),"81005-1620")</f>
        <v>81005-1620</v>
      </c>
      <c r="K435" s="13" t="str">
        <f>IFERROR(__xludf.DUMMYFUNCTION("""COMPUTED_VALUE"""),"Pueblo")</f>
        <v>Pueblo</v>
      </c>
      <c r="L435" s="17" t="str">
        <f>IFERROR(__xludf.DUMMYFUNCTION("""COMPUTED_VALUE"""),"Y")</f>
        <v>Y</v>
      </c>
      <c r="M435" s="17"/>
      <c r="N435" s="17" t="str">
        <f>IFERROR(__xludf.DUMMYFUNCTION("""COMPUTED_VALUE"""),"Y")</f>
        <v>Y</v>
      </c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>
      <c r="A436" s="13" t="str">
        <f>IFERROR(__xludf.DUMMYFUNCTION("""COMPUTED_VALUE"""),"2690")</f>
        <v>2690</v>
      </c>
      <c r="B436" s="13" t="str">
        <f>IFERROR(__xludf.DUMMYFUNCTION("""COMPUTED_VALUE"""),"Pueblo City 60")</f>
        <v>Pueblo City 60</v>
      </c>
      <c r="C436" s="13" t="str">
        <f>IFERROR(__xludf.DUMMYFUNCTION("""COMPUTED_VALUE"""),"09796")</f>
        <v>09796</v>
      </c>
      <c r="D436" s="13" t="str">
        <f>IFERROR(__xludf.DUMMYFUNCTION("""COMPUTED_VALUE"""),"Lamb Pueblo City Count Library")</f>
        <v>Lamb Pueblo City Count Library</v>
      </c>
      <c r="E436" s="13" t="str">
        <f>IFERROR(__xludf.DUMMYFUNCTION("""COMPUTED_VALUE"""),"Open")</f>
        <v>Open</v>
      </c>
      <c r="F436" s="13"/>
      <c r="G436" s="13" t="str">
        <f>IFERROR(__xludf.DUMMYFUNCTION("""COMPUTED_VALUE"""),"2525 S PUEBLO BLVD")</f>
        <v>2525 S PUEBLO BLVD</v>
      </c>
      <c r="H436" s="13" t="str">
        <f>IFERROR(__xludf.DUMMYFUNCTION("""COMPUTED_VALUE"""),"PUEBLO")</f>
        <v>PUEBLO</v>
      </c>
      <c r="I436" s="13" t="str">
        <f>IFERROR(__xludf.DUMMYFUNCTION("""COMPUTED_VALUE"""),"CO")</f>
        <v>CO</v>
      </c>
      <c r="J436" s="13" t="str">
        <f>IFERROR(__xludf.DUMMYFUNCTION("""COMPUTED_VALUE"""),"81005-5800")</f>
        <v>81005-5800</v>
      </c>
      <c r="K436" s="13" t="str">
        <f>IFERROR(__xludf.DUMMYFUNCTION("""COMPUTED_VALUE"""),"Pueblo")</f>
        <v>Pueblo</v>
      </c>
      <c r="L436" s="17"/>
      <c r="M436" s="17"/>
      <c r="N436" s="17" t="str">
        <f>IFERROR(__xludf.DUMMYFUNCTION("""COMPUTED_VALUE"""),"Y")</f>
        <v>Y</v>
      </c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>
      <c r="A437" s="13" t="str">
        <f>IFERROR(__xludf.DUMMYFUNCTION("""COMPUTED_VALUE"""),"2690")</f>
        <v>2690</v>
      </c>
      <c r="B437" s="13" t="str">
        <f>IFERROR(__xludf.DUMMYFUNCTION("""COMPUTED_VALUE"""),"Pueblo City 60")</f>
        <v>Pueblo City 60</v>
      </c>
      <c r="C437" s="13" t="str">
        <f>IFERROR(__xludf.DUMMYFUNCTION("""COMPUTED_VALUE"""),"09797")</f>
        <v>09797</v>
      </c>
      <c r="D437" s="13" t="str">
        <f>IFERROR(__xludf.DUMMYFUNCTION("""COMPUTED_VALUE"""),"YMCA Main")</f>
        <v>YMCA Main</v>
      </c>
      <c r="E437" s="13" t="str">
        <f>IFERROR(__xludf.DUMMYFUNCTION("""COMPUTED_VALUE"""),"Open")</f>
        <v>Open</v>
      </c>
      <c r="F437" s="13"/>
      <c r="G437" s="13" t="str">
        <f>IFERROR(__xludf.DUMMYFUNCTION("""COMPUTED_VALUE"""),"3200 E SPAULDING AVE")</f>
        <v>3200 E SPAULDING AVE</v>
      </c>
      <c r="H437" s="13" t="str">
        <f>IFERROR(__xludf.DUMMYFUNCTION("""COMPUTED_VALUE"""),"PUEBLO")</f>
        <v>PUEBLO</v>
      </c>
      <c r="I437" s="13" t="str">
        <f>IFERROR(__xludf.DUMMYFUNCTION("""COMPUTED_VALUE"""),"CO")</f>
        <v>CO</v>
      </c>
      <c r="J437" s="13" t="str">
        <f>IFERROR(__xludf.DUMMYFUNCTION("""COMPUTED_VALUE"""),"81008-2279")</f>
        <v>81008-2279</v>
      </c>
      <c r="K437" s="13" t="str">
        <f>IFERROR(__xludf.DUMMYFUNCTION("""COMPUTED_VALUE"""),"Pueblo")</f>
        <v>Pueblo</v>
      </c>
      <c r="L437" s="17"/>
      <c r="M437" s="17"/>
      <c r="N437" s="17" t="str">
        <f>IFERROR(__xludf.DUMMYFUNCTION("""COMPUTED_VALUE"""),"Y")</f>
        <v>Y</v>
      </c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>
      <c r="A438" s="13" t="str">
        <f>IFERROR(__xludf.DUMMYFUNCTION("""COMPUTED_VALUE"""),"2690")</f>
        <v>2690</v>
      </c>
      <c r="B438" s="13" t="str">
        <f>IFERROR(__xludf.DUMMYFUNCTION("""COMPUTED_VALUE"""),"Pueblo City 60")</f>
        <v>Pueblo City 60</v>
      </c>
      <c r="C438" s="13" t="str">
        <f>IFERROR(__xludf.DUMMYFUNCTION("""COMPUTED_VALUE"""),"12633")</f>
        <v>12633</v>
      </c>
      <c r="D438" s="13" t="str">
        <f>IFERROR(__xludf.DUMMYFUNCTION("""COMPUTED_VALUE"""),"Rawlings Pueblo City County Library")</f>
        <v>Rawlings Pueblo City County Library</v>
      </c>
      <c r="E438" s="13" t="str">
        <f>IFERROR(__xludf.DUMMYFUNCTION("""COMPUTED_VALUE"""),"Open")</f>
        <v>Open</v>
      </c>
      <c r="F438" s="13"/>
      <c r="G438" s="13" t="str">
        <f>IFERROR(__xludf.DUMMYFUNCTION("""COMPUTED_VALUE"""),"100 E ABRIENDO AVE")</f>
        <v>100 E ABRIENDO AVE</v>
      </c>
      <c r="H438" s="13" t="str">
        <f>IFERROR(__xludf.DUMMYFUNCTION("""COMPUTED_VALUE"""),"PUEBLO")</f>
        <v>PUEBLO</v>
      </c>
      <c r="I438" s="13" t="str">
        <f>IFERROR(__xludf.DUMMYFUNCTION("""COMPUTED_VALUE"""),"CO")</f>
        <v>CO</v>
      </c>
      <c r="J438" s="13" t="str">
        <f>IFERROR(__xludf.DUMMYFUNCTION("""COMPUTED_VALUE"""),"81004-4232")</f>
        <v>81004-4232</v>
      </c>
      <c r="K438" s="13" t="str">
        <f>IFERROR(__xludf.DUMMYFUNCTION("""COMPUTED_VALUE"""),"Pueblo")</f>
        <v>Pueblo</v>
      </c>
      <c r="L438" s="17"/>
      <c r="M438" s="17"/>
      <c r="N438" s="17" t="str">
        <f>IFERROR(__xludf.DUMMYFUNCTION("""COMPUTED_VALUE"""),"Y")</f>
        <v>Y</v>
      </c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>
      <c r="A439" s="13" t="str">
        <f>IFERROR(__xludf.DUMMYFUNCTION("""COMPUTED_VALUE"""),"2690")</f>
        <v>2690</v>
      </c>
      <c r="B439" s="13" t="str">
        <f>IFERROR(__xludf.DUMMYFUNCTION("""COMPUTED_VALUE"""),"Pueblo City 60")</f>
        <v>Pueblo City 60</v>
      </c>
      <c r="C439" s="13" t="str">
        <f>IFERROR(__xludf.DUMMYFUNCTION("""COMPUTED_VALUE"""),"12942")</f>
        <v>12942</v>
      </c>
      <c r="D439" s="13" t="str">
        <f>IFERROR(__xludf.DUMMYFUNCTION("""COMPUTED_VALUE"""),"El Pueblo Museum")</f>
        <v>El Pueblo Museum</v>
      </c>
      <c r="E439" s="13" t="str">
        <f>IFERROR(__xludf.DUMMYFUNCTION("""COMPUTED_VALUE"""),"Open")</f>
        <v>Open</v>
      </c>
      <c r="F439" s="13"/>
      <c r="G439" s="13" t="str">
        <f>IFERROR(__xludf.DUMMYFUNCTION("""COMPUTED_VALUE"""),"301 N UNION AVE")</f>
        <v>301 N UNION AVE</v>
      </c>
      <c r="H439" s="13" t="str">
        <f>IFERROR(__xludf.DUMMYFUNCTION("""COMPUTED_VALUE"""),"PUEBLO")</f>
        <v>PUEBLO</v>
      </c>
      <c r="I439" s="13" t="str">
        <f>IFERROR(__xludf.DUMMYFUNCTION("""COMPUTED_VALUE"""),"CO")</f>
        <v>CO</v>
      </c>
      <c r="J439" s="13" t="str">
        <f>IFERROR(__xludf.DUMMYFUNCTION("""COMPUTED_VALUE"""),"81003-4266")</f>
        <v>81003-4266</v>
      </c>
      <c r="K439" s="13" t="str">
        <f>IFERROR(__xludf.DUMMYFUNCTION("""COMPUTED_VALUE"""),"Pueblo")</f>
        <v>Pueblo</v>
      </c>
      <c r="L439" s="17"/>
      <c r="M439" s="17"/>
      <c r="N439" s="17" t="str">
        <f>IFERROR(__xludf.DUMMYFUNCTION("""COMPUTED_VALUE"""),"Y")</f>
        <v>Y</v>
      </c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>
      <c r="A440" s="13" t="str">
        <f>IFERROR(__xludf.DUMMYFUNCTION("""COMPUTED_VALUE"""),"2690")</f>
        <v>2690</v>
      </c>
      <c r="B440" s="13" t="str">
        <f>IFERROR(__xludf.DUMMYFUNCTION("""COMPUTED_VALUE"""),"Pueblo City 60")</f>
        <v>Pueblo City 60</v>
      </c>
      <c r="C440" s="13" t="str">
        <f>IFERROR(__xludf.DUMMYFUNCTION("""COMPUTED_VALUE"""),"13040")</f>
        <v>13040</v>
      </c>
      <c r="D440" s="13" t="str">
        <f>IFERROR(__xludf.DUMMYFUNCTION("""COMPUTED_VALUE"""),"SPRAGUE BGC")</f>
        <v>SPRAGUE BGC</v>
      </c>
      <c r="E440" s="13" t="str">
        <f>IFERROR(__xludf.DUMMYFUNCTION("""COMPUTED_VALUE"""),"Closed - Enrolled")</f>
        <v>Closed - Enrolled</v>
      </c>
      <c r="F440" s="13"/>
      <c r="G440" s="13" t="str">
        <f>IFERROR(__xludf.DUMMYFUNCTION("""COMPUTED_VALUE"""),"2601 Sprauge Ave")</f>
        <v>2601 Sprauge Ave</v>
      </c>
      <c r="H440" s="13" t="str">
        <f>IFERROR(__xludf.DUMMYFUNCTION("""COMPUTED_VALUE"""),"PUEBLO")</f>
        <v>PUEBLO</v>
      </c>
      <c r="I440" s="13" t="str">
        <f>IFERROR(__xludf.DUMMYFUNCTION("""COMPUTED_VALUE"""),"CO")</f>
        <v>CO</v>
      </c>
      <c r="J440" s="13">
        <f>IFERROR(__xludf.DUMMYFUNCTION("""COMPUTED_VALUE"""),81004.0)</f>
        <v>81004</v>
      </c>
      <c r="K440" s="13" t="str">
        <f>IFERROR(__xludf.DUMMYFUNCTION("""COMPUTED_VALUE"""),"Pueblo")</f>
        <v>Pueblo</v>
      </c>
      <c r="L440" s="17"/>
      <c r="M440" s="17"/>
      <c r="N440" s="17" t="str">
        <f>IFERROR(__xludf.DUMMYFUNCTION("""COMPUTED_VALUE"""),"Y")</f>
        <v>Y</v>
      </c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>
      <c r="A441" s="13" t="str">
        <f>IFERROR(__xludf.DUMMYFUNCTION("""COMPUTED_VALUE"""),"2700")</f>
        <v>2700</v>
      </c>
      <c r="B441" s="13" t="str">
        <f>IFERROR(__xludf.DUMMYFUNCTION("""COMPUTED_VALUE"""),"Pueblo County School District 70")</f>
        <v>Pueblo County School District 70</v>
      </c>
      <c r="C441" s="13" t="str">
        <f>IFERROR(__xludf.DUMMYFUNCTION("""COMPUTED_VALUE"""),"00472")</f>
        <v>00472</v>
      </c>
      <c r="D441" s="13" t="str">
        <f>IFERROR(__xludf.DUMMYFUNCTION("""COMPUTED_VALUE"""),"AVONDALE ELEMENTARY SCHOOL")</f>
        <v>AVONDALE ELEMENTARY SCHOOL</v>
      </c>
      <c r="E441" s="13" t="str">
        <f>IFERROR(__xludf.DUMMYFUNCTION("""COMPUTED_VALUE"""),"Open")</f>
        <v>Open</v>
      </c>
      <c r="F441" s="13"/>
      <c r="G441" s="13" t="str">
        <f>IFERROR(__xludf.DUMMYFUNCTION("""COMPUTED_VALUE"""),"213 E US HIGHWAY 50")</f>
        <v>213 E US HIGHWAY 50</v>
      </c>
      <c r="H441" s="13" t="str">
        <f>IFERROR(__xludf.DUMMYFUNCTION("""COMPUTED_VALUE"""),"AVONDALE")</f>
        <v>AVONDALE</v>
      </c>
      <c r="I441" s="13" t="str">
        <f>IFERROR(__xludf.DUMMYFUNCTION("""COMPUTED_VALUE"""),"CO")</f>
        <v>CO</v>
      </c>
      <c r="J441" s="13" t="str">
        <f>IFERROR(__xludf.DUMMYFUNCTION("""COMPUTED_VALUE"""),"81022-9749")</f>
        <v>81022-9749</v>
      </c>
      <c r="K441" s="13" t="str">
        <f>IFERROR(__xludf.DUMMYFUNCTION("""COMPUTED_VALUE"""),"Pueblo")</f>
        <v>Pueblo</v>
      </c>
      <c r="L441" s="17" t="str">
        <f>IFERROR(__xludf.DUMMYFUNCTION("""COMPUTED_VALUE"""),"Y")</f>
        <v>Y</v>
      </c>
      <c r="M441" s="17"/>
      <c r="N441" s="17" t="str">
        <f>IFERROR(__xludf.DUMMYFUNCTION("""COMPUTED_VALUE"""),"Y")</f>
        <v>Y</v>
      </c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>
      <c r="A442" s="13" t="str">
        <f>IFERROR(__xludf.DUMMYFUNCTION("""COMPUTED_VALUE"""),"2700")</f>
        <v>2700</v>
      </c>
      <c r="B442" s="13" t="str">
        <f>IFERROR(__xludf.DUMMYFUNCTION("""COMPUTED_VALUE"""),"Pueblo County School District 70")</f>
        <v>Pueblo County School District 70</v>
      </c>
      <c r="C442" s="13" t="str">
        <f>IFERROR(__xludf.DUMMYFUNCTION("""COMPUTED_VALUE"""),"07153")</f>
        <v>07153</v>
      </c>
      <c r="D442" s="13" t="str">
        <f>IFERROR(__xludf.DUMMYFUNCTION("""COMPUTED_VALUE"""),"PRAIRIE WINDS ELEMENTARY")</f>
        <v>PRAIRIE WINDS ELEMENTARY</v>
      </c>
      <c r="E442" s="13" t="str">
        <f>IFERROR(__xludf.DUMMYFUNCTION("""COMPUTED_VALUE"""),"Open")</f>
        <v>Open</v>
      </c>
      <c r="F442" s="13"/>
      <c r="G442" s="13" t="str">
        <f>IFERROR(__xludf.DUMMYFUNCTION("""COMPUTED_VALUE"""),"579 E EARL DR")</f>
        <v>579 E EARL DR</v>
      </c>
      <c r="H442" s="13" t="str">
        <f>IFERROR(__xludf.DUMMYFUNCTION("""COMPUTED_VALUE"""),"PUEBLO WEST")</f>
        <v>PUEBLO WEST</v>
      </c>
      <c r="I442" s="13" t="str">
        <f>IFERROR(__xludf.DUMMYFUNCTION("""COMPUTED_VALUE"""),"CO")</f>
        <v>CO</v>
      </c>
      <c r="J442" s="13" t="str">
        <f>IFERROR(__xludf.DUMMYFUNCTION("""COMPUTED_VALUE"""),"81007-2152")</f>
        <v>81007-2152</v>
      </c>
      <c r="K442" s="13" t="str">
        <f>IFERROR(__xludf.DUMMYFUNCTION("""COMPUTED_VALUE"""),"Pueblo")</f>
        <v>Pueblo</v>
      </c>
      <c r="L442" s="17" t="str">
        <f>IFERROR(__xludf.DUMMYFUNCTION("""COMPUTED_VALUE"""),"Y")</f>
        <v>Y</v>
      </c>
      <c r="M442" s="17"/>
      <c r="N442" s="17" t="str">
        <f>IFERROR(__xludf.DUMMYFUNCTION("""COMPUTED_VALUE"""),"Y")</f>
        <v>Y</v>
      </c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>
      <c r="A443" s="13" t="str">
        <f>IFERROR(__xludf.DUMMYFUNCTION("""COMPUTED_VALUE"""),"2700")</f>
        <v>2700</v>
      </c>
      <c r="B443" s="13" t="str">
        <f>IFERROR(__xludf.DUMMYFUNCTION("""COMPUTED_VALUE"""),"Pueblo County School District 70")</f>
        <v>Pueblo County School District 70</v>
      </c>
      <c r="C443" s="13" t="str">
        <f>IFERROR(__xludf.DUMMYFUNCTION("""COMPUTED_VALUE"""),"07212")</f>
        <v>07212</v>
      </c>
      <c r="D443" s="13" t="str">
        <f>IFERROR(__xludf.DUMMYFUNCTION("""COMPUTED_VALUE"""),"LIBERTY POINT INTERNATIONAL SCHOOL")</f>
        <v>LIBERTY POINT INTERNATIONAL SCHOOL</v>
      </c>
      <c r="E443" s="13" t="str">
        <f>IFERROR(__xludf.DUMMYFUNCTION("""COMPUTED_VALUE"""),"Open")</f>
        <v>Open</v>
      </c>
      <c r="F443" s="13"/>
      <c r="G443" s="13" t="str">
        <f>IFERROR(__xludf.DUMMYFUNCTION("""COMPUTED_VALUE"""),"484 S MAHER DR")</f>
        <v>484 S MAHER DR</v>
      </c>
      <c r="H443" s="13" t="str">
        <f>IFERROR(__xludf.DUMMYFUNCTION("""COMPUTED_VALUE"""),"PUEBLO WEST")</f>
        <v>PUEBLO WEST</v>
      </c>
      <c r="I443" s="13" t="str">
        <f>IFERROR(__xludf.DUMMYFUNCTION("""COMPUTED_VALUE"""),"CO")</f>
        <v>CO</v>
      </c>
      <c r="J443" s="13" t="str">
        <f>IFERROR(__xludf.DUMMYFUNCTION("""COMPUTED_VALUE"""),"81007-1636")</f>
        <v>81007-1636</v>
      </c>
      <c r="K443" s="13" t="str">
        <f>IFERROR(__xludf.DUMMYFUNCTION("""COMPUTED_VALUE"""),"Pueblo")</f>
        <v>Pueblo</v>
      </c>
      <c r="L443" s="17" t="str">
        <f>IFERROR(__xludf.DUMMYFUNCTION("""COMPUTED_VALUE"""),"Y")</f>
        <v>Y</v>
      </c>
      <c r="M443" s="17"/>
      <c r="N443" s="17" t="str">
        <f>IFERROR(__xludf.DUMMYFUNCTION("""COMPUTED_VALUE"""),"Y")</f>
        <v>Y</v>
      </c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>
      <c r="A444" s="13" t="str">
        <f>IFERROR(__xludf.DUMMYFUNCTION("""COMPUTED_VALUE"""),"2700")</f>
        <v>2700</v>
      </c>
      <c r="B444" s="13" t="str">
        <f>IFERROR(__xludf.DUMMYFUNCTION("""COMPUTED_VALUE"""),"Pueblo County School District 70")</f>
        <v>Pueblo County School District 70</v>
      </c>
      <c r="C444" s="13" t="str">
        <f>IFERROR(__xludf.DUMMYFUNCTION("""COMPUTED_VALUE"""),"07532")</f>
        <v>07532</v>
      </c>
      <c r="D444" s="13" t="str">
        <f>IFERROR(__xludf.DUMMYFUNCTION("""COMPUTED_VALUE"""),"CRAVER MIDDLE SCHOOL")</f>
        <v>CRAVER MIDDLE SCHOOL</v>
      </c>
      <c r="E444" s="13" t="str">
        <f>IFERROR(__xludf.DUMMYFUNCTION("""COMPUTED_VALUE"""),"Open")</f>
        <v>Open</v>
      </c>
      <c r="F444" s="13" t="str">
        <f>IFERROR(__xludf.DUMMYFUNCTION("""COMPUTED_VALUE"""),"Non-congregate")</f>
        <v>Non-congregate</v>
      </c>
      <c r="G444" s="13" t="str">
        <f>IFERROR(__xludf.DUMMYFUNCTION("""COMPUTED_VALUE"""),"4850 Crow Cut Off")</f>
        <v>4850 Crow Cut Off</v>
      </c>
      <c r="H444" s="13" t="str">
        <f>IFERROR(__xludf.DUMMYFUNCTION("""COMPUTED_VALUE"""),"COLORADO CITY")</f>
        <v>COLORADO CITY</v>
      </c>
      <c r="I444" s="13" t="str">
        <f>IFERROR(__xludf.DUMMYFUNCTION("""COMPUTED_VALUE"""),"CO")</f>
        <v>CO</v>
      </c>
      <c r="J444" s="13">
        <f>IFERROR(__xludf.DUMMYFUNCTION("""COMPUTED_VALUE"""),81019.0)</f>
        <v>81019</v>
      </c>
      <c r="K444" s="13" t="str">
        <f>IFERROR(__xludf.DUMMYFUNCTION("""COMPUTED_VALUE"""),"Pueblo")</f>
        <v>Pueblo</v>
      </c>
      <c r="L444" s="17" t="str">
        <f>IFERROR(__xludf.DUMMYFUNCTION("""COMPUTED_VALUE"""),"Y")</f>
        <v>Y</v>
      </c>
      <c r="M444" s="17"/>
      <c r="N444" s="17" t="str">
        <f>IFERROR(__xludf.DUMMYFUNCTION("""COMPUTED_VALUE"""),"Y")</f>
        <v>Y</v>
      </c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>
      <c r="A445" s="13" t="str">
        <f>IFERROR(__xludf.DUMMYFUNCTION("""COMPUTED_VALUE"""),"2700")</f>
        <v>2700</v>
      </c>
      <c r="B445" s="13" t="str">
        <f>IFERROR(__xludf.DUMMYFUNCTION("""COMPUTED_VALUE"""),"Pueblo County School District 70")</f>
        <v>Pueblo County School District 70</v>
      </c>
      <c r="C445" s="13" t="str">
        <f>IFERROR(__xludf.DUMMYFUNCTION("""COMPUTED_VALUE"""),"09134")</f>
        <v>09134</v>
      </c>
      <c r="D445" s="13" t="str">
        <f>IFERROR(__xludf.DUMMYFUNCTION("""COMPUTED_VALUE"""),"VINELAND MIDDLE SCHOOL")</f>
        <v>VINELAND MIDDLE SCHOOL</v>
      </c>
      <c r="E445" s="13" t="str">
        <f>IFERROR(__xludf.DUMMYFUNCTION("""COMPUTED_VALUE"""),"Open")</f>
        <v>Open</v>
      </c>
      <c r="F445" s="13"/>
      <c r="G445" s="13" t="str">
        <f>IFERROR(__xludf.DUMMYFUNCTION("""COMPUTED_VALUE"""),"1132 LN 36")</f>
        <v>1132 LN 36</v>
      </c>
      <c r="H445" s="13" t="str">
        <f>IFERROR(__xludf.DUMMYFUNCTION("""COMPUTED_VALUE"""),"PUEBLO")</f>
        <v>PUEBLO</v>
      </c>
      <c r="I445" s="13" t="str">
        <f>IFERROR(__xludf.DUMMYFUNCTION("""COMPUTED_VALUE"""),"CO")</f>
        <v>CO</v>
      </c>
      <c r="J445" s="13" t="str">
        <f>IFERROR(__xludf.DUMMYFUNCTION("""COMPUTED_VALUE"""),"81006-9466")</f>
        <v>81006-9466</v>
      </c>
      <c r="K445" s="13" t="str">
        <f>IFERROR(__xludf.DUMMYFUNCTION("""COMPUTED_VALUE"""),"Pueblo")</f>
        <v>Pueblo</v>
      </c>
      <c r="L445" s="17" t="str">
        <f>IFERROR(__xludf.DUMMYFUNCTION("""COMPUTED_VALUE"""),"Y")</f>
        <v>Y</v>
      </c>
      <c r="M445" s="17"/>
      <c r="N445" s="17" t="str">
        <f>IFERROR(__xludf.DUMMYFUNCTION("""COMPUTED_VALUE"""),"Y")</f>
        <v>Y</v>
      </c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>
      <c r="A446" s="13" t="str">
        <f>IFERROR(__xludf.DUMMYFUNCTION("""COMPUTED_VALUE"""),"2800")</f>
        <v>2800</v>
      </c>
      <c r="B446" s="13" t="str">
        <f>IFERROR(__xludf.DUMMYFUNCTION("""COMPUTED_VALUE"""),"MOFFAT 2")</f>
        <v>MOFFAT 2</v>
      </c>
      <c r="C446" s="13" t="str">
        <f>IFERROR(__xludf.DUMMYFUNCTION("""COMPUTED_VALUE"""),"05958")</f>
        <v>05958</v>
      </c>
      <c r="D446" s="13" t="str">
        <f>IFERROR(__xludf.DUMMYFUNCTION("""COMPUTED_VALUE"""),"MOFFAT PK-12 SCHOOL")</f>
        <v>MOFFAT PK-12 SCHOOL</v>
      </c>
      <c r="E446" s="13" t="str">
        <f>IFERROR(__xludf.DUMMYFUNCTION("""COMPUTED_VALUE"""),"Open")</f>
        <v>Open</v>
      </c>
      <c r="F446" s="13"/>
      <c r="G446" s="13" t="str">
        <f>IFERROR(__xludf.DUMMYFUNCTION("""COMPUTED_VALUE"""),"PO BOX 428")</f>
        <v>PO BOX 428</v>
      </c>
      <c r="H446" s="13" t="str">
        <f>IFERROR(__xludf.DUMMYFUNCTION("""COMPUTED_VALUE"""),"MOFFAT")</f>
        <v>MOFFAT</v>
      </c>
      <c r="I446" s="13" t="str">
        <f>IFERROR(__xludf.DUMMYFUNCTION("""COMPUTED_VALUE"""),"CO")</f>
        <v>CO</v>
      </c>
      <c r="J446" s="13" t="str">
        <f>IFERROR(__xludf.DUMMYFUNCTION("""COMPUTED_VALUE"""),"81143-0428")</f>
        <v>81143-0428</v>
      </c>
      <c r="K446" s="13" t="str">
        <f>IFERROR(__xludf.DUMMYFUNCTION("""COMPUTED_VALUE"""),"Saguache")</f>
        <v>Saguache</v>
      </c>
      <c r="L446" s="17" t="str">
        <f>IFERROR(__xludf.DUMMYFUNCTION("""COMPUTED_VALUE"""),"Y")</f>
        <v>Y</v>
      </c>
      <c r="M446" s="17"/>
      <c r="N446" s="17" t="str">
        <f>IFERROR(__xludf.DUMMYFUNCTION("""COMPUTED_VALUE"""),"Y")</f>
        <v>Y</v>
      </c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>
      <c r="A447" s="13" t="str">
        <f>IFERROR(__xludf.DUMMYFUNCTION("""COMPUTED_VALUE"""),"2810")</f>
        <v>2810</v>
      </c>
      <c r="B447" s="13" t="str">
        <f>IFERROR(__xludf.DUMMYFUNCTION("""COMPUTED_VALUE"""),"CENTER 26 JT")</f>
        <v>CENTER 26 JT</v>
      </c>
      <c r="C447" s="13" t="str">
        <f>IFERROR(__xludf.DUMMYFUNCTION("""COMPUTED_VALUE"""),"01412")</f>
        <v>01412</v>
      </c>
      <c r="D447" s="13" t="str">
        <f>IFERROR(__xludf.DUMMYFUNCTION("""COMPUTED_VALUE"""),"HASKIN ELEMENTARY SCHOOL")</f>
        <v>HASKIN ELEMENTARY SCHOOL</v>
      </c>
      <c r="E447" s="13" t="str">
        <f>IFERROR(__xludf.DUMMYFUNCTION("""COMPUTED_VALUE"""),"Open")</f>
        <v>Open</v>
      </c>
      <c r="F447" s="13"/>
      <c r="G447" s="13" t="str">
        <f>IFERROR(__xludf.DUMMYFUNCTION("""COMPUTED_VALUE"""),"550 SYLVESTER AVE")</f>
        <v>550 SYLVESTER AVE</v>
      </c>
      <c r="H447" s="13" t="str">
        <f>IFERROR(__xludf.DUMMYFUNCTION("""COMPUTED_VALUE"""),"CENTER")</f>
        <v>CENTER</v>
      </c>
      <c r="I447" s="13" t="str">
        <f>IFERROR(__xludf.DUMMYFUNCTION("""COMPUTED_VALUE"""),"CO")</f>
        <v>CO</v>
      </c>
      <c r="J447" s="13" t="str">
        <f>IFERROR(__xludf.DUMMYFUNCTION("""COMPUTED_VALUE"""),"81125-9003")</f>
        <v>81125-9003</v>
      </c>
      <c r="K447" s="13" t="str">
        <f>IFERROR(__xludf.DUMMYFUNCTION("""COMPUTED_VALUE"""),"Saguache")</f>
        <v>Saguache</v>
      </c>
      <c r="L447" s="17" t="str">
        <f>IFERROR(__xludf.DUMMYFUNCTION("""COMPUTED_VALUE"""),"Y")</f>
        <v>Y</v>
      </c>
      <c r="M447" s="17"/>
      <c r="N447" s="17" t="str">
        <f>IFERROR(__xludf.DUMMYFUNCTION("""COMPUTED_VALUE"""),"Y")</f>
        <v>Y</v>
      </c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>
      <c r="A448" s="13" t="str">
        <f>IFERROR(__xludf.DUMMYFUNCTION("""COMPUTED_VALUE"""),"3000")</f>
        <v>3000</v>
      </c>
      <c r="B448" s="13" t="str">
        <f>IFERROR(__xludf.DUMMYFUNCTION("""COMPUTED_VALUE"""),"SUMMIT RE-1")</f>
        <v>SUMMIT RE-1</v>
      </c>
      <c r="C448" s="13" t="str">
        <f>IFERROR(__xludf.DUMMYFUNCTION("""COMPUTED_VALUE"""),"08370")</f>
        <v>08370</v>
      </c>
      <c r="D448" s="13" t="str">
        <f>IFERROR(__xludf.DUMMYFUNCTION("""COMPUTED_VALUE"""),"DILLON VALLEY ELEMENTARY SCHOOL")</f>
        <v>DILLON VALLEY ELEMENTARY SCHOOL</v>
      </c>
      <c r="E448" s="13" t="str">
        <f>IFERROR(__xludf.DUMMYFUNCTION("""COMPUTED_VALUE"""),"Open")</f>
        <v>Open</v>
      </c>
      <c r="F448" s="13" t="str">
        <f>IFERROR(__xludf.DUMMYFUNCTION("""COMPUTED_VALUE"""),"Non-congregate")</f>
        <v>Non-congregate</v>
      </c>
      <c r="G448" s="13" t="str">
        <f>IFERROR(__xludf.DUMMYFUNCTION("""COMPUTED_VALUE"""),"108 DEER PATH RD")</f>
        <v>108 DEER PATH RD</v>
      </c>
      <c r="H448" s="13" t="str">
        <f>IFERROR(__xludf.DUMMYFUNCTION("""COMPUTED_VALUE"""),"DILLON")</f>
        <v>DILLON</v>
      </c>
      <c r="I448" s="13" t="str">
        <f>IFERROR(__xludf.DUMMYFUNCTION("""COMPUTED_VALUE"""),"CO")</f>
        <v>CO</v>
      </c>
      <c r="J448" s="13">
        <f>IFERROR(__xludf.DUMMYFUNCTION("""COMPUTED_VALUE"""),80435.0)</f>
        <v>80435</v>
      </c>
      <c r="K448" s="13" t="str">
        <f>IFERROR(__xludf.DUMMYFUNCTION("""COMPUTED_VALUE"""),"Summit")</f>
        <v>Summit</v>
      </c>
      <c r="L448" s="17" t="str">
        <f>IFERROR(__xludf.DUMMYFUNCTION("""COMPUTED_VALUE"""),"Y")</f>
        <v>Y</v>
      </c>
      <c r="M448" s="17"/>
      <c r="N448" s="17" t="str">
        <f>IFERROR(__xludf.DUMMYFUNCTION("""COMPUTED_VALUE"""),"Y")</f>
        <v>Y</v>
      </c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>
      <c r="A449" s="13" t="str">
        <f>IFERROR(__xludf.DUMMYFUNCTION("""COMPUTED_VALUE"""),"3000")</f>
        <v>3000</v>
      </c>
      <c r="B449" s="13" t="str">
        <f>IFERROR(__xludf.DUMMYFUNCTION("""COMPUTED_VALUE"""),"SUMMIT RE-1")</f>
        <v>SUMMIT RE-1</v>
      </c>
      <c r="C449" s="13" t="str">
        <f>IFERROR(__xludf.DUMMYFUNCTION("""COMPUTED_VALUE"""),"91474")</f>
        <v>91474</v>
      </c>
      <c r="D449" s="13" t="str">
        <f>IFERROR(__xludf.DUMMYFUNCTION("""COMPUTED_VALUE"""),"Keystone Science School")</f>
        <v>Keystone Science School</v>
      </c>
      <c r="E449" s="13" t="str">
        <f>IFERROR(__xludf.DUMMYFUNCTION("""COMPUTED_VALUE"""),"Closed - Enrolled")</f>
        <v>Closed - Enrolled</v>
      </c>
      <c r="F449" s="13"/>
      <c r="G449" s="13" t="str">
        <f>IFERROR(__xludf.DUMMYFUNCTION("""COMPUTED_VALUE"""),"1053 SODA RIDGE RD")</f>
        <v>1053 SODA RIDGE RD</v>
      </c>
      <c r="H449" s="13" t="str">
        <f>IFERROR(__xludf.DUMMYFUNCTION("""COMPUTED_VALUE"""),"KEYSTONE")</f>
        <v>KEYSTONE</v>
      </c>
      <c r="I449" s="13" t="str">
        <f>IFERROR(__xludf.DUMMYFUNCTION("""COMPUTED_VALUE"""),"CO")</f>
        <v>CO</v>
      </c>
      <c r="J449" s="13" t="str">
        <f>IFERROR(__xludf.DUMMYFUNCTION("""COMPUTED_VALUE"""),"80435-7901")</f>
        <v>80435-7901</v>
      </c>
      <c r="K449" s="13" t="str">
        <f>IFERROR(__xludf.DUMMYFUNCTION("""COMPUTED_VALUE"""),"Summit")</f>
        <v>Summit</v>
      </c>
      <c r="L449" s="17" t="str">
        <f>IFERROR(__xludf.DUMMYFUNCTION("""COMPUTED_VALUE"""),"Y")</f>
        <v>Y</v>
      </c>
      <c r="M449" s="17"/>
      <c r="N449" s="17" t="str">
        <f>IFERROR(__xludf.DUMMYFUNCTION("""COMPUTED_VALUE"""),"Y")</f>
        <v>Y</v>
      </c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>
      <c r="A450" s="13" t="str">
        <f>IFERROR(__xludf.DUMMYFUNCTION("""COMPUTED_VALUE"""),"3110")</f>
        <v>3110</v>
      </c>
      <c r="B450" s="13" t="str">
        <f>IFERROR(__xludf.DUMMYFUNCTION("""COMPUTED_VALUE"""),"JOHNSTOWN-MILLIKEN RE-5J")</f>
        <v>JOHNSTOWN-MILLIKEN RE-5J</v>
      </c>
      <c r="C450" s="13" t="str">
        <f>IFERROR(__xludf.DUMMYFUNCTION("""COMPUTED_VALUE"""),"05896")</f>
        <v>05896</v>
      </c>
      <c r="D450" s="13" t="str">
        <f>IFERROR(__xludf.DUMMYFUNCTION("""COMPUTED_VALUE"""),"MILLIKEN ELEMENTARY SCHOOL")</f>
        <v>MILLIKEN ELEMENTARY SCHOOL</v>
      </c>
      <c r="E450" s="13" t="str">
        <f>IFERROR(__xludf.DUMMYFUNCTION("""COMPUTED_VALUE"""),"Closed - Enrolled")</f>
        <v>Closed - Enrolled</v>
      </c>
      <c r="F450" s="13"/>
      <c r="G450" s="13" t="str">
        <f>IFERROR(__xludf.DUMMYFUNCTION("""COMPUTED_VALUE"""),"100 BROAD ST")</f>
        <v>100 BROAD ST</v>
      </c>
      <c r="H450" s="13" t="str">
        <f>IFERROR(__xludf.DUMMYFUNCTION("""COMPUTED_VALUE"""),"MILLIKEN")</f>
        <v>MILLIKEN</v>
      </c>
      <c r="I450" s="13" t="str">
        <f>IFERROR(__xludf.DUMMYFUNCTION("""COMPUTED_VALUE"""),"CO")</f>
        <v>CO</v>
      </c>
      <c r="J450" s="13" t="str">
        <f>IFERROR(__xludf.DUMMYFUNCTION("""COMPUTED_VALUE"""),"80543-8047")</f>
        <v>80543-8047</v>
      </c>
      <c r="K450" s="13" t="str">
        <f>IFERROR(__xludf.DUMMYFUNCTION("""COMPUTED_VALUE"""),"Weld")</f>
        <v>Weld</v>
      </c>
      <c r="L450" s="17" t="str">
        <f>IFERROR(__xludf.DUMMYFUNCTION("""COMPUTED_VALUE"""),"Y")</f>
        <v>Y</v>
      </c>
      <c r="M450" s="17"/>
      <c r="N450" s="17" t="str">
        <f>IFERROR(__xludf.DUMMYFUNCTION("""COMPUTED_VALUE"""),"Y")</f>
        <v>Y</v>
      </c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>
      <c r="A451" s="13" t="str">
        <f>IFERROR(__xludf.DUMMYFUNCTION("""COMPUTED_VALUE"""),"3120")</f>
        <v>3120</v>
      </c>
      <c r="B451" s="13" t="str">
        <f>IFERROR(__xludf.DUMMYFUNCTION("""COMPUTED_VALUE"""),"GREELEY 6")</f>
        <v>GREELEY 6</v>
      </c>
      <c r="C451" s="13" t="str">
        <f>IFERROR(__xludf.DUMMYFUNCTION("""COMPUTED_VALUE"""),"00052")</f>
        <v>00052</v>
      </c>
      <c r="D451" s="13" t="str">
        <f>IFERROR(__xludf.DUMMYFUNCTION("""COMPUTED_VALUE"""),"HEIMAN ELEMENTARY SCHOOL")</f>
        <v>HEIMAN ELEMENTARY SCHOOL</v>
      </c>
      <c r="E451" s="13" t="str">
        <f>IFERROR(__xludf.DUMMYFUNCTION("""COMPUTED_VALUE"""),"Open")</f>
        <v>Open</v>
      </c>
      <c r="F451" s="13"/>
      <c r="G451" s="13" t="str">
        <f>IFERROR(__xludf.DUMMYFUNCTION("""COMPUTED_VALUE"""),"3500 PALERMO AVE")</f>
        <v>3500 PALERMO AVE</v>
      </c>
      <c r="H451" s="13" t="str">
        <f>IFERROR(__xludf.DUMMYFUNCTION("""COMPUTED_VALUE"""),"EVANS")</f>
        <v>EVANS</v>
      </c>
      <c r="I451" s="13" t="str">
        <f>IFERROR(__xludf.DUMMYFUNCTION("""COMPUTED_VALUE"""),"CO")</f>
        <v>CO</v>
      </c>
      <c r="J451" s="13" t="str">
        <f>IFERROR(__xludf.DUMMYFUNCTION("""COMPUTED_VALUE"""),"80620-8952")</f>
        <v>80620-8952</v>
      </c>
      <c r="K451" s="13" t="str">
        <f>IFERROR(__xludf.DUMMYFUNCTION("""COMPUTED_VALUE"""),"Weld")</f>
        <v>Weld</v>
      </c>
      <c r="L451" s="17" t="str">
        <f>IFERROR(__xludf.DUMMYFUNCTION("""COMPUTED_VALUE"""),"Y")</f>
        <v>Y</v>
      </c>
      <c r="M451" s="17"/>
      <c r="N451" s="17" t="str">
        <f>IFERROR(__xludf.DUMMYFUNCTION("""COMPUTED_VALUE"""),"Y")</f>
        <v>Y</v>
      </c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>
      <c r="A452" s="13" t="str">
        <f>IFERROR(__xludf.DUMMYFUNCTION("""COMPUTED_VALUE"""),"3120")</f>
        <v>3120</v>
      </c>
      <c r="B452" s="13" t="str">
        <f>IFERROR(__xludf.DUMMYFUNCTION("""COMPUTED_VALUE"""),"GREELEY 6")</f>
        <v>GREELEY 6</v>
      </c>
      <c r="C452" s="13" t="str">
        <f>IFERROR(__xludf.DUMMYFUNCTION("""COMPUTED_VALUE"""),"00053")</f>
        <v>00053</v>
      </c>
      <c r="D452" s="13" t="str">
        <f>IFERROR(__xludf.DUMMYFUNCTION("""COMPUTED_VALUE"""),"WINOGRAD K-8 ELEMENTARY SCHOOL")</f>
        <v>WINOGRAD K-8 ELEMENTARY SCHOOL</v>
      </c>
      <c r="E452" s="13" t="str">
        <f>IFERROR(__xludf.DUMMYFUNCTION("""COMPUTED_VALUE"""),"Open")</f>
        <v>Open</v>
      </c>
      <c r="F452" s="13"/>
      <c r="G452" s="13" t="str">
        <f>IFERROR(__xludf.DUMMYFUNCTION("""COMPUTED_VALUE"""),"320 N 71ST AVE")</f>
        <v>320 N 71ST AVE</v>
      </c>
      <c r="H452" s="13" t="str">
        <f>IFERROR(__xludf.DUMMYFUNCTION("""COMPUTED_VALUE"""),"GREELEY")</f>
        <v>GREELEY</v>
      </c>
      <c r="I452" s="13" t="str">
        <f>IFERROR(__xludf.DUMMYFUNCTION("""COMPUTED_VALUE"""),"CO")</f>
        <v>CO</v>
      </c>
      <c r="J452" s="13" t="str">
        <f>IFERROR(__xludf.DUMMYFUNCTION("""COMPUTED_VALUE"""),"80634-9183")</f>
        <v>80634-9183</v>
      </c>
      <c r="K452" s="13" t="str">
        <f>IFERROR(__xludf.DUMMYFUNCTION("""COMPUTED_VALUE"""),"Weld")</f>
        <v>Weld</v>
      </c>
      <c r="L452" s="17" t="str">
        <f>IFERROR(__xludf.DUMMYFUNCTION("""COMPUTED_VALUE"""),"Y")</f>
        <v>Y</v>
      </c>
      <c r="M452" s="17"/>
      <c r="N452" s="17" t="str">
        <f>IFERROR(__xludf.DUMMYFUNCTION("""COMPUTED_VALUE"""),"Y")</f>
        <v>Y</v>
      </c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>
      <c r="A453" s="13" t="str">
        <f>IFERROR(__xludf.DUMMYFUNCTION("""COMPUTED_VALUE"""),"3120")</f>
        <v>3120</v>
      </c>
      <c r="B453" s="13" t="str">
        <f>IFERROR(__xludf.DUMMYFUNCTION("""COMPUTED_VALUE"""),"GREELEY 6")</f>
        <v>GREELEY 6</v>
      </c>
      <c r="C453" s="13" t="str">
        <f>IFERROR(__xludf.DUMMYFUNCTION("""COMPUTED_VALUE"""),"00054")</f>
        <v>00054</v>
      </c>
      <c r="D453" s="13" t="str">
        <f>IFERROR(__xludf.DUMMYFUNCTION("""COMPUTED_VALUE"""),"BELLA ROMERO ACADEMY OF APPLIED TECHNOLOGY")</f>
        <v>BELLA ROMERO ACADEMY OF APPLIED TECHNOLOGY</v>
      </c>
      <c r="E453" s="13" t="str">
        <f>IFERROR(__xludf.DUMMYFUNCTION("""COMPUTED_VALUE"""),"Open")</f>
        <v>Open</v>
      </c>
      <c r="F453" s="13"/>
      <c r="G453" s="13" t="str">
        <f>IFERROR(__xludf.DUMMYFUNCTION("""COMPUTED_VALUE"""),"1400 E 20TH ST")</f>
        <v>1400 E 20TH ST</v>
      </c>
      <c r="H453" s="13" t="str">
        <f>IFERROR(__xludf.DUMMYFUNCTION("""COMPUTED_VALUE"""),"GREELEY")</f>
        <v>GREELEY</v>
      </c>
      <c r="I453" s="13" t="str">
        <f>IFERROR(__xludf.DUMMYFUNCTION("""COMPUTED_VALUE"""),"CO")</f>
        <v>CO</v>
      </c>
      <c r="J453" s="13" t="str">
        <f>IFERROR(__xludf.DUMMYFUNCTION("""COMPUTED_VALUE"""),"80631-6248")</f>
        <v>80631-6248</v>
      </c>
      <c r="K453" s="13" t="str">
        <f>IFERROR(__xludf.DUMMYFUNCTION("""COMPUTED_VALUE"""),"Weld")</f>
        <v>Weld</v>
      </c>
      <c r="L453" s="17" t="str">
        <f>IFERROR(__xludf.DUMMYFUNCTION("""COMPUTED_VALUE"""),"Y")</f>
        <v>Y</v>
      </c>
      <c r="M453" s="17"/>
      <c r="N453" s="17" t="str">
        <f>IFERROR(__xludf.DUMMYFUNCTION("""COMPUTED_VALUE"""),"Y")</f>
        <v>Y</v>
      </c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>
      <c r="A454" s="13" t="str">
        <f>IFERROR(__xludf.DUMMYFUNCTION("""COMPUTED_VALUE"""),"3120")</f>
        <v>3120</v>
      </c>
      <c r="B454" s="13" t="str">
        <f>IFERROR(__xludf.DUMMYFUNCTION("""COMPUTED_VALUE"""),"GREELEY 6")</f>
        <v>GREELEY 6</v>
      </c>
      <c r="C454" s="13" t="str">
        <f>IFERROR(__xludf.DUMMYFUNCTION("""COMPUTED_VALUE"""),"01500")</f>
        <v>01500</v>
      </c>
      <c r="D454" s="13" t="str">
        <f>IFERROR(__xludf.DUMMYFUNCTION("""COMPUTED_VALUE"""),"CHAPPELOW K-8 MAGNET SCHOOL")</f>
        <v>CHAPPELOW K-8 MAGNET SCHOOL</v>
      </c>
      <c r="E454" s="13" t="str">
        <f>IFERROR(__xludf.DUMMYFUNCTION("""COMPUTED_VALUE"""),"Open")</f>
        <v>Open</v>
      </c>
      <c r="F454" s="13"/>
      <c r="G454" s="13" t="str">
        <f>IFERROR(__xludf.DUMMYFUNCTION("""COMPUTED_VALUE"""),"2001 34TH ST")</f>
        <v>2001 34TH ST</v>
      </c>
      <c r="H454" s="13" t="str">
        <f>IFERROR(__xludf.DUMMYFUNCTION("""COMPUTED_VALUE"""),"EVANS")</f>
        <v>EVANS</v>
      </c>
      <c r="I454" s="13" t="str">
        <f>IFERROR(__xludf.DUMMYFUNCTION("""COMPUTED_VALUE"""),"CO")</f>
        <v>CO</v>
      </c>
      <c r="J454" s="13" t="str">
        <f>IFERROR(__xludf.DUMMYFUNCTION("""COMPUTED_VALUE"""),"80620-1820")</f>
        <v>80620-1820</v>
      </c>
      <c r="K454" s="13" t="str">
        <f>IFERROR(__xludf.DUMMYFUNCTION("""COMPUTED_VALUE"""),"Weld")</f>
        <v>Weld</v>
      </c>
      <c r="L454" s="17" t="str">
        <f>IFERROR(__xludf.DUMMYFUNCTION("""COMPUTED_VALUE"""),"Y")</f>
        <v>Y</v>
      </c>
      <c r="M454" s="17"/>
      <c r="N454" s="17" t="str">
        <f>IFERROR(__xludf.DUMMYFUNCTION("""COMPUTED_VALUE"""),"Y")</f>
        <v>Y</v>
      </c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>
      <c r="A455" s="13" t="str">
        <f>IFERROR(__xludf.DUMMYFUNCTION("""COMPUTED_VALUE"""),"3120")</f>
        <v>3120</v>
      </c>
      <c r="B455" s="13" t="str">
        <f>IFERROR(__xludf.DUMMYFUNCTION("""COMPUTED_VALUE"""),"GREELEY 6")</f>
        <v>GREELEY 6</v>
      </c>
      <c r="C455" s="13" t="str">
        <f>IFERROR(__xludf.DUMMYFUNCTION("""COMPUTED_VALUE"""),"01875")</f>
        <v>01875</v>
      </c>
      <c r="D455" s="13" t="str">
        <f>IFERROR(__xludf.DUMMYFUNCTION("""COMPUTED_VALUE"""),"FRONTIER CHARTER ACADEMY")</f>
        <v>FRONTIER CHARTER ACADEMY</v>
      </c>
      <c r="E455" s="13" t="str">
        <f>IFERROR(__xludf.DUMMYFUNCTION("""COMPUTED_VALUE"""),"Open")</f>
        <v>Open</v>
      </c>
      <c r="F455" s="13"/>
      <c r="G455" s="13" t="str">
        <f>IFERROR(__xludf.DUMMYFUNCTION("""COMPUTED_VALUE"""),"2560 W 29TH ST")</f>
        <v>2560 W 29TH ST</v>
      </c>
      <c r="H455" s="13" t="str">
        <f>IFERROR(__xludf.DUMMYFUNCTION("""COMPUTED_VALUE"""),"GREELEY")</f>
        <v>GREELEY</v>
      </c>
      <c r="I455" s="13" t="str">
        <f>IFERROR(__xludf.DUMMYFUNCTION("""COMPUTED_VALUE"""),"CO")</f>
        <v>CO</v>
      </c>
      <c r="J455" s="13" t="str">
        <f>IFERROR(__xludf.DUMMYFUNCTION("""COMPUTED_VALUE"""),"80631-8507")</f>
        <v>80631-8507</v>
      </c>
      <c r="K455" s="13" t="str">
        <f>IFERROR(__xludf.DUMMYFUNCTION("""COMPUTED_VALUE"""),"Weld")</f>
        <v>Weld</v>
      </c>
      <c r="L455" s="17" t="str">
        <f>IFERROR(__xludf.DUMMYFUNCTION("""COMPUTED_VALUE"""),"Y")</f>
        <v>Y</v>
      </c>
      <c r="M455" s="17"/>
      <c r="N455" s="17" t="str">
        <f>IFERROR(__xludf.DUMMYFUNCTION("""COMPUTED_VALUE"""),"Y")</f>
        <v>Y</v>
      </c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>
      <c r="A456" s="13" t="str">
        <f>IFERROR(__xludf.DUMMYFUNCTION("""COMPUTED_VALUE"""),"3120")</f>
        <v>3120</v>
      </c>
      <c r="B456" s="13" t="str">
        <f>IFERROR(__xludf.DUMMYFUNCTION("""COMPUTED_VALUE"""),"GREELEY 6")</f>
        <v>GREELEY 6</v>
      </c>
      <c r="C456" s="13" t="str">
        <f>IFERROR(__xludf.DUMMYFUNCTION("""COMPUTED_VALUE"""),"02222")</f>
        <v>02222</v>
      </c>
      <c r="D456" s="13" t="str">
        <f>IFERROR(__xludf.DUMMYFUNCTION("""COMPUTED_VALUE"""),"DOS RIOS ELEMENTARY SCHOOL")</f>
        <v>DOS RIOS ELEMENTARY SCHOOL</v>
      </c>
      <c r="E456" s="13" t="str">
        <f>IFERROR(__xludf.DUMMYFUNCTION("""COMPUTED_VALUE"""),"Open")</f>
        <v>Open</v>
      </c>
      <c r="F456" s="13"/>
      <c r="G456" s="13" t="str">
        <f>IFERROR(__xludf.DUMMYFUNCTION("""COMPUTED_VALUE"""),"2201 34TH ST")</f>
        <v>2201 34TH ST</v>
      </c>
      <c r="H456" s="13" t="str">
        <f>IFERROR(__xludf.DUMMYFUNCTION("""COMPUTED_VALUE"""),"EVANS")</f>
        <v>EVANS</v>
      </c>
      <c r="I456" s="13" t="str">
        <f>IFERROR(__xludf.DUMMYFUNCTION("""COMPUTED_VALUE"""),"CO")</f>
        <v>CO</v>
      </c>
      <c r="J456" s="13" t="str">
        <f>IFERROR(__xludf.DUMMYFUNCTION("""COMPUTED_VALUE"""),"80620-1729")</f>
        <v>80620-1729</v>
      </c>
      <c r="K456" s="13" t="str">
        <f>IFERROR(__xludf.DUMMYFUNCTION("""COMPUTED_VALUE"""),"Weld")</f>
        <v>Weld</v>
      </c>
      <c r="L456" s="17" t="str">
        <f>IFERROR(__xludf.DUMMYFUNCTION("""COMPUTED_VALUE"""),"Y")</f>
        <v>Y</v>
      </c>
      <c r="M456" s="17"/>
      <c r="N456" s="17" t="str">
        <f>IFERROR(__xludf.DUMMYFUNCTION("""COMPUTED_VALUE"""),"Y")</f>
        <v>Y</v>
      </c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>
      <c r="A457" s="13" t="str">
        <f>IFERROR(__xludf.DUMMYFUNCTION("""COMPUTED_VALUE"""),"3120")</f>
        <v>3120</v>
      </c>
      <c r="B457" s="13" t="str">
        <f>IFERROR(__xludf.DUMMYFUNCTION("""COMPUTED_VALUE"""),"GREELEY 6")</f>
        <v>GREELEY 6</v>
      </c>
      <c r="C457" s="13" t="str">
        <f>IFERROR(__xludf.DUMMYFUNCTION("""COMPUTED_VALUE"""),"02657")</f>
        <v>02657</v>
      </c>
      <c r="D457" s="13" t="str">
        <f>IFERROR(__xludf.DUMMYFUNCTION("""COMPUTED_VALUE"""),"EARLY COLLEGE ACADEMY")</f>
        <v>EARLY COLLEGE ACADEMY</v>
      </c>
      <c r="E457" s="13" t="str">
        <f>IFERROR(__xludf.DUMMYFUNCTION("""COMPUTED_VALUE"""),"Open")</f>
        <v>Open</v>
      </c>
      <c r="F457" s="13"/>
      <c r="G457" s="13" t="str">
        <f>IFERROR(__xludf.DUMMYFUNCTION("""COMPUTED_VALUE"""),"5590 W 11TH ST")</f>
        <v>5590 W 11TH ST</v>
      </c>
      <c r="H457" s="13" t="str">
        <f>IFERROR(__xludf.DUMMYFUNCTION("""COMPUTED_VALUE"""),"GREELEY")</f>
        <v>GREELEY</v>
      </c>
      <c r="I457" s="13" t="str">
        <f>IFERROR(__xludf.DUMMYFUNCTION("""COMPUTED_VALUE"""),"CO")</f>
        <v>CO</v>
      </c>
      <c r="J457" s="13" t="str">
        <f>IFERROR(__xludf.DUMMYFUNCTION("""COMPUTED_VALUE"""),"80634-4801")</f>
        <v>80634-4801</v>
      </c>
      <c r="K457" s="13" t="str">
        <f>IFERROR(__xludf.DUMMYFUNCTION("""COMPUTED_VALUE"""),"Weld")</f>
        <v>Weld</v>
      </c>
      <c r="L457" s="17" t="str">
        <f>IFERROR(__xludf.DUMMYFUNCTION("""COMPUTED_VALUE"""),"Y")</f>
        <v>Y</v>
      </c>
      <c r="M457" s="17"/>
      <c r="N457" s="17" t="str">
        <f>IFERROR(__xludf.DUMMYFUNCTION("""COMPUTED_VALUE"""),"Y")</f>
        <v>Y</v>
      </c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>
      <c r="A458" s="13" t="str">
        <f>IFERROR(__xludf.DUMMYFUNCTION("""COMPUTED_VALUE"""),"3120")</f>
        <v>3120</v>
      </c>
      <c r="B458" s="13" t="str">
        <f>IFERROR(__xludf.DUMMYFUNCTION("""COMPUTED_VALUE"""),"GREELEY 6")</f>
        <v>GREELEY 6</v>
      </c>
      <c r="C458" s="13" t="str">
        <f>IFERROR(__xludf.DUMMYFUNCTION("""COMPUTED_VALUE"""),"02850")</f>
        <v>02850</v>
      </c>
      <c r="D458" s="13" t="str">
        <f>IFERROR(__xludf.DUMMYFUNCTION("""COMPUTED_VALUE"""),"UNIVERSITY SCHOOLS")</f>
        <v>UNIVERSITY SCHOOLS</v>
      </c>
      <c r="E458" s="13" t="str">
        <f>IFERROR(__xludf.DUMMYFUNCTION("""COMPUTED_VALUE"""),"Open")</f>
        <v>Open</v>
      </c>
      <c r="F458" s="13"/>
      <c r="G458" s="13" t="str">
        <f>IFERROR(__xludf.DUMMYFUNCTION("""COMPUTED_VALUE"""),"6525 18TH ST")</f>
        <v>6525 18TH ST</v>
      </c>
      <c r="H458" s="13" t="str">
        <f>IFERROR(__xludf.DUMMYFUNCTION("""COMPUTED_VALUE"""),"GREELEY")</f>
        <v>GREELEY</v>
      </c>
      <c r="I458" s="13" t="str">
        <f>IFERROR(__xludf.DUMMYFUNCTION("""COMPUTED_VALUE"""),"CO")</f>
        <v>CO</v>
      </c>
      <c r="J458" s="13" t="str">
        <f>IFERROR(__xludf.DUMMYFUNCTION("""COMPUTED_VALUE"""),"80634-8674")</f>
        <v>80634-8674</v>
      </c>
      <c r="K458" s="13" t="str">
        <f>IFERROR(__xludf.DUMMYFUNCTION("""COMPUTED_VALUE"""),"Weld")</f>
        <v>Weld</v>
      </c>
      <c r="L458" s="17" t="str">
        <f>IFERROR(__xludf.DUMMYFUNCTION("""COMPUTED_VALUE"""),"Y")</f>
        <v>Y</v>
      </c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>
      <c r="A459" s="13" t="str">
        <f>IFERROR(__xludf.DUMMYFUNCTION("""COMPUTED_VALUE"""),"3120")</f>
        <v>3120</v>
      </c>
      <c r="B459" s="13" t="str">
        <f>IFERROR(__xludf.DUMMYFUNCTION("""COMPUTED_VALUE"""),"GREELEY 6")</f>
        <v>GREELEY 6</v>
      </c>
      <c r="C459" s="13" t="str">
        <f>IFERROR(__xludf.DUMMYFUNCTION("""COMPUTED_VALUE"""),"03162")</f>
        <v>03162</v>
      </c>
      <c r="D459" s="13" t="str">
        <f>IFERROR(__xludf.DUMMYFUNCTION("""COMPUTED_VALUE"""),"FRANKLIN MIDDLE SCHOOL")</f>
        <v>FRANKLIN MIDDLE SCHOOL</v>
      </c>
      <c r="E459" s="13" t="str">
        <f>IFERROR(__xludf.DUMMYFUNCTION("""COMPUTED_VALUE"""),"Open")</f>
        <v>Open</v>
      </c>
      <c r="F459" s="13"/>
      <c r="G459" s="13" t="str">
        <f>IFERROR(__xludf.DUMMYFUNCTION("""COMPUTED_VALUE"""),"818 35TH AVE")</f>
        <v>818 35TH AVE</v>
      </c>
      <c r="H459" s="13" t="str">
        <f>IFERROR(__xludf.DUMMYFUNCTION("""COMPUTED_VALUE"""),"GREELEY")</f>
        <v>GREELEY</v>
      </c>
      <c r="I459" s="13" t="str">
        <f>IFERROR(__xludf.DUMMYFUNCTION("""COMPUTED_VALUE"""),"CO")</f>
        <v>CO</v>
      </c>
      <c r="J459" s="13" t="str">
        <f>IFERROR(__xludf.DUMMYFUNCTION("""COMPUTED_VALUE"""),"80634-1817")</f>
        <v>80634-1817</v>
      </c>
      <c r="K459" s="13" t="str">
        <f>IFERROR(__xludf.DUMMYFUNCTION("""COMPUTED_VALUE"""),"Weld")</f>
        <v>Weld</v>
      </c>
      <c r="L459" s="17" t="str">
        <f>IFERROR(__xludf.DUMMYFUNCTION("""COMPUTED_VALUE"""),"Y")</f>
        <v>Y</v>
      </c>
      <c r="M459" s="17"/>
      <c r="N459" s="17" t="str">
        <f>IFERROR(__xludf.DUMMYFUNCTION("""COMPUTED_VALUE"""),"Y")</f>
        <v>Y</v>
      </c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>
      <c r="A460" s="13" t="str">
        <f>IFERROR(__xludf.DUMMYFUNCTION("""COMPUTED_VALUE"""),"3120")</f>
        <v>3120</v>
      </c>
      <c r="B460" s="13" t="str">
        <f>IFERROR(__xludf.DUMMYFUNCTION("""COMPUTED_VALUE"""),"GREELEY 6")</f>
        <v>GREELEY 6</v>
      </c>
      <c r="C460" s="13" t="str">
        <f>IFERROR(__xludf.DUMMYFUNCTION("""COMPUTED_VALUE"""),"03610")</f>
        <v>03610</v>
      </c>
      <c r="D460" s="13" t="str">
        <f>IFERROR(__xludf.DUMMYFUNCTION("""COMPUTED_VALUE"""),"GREELEY CENTRAL HIGH SCHOOL")</f>
        <v>GREELEY CENTRAL HIGH SCHOOL</v>
      </c>
      <c r="E460" s="13" t="str">
        <f>IFERROR(__xludf.DUMMYFUNCTION("""COMPUTED_VALUE"""),"Open")</f>
        <v>Open</v>
      </c>
      <c r="F460" s="13"/>
      <c r="G460" s="13" t="str">
        <f>IFERROR(__xludf.DUMMYFUNCTION("""COMPUTED_VALUE"""),"1515 14TH AVE")</f>
        <v>1515 14TH AVE</v>
      </c>
      <c r="H460" s="13" t="str">
        <f>IFERROR(__xludf.DUMMYFUNCTION("""COMPUTED_VALUE"""),"GREELEY")</f>
        <v>GREELEY</v>
      </c>
      <c r="I460" s="13" t="str">
        <f>IFERROR(__xludf.DUMMYFUNCTION("""COMPUTED_VALUE"""),"CO")</f>
        <v>CO</v>
      </c>
      <c r="J460" s="13" t="str">
        <f>IFERROR(__xludf.DUMMYFUNCTION("""COMPUTED_VALUE"""),"80631-4737")</f>
        <v>80631-4737</v>
      </c>
      <c r="K460" s="13" t="str">
        <f>IFERROR(__xludf.DUMMYFUNCTION("""COMPUTED_VALUE"""),"Weld")</f>
        <v>Weld</v>
      </c>
      <c r="L460" s="17" t="str">
        <f>IFERROR(__xludf.DUMMYFUNCTION("""COMPUTED_VALUE"""),"Y")</f>
        <v>Y</v>
      </c>
      <c r="M460" s="17"/>
      <c r="N460" s="17" t="str">
        <f>IFERROR(__xludf.DUMMYFUNCTION("""COMPUTED_VALUE"""),"Y")</f>
        <v>Y</v>
      </c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>
      <c r="A461" s="13" t="str">
        <f>IFERROR(__xludf.DUMMYFUNCTION("""COMPUTED_VALUE"""),"3120")</f>
        <v>3120</v>
      </c>
      <c r="B461" s="13" t="str">
        <f>IFERROR(__xludf.DUMMYFUNCTION("""COMPUTED_VALUE"""),"GREELEY 6")</f>
        <v>GREELEY 6</v>
      </c>
      <c r="C461" s="13" t="str">
        <f>IFERROR(__xludf.DUMMYFUNCTION("""COMPUTED_VALUE"""),"03614")</f>
        <v>03614</v>
      </c>
      <c r="D461" s="13" t="str">
        <f>IFERROR(__xludf.DUMMYFUNCTION("""COMPUTED_VALUE"""),"GREELEY WEST HIGH SCHOOL")</f>
        <v>GREELEY WEST HIGH SCHOOL</v>
      </c>
      <c r="E461" s="13" t="str">
        <f>IFERROR(__xludf.DUMMYFUNCTION("""COMPUTED_VALUE"""),"Open")</f>
        <v>Open</v>
      </c>
      <c r="F461" s="13"/>
      <c r="G461" s="13" t="str">
        <f>IFERROR(__xludf.DUMMYFUNCTION("""COMPUTED_VALUE"""),"2401 35TH AVE")</f>
        <v>2401 35TH AVE</v>
      </c>
      <c r="H461" s="13" t="str">
        <f>IFERROR(__xludf.DUMMYFUNCTION("""COMPUTED_VALUE"""),"GREELEY")</f>
        <v>GREELEY</v>
      </c>
      <c r="I461" s="13" t="str">
        <f>IFERROR(__xludf.DUMMYFUNCTION("""COMPUTED_VALUE"""),"CO")</f>
        <v>CO</v>
      </c>
      <c r="J461" s="13" t="str">
        <f>IFERROR(__xludf.DUMMYFUNCTION("""COMPUTED_VALUE"""),"80634-4102")</f>
        <v>80634-4102</v>
      </c>
      <c r="K461" s="13" t="str">
        <f>IFERROR(__xludf.DUMMYFUNCTION("""COMPUTED_VALUE"""),"Weld")</f>
        <v>Weld</v>
      </c>
      <c r="L461" s="17" t="str">
        <f>IFERROR(__xludf.DUMMYFUNCTION("""COMPUTED_VALUE"""),"Y")</f>
        <v>Y</v>
      </c>
      <c r="M461" s="17"/>
      <c r="N461" s="17" t="str">
        <f>IFERROR(__xludf.DUMMYFUNCTION("""COMPUTED_VALUE"""),"Y")</f>
        <v>Y</v>
      </c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>
      <c r="A462" s="13" t="str">
        <f>IFERROR(__xludf.DUMMYFUNCTION("""COMPUTED_VALUE"""),"3120")</f>
        <v>3120</v>
      </c>
      <c r="B462" s="13" t="str">
        <f>IFERROR(__xludf.DUMMYFUNCTION("""COMPUTED_VALUE"""),"GREELEY 6")</f>
        <v>GREELEY 6</v>
      </c>
      <c r="C462" s="13" t="str">
        <f>IFERROR(__xludf.DUMMYFUNCTION("""COMPUTED_VALUE"""),"03880")</f>
        <v>03880</v>
      </c>
      <c r="D462" s="13" t="str">
        <f>IFERROR(__xludf.DUMMYFUNCTION("""COMPUTED_VALUE"""),"HEATH MIDDLE SCHOOL")</f>
        <v>HEATH MIDDLE SCHOOL</v>
      </c>
      <c r="E462" s="13" t="str">
        <f>IFERROR(__xludf.DUMMYFUNCTION("""COMPUTED_VALUE"""),"Open")</f>
        <v>Open</v>
      </c>
      <c r="F462" s="13"/>
      <c r="G462" s="13" t="str">
        <f>IFERROR(__xludf.DUMMYFUNCTION("""COMPUTED_VALUE"""),"2223 16TH ST")</f>
        <v>2223 16TH ST</v>
      </c>
      <c r="H462" s="13" t="str">
        <f>IFERROR(__xludf.DUMMYFUNCTION("""COMPUTED_VALUE"""),"GREELEY")</f>
        <v>GREELEY</v>
      </c>
      <c r="I462" s="13" t="str">
        <f>IFERROR(__xludf.DUMMYFUNCTION("""COMPUTED_VALUE"""),"CO")</f>
        <v>CO</v>
      </c>
      <c r="J462" s="13" t="str">
        <f>IFERROR(__xludf.DUMMYFUNCTION("""COMPUTED_VALUE"""),"80631-5118")</f>
        <v>80631-5118</v>
      </c>
      <c r="K462" s="13" t="str">
        <f>IFERROR(__xludf.DUMMYFUNCTION("""COMPUTED_VALUE"""),"Weld")</f>
        <v>Weld</v>
      </c>
      <c r="L462" s="17" t="str">
        <f>IFERROR(__xludf.DUMMYFUNCTION("""COMPUTED_VALUE"""),"Y")</f>
        <v>Y</v>
      </c>
      <c r="M462" s="17"/>
      <c r="N462" s="17" t="str">
        <f>IFERROR(__xludf.DUMMYFUNCTION("""COMPUTED_VALUE"""),"Y")</f>
        <v>Y</v>
      </c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>
      <c r="A463" s="13" t="str">
        <f>IFERROR(__xludf.DUMMYFUNCTION("""COMPUTED_VALUE"""),"3120")</f>
        <v>3120</v>
      </c>
      <c r="B463" s="13" t="str">
        <f>IFERROR(__xludf.DUMMYFUNCTION("""COMPUTED_VALUE"""),"GREELEY 6")</f>
        <v>GREELEY 6</v>
      </c>
      <c r="C463" s="13" t="str">
        <f>IFERROR(__xludf.DUMMYFUNCTION("""COMPUTED_VALUE"""),"04356")</f>
        <v>04356</v>
      </c>
      <c r="D463" s="13" t="str">
        <f>IFERROR(__xludf.DUMMYFUNCTION("""COMPUTED_VALUE"""),"JACKSON ELEMENTARY SCHOOL")</f>
        <v>JACKSON ELEMENTARY SCHOOL</v>
      </c>
      <c r="E463" s="13" t="str">
        <f>IFERROR(__xludf.DUMMYFUNCTION("""COMPUTED_VALUE"""),"Open")</f>
        <v>Open</v>
      </c>
      <c r="F463" s="13"/>
      <c r="G463" s="13" t="str">
        <f>IFERROR(__xludf.DUMMYFUNCTION("""COMPUTED_VALUE"""),"2002 25TH ST")</f>
        <v>2002 25TH ST</v>
      </c>
      <c r="H463" s="13" t="str">
        <f>IFERROR(__xludf.DUMMYFUNCTION("""COMPUTED_VALUE"""),"GREELEY")</f>
        <v>GREELEY</v>
      </c>
      <c r="I463" s="13" t="str">
        <f>IFERROR(__xludf.DUMMYFUNCTION("""COMPUTED_VALUE"""),"CO")</f>
        <v>CO</v>
      </c>
      <c r="J463" s="13" t="str">
        <f>IFERROR(__xludf.DUMMYFUNCTION("""COMPUTED_VALUE"""),"80631-8141")</f>
        <v>80631-8141</v>
      </c>
      <c r="K463" s="13" t="str">
        <f>IFERROR(__xludf.DUMMYFUNCTION("""COMPUTED_VALUE"""),"Weld")</f>
        <v>Weld</v>
      </c>
      <c r="L463" s="17" t="str">
        <f>IFERROR(__xludf.DUMMYFUNCTION("""COMPUTED_VALUE"""),"Y")</f>
        <v>Y</v>
      </c>
      <c r="M463" s="17"/>
      <c r="N463" s="17" t="str">
        <f>IFERROR(__xludf.DUMMYFUNCTION("""COMPUTED_VALUE"""),"Y")</f>
        <v>Y</v>
      </c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>
      <c r="A464" s="13" t="str">
        <f>IFERROR(__xludf.DUMMYFUNCTION("""COMPUTED_VALUE"""),"3120")</f>
        <v>3120</v>
      </c>
      <c r="B464" s="13" t="str">
        <f>IFERROR(__xludf.DUMMYFUNCTION("""COMPUTED_VALUE"""),"GREELEY 6")</f>
        <v>GREELEY 6</v>
      </c>
      <c r="C464" s="13" t="str">
        <f>IFERROR(__xludf.DUMMYFUNCTION("""COMPUTED_VALUE"""),"04425")</f>
        <v>04425</v>
      </c>
      <c r="D464" s="13" t="str">
        <f>IFERROR(__xludf.DUMMYFUNCTION("""COMPUTED_VALUE"""),"JEFFERSON JUNIOR/SENIOR HIGH")</f>
        <v>JEFFERSON JUNIOR/SENIOR HIGH</v>
      </c>
      <c r="E464" s="13" t="str">
        <f>IFERROR(__xludf.DUMMYFUNCTION("""COMPUTED_VALUE"""),"Open")</f>
        <v>Open</v>
      </c>
      <c r="F464" s="13"/>
      <c r="G464" s="13" t="str">
        <f>IFERROR(__xludf.DUMMYFUNCTION("""COMPUTED_VALUE"""),"1315 4TH AVE")</f>
        <v>1315 4TH AVE</v>
      </c>
      <c r="H464" s="13" t="str">
        <f>IFERROR(__xludf.DUMMYFUNCTION("""COMPUTED_VALUE"""),"GREELEY")</f>
        <v>GREELEY</v>
      </c>
      <c r="I464" s="13" t="str">
        <f>IFERROR(__xludf.DUMMYFUNCTION("""COMPUTED_VALUE"""),"CO")</f>
        <v>CO</v>
      </c>
      <c r="J464" s="13" t="str">
        <f>IFERROR(__xludf.DUMMYFUNCTION("""COMPUTED_VALUE"""),"80631-4101")</f>
        <v>80631-4101</v>
      </c>
      <c r="K464" s="13" t="str">
        <f>IFERROR(__xludf.DUMMYFUNCTION("""COMPUTED_VALUE"""),"Weld")</f>
        <v>Weld</v>
      </c>
      <c r="L464" s="17" t="str">
        <f>IFERROR(__xludf.DUMMYFUNCTION("""COMPUTED_VALUE"""),"Y")</f>
        <v>Y</v>
      </c>
      <c r="M464" s="17"/>
      <c r="N464" s="17" t="str">
        <f>IFERROR(__xludf.DUMMYFUNCTION("""COMPUTED_VALUE"""),"Y")</f>
        <v>Y</v>
      </c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>
      <c r="A465" s="13" t="str">
        <f>IFERROR(__xludf.DUMMYFUNCTION("""COMPUTED_VALUE"""),"3120")</f>
        <v>3120</v>
      </c>
      <c r="B465" s="13" t="str">
        <f>IFERROR(__xludf.DUMMYFUNCTION("""COMPUTED_VALUE"""),"GREELEY 6")</f>
        <v>GREELEY 6</v>
      </c>
      <c r="C465" s="13" t="str">
        <f>IFERROR(__xludf.DUMMYFUNCTION("""COMPUTED_VALUE"""),"04438")</f>
        <v>04438</v>
      </c>
      <c r="D465" s="13" t="str">
        <f>IFERROR(__xludf.DUMMYFUNCTION("""COMPUTED_VALUE"""),"PRAIRIE HEIGHTS MIDDLE SCHOOL")</f>
        <v>PRAIRIE HEIGHTS MIDDLE SCHOOL</v>
      </c>
      <c r="E465" s="13" t="str">
        <f>IFERROR(__xludf.DUMMYFUNCTION("""COMPUTED_VALUE"""),"Open")</f>
        <v>Open</v>
      </c>
      <c r="F465" s="13"/>
      <c r="G465" s="13" t="str">
        <f>IFERROR(__xludf.DUMMYFUNCTION("""COMPUTED_VALUE"""),"3737 65TH AVE")</f>
        <v>3737 65TH AVE</v>
      </c>
      <c r="H465" s="13" t="str">
        <f>IFERROR(__xludf.DUMMYFUNCTION("""COMPUTED_VALUE"""),"EVANS")</f>
        <v>EVANS</v>
      </c>
      <c r="I465" s="13" t="str">
        <f>IFERROR(__xludf.DUMMYFUNCTION("""COMPUTED_VALUE"""),"CO")</f>
        <v>CO</v>
      </c>
      <c r="J465" s="13" t="str">
        <f>IFERROR(__xludf.DUMMYFUNCTION("""COMPUTED_VALUE"""),"80634-9626")</f>
        <v>80634-9626</v>
      </c>
      <c r="K465" s="13" t="str">
        <f>IFERROR(__xludf.DUMMYFUNCTION("""COMPUTED_VALUE"""),"Weld")</f>
        <v>Weld</v>
      </c>
      <c r="L465" s="17" t="str">
        <f>IFERROR(__xludf.DUMMYFUNCTION("""COMPUTED_VALUE"""),"Y")</f>
        <v>Y</v>
      </c>
      <c r="M465" s="17"/>
      <c r="N465" s="17" t="str">
        <f>IFERROR(__xludf.DUMMYFUNCTION("""COMPUTED_VALUE"""),"Y")</f>
        <v>Y</v>
      </c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>
      <c r="A466" s="13" t="str">
        <f>IFERROR(__xludf.DUMMYFUNCTION("""COMPUTED_VALUE"""),"3120")</f>
        <v>3120</v>
      </c>
      <c r="B466" s="13" t="str">
        <f>IFERROR(__xludf.DUMMYFUNCTION("""COMPUTED_VALUE"""),"GREELEY 6")</f>
        <v>GREELEY 6</v>
      </c>
      <c r="C466" s="13" t="str">
        <f>IFERROR(__xludf.DUMMYFUNCTION("""COMPUTED_VALUE"""),"05412")</f>
        <v>05412</v>
      </c>
      <c r="D466" s="13" t="str">
        <f>IFERROR(__xludf.DUMMYFUNCTION("""COMPUTED_VALUE"""),"MADISON ELEMENTARY SCHOOL")</f>
        <v>MADISON ELEMENTARY SCHOOL</v>
      </c>
      <c r="E466" s="13" t="str">
        <f>IFERROR(__xludf.DUMMYFUNCTION("""COMPUTED_VALUE"""),"Open")</f>
        <v>Open</v>
      </c>
      <c r="F466" s="13"/>
      <c r="G466" s="13" t="str">
        <f>IFERROR(__xludf.DUMMYFUNCTION("""COMPUTED_VALUE"""),"500 24TH AVE")</f>
        <v>500 24TH AVE</v>
      </c>
      <c r="H466" s="13" t="str">
        <f>IFERROR(__xludf.DUMMYFUNCTION("""COMPUTED_VALUE"""),"GREELEY")</f>
        <v>GREELEY</v>
      </c>
      <c r="I466" s="13" t="str">
        <f>IFERROR(__xludf.DUMMYFUNCTION("""COMPUTED_VALUE"""),"CO")</f>
        <v>CO</v>
      </c>
      <c r="J466" s="13" t="str">
        <f>IFERROR(__xludf.DUMMYFUNCTION("""COMPUTED_VALUE"""),"80634-2617")</f>
        <v>80634-2617</v>
      </c>
      <c r="K466" s="13" t="str">
        <f>IFERROR(__xludf.DUMMYFUNCTION("""COMPUTED_VALUE"""),"Weld")</f>
        <v>Weld</v>
      </c>
      <c r="L466" s="17" t="str">
        <f>IFERROR(__xludf.DUMMYFUNCTION("""COMPUTED_VALUE"""),"Y")</f>
        <v>Y</v>
      </c>
      <c r="M466" s="17"/>
      <c r="N466" s="17" t="str">
        <f>IFERROR(__xludf.DUMMYFUNCTION("""COMPUTED_VALUE"""),"Y")</f>
        <v>Y</v>
      </c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>
      <c r="A467" s="13" t="str">
        <f>IFERROR(__xludf.DUMMYFUNCTION("""COMPUTED_VALUE"""),"3120")</f>
        <v>3120</v>
      </c>
      <c r="B467" s="13" t="str">
        <f>IFERROR(__xludf.DUMMYFUNCTION("""COMPUTED_VALUE"""),"GREELEY 6")</f>
        <v>GREELEY 6</v>
      </c>
      <c r="C467" s="13" t="str">
        <f>IFERROR(__xludf.DUMMYFUNCTION("""COMPUTED_VALUE"""),"05620")</f>
        <v>05620</v>
      </c>
      <c r="D467" s="13" t="str">
        <f>IFERROR(__xludf.DUMMYFUNCTION("""COMPUTED_VALUE"""),"MAPLEWOOD ELEMENTARY")</f>
        <v>MAPLEWOOD ELEMENTARY</v>
      </c>
      <c r="E467" s="13" t="str">
        <f>IFERROR(__xludf.DUMMYFUNCTION("""COMPUTED_VALUE"""),"Open")</f>
        <v>Open</v>
      </c>
      <c r="F467" s="13"/>
      <c r="G467" s="13" t="str">
        <f>IFERROR(__xludf.DUMMYFUNCTION("""COMPUTED_VALUE"""),"1201 21ST AVE")</f>
        <v>1201 21ST AVE</v>
      </c>
      <c r="H467" s="13" t="str">
        <f>IFERROR(__xludf.DUMMYFUNCTION("""COMPUTED_VALUE"""),"GREELEY")</f>
        <v>GREELEY</v>
      </c>
      <c r="I467" s="13" t="str">
        <f>IFERROR(__xludf.DUMMYFUNCTION("""COMPUTED_VALUE"""),"CO")</f>
        <v>CO</v>
      </c>
      <c r="J467" s="13" t="str">
        <f>IFERROR(__xludf.DUMMYFUNCTION("""COMPUTED_VALUE"""),"80631-3635")</f>
        <v>80631-3635</v>
      </c>
      <c r="K467" s="13" t="str">
        <f>IFERROR(__xludf.DUMMYFUNCTION("""COMPUTED_VALUE"""),"Weld")</f>
        <v>Weld</v>
      </c>
      <c r="L467" s="17" t="str">
        <f>IFERROR(__xludf.DUMMYFUNCTION("""COMPUTED_VALUE"""),"Y")</f>
        <v>Y</v>
      </c>
      <c r="M467" s="17"/>
      <c r="N467" s="17" t="str">
        <f>IFERROR(__xludf.DUMMYFUNCTION("""COMPUTED_VALUE"""),"Y")</f>
        <v>Y</v>
      </c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>
      <c r="A468" s="13" t="str">
        <f>IFERROR(__xludf.DUMMYFUNCTION("""COMPUTED_VALUE"""),"3120")</f>
        <v>3120</v>
      </c>
      <c r="B468" s="13" t="str">
        <f>IFERROR(__xludf.DUMMYFUNCTION("""COMPUTED_VALUE"""),"GREELEY 6")</f>
        <v>GREELEY 6</v>
      </c>
      <c r="C468" s="13" t="str">
        <f>IFERROR(__xludf.DUMMYFUNCTION("""COMPUTED_VALUE"""),"05660")</f>
        <v>05660</v>
      </c>
      <c r="D468" s="13" t="str">
        <f>IFERROR(__xludf.DUMMYFUNCTION("""COMPUTED_VALUE"""),"MCAULIFFE ELEMENTARY SCHOOL")</f>
        <v>MCAULIFFE ELEMENTARY SCHOOL</v>
      </c>
      <c r="E468" s="13" t="str">
        <f>IFERROR(__xludf.DUMMYFUNCTION("""COMPUTED_VALUE"""),"Open")</f>
        <v>Open</v>
      </c>
      <c r="F468" s="13"/>
      <c r="G468" s="13" t="str">
        <f>IFERROR(__xludf.DUMMYFUNCTION("""COMPUTED_VALUE"""),"600 51ST AVE")</f>
        <v>600 51ST AVE</v>
      </c>
      <c r="H468" s="13" t="str">
        <f>IFERROR(__xludf.DUMMYFUNCTION("""COMPUTED_VALUE"""),"GREELEY")</f>
        <v>GREELEY</v>
      </c>
      <c r="I468" s="13" t="str">
        <f>IFERROR(__xludf.DUMMYFUNCTION("""COMPUTED_VALUE"""),"CO")</f>
        <v>CO</v>
      </c>
      <c r="J468" s="13" t="str">
        <f>IFERROR(__xludf.DUMMYFUNCTION("""COMPUTED_VALUE"""),"80634-4418")</f>
        <v>80634-4418</v>
      </c>
      <c r="K468" s="13" t="str">
        <f>IFERROR(__xludf.DUMMYFUNCTION("""COMPUTED_VALUE"""),"Weld")</f>
        <v>Weld</v>
      </c>
      <c r="L468" s="17" t="str">
        <f>IFERROR(__xludf.DUMMYFUNCTION("""COMPUTED_VALUE"""),"Y")</f>
        <v>Y</v>
      </c>
      <c r="M468" s="17"/>
      <c r="N468" s="17" t="str">
        <f>IFERROR(__xludf.DUMMYFUNCTION("""COMPUTED_VALUE"""),"Y")</f>
        <v>Y</v>
      </c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>
      <c r="A469" s="13" t="str">
        <f>IFERROR(__xludf.DUMMYFUNCTION("""COMPUTED_VALUE"""),"3120")</f>
        <v>3120</v>
      </c>
      <c r="B469" s="13" t="str">
        <f>IFERROR(__xludf.DUMMYFUNCTION("""COMPUTED_VALUE"""),"GREELEY 6")</f>
        <v>GREELEY 6</v>
      </c>
      <c r="C469" s="13" t="str">
        <f>IFERROR(__xludf.DUMMYFUNCTION("""COMPUTED_VALUE"""),"05985")</f>
        <v>05985</v>
      </c>
      <c r="D469" s="13" t="str">
        <f>IFERROR(__xludf.DUMMYFUNCTION("""COMPUTED_VALUE"""),"MONFORT ELEMENTARY SCHOOL")</f>
        <v>MONFORT ELEMENTARY SCHOOL</v>
      </c>
      <c r="E469" s="13" t="str">
        <f>IFERROR(__xludf.DUMMYFUNCTION("""COMPUTED_VALUE"""),"Open")</f>
        <v>Open</v>
      </c>
      <c r="F469" s="13"/>
      <c r="G469" s="13" t="str">
        <f>IFERROR(__xludf.DUMMYFUNCTION("""COMPUTED_VALUE"""),"2101 47TH AVE")</f>
        <v>2101 47TH AVE</v>
      </c>
      <c r="H469" s="13" t="str">
        <f>IFERROR(__xludf.DUMMYFUNCTION("""COMPUTED_VALUE"""),"GREELEY")</f>
        <v>GREELEY</v>
      </c>
      <c r="I469" s="13" t="str">
        <f>IFERROR(__xludf.DUMMYFUNCTION("""COMPUTED_VALUE"""),"CO")</f>
        <v>CO</v>
      </c>
      <c r="J469" s="13" t="str">
        <f>IFERROR(__xludf.DUMMYFUNCTION("""COMPUTED_VALUE"""),"80634-3201")</f>
        <v>80634-3201</v>
      </c>
      <c r="K469" s="13" t="str">
        <f>IFERROR(__xludf.DUMMYFUNCTION("""COMPUTED_VALUE"""),"Weld")</f>
        <v>Weld</v>
      </c>
      <c r="L469" s="17" t="str">
        <f>IFERROR(__xludf.DUMMYFUNCTION("""COMPUTED_VALUE"""),"Y")</f>
        <v>Y</v>
      </c>
      <c r="M469" s="17"/>
      <c r="N469" s="17" t="str">
        <f>IFERROR(__xludf.DUMMYFUNCTION("""COMPUTED_VALUE"""),"Y")</f>
        <v>Y</v>
      </c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>
      <c r="A470" s="13" t="str">
        <f>IFERROR(__xludf.DUMMYFUNCTION("""COMPUTED_VALUE"""),"3120")</f>
        <v>3120</v>
      </c>
      <c r="B470" s="13" t="str">
        <f>IFERROR(__xludf.DUMMYFUNCTION("""COMPUTED_VALUE"""),"GREELEY 6")</f>
        <v>GREELEY 6</v>
      </c>
      <c r="C470" s="13" t="str">
        <f>IFERROR(__xludf.DUMMYFUNCTION("""COMPUTED_VALUE"""),"06248")</f>
        <v>06248</v>
      </c>
      <c r="D470" s="13" t="str">
        <f>IFERROR(__xludf.DUMMYFUNCTION("""COMPUTED_VALUE"""),"Tointon Academy of Pre-Engineering")</f>
        <v>Tointon Academy of Pre-Engineering</v>
      </c>
      <c r="E470" s="13" t="str">
        <f>IFERROR(__xludf.DUMMYFUNCTION("""COMPUTED_VALUE"""),"Open")</f>
        <v>Open</v>
      </c>
      <c r="F470" s="13"/>
      <c r="G470" s="13" t="str">
        <f>IFERROR(__xludf.DUMMYFUNCTION("""COMPUTED_VALUE"""),"717 71ST AVE")</f>
        <v>717 71ST AVE</v>
      </c>
      <c r="H470" s="13" t="str">
        <f>IFERROR(__xludf.DUMMYFUNCTION("""COMPUTED_VALUE"""),"GREELEY")</f>
        <v>GREELEY</v>
      </c>
      <c r="I470" s="13" t="str">
        <f>IFERROR(__xludf.DUMMYFUNCTION("""COMPUTED_VALUE"""),"CO")</f>
        <v>CO</v>
      </c>
      <c r="J470" s="13" t="str">
        <f>IFERROR(__xludf.DUMMYFUNCTION("""COMPUTED_VALUE"""),"80634-8249")</f>
        <v>80634-8249</v>
      </c>
      <c r="K470" s="13" t="str">
        <f>IFERROR(__xludf.DUMMYFUNCTION("""COMPUTED_VALUE"""),"Weld")</f>
        <v>Weld</v>
      </c>
      <c r="L470" s="17" t="str">
        <f>IFERROR(__xludf.DUMMYFUNCTION("""COMPUTED_VALUE"""),"Y")</f>
        <v>Y</v>
      </c>
      <c r="M470" s="17"/>
      <c r="N470" s="17" t="str">
        <f>IFERROR(__xludf.DUMMYFUNCTION("""COMPUTED_VALUE"""),"Y")</f>
        <v>Y</v>
      </c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>
      <c r="A471" s="13" t="str">
        <f>IFERROR(__xludf.DUMMYFUNCTION("""COMPUTED_VALUE"""),"3120")</f>
        <v>3120</v>
      </c>
      <c r="B471" s="13" t="str">
        <f>IFERROR(__xludf.DUMMYFUNCTION("""COMPUTED_VALUE"""),"GREELEY 6")</f>
        <v>GREELEY 6</v>
      </c>
      <c r="C471" s="13" t="str">
        <f>IFERROR(__xludf.DUMMYFUNCTION("""COMPUTED_VALUE"""),"06364")</f>
        <v>06364</v>
      </c>
      <c r="D471" s="13" t="str">
        <f>IFERROR(__xludf.DUMMYFUNCTION("""COMPUTED_VALUE"""),"NORTHRIDGE HIGH SCHOOL")</f>
        <v>NORTHRIDGE HIGH SCHOOL</v>
      </c>
      <c r="E471" s="13" t="str">
        <f>IFERROR(__xludf.DUMMYFUNCTION("""COMPUTED_VALUE"""),"Open")</f>
        <v>Open</v>
      </c>
      <c r="F471" s="13"/>
      <c r="G471" s="13" t="str">
        <f>IFERROR(__xludf.DUMMYFUNCTION("""COMPUTED_VALUE"""),"100 N 71ST AVE")</f>
        <v>100 N 71ST AVE</v>
      </c>
      <c r="H471" s="13" t="str">
        <f>IFERROR(__xludf.DUMMYFUNCTION("""COMPUTED_VALUE"""),"GREELEY")</f>
        <v>GREELEY</v>
      </c>
      <c r="I471" s="13" t="str">
        <f>IFERROR(__xludf.DUMMYFUNCTION("""COMPUTED_VALUE"""),"CO")</f>
        <v>CO</v>
      </c>
      <c r="J471" s="13" t="str">
        <f>IFERROR(__xludf.DUMMYFUNCTION("""COMPUTED_VALUE"""),"80634-9182")</f>
        <v>80634-9182</v>
      </c>
      <c r="K471" s="13" t="str">
        <f>IFERROR(__xludf.DUMMYFUNCTION("""COMPUTED_VALUE"""),"Weld")</f>
        <v>Weld</v>
      </c>
      <c r="L471" s="17" t="str">
        <f>IFERROR(__xludf.DUMMYFUNCTION("""COMPUTED_VALUE"""),"Y")</f>
        <v>Y</v>
      </c>
      <c r="M471" s="17"/>
      <c r="N471" s="17" t="str">
        <f>IFERROR(__xludf.DUMMYFUNCTION("""COMPUTED_VALUE"""),"Y")</f>
        <v>Y</v>
      </c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>
      <c r="A472" s="13" t="str">
        <f>IFERROR(__xludf.DUMMYFUNCTION("""COMPUTED_VALUE"""),"3120")</f>
        <v>3120</v>
      </c>
      <c r="B472" s="13" t="str">
        <f>IFERROR(__xludf.DUMMYFUNCTION("""COMPUTED_VALUE"""),"GREELEY 6")</f>
        <v>GREELEY 6</v>
      </c>
      <c r="C472" s="13" t="str">
        <f>IFERROR(__xludf.DUMMYFUNCTION("""COMPUTED_VALUE"""),"06774")</f>
        <v>06774</v>
      </c>
      <c r="D472" s="13" t="str">
        <f>IFERROR(__xludf.DUMMYFUNCTION("""COMPUTED_VALUE"""),"MARTINEZ ELEMENTARY SCHOOL")</f>
        <v>MARTINEZ ELEMENTARY SCHOOL</v>
      </c>
      <c r="E472" s="13" t="str">
        <f>IFERROR(__xludf.DUMMYFUNCTION("""COMPUTED_VALUE"""),"Open")</f>
        <v>Open</v>
      </c>
      <c r="F472" s="13"/>
      <c r="G472" s="13" t="str">
        <f>IFERROR(__xludf.DUMMYFUNCTION("""COMPUTED_VALUE"""),"341 14TH AVE")</f>
        <v>341 14TH AVE</v>
      </c>
      <c r="H472" s="13" t="str">
        <f>IFERROR(__xludf.DUMMYFUNCTION("""COMPUTED_VALUE"""),"GREELEY")</f>
        <v>GREELEY</v>
      </c>
      <c r="I472" s="13" t="str">
        <f>IFERROR(__xludf.DUMMYFUNCTION("""COMPUTED_VALUE"""),"CO")</f>
        <v>CO</v>
      </c>
      <c r="J472" s="13" t="str">
        <f>IFERROR(__xludf.DUMMYFUNCTION("""COMPUTED_VALUE"""),"80631-2103")</f>
        <v>80631-2103</v>
      </c>
      <c r="K472" s="13" t="str">
        <f>IFERROR(__xludf.DUMMYFUNCTION("""COMPUTED_VALUE"""),"Weld")</f>
        <v>Weld</v>
      </c>
      <c r="L472" s="17" t="str">
        <f>IFERROR(__xludf.DUMMYFUNCTION("""COMPUTED_VALUE"""),"Y")</f>
        <v>Y</v>
      </c>
      <c r="M472" s="17"/>
      <c r="N472" s="17" t="str">
        <f>IFERROR(__xludf.DUMMYFUNCTION("""COMPUTED_VALUE"""),"Y")</f>
        <v>Y</v>
      </c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>
      <c r="A473" s="13" t="str">
        <f>IFERROR(__xludf.DUMMYFUNCTION("""COMPUTED_VALUE"""),"3120")</f>
        <v>3120</v>
      </c>
      <c r="B473" s="13" t="str">
        <f>IFERROR(__xludf.DUMMYFUNCTION("""COMPUTED_VALUE"""),"GREELEY 6")</f>
        <v>GREELEY 6</v>
      </c>
      <c r="C473" s="13" t="str">
        <f>IFERROR(__xludf.DUMMYFUNCTION("""COMPUTED_VALUE"""),"07700")</f>
        <v>07700</v>
      </c>
      <c r="D473" s="13" t="str">
        <f>IFERROR(__xludf.DUMMYFUNCTION("""COMPUTED_VALUE"""),"SCOTT ELEMENTARY SCHOOL")</f>
        <v>SCOTT ELEMENTARY SCHOOL</v>
      </c>
      <c r="E473" s="13" t="str">
        <f>IFERROR(__xludf.DUMMYFUNCTION("""COMPUTED_VALUE"""),"Open")</f>
        <v>Open</v>
      </c>
      <c r="F473" s="13"/>
      <c r="G473" s="13" t="str">
        <f>IFERROR(__xludf.DUMMYFUNCTION("""COMPUTED_VALUE"""),"3000 W 13TH ST")</f>
        <v>3000 W 13TH ST</v>
      </c>
      <c r="H473" s="13" t="str">
        <f>IFERROR(__xludf.DUMMYFUNCTION("""COMPUTED_VALUE"""),"GREELEY")</f>
        <v>GREELEY</v>
      </c>
      <c r="I473" s="13" t="str">
        <f>IFERROR(__xludf.DUMMYFUNCTION("""COMPUTED_VALUE"""),"CO")</f>
        <v>CO</v>
      </c>
      <c r="J473" s="13" t="str">
        <f>IFERROR(__xludf.DUMMYFUNCTION("""COMPUTED_VALUE"""),"80634-6304")</f>
        <v>80634-6304</v>
      </c>
      <c r="K473" s="13" t="str">
        <f>IFERROR(__xludf.DUMMYFUNCTION("""COMPUTED_VALUE"""),"Weld")</f>
        <v>Weld</v>
      </c>
      <c r="L473" s="17" t="str">
        <f>IFERROR(__xludf.DUMMYFUNCTION("""COMPUTED_VALUE"""),"Y")</f>
        <v>Y</v>
      </c>
      <c r="M473" s="17"/>
      <c r="N473" s="17" t="str">
        <f>IFERROR(__xludf.DUMMYFUNCTION("""COMPUTED_VALUE"""),"Y")</f>
        <v>Y</v>
      </c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>
      <c r="A474" s="13" t="str">
        <f>IFERROR(__xludf.DUMMYFUNCTION("""COMPUTED_VALUE"""),"3120")</f>
        <v>3120</v>
      </c>
      <c r="B474" s="13" t="str">
        <f>IFERROR(__xludf.DUMMYFUNCTION("""COMPUTED_VALUE"""),"GREELEY 6")</f>
        <v>GREELEY 6</v>
      </c>
      <c r="C474" s="13" t="str">
        <f>IFERROR(__xludf.DUMMYFUNCTION("""COMPUTED_VALUE"""),"08467")</f>
        <v>08467</v>
      </c>
      <c r="D474" s="13" t="str">
        <f>IFERROR(__xludf.DUMMYFUNCTION("""COMPUTED_VALUE"""),"SALIDA DEL SOL ACADEMY")</f>
        <v>SALIDA DEL SOL ACADEMY</v>
      </c>
      <c r="E474" s="13" t="str">
        <f>IFERROR(__xludf.DUMMYFUNCTION("""COMPUTED_VALUE"""),"Open")</f>
        <v>Open</v>
      </c>
      <c r="F474" s="13"/>
      <c r="G474" s="13" t="str">
        <f>IFERROR(__xludf.DUMMYFUNCTION("""COMPUTED_VALUE"""),"111 E 26TH ST")</f>
        <v>111 E 26TH ST</v>
      </c>
      <c r="H474" s="13" t="str">
        <f>IFERROR(__xludf.DUMMYFUNCTION("""COMPUTED_VALUE"""),"GREELEY")</f>
        <v>GREELEY</v>
      </c>
      <c r="I474" s="13" t="str">
        <f>IFERROR(__xludf.DUMMYFUNCTION("""COMPUTED_VALUE"""),"CO")</f>
        <v>CO</v>
      </c>
      <c r="J474" s="13" t="str">
        <f>IFERROR(__xludf.DUMMYFUNCTION("""COMPUTED_VALUE"""),"80631-7300")</f>
        <v>80631-7300</v>
      </c>
      <c r="K474" s="13" t="str">
        <f>IFERROR(__xludf.DUMMYFUNCTION("""COMPUTED_VALUE"""),"Weld")</f>
        <v>Weld</v>
      </c>
      <c r="L474" s="17" t="str">
        <f>IFERROR(__xludf.DUMMYFUNCTION("""COMPUTED_VALUE"""),"Y")</f>
        <v>Y</v>
      </c>
      <c r="M474" s="17"/>
      <c r="N474" s="17" t="str">
        <f>IFERROR(__xludf.DUMMYFUNCTION("""COMPUTED_VALUE"""),"Y")</f>
        <v>Y</v>
      </c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>
      <c r="A475" s="13" t="str">
        <f>IFERROR(__xludf.DUMMYFUNCTION("""COMPUTED_VALUE"""),"3120")</f>
        <v>3120</v>
      </c>
      <c r="B475" s="13" t="str">
        <f>IFERROR(__xludf.DUMMYFUNCTION("""COMPUTED_VALUE"""),"GREELEY 6")</f>
        <v>GREELEY 6</v>
      </c>
      <c r="C475" s="13" t="str">
        <f>IFERROR(__xludf.DUMMYFUNCTION("""COMPUTED_VALUE"""),"09626")</f>
        <v>09626</v>
      </c>
      <c r="D475" s="13" t="str">
        <f>IFERROR(__xludf.DUMMYFUNCTION("""COMPUTED_VALUE"""),"BOCES")</f>
        <v>BOCES</v>
      </c>
      <c r="E475" s="13" t="str">
        <f>IFERROR(__xludf.DUMMYFUNCTION("""COMPUTED_VALUE"""),"Open")</f>
        <v>Open</v>
      </c>
      <c r="F475" s="13"/>
      <c r="G475" s="13" t="str">
        <f>IFERROR(__xludf.DUMMYFUNCTION("""COMPUTED_VALUE"""),"2040 CLUBHOUSE DR")</f>
        <v>2040 CLUBHOUSE DR</v>
      </c>
      <c r="H475" s="13" t="str">
        <f>IFERROR(__xludf.DUMMYFUNCTION("""COMPUTED_VALUE"""),"GREELEY")</f>
        <v>GREELEY</v>
      </c>
      <c r="I475" s="13" t="str">
        <f>IFERROR(__xludf.DUMMYFUNCTION("""COMPUTED_VALUE"""),"CO")</f>
        <v>CO</v>
      </c>
      <c r="J475" s="13" t="str">
        <f>IFERROR(__xludf.DUMMYFUNCTION("""COMPUTED_VALUE"""),"80634-3654")</f>
        <v>80634-3654</v>
      </c>
      <c r="K475" s="13" t="str">
        <f>IFERROR(__xludf.DUMMYFUNCTION("""COMPUTED_VALUE"""),"Weld")</f>
        <v>Weld</v>
      </c>
      <c r="L475" s="17" t="str">
        <f>IFERROR(__xludf.DUMMYFUNCTION("""COMPUTED_VALUE"""),"Y")</f>
        <v>Y</v>
      </c>
      <c r="M475" s="17"/>
      <c r="N475" s="17" t="str">
        <f>IFERROR(__xludf.DUMMYFUNCTION("""COMPUTED_VALUE"""),"Y")</f>
        <v>Y</v>
      </c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>
      <c r="A476" s="13" t="str">
        <f>IFERROR(__xludf.DUMMYFUNCTION("""COMPUTED_VALUE"""),"3120")</f>
        <v>3120</v>
      </c>
      <c r="B476" s="13" t="str">
        <f>IFERROR(__xludf.DUMMYFUNCTION("""COMPUTED_VALUE"""),"GREELEY 6")</f>
        <v>GREELEY 6</v>
      </c>
      <c r="C476" s="13" t="str">
        <f>IFERROR(__xludf.DUMMYFUNCTION("""COMPUTED_VALUE"""),"09630")</f>
        <v>09630</v>
      </c>
      <c r="D476" s="13" t="str">
        <f>IFERROR(__xludf.DUMMYFUNCTION("""COMPUTED_VALUE"""),"JEFFERSON JUNIOR HIGH")</f>
        <v>JEFFERSON JUNIOR HIGH</v>
      </c>
      <c r="E476" s="13" t="str">
        <f>IFERROR(__xludf.DUMMYFUNCTION("""COMPUTED_VALUE"""),"Open")</f>
        <v>Open</v>
      </c>
      <c r="F476" s="13"/>
      <c r="G476" s="13" t="str">
        <f>IFERROR(__xludf.DUMMYFUNCTION("""COMPUTED_VALUE"""),"1424 13TH AVE")</f>
        <v>1424 13TH AVE</v>
      </c>
      <c r="H476" s="13" t="str">
        <f>IFERROR(__xludf.DUMMYFUNCTION("""COMPUTED_VALUE"""),"GREELEY")</f>
        <v>GREELEY</v>
      </c>
      <c r="I476" s="13" t="str">
        <f>IFERROR(__xludf.DUMMYFUNCTION("""COMPUTED_VALUE"""),"CO")</f>
        <v>CO</v>
      </c>
      <c r="J476" s="13" t="str">
        <f>IFERROR(__xludf.DUMMYFUNCTION("""COMPUTED_VALUE"""),"80631-4709")</f>
        <v>80631-4709</v>
      </c>
      <c r="K476" s="13" t="str">
        <f>IFERROR(__xludf.DUMMYFUNCTION("""COMPUTED_VALUE"""),"Weld")</f>
        <v>Weld</v>
      </c>
      <c r="L476" s="17" t="str">
        <f>IFERROR(__xludf.DUMMYFUNCTION("""COMPUTED_VALUE"""),"Y")</f>
        <v>Y</v>
      </c>
      <c r="M476" s="17"/>
      <c r="N476" s="17" t="str">
        <f>IFERROR(__xludf.DUMMYFUNCTION("""COMPUTED_VALUE"""),"Y")</f>
        <v>Y</v>
      </c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>
      <c r="A477" s="13" t="str">
        <f>IFERROR(__xludf.DUMMYFUNCTION("""COMPUTED_VALUE"""),"3120")</f>
        <v>3120</v>
      </c>
      <c r="B477" s="13" t="str">
        <f>IFERROR(__xludf.DUMMYFUNCTION("""COMPUTED_VALUE"""),"GREELEY 6")</f>
        <v>GREELEY 6</v>
      </c>
      <c r="C477" s="13" t="str">
        <f>IFERROR(__xludf.DUMMYFUNCTION("""COMPUTED_VALUE"""),"09653")</f>
        <v>09653</v>
      </c>
      <c r="D477" s="13" t="str">
        <f>IFERROR(__xludf.DUMMYFUNCTION("""COMPUTED_VALUE"""),"GAP")</f>
        <v>GAP</v>
      </c>
      <c r="E477" s="13" t="str">
        <f>IFERROR(__xludf.DUMMYFUNCTION("""COMPUTED_VALUE"""),"Open")</f>
        <v>Open</v>
      </c>
      <c r="F477" s="13"/>
      <c r="G477" s="13" t="str">
        <f>IFERROR(__xludf.DUMMYFUNCTION("""COMPUTED_VALUE"""),"6200 W 20TH ST")</f>
        <v>6200 W 20TH ST</v>
      </c>
      <c r="H477" s="13" t="str">
        <f>IFERROR(__xludf.DUMMYFUNCTION("""COMPUTED_VALUE"""),"GREELEY")</f>
        <v>GREELEY</v>
      </c>
      <c r="I477" s="13" t="str">
        <f>IFERROR(__xludf.DUMMYFUNCTION("""COMPUTED_VALUE"""),"CO")</f>
        <v>CO</v>
      </c>
      <c r="J477" s="13" t="str">
        <f>IFERROR(__xludf.DUMMYFUNCTION("""COMPUTED_VALUE"""),"80634-9675")</f>
        <v>80634-9675</v>
      </c>
      <c r="K477" s="13" t="str">
        <f>IFERROR(__xludf.DUMMYFUNCTION("""COMPUTED_VALUE"""),"Weld")</f>
        <v>Weld</v>
      </c>
      <c r="L477" s="17" t="str">
        <f>IFERROR(__xludf.DUMMYFUNCTION("""COMPUTED_VALUE"""),"Y")</f>
        <v>Y</v>
      </c>
      <c r="M477" s="17"/>
      <c r="N477" s="17" t="str">
        <f>IFERROR(__xludf.DUMMYFUNCTION("""COMPUTED_VALUE"""),"Y")</f>
        <v>Y</v>
      </c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>
      <c r="A478" s="13" t="str">
        <f>IFERROR(__xludf.DUMMYFUNCTION("""COMPUTED_VALUE"""),"3120")</f>
        <v>3120</v>
      </c>
      <c r="B478" s="13" t="str">
        <f>IFERROR(__xludf.DUMMYFUNCTION("""COMPUTED_VALUE"""),"GREELEY 6")</f>
        <v>GREELEY 6</v>
      </c>
      <c r="C478" s="13" t="str">
        <f>IFERROR(__xludf.DUMMYFUNCTION("""COMPUTED_VALUE"""),"91449")</f>
        <v>91449</v>
      </c>
      <c r="D478" s="13" t="str">
        <f>IFERROR(__xludf.DUMMYFUNCTION("""COMPUTED_VALUE"""),"Centennial Park Library")</f>
        <v>Centennial Park Library</v>
      </c>
      <c r="E478" s="13" t="str">
        <f>IFERROR(__xludf.DUMMYFUNCTION("""COMPUTED_VALUE"""),"Open")</f>
        <v>Open</v>
      </c>
      <c r="F478" s="13"/>
      <c r="G478" s="13" t="str">
        <f>IFERROR(__xludf.DUMMYFUNCTION("""COMPUTED_VALUE"""),"2227 23RD AVE")</f>
        <v>2227 23RD AVE</v>
      </c>
      <c r="H478" s="13" t="str">
        <f>IFERROR(__xludf.DUMMYFUNCTION("""COMPUTED_VALUE"""),"GREELEY")</f>
        <v>GREELEY</v>
      </c>
      <c r="I478" s="13" t="str">
        <f>IFERROR(__xludf.DUMMYFUNCTION("""COMPUTED_VALUE"""),"CO")</f>
        <v>CO</v>
      </c>
      <c r="J478" s="13" t="str">
        <f>IFERROR(__xludf.DUMMYFUNCTION("""COMPUTED_VALUE"""),"80634-6632")</f>
        <v>80634-6632</v>
      </c>
      <c r="K478" s="13" t="str">
        <f>IFERROR(__xludf.DUMMYFUNCTION("""COMPUTED_VALUE"""),"Weld")</f>
        <v>Weld</v>
      </c>
      <c r="L478" s="17"/>
      <c r="M478" s="17"/>
      <c r="N478" s="17" t="str">
        <f>IFERROR(__xludf.DUMMYFUNCTION("""COMPUTED_VALUE"""),"Y")</f>
        <v>Y</v>
      </c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>
      <c r="A479" s="13" t="str">
        <f>IFERROR(__xludf.DUMMYFUNCTION("""COMPUTED_VALUE"""),"3120")</f>
        <v>3120</v>
      </c>
      <c r="B479" s="13" t="str">
        <f>IFERROR(__xludf.DUMMYFUNCTION("""COMPUTED_VALUE"""),"GREELEY 6")</f>
        <v>GREELEY 6</v>
      </c>
      <c r="C479" s="13" t="str">
        <f>IFERROR(__xludf.DUMMYFUNCTION("""COMPUTED_VALUE"""),"91578")</f>
        <v>91578</v>
      </c>
      <c r="D479" s="13" t="str">
        <f>IFERROR(__xludf.DUMMYFUNCTION("""COMPUTED_VALUE"""),"LINC (Library Innovation Center)")</f>
        <v>LINC (Library Innovation Center)</v>
      </c>
      <c r="E479" s="13" t="str">
        <f>IFERROR(__xludf.DUMMYFUNCTION("""COMPUTED_VALUE"""),"Open")</f>
        <v>Open</v>
      </c>
      <c r="F479" s="13"/>
      <c r="G479" s="13" t="str">
        <f>IFERROR(__xludf.DUMMYFUNCTION("""COMPUTED_VALUE"""),"5th St. &amp; 8th Ave.")</f>
        <v>5th St. &amp; 8th Ave.</v>
      </c>
      <c r="H479" s="13" t="str">
        <f>IFERROR(__xludf.DUMMYFUNCTION("""COMPUTED_VALUE"""),"GREELEY")</f>
        <v>GREELEY</v>
      </c>
      <c r="I479" s="13" t="str">
        <f>IFERROR(__xludf.DUMMYFUNCTION("""COMPUTED_VALUE"""),"CO")</f>
        <v>CO</v>
      </c>
      <c r="J479" s="13">
        <f>IFERROR(__xludf.DUMMYFUNCTION("""COMPUTED_VALUE"""),80631.0)</f>
        <v>80631</v>
      </c>
      <c r="K479" s="13" t="str">
        <f>IFERROR(__xludf.DUMMYFUNCTION("""COMPUTED_VALUE"""),"Weld")</f>
        <v>Weld</v>
      </c>
      <c r="L479" s="17"/>
      <c r="M479" s="17"/>
      <c r="N479" s="17" t="str">
        <f>IFERROR(__xludf.DUMMYFUNCTION("""COMPUTED_VALUE"""),"Y")</f>
        <v>Y</v>
      </c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>
      <c r="A480" s="13" t="str">
        <f>IFERROR(__xludf.DUMMYFUNCTION("""COMPUTED_VALUE"""),"3140")</f>
        <v>3140</v>
      </c>
      <c r="B480" s="13" t="str">
        <f>IFERROR(__xludf.DUMMYFUNCTION("""COMPUTED_VALUE"""),"WELD COUNTY SCHOOL DISTRICT RE-8")</f>
        <v>WELD COUNTY SCHOOL DISTRICT RE-8</v>
      </c>
      <c r="C480" s="13" t="str">
        <f>IFERROR(__xludf.DUMMYFUNCTION("""COMPUTED_VALUE"""),"03066")</f>
        <v>03066</v>
      </c>
      <c r="D480" s="13" t="str">
        <f>IFERROR(__xludf.DUMMYFUNCTION("""COMPUTED_VALUE"""),"FORT LUPTON MIDDLE SCHOOL")</f>
        <v>FORT LUPTON MIDDLE SCHOOL</v>
      </c>
      <c r="E480" s="13" t="str">
        <f>IFERROR(__xludf.DUMMYFUNCTION("""COMPUTED_VALUE"""),"Open")</f>
        <v>Open</v>
      </c>
      <c r="F480" s="13"/>
      <c r="G480" s="13" t="str">
        <f>IFERROR(__xludf.DUMMYFUNCTION("""COMPUTED_VALUE"""),"201 S MCKINLEY AVE")</f>
        <v>201 S MCKINLEY AVE</v>
      </c>
      <c r="H480" s="13" t="str">
        <f>IFERROR(__xludf.DUMMYFUNCTION("""COMPUTED_VALUE"""),"FORT LUPTON")</f>
        <v>FORT LUPTON</v>
      </c>
      <c r="I480" s="13" t="str">
        <f>IFERROR(__xludf.DUMMYFUNCTION("""COMPUTED_VALUE"""),"CO")</f>
        <v>CO</v>
      </c>
      <c r="J480" s="13" t="str">
        <f>IFERROR(__xludf.DUMMYFUNCTION("""COMPUTED_VALUE"""),"80621-1337")</f>
        <v>80621-1337</v>
      </c>
      <c r="K480" s="13" t="str">
        <f>IFERROR(__xludf.DUMMYFUNCTION("""COMPUTED_VALUE"""),"Weld")</f>
        <v>Weld</v>
      </c>
      <c r="L480" s="17" t="str">
        <f>IFERROR(__xludf.DUMMYFUNCTION("""COMPUTED_VALUE"""),"Y")</f>
        <v>Y</v>
      </c>
      <c r="M480" s="17"/>
      <c r="N480" s="17" t="str">
        <f>IFERROR(__xludf.DUMMYFUNCTION("""COMPUTED_VALUE"""),"Y")</f>
        <v>Y</v>
      </c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>
      <c r="A481" s="18" t="str">
        <f>IFERROR(__xludf.DUMMYFUNCTION("""COMPUTED_VALUE"""),"3140")</f>
        <v>3140</v>
      </c>
      <c r="B481" s="18" t="str">
        <f>IFERROR(__xludf.DUMMYFUNCTION("""COMPUTED_VALUE"""),"WELD COUNTY SCHOOL DISTRICT RE-8")</f>
        <v>WELD COUNTY SCHOOL DISTRICT RE-8</v>
      </c>
      <c r="C481" s="18" t="str">
        <f>IFERROR(__xludf.DUMMYFUNCTION("""COMPUTED_VALUE"""),"03070")</f>
        <v>03070</v>
      </c>
      <c r="D481" s="18" t="str">
        <f>IFERROR(__xludf.DUMMYFUNCTION("""COMPUTED_VALUE"""),"FORT LUPTON HIGH SCHOOL")</f>
        <v>FORT LUPTON HIGH SCHOOL</v>
      </c>
      <c r="E481" s="18" t="str">
        <f>IFERROR(__xludf.DUMMYFUNCTION("""COMPUTED_VALUE"""),"Open")</f>
        <v>Open</v>
      </c>
      <c r="F481" s="18" t="str">
        <f>IFERROR(__xludf.DUMMYFUNCTION("""COMPUTED_VALUE""")," ")</f>
        <v> </v>
      </c>
      <c r="G481" s="18" t="str">
        <f>IFERROR(__xludf.DUMMYFUNCTION("""COMPUTED_VALUE"""),"530 REYNOLDS ST")</f>
        <v>530 REYNOLDS ST</v>
      </c>
      <c r="H481" s="18" t="str">
        <f>IFERROR(__xludf.DUMMYFUNCTION("""COMPUTED_VALUE"""),"FORT LUPTON")</f>
        <v>FORT LUPTON</v>
      </c>
      <c r="I481" s="18" t="str">
        <f>IFERROR(__xludf.DUMMYFUNCTION("""COMPUTED_VALUE"""),"CO")</f>
        <v>CO</v>
      </c>
      <c r="J481" s="18" t="str">
        <f>IFERROR(__xludf.DUMMYFUNCTION("""COMPUTED_VALUE"""),"80621-1326")</f>
        <v>80621-1326</v>
      </c>
      <c r="K481" s="18" t="str">
        <f>IFERROR(__xludf.DUMMYFUNCTION("""COMPUTED_VALUE"""),"Weld")</f>
        <v>Weld</v>
      </c>
      <c r="L481" s="19" t="str">
        <f>IFERROR(__xludf.DUMMYFUNCTION("""COMPUTED_VALUE"""),"Y")</f>
        <v>Y</v>
      </c>
      <c r="M481" s="19"/>
      <c r="N481" s="19" t="str">
        <f>IFERROR(__xludf.DUMMYFUNCTION("""COMPUTED_VALUE"""),"Y")</f>
        <v>Y</v>
      </c>
      <c r="O481" s="19"/>
      <c r="P481" s="19"/>
      <c r="Q481" s="19" t="str">
        <f>IFERROR(__xludf.DUMMYFUNCTION("""COMPUTED_VALUE"""),"No Claims as of 11.24")</f>
        <v>No Claims as of 11.24</v>
      </c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>
      <c r="A482" s="18" t="str">
        <f>IFERROR(__xludf.DUMMYFUNCTION("""COMPUTED_VALUE"""),"3140")</f>
        <v>3140</v>
      </c>
      <c r="B482" s="18" t="str">
        <f>IFERROR(__xludf.DUMMYFUNCTION("""COMPUTED_VALUE"""),"WELD COUNTY SCHOOL DISTRICT RE-8")</f>
        <v>WELD COUNTY SCHOOL DISTRICT RE-8</v>
      </c>
      <c r="C482" s="18" t="str">
        <f>IFERROR(__xludf.DUMMYFUNCTION("""COMPUTED_VALUE"""),"05050")</f>
        <v>05050</v>
      </c>
      <c r="D482" s="18" t="str">
        <f>IFERROR(__xludf.DUMMYFUNCTION("""COMPUTED_VALUE"""),"LEO WILLIAM BUTLER ELEMENTARY SCHOOL")</f>
        <v>LEO WILLIAM BUTLER ELEMENTARY SCHOOL</v>
      </c>
      <c r="E482" s="18" t="str">
        <f>IFERROR(__xludf.DUMMYFUNCTION("""COMPUTED_VALUE"""),"Open")</f>
        <v>Open</v>
      </c>
      <c r="F482" s="18" t="str">
        <f>IFERROR(__xludf.DUMMYFUNCTION("""COMPUTED_VALUE""")," ")</f>
        <v> </v>
      </c>
      <c r="G482" s="18" t="str">
        <f>IFERROR(__xludf.DUMMYFUNCTION("""COMPUTED_VALUE"""),"411 S MCKINLEY AVE")</f>
        <v>411 S MCKINLEY AVE</v>
      </c>
      <c r="H482" s="18" t="str">
        <f>IFERROR(__xludf.DUMMYFUNCTION("""COMPUTED_VALUE"""),"FORT LUPTON")</f>
        <v>FORT LUPTON</v>
      </c>
      <c r="I482" s="18" t="str">
        <f>IFERROR(__xludf.DUMMYFUNCTION("""COMPUTED_VALUE"""),"CO")</f>
        <v>CO</v>
      </c>
      <c r="J482" s="18" t="str">
        <f>IFERROR(__xludf.DUMMYFUNCTION("""COMPUTED_VALUE"""),"80621-1333")</f>
        <v>80621-1333</v>
      </c>
      <c r="K482" s="18" t="str">
        <f>IFERROR(__xludf.DUMMYFUNCTION("""COMPUTED_VALUE"""),"Weld")</f>
        <v>Weld</v>
      </c>
      <c r="L482" s="19" t="str">
        <f>IFERROR(__xludf.DUMMYFUNCTION("""COMPUTED_VALUE"""),"Y")</f>
        <v>Y</v>
      </c>
      <c r="M482" s="19"/>
      <c r="N482" s="19" t="str">
        <f>IFERROR(__xludf.DUMMYFUNCTION("""COMPUTED_VALUE"""),"Y")</f>
        <v>Y</v>
      </c>
      <c r="O482" s="19"/>
      <c r="P482" s="19"/>
      <c r="Q482" s="19" t="str">
        <f>IFERROR(__xludf.DUMMYFUNCTION("""COMPUTED_VALUE"""),"No Claims as of 11.24")</f>
        <v>No Claims as of 11.24</v>
      </c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>
      <c r="A483" s="18" t="str">
        <f>IFERROR(__xludf.DUMMYFUNCTION("""COMPUTED_VALUE"""),"3140")</f>
        <v>3140</v>
      </c>
      <c r="B483" s="18" t="str">
        <f>IFERROR(__xludf.DUMMYFUNCTION("""COMPUTED_VALUE"""),"WELD COUNTY SCHOOL DISTRICT RE-8")</f>
        <v>WELD COUNTY SCHOOL DISTRICT RE-8</v>
      </c>
      <c r="C483" s="18" t="str">
        <f>IFERROR(__xludf.DUMMYFUNCTION("""COMPUTED_VALUE"""),"08933")</f>
        <v>08933</v>
      </c>
      <c r="D483" s="18" t="str">
        <f>IFERROR(__xludf.DUMMYFUNCTION("""COMPUTED_VALUE"""),"FORT LUPTON REC CENTER")</f>
        <v>FORT LUPTON REC CENTER</v>
      </c>
      <c r="E483" s="18" t="str">
        <f>IFERROR(__xludf.DUMMYFUNCTION("""COMPUTED_VALUE"""),"Open")</f>
        <v>Open</v>
      </c>
      <c r="F483" s="18" t="str">
        <f>IFERROR(__xludf.DUMMYFUNCTION("""COMPUTED_VALUE""")," ")</f>
        <v> </v>
      </c>
      <c r="G483" s="18" t="str">
        <f>IFERROR(__xludf.DUMMYFUNCTION("""COMPUTED_VALUE"""),"203 S HARRISON AVE")</f>
        <v>203 S HARRISON AVE</v>
      </c>
      <c r="H483" s="18" t="str">
        <f>IFERROR(__xludf.DUMMYFUNCTION("""COMPUTED_VALUE"""),"FORT LUPTON")</f>
        <v>FORT LUPTON</v>
      </c>
      <c r="I483" s="18" t="str">
        <f>IFERROR(__xludf.DUMMYFUNCTION("""COMPUTED_VALUE"""),"CO")</f>
        <v>CO</v>
      </c>
      <c r="J483" s="18" t="str">
        <f>IFERROR(__xludf.DUMMYFUNCTION("""COMPUTED_VALUE"""),"80621-1500")</f>
        <v>80621-1500</v>
      </c>
      <c r="K483" s="18" t="str">
        <f>IFERROR(__xludf.DUMMYFUNCTION("""COMPUTED_VALUE"""),"Weld")</f>
        <v>Weld</v>
      </c>
      <c r="L483" s="19" t="str">
        <f>IFERROR(__xludf.DUMMYFUNCTION("""COMPUTED_VALUE"""),"Y")</f>
        <v>Y</v>
      </c>
      <c r="M483" s="19"/>
      <c r="N483" s="19"/>
      <c r="O483" s="19"/>
      <c r="P483" s="19"/>
      <c r="Q483" s="19" t="str">
        <f>IFERROR(__xludf.DUMMYFUNCTION("""COMPUTED_VALUE"""),"No Claims as of 11.24")</f>
        <v>No Claims as of 11.24</v>
      </c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>
      <c r="A484" s="13" t="str">
        <f>IFERROR(__xludf.DUMMYFUNCTION("""COMPUTED_VALUE"""),"5001")</f>
        <v>5001</v>
      </c>
      <c r="B484" s="13" t="str">
        <f>IFERROR(__xludf.DUMMYFUNCTION("""COMPUTED_VALUE"""),"Adams State University")</f>
        <v>Adams State University</v>
      </c>
      <c r="C484" s="13" t="str">
        <f>IFERROR(__xludf.DUMMYFUNCTION("""COMPUTED_VALUE"""),"11310")</f>
        <v>11310</v>
      </c>
      <c r="D484" s="13" t="str">
        <f>IFERROR(__xludf.DUMMYFUNCTION("""COMPUTED_VALUE"""),"Adams State College")</f>
        <v>Adams State College</v>
      </c>
      <c r="E484" s="13" t="str">
        <f>IFERROR(__xludf.DUMMYFUNCTION("""COMPUTED_VALUE"""),"Camp - Residential")</f>
        <v>Camp - Residential</v>
      </c>
      <c r="F484" s="13"/>
      <c r="G484" s="13" t="str">
        <f>IFERROR(__xludf.DUMMYFUNCTION("""COMPUTED_VALUE"""),"208 EDGEMONT BLVD")</f>
        <v>208 EDGEMONT BLVD</v>
      </c>
      <c r="H484" s="13" t="str">
        <f>IFERROR(__xludf.DUMMYFUNCTION("""COMPUTED_VALUE"""),"ALAMOSA")</f>
        <v>ALAMOSA</v>
      </c>
      <c r="I484" s="13" t="str">
        <f>IFERROR(__xludf.DUMMYFUNCTION("""COMPUTED_VALUE"""),"CO")</f>
        <v>CO</v>
      </c>
      <c r="J484" s="13" t="str">
        <f>IFERROR(__xludf.DUMMYFUNCTION("""COMPUTED_VALUE"""),"81101-2781")</f>
        <v>81101-2781</v>
      </c>
      <c r="K484" s="13" t="str">
        <f>IFERROR(__xludf.DUMMYFUNCTION("""COMPUTED_VALUE"""),"Alamosa")</f>
        <v>Alamosa</v>
      </c>
      <c r="L484" s="17" t="str">
        <f>IFERROR(__xludf.DUMMYFUNCTION("""COMPUTED_VALUE"""),"Y")</f>
        <v>Y</v>
      </c>
      <c r="M484" s="17"/>
      <c r="N484" s="17" t="str">
        <f>IFERROR(__xludf.DUMMYFUNCTION("""COMPUTED_VALUE"""),"Y")</f>
        <v>Y</v>
      </c>
      <c r="O484" s="17"/>
      <c r="P484" s="17" t="str">
        <f>IFERROR(__xludf.DUMMYFUNCTION("""COMPUTED_VALUE"""),"Y")</f>
        <v>Y</v>
      </c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>
      <c r="A485" s="13" t="str">
        <f>IFERROR(__xludf.DUMMYFUNCTION("""COMPUTED_VALUE"""),"5004")</f>
        <v>5004</v>
      </c>
      <c r="B485" s="13" t="str">
        <f>IFERROR(__xludf.DUMMYFUNCTION("""COMPUTED_VALUE"""),"Fort Lewis College")</f>
        <v>Fort Lewis College</v>
      </c>
      <c r="C485" s="13" t="str">
        <f>IFERROR(__xludf.DUMMYFUNCTION("""COMPUTED_VALUE"""),"11311")</f>
        <v>11311</v>
      </c>
      <c r="D485" s="13" t="str">
        <f>IFERROR(__xludf.DUMMYFUNCTION("""COMPUTED_VALUE"""),"Fort Lewis College")</f>
        <v>Fort Lewis College</v>
      </c>
      <c r="E485" s="13" t="str">
        <f>IFERROR(__xludf.DUMMYFUNCTION("""COMPUTED_VALUE"""),"Camp - Residential")</f>
        <v>Camp - Residential</v>
      </c>
      <c r="F485" s="13"/>
      <c r="G485" s="13" t="str">
        <f>IFERROR(__xludf.DUMMYFUNCTION("""COMPUTED_VALUE"""),"1000 RIM DR")</f>
        <v>1000 RIM DR</v>
      </c>
      <c r="H485" s="13" t="str">
        <f>IFERROR(__xludf.DUMMYFUNCTION("""COMPUTED_VALUE"""),"DURANGO")</f>
        <v>DURANGO</v>
      </c>
      <c r="I485" s="13" t="str">
        <f>IFERROR(__xludf.DUMMYFUNCTION("""COMPUTED_VALUE"""),"CO")</f>
        <v>CO</v>
      </c>
      <c r="J485" s="13" t="str">
        <f>IFERROR(__xludf.DUMMYFUNCTION("""COMPUTED_VALUE"""),"81301-3908")</f>
        <v>81301-3908</v>
      </c>
      <c r="K485" s="13" t="str">
        <f>IFERROR(__xludf.DUMMYFUNCTION("""COMPUTED_VALUE"""),"La Plata")</f>
        <v>La Plata</v>
      </c>
      <c r="L485" s="17" t="str">
        <f>IFERROR(__xludf.DUMMYFUNCTION("""COMPUTED_VALUE"""),"Y")</f>
        <v>Y</v>
      </c>
      <c r="M485" s="17"/>
      <c r="N485" s="17" t="str">
        <f>IFERROR(__xludf.DUMMYFUNCTION("""COMPUTED_VALUE"""),"Y")</f>
        <v>Y</v>
      </c>
      <c r="O485" s="17"/>
      <c r="P485" s="17" t="str">
        <f>IFERROR(__xludf.DUMMYFUNCTION("""COMPUTED_VALUE"""),"Y")</f>
        <v>Y</v>
      </c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>
      <c r="A486" s="13" t="str">
        <f>IFERROR(__xludf.DUMMYFUNCTION("""COMPUTED_VALUE"""),"5005")</f>
        <v>5005</v>
      </c>
      <c r="B486" s="13" t="str">
        <f>IFERROR(__xludf.DUMMYFUNCTION("""COMPUTED_VALUE"""),"Office of Children's Affairs, City and County of Denver")</f>
        <v>Office of Children's Affairs, City and County of Denver</v>
      </c>
      <c r="C486" s="13" t="str">
        <f>IFERROR(__xludf.DUMMYFUNCTION("""COMPUTED_VALUE"""),"00208")</f>
        <v>00208</v>
      </c>
      <c r="D486" s="13" t="str">
        <f>IFERROR(__xludf.DUMMYFUNCTION("""COMPUTED_VALUE"""),"Athmar Recreation Center")</f>
        <v>Athmar Recreation Center</v>
      </c>
      <c r="E486" s="13" t="str">
        <f>IFERROR(__xludf.DUMMYFUNCTION("""COMPUTED_VALUE"""),"Open")</f>
        <v>Open</v>
      </c>
      <c r="F486" s="13"/>
      <c r="G486" s="13" t="str">
        <f>IFERROR(__xludf.DUMMYFUNCTION("""COMPUTED_VALUE"""),"2680 W MEXICO AVE")</f>
        <v>2680 W MEXICO AVE</v>
      </c>
      <c r="H486" s="13" t="str">
        <f>IFERROR(__xludf.DUMMYFUNCTION("""COMPUTED_VALUE"""),"DENVER")</f>
        <v>DENVER</v>
      </c>
      <c r="I486" s="13" t="str">
        <f>IFERROR(__xludf.DUMMYFUNCTION("""COMPUTED_VALUE"""),"CO")</f>
        <v>CO</v>
      </c>
      <c r="J486" s="13" t="str">
        <f>IFERROR(__xludf.DUMMYFUNCTION("""COMPUTED_VALUE"""),"80219-4829")</f>
        <v>80219-4829</v>
      </c>
      <c r="K486" s="13" t="str">
        <f>IFERROR(__xludf.DUMMYFUNCTION("""COMPUTED_VALUE"""),"Denver")</f>
        <v>Denver</v>
      </c>
      <c r="L486" s="17" t="str">
        <f>IFERROR(__xludf.DUMMYFUNCTION("""COMPUTED_VALUE"""),"Y")</f>
        <v>Y</v>
      </c>
      <c r="M486" s="17"/>
      <c r="N486" s="17" t="str">
        <f>IFERROR(__xludf.DUMMYFUNCTION("""COMPUTED_VALUE"""),"Y")</f>
        <v>Y</v>
      </c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>
      <c r="A487" s="13" t="str">
        <f>IFERROR(__xludf.DUMMYFUNCTION("""COMPUTED_VALUE"""),"5005")</f>
        <v>5005</v>
      </c>
      <c r="B487" s="13" t="str">
        <f>IFERROR(__xludf.DUMMYFUNCTION("""COMPUTED_VALUE"""),"Office of Children's Affairs, City and County of Denver")</f>
        <v>Office of Children's Affairs, City and County of Denver</v>
      </c>
      <c r="C487" s="13" t="str">
        <f>IFERROR(__xludf.DUMMYFUNCTION("""COMPUTED_VALUE"""),"00211")</f>
        <v>00211</v>
      </c>
      <c r="D487" s="13" t="str">
        <f>IFERROR(__xludf.DUMMYFUNCTION("""COMPUTED_VALUE"""),"Harvard Gulch Recreation Center")</f>
        <v>Harvard Gulch Recreation Center</v>
      </c>
      <c r="E487" s="13" t="str">
        <f>IFERROR(__xludf.DUMMYFUNCTION("""COMPUTED_VALUE"""),"Open")</f>
        <v>Open</v>
      </c>
      <c r="F487" s="13"/>
      <c r="G487" s="13" t="str">
        <f>IFERROR(__xludf.DUMMYFUNCTION("""COMPUTED_VALUE"""),"550 E ILIFF AVE")</f>
        <v>550 E ILIFF AVE</v>
      </c>
      <c r="H487" s="13" t="str">
        <f>IFERROR(__xludf.DUMMYFUNCTION("""COMPUTED_VALUE"""),"DENVER")</f>
        <v>DENVER</v>
      </c>
      <c r="I487" s="13" t="str">
        <f>IFERROR(__xludf.DUMMYFUNCTION("""COMPUTED_VALUE"""),"CO")</f>
        <v>CO</v>
      </c>
      <c r="J487" s="13" t="str">
        <f>IFERROR(__xludf.DUMMYFUNCTION("""COMPUTED_VALUE"""),"80210-5081")</f>
        <v>80210-5081</v>
      </c>
      <c r="K487" s="13" t="str">
        <f>IFERROR(__xludf.DUMMYFUNCTION("""COMPUTED_VALUE"""),"Denver")</f>
        <v>Denver</v>
      </c>
      <c r="L487" s="17"/>
      <c r="M487" s="17"/>
      <c r="N487" s="17" t="str">
        <f>IFERROR(__xludf.DUMMYFUNCTION("""COMPUTED_VALUE"""),"Y")</f>
        <v>Y</v>
      </c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>
      <c r="A488" s="13" t="str">
        <f>IFERROR(__xludf.DUMMYFUNCTION("""COMPUTED_VALUE"""),"5005")</f>
        <v>5005</v>
      </c>
      <c r="B488" s="13" t="str">
        <f>IFERROR(__xludf.DUMMYFUNCTION("""COMPUTED_VALUE"""),"Office of Children's Affairs, City and County of Denver")</f>
        <v>Office of Children's Affairs, City and County of Denver</v>
      </c>
      <c r="C488" s="13" t="str">
        <f>IFERROR(__xludf.DUMMYFUNCTION("""COMPUTED_VALUE"""),"00221")</f>
        <v>00221</v>
      </c>
      <c r="D488" s="13" t="str">
        <f>IFERROR(__xludf.DUMMYFUNCTION("""COMPUTED_VALUE"""),"Green Valley Ranch Rec Center")</f>
        <v>Green Valley Ranch Rec Center</v>
      </c>
      <c r="E488" s="13" t="str">
        <f>IFERROR(__xludf.DUMMYFUNCTION("""COMPUTED_VALUE"""),"Open")</f>
        <v>Open</v>
      </c>
      <c r="F488" s="13"/>
      <c r="G488" s="13" t="str">
        <f>IFERROR(__xludf.DUMMYFUNCTION("""COMPUTED_VALUE"""),"4890 ARGONNE WAY")</f>
        <v>4890 ARGONNE WAY</v>
      </c>
      <c r="H488" s="13" t="str">
        <f>IFERROR(__xludf.DUMMYFUNCTION("""COMPUTED_VALUE"""),"DENVER")</f>
        <v>DENVER</v>
      </c>
      <c r="I488" s="13" t="str">
        <f>IFERROR(__xludf.DUMMYFUNCTION("""COMPUTED_VALUE"""),"CO")</f>
        <v>CO</v>
      </c>
      <c r="J488" s="13" t="str">
        <f>IFERROR(__xludf.DUMMYFUNCTION("""COMPUTED_VALUE"""),"80249-8375")</f>
        <v>80249-8375</v>
      </c>
      <c r="K488" s="13" t="str">
        <f>IFERROR(__xludf.DUMMYFUNCTION("""COMPUTED_VALUE"""),"Denver")</f>
        <v>Denver</v>
      </c>
      <c r="L488" s="17" t="str">
        <f>IFERROR(__xludf.DUMMYFUNCTION("""COMPUTED_VALUE"""),"Y")</f>
        <v>Y</v>
      </c>
      <c r="M488" s="17"/>
      <c r="N488" s="17" t="str">
        <f>IFERROR(__xludf.DUMMYFUNCTION("""COMPUTED_VALUE"""),"Y")</f>
        <v>Y</v>
      </c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>
      <c r="A489" s="13" t="str">
        <f>IFERROR(__xludf.DUMMYFUNCTION("""COMPUTED_VALUE"""),"5005")</f>
        <v>5005</v>
      </c>
      <c r="B489" s="13" t="str">
        <f>IFERROR(__xludf.DUMMYFUNCTION("""COMPUTED_VALUE"""),"Office of Children's Affairs, City and County of Denver")</f>
        <v>Office of Children's Affairs, City and County of Denver</v>
      </c>
      <c r="C489" s="13" t="str">
        <f>IFERROR(__xludf.DUMMYFUNCTION("""COMPUTED_VALUE"""),"00227")</f>
        <v>00227</v>
      </c>
      <c r="D489" s="13" t="str">
        <f>IFERROR(__xludf.DUMMYFUNCTION("""COMPUTED_VALUE"""),"MONTBELLO REC CENTER")</f>
        <v>MONTBELLO REC CENTER</v>
      </c>
      <c r="E489" s="13" t="str">
        <f>IFERROR(__xludf.DUMMYFUNCTION("""COMPUTED_VALUE"""),"Open")</f>
        <v>Open</v>
      </c>
      <c r="F489" s="13"/>
      <c r="G489" s="13" t="str">
        <f>IFERROR(__xludf.DUMMYFUNCTION("""COMPUTED_VALUE"""),"15555 E 53RD AVE")</f>
        <v>15555 E 53RD AVE</v>
      </c>
      <c r="H489" s="13" t="str">
        <f>IFERROR(__xludf.DUMMYFUNCTION("""COMPUTED_VALUE"""),"DENVER")</f>
        <v>DENVER</v>
      </c>
      <c r="I489" s="13" t="str">
        <f>IFERROR(__xludf.DUMMYFUNCTION("""COMPUTED_VALUE"""),"CO")</f>
        <v>CO</v>
      </c>
      <c r="J489" s="13" t="str">
        <f>IFERROR(__xludf.DUMMYFUNCTION("""COMPUTED_VALUE"""),"80239-5614")</f>
        <v>80239-5614</v>
      </c>
      <c r="K489" s="13" t="str">
        <f>IFERROR(__xludf.DUMMYFUNCTION("""COMPUTED_VALUE"""),"Denver")</f>
        <v>Denver</v>
      </c>
      <c r="L489" s="17" t="str">
        <f>IFERROR(__xludf.DUMMYFUNCTION("""COMPUTED_VALUE"""),"Y")</f>
        <v>Y</v>
      </c>
      <c r="M489" s="17"/>
      <c r="N489" s="17" t="str">
        <f>IFERROR(__xludf.DUMMYFUNCTION("""COMPUTED_VALUE"""),"Y")</f>
        <v>Y</v>
      </c>
      <c r="O489" s="17" t="str">
        <f>IFERROR(__xludf.DUMMYFUNCTION("""COMPUTED_VALUE"""),"Y")</f>
        <v>Y</v>
      </c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>
      <c r="A490" s="13" t="str">
        <f>IFERROR(__xludf.DUMMYFUNCTION("""COMPUTED_VALUE"""),"5005")</f>
        <v>5005</v>
      </c>
      <c r="B490" s="13" t="str">
        <f>IFERROR(__xludf.DUMMYFUNCTION("""COMPUTED_VALUE"""),"Office of Children's Affairs, City and County of Denver")</f>
        <v>Office of Children's Affairs, City and County of Denver</v>
      </c>
      <c r="C490" s="13" t="str">
        <f>IFERROR(__xludf.DUMMYFUNCTION("""COMPUTED_VALUE"""),"00228")</f>
        <v>00228</v>
      </c>
      <c r="D490" s="13" t="str">
        <f>IFERROR(__xludf.DUMMYFUNCTION("""COMPUTED_VALUE"""),"MONTCLAIR REC CENTER")</f>
        <v>MONTCLAIR REC CENTER</v>
      </c>
      <c r="E490" s="13" t="str">
        <f>IFERROR(__xludf.DUMMYFUNCTION("""COMPUTED_VALUE"""),"Open")</f>
        <v>Open</v>
      </c>
      <c r="F490" s="13"/>
      <c r="G490" s="13" t="str">
        <f>IFERROR(__xludf.DUMMYFUNCTION("""COMPUTED_VALUE"""),"729 ULSTER WAY")</f>
        <v>729 ULSTER WAY</v>
      </c>
      <c r="H490" s="13" t="str">
        <f>IFERROR(__xludf.DUMMYFUNCTION("""COMPUTED_VALUE"""),"DENVER")</f>
        <v>DENVER</v>
      </c>
      <c r="I490" s="13" t="str">
        <f>IFERROR(__xludf.DUMMYFUNCTION("""COMPUTED_VALUE"""),"CO")</f>
        <v>CO</v>
      </c>
      <c r="J490" s="13" t="str">
        <f>IFERROR(__xludf.DUMMYFUNCTION("""COMPUTED_VALUE"""),"80230-6808")</f>
        <v>80230-6808</v>
      </c>
      <c r="K490" s="13" t="str">
        <f>IFERROR(__xludf.DUMMYFUNCTION("""COMPUTED_VALUE"""),"Denver")</f>
        <v>Denver</v>
      </c>
      <c r="L490" s="17"/>
      <c r="M490" s="17"/>
      <c r="N490" s="17" t="str">
        <f>IFERROR(__xludf.DUMMYFUNCTION("""COMPUTED_VALUE"""),"Y")</f>
        <v>Y</v>
      </c>
      <c r="O490" s="17" t="str">
        <f>IFERROR(__xludf.DUMMYFUNCTION("""COMPUTED_VALUE"""),"Y")</f>
        <v>Y</v>
      </c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>
      <c r="A491" s="13" t="str">
        <f>IFERROR(__xludf.DUMMYFUNCTION("""COMPUTED_VALUE"""),"5005")</f>
        <v>5005</v>
      </c>
      <c r="B491" s="13" t="str">
        <f>IFERROR(__xludf.DUMMYFUNCTION("""COMPUTED_VALUE"""),"Office of Children's Affairs, City and County of Denver")</f>
        <v>Office of Children's Affairs, City and County of Denver</v>
      </c>
      <c r="C491" s="13" t="str">
        <f>IFERROR(__xludf.DUMMYFUNCTION("""COMPUTED_VALUE"""),"00230")</f>
        <v>00230</v>
      </c>
      <c r="D491" s="13" t="str">
        <f>IFERROR(__xludf.DUMMYFUNCTION("""COMPUTED_VALUE"""),"SOUTHWEST REC CENTER")</f>
        <v>SOUTHWEST REC CENTER</v>
      </c>
      <c r="E491" s="13" t="str">
        <f>IFERROR(__xludf.DUMMYFUNCTION("""COMPUTED_VALUE"""),"Open")</f>
        <v>Open</v>
      </c>
      <c r="F491" s="13"/>
      <c r="G491" s="13" t="str">
        <f>IFERROR(__xludf.DUMMYFUNCTION("""COMPUTED_VALUE"""),"9200 W SARATOGA PL")</f>
        <v>9200 W SARATOGA PL</v>
      </c>
      <c r="H491" s="13" t="str">
        <f>IFERROR(__xludf.DUMMYFUNCTION("""COMPUTED_VALUE"""),"DENVER")</f>
        <v>DENVER</v>
      </c>
      <c r="I491" s="13" t="str">
        <f>IFERROR(__xludf.DUMMYFUNCTION("""COMPUTED_VALUE"""),"CO")</f>
        <v>CO</v>
      </c>
      <c r="J491" s="13" t="str">
        <f>IFERROR(__xludf.DUMMYFUNCTION("""COMPUTED_VALUE"""),"80123-1058")</f>
        <v>80123-1058</v>
      </c>
      <c r="K491" s="13" t="str">
        <f>IFERROR(__xludf.DUMMYFUNCTION("""COMPUTED_VALUE"""),"Denver")</f>
        <v>Denver</v>
      </c>
      <c r="L491" s="17" t="str">
        <f>IFERROR(__xludf.DUMMYFUNCTION("""COMPUTED_VALUE"""),"Y")</f>
        <v>Y</v>
      </c>
      <c r="M491" s="17"/>
      <c r="N491" s="17" t="str">
        <f>IFERROR(__xludf.DUMMYFUNCTION("""COMPUTED_VALUE"""),"Y")</f>
        <v>Y</v>
      </c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>
      <c r="A492" s="13" t="str">
        <f>IFERROR(__xludf.DUMMYFUNCTION("""COMPUTED_VALUE"""),"5005")</f>
        <v>5005</v>
      </c>
      <c r="B492" s="13" t="str">
        <f>IFERROR(__xludf.DUMMYFUNCTION("""COMPUTED_VALUE"""),"Office of Children's Affairs, City and County of Denver")</f>
        <v>Office of Children's Affairs, City and County of Denver</v>
      </c>
      <c r="C492" s="13" t="str">
        <f>IFERROR(__xludf.DUMMYFUNCTION("""COMPUTED_VALUE"""),"00231")</f>
        <v>00231</v>
      </c>
      <c r="D492" s="13" t="str">
        <f>IFERROR(__xludf.DUMMYFUNCTION("""COMPUTED_VALUE"""),"5090 Broadway Rec Center")</f>
        <v>5090 Broadway Rec Center</v>
      </c>
      <c r="E492" s="13" t="str">
        <f>IFERROR(__xludf.DUMMYFUNCTION("""COMPUTED_VALUE"""),"Open")</f>
        <v>Open</v>
      </c>
      <c r="F492" s="13"/>
      <c r="G492" s="13" t="str">
        <f>IFERROR(__xludf.DUMMYFUNCTION("""COMPUTED_VALUE"""),"5090 BROADWAY")</f>
        <v>5090 BROADWAY</v>
      </c>
      <c r="H492" s="13" t="str">
        <f>IFERROR(__xludf.DUMMYFUNCTION("""COMPUTED_VALUE"""),"DENVER")</f>
        <v>DENVER</v>
      </c>
      <c r="I492" s="13" t="str">
        <f>IFERROR(__xludf.DUMMYFUNCTION("""COMPUTED_VALUE"""),"CO")</f>
        <v>CO</v>
      </c>
      <c r="J492" s="13" t="str">
        <f>IFERROR(__xludf.DUMMYFUNCTION("""COMPUTED_VALUE"""),"80216-2012")</f>
        <v>80216-2012</v>
      </c>
      <c r="K492" s="13" t="str">
        <f>IFERROR(__xludf.DUMMYFUNCTION("""COMPUTED_VALUE"""),"Denver")</f>
        <v>Denver</v>
      </c>
      <c r="L492" s="17"/>
      <c r="M492" s="17"/>
      <c r="N492" s="17"/>
      <c r="O492" s="17" t="str">
        <f>IFERROR(__xludf.DUMMYFUNCTION("""COMPUTED_VALUE"""),"Y")</f>
        <v>Y</v>
      </c>
      <c r="P492" s="17" t="str">
        <f>IFERROR(__xludf.DUMMYFUNCTION("""COMPUTED_VALUE"""),"Y")</f>
        <v>Y</v>
      </c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>
      <c r="A493" s="13" t="str">
        <f>IFERROR(__xludf.DUMMYFUNCTION("""COMPUTED_VALUE"""),"5005")</f>
        <v>5005</v>
      </c>
      <c r="B493" s="13" t="str">
        <f>IFERROR(__xludf.DUMMYFUNCTION("""COMPUTED_VALUE"""),"Office of Children's Affairs, City and County of Denver")</f>
        <v>Office of Children's Affairs, City and County of Denver</v>
      </c>
      <c r="C493" s="13" t="str">
        <f>IFERROR(__xludf.DUMMYFUNCTION("""COMPUTED_VALUE"""),"00232")</f>
        <v>00232</v>
      </c>
      <c r="D493" s="13" t="str">
        <f>IFERROR(__xludf.DUMMYFUNCTION("""COMPUTED_VALUE"""),"Saint CHARLES REC CENTER")</f>
        <v>Saint CHARLES REC CENTER</v>
      </c>
      <c r="E493" s="13" t="str">
        <f>IFERROR(__xludf.DUMMYFUNCTION("""COMPUTED_VALUE"""),"Open")</f>
        <v>Open</v>
      </c>
      <c r="F493" s="13"/>
      <c r="G493" s="13" t="str">
        <f>IFERROR(__xludf.DUMMYFUNCTION("""COMPUTED_VALUE"""),"3777 N LAFAYETTE ST")</f>
        <v>3777 N LAFAYETTE ST</v>
      </c>
      <c r="H493" s="13" t="str">
        <f>IFERROR(__xludf.DUMMYFUNCTION("""COMPUTED_VALUE"""),"DENVER")</f>
        <v>DENVER</v>
      </c>
      <c r="I493" s="13" t="str">
        <f>IFERROR(__xludf.DUMMYFUNCTION("""COMPUTED_VALUE"""),"CO")</f>
        <v>CO</v>
      </c>
      <c r="J493" s="13" t="str">
        <f>IFERROR(__xludf.DUMMYFUNCTION("""COMPUTED_VALUE"""),"80205-3357")</f>
        <v>80205-3357</v>
      </c>
      <c r="K493" s="13" t="str">
        <f>IFERROR(__xludf.DUMMYFUNCTION("""COMPUTED_VALUE"""),"Denver")</f>
        <v>Denver</v>
      </c>
      <c r="L493" s="17"/>
      <c r="M493" s="17"/>
      <c r="N493" s="17" t="str">
        <f>IFERROR(__xludf.DUMMYFUNCTION("""COMPUTED_VALUE"""),"Y")</f>
        <v>Y</v>
      </c>
      <c r="O493" s="17" t="str">
        <f>IFERROR(__xludf.DUMMYFUNCTION("""COMPUTED_VALUE"""),"Y")</f>
        <v>Y</v>
      </c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>
      <c r="A494" s="13" t="str">
        <f>IFERROR(__xludf.DUMMYFUNCTION("""COMPUTED_VALUE"""),"5005")</f>
        <v>5005</v>
      </c>
      <c r="B494" s="13" t="str">
        <f>IFERROR(__xludf.DUMMYFUNCTION("""COMPUTED_VALUE"""),"Office of Children's Affairs, City and County of Denver")</f>
        <v>Office of Children's Affairs, City and County of Denver</v>
      </c>
      <c r="C494" s="13" t="str">
        <f>IFERROR(__xludf.DUMMYFUNCTION("""COMPUTED_VALUE"""),"00236")</f>
        <v>00236</v>
      </c>
      <c r="D494" s="13" t="str">
        <f>IFERROR(__xludf.DUMMYFUNCTION("""COMPUTED_VALUE"""),"Aztlan Recreation Center")</f>
        <v>Aztlan Recreation Center</v>
      </c>
      <c r="E494" s="13" t="str">
        <f>IFERROR(__xludf.DUMMYFUNCTION("""COMPUTED_VALUE"""),"Open")</f>
        <v>Open</v>
      </c>
      <c r="F494" s="13"/>
      <c r="G494" s="13" t="str">
        <f>IFERROR(__xludf.DUMMYFUNCTION("""COMPUTED_VALUE"""),"4435 NAVAJO ST")</f>
        <v>4435 NAVAJO ST</v>
      </c>
      <c r="H494" s="13" t="str">
        <f>IFERROR(__xludf.DUMMYFUNCTION("""COMPUTED_VALUE"""),"DENVER")</f>
        <v>DENVER</v>
      </c>
      <c r="I494" s="13" t="str">
        <f>IFERROR(__xludf.DUMMYFUNCTION("""COMPUTED_VALUE"""),"CO")</f>
        <v>CO</v>
      </c>
      <c r="J494" s="13" t="str">
        <f>IFERROR(__xludf.DUMMYFUNCTION("""COMPUTED_VALUE"""),"80211-2442")</f>
        <v>80211-2442</v>
      </c>
      <c r="K494" s="13" t="str">
        <f>IFERROR(__xludf.DUMMYFUNCTION("""COMPUTED_VALUE"""),"Denver")</f>
        <v>Denver</v>
      </c>
      <c r="L494" s="17" t="str">
        <f>IFERROR(__xludf.DUMMYFUNCTION("""COMPUTED_VALUE"""),"Y")</f>
        <v>Y</v>
      </c>
      <c r="M494" s="17"/>
      <c r="N494" s="17" t="str">
        <f>IFERROR(__xludf.DUMMYFUNCTION("""COMPUTED_VALUE"""),"Y")</f>
        <v>Y</v>
      </c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>
      <c r="A495" s="13" t="str">
        <f>IFERROR(__xludf.DUMMYFUNCTION("""COMPUTED_VALUE"""),"5005")</f>
        <v>5005</v>
      </c>
      <c r="B495" s="13" t="str">
        <f>IFERROR(__xludf.DUMMYFUNCTION("""COMPUTED_VALUE"""),"Office of Children's Affairs, City and County of Denver")</f>
        <v>Office of Children's Affairs, City and County of Denver</v>
      </c>
      <c r="C495" s="13" t="str">
        <f>IFERROR(__xludf.DUMMYFUNCTION("""COMPUTED_VALUE"""),"00238")</f>
        <v>00238</v>
      </c>
      <c r="D495" s="13" t="str">
        <f>IFERROR(__xludf.DUMMYFUNCTION("""COMPUTED_VALUE"""),"Swansea Recreation Center")</f>
        <v>Swansea Recreation Center</v>
      </c>
      <c r="E495" s="13" t="str">
        <f>IFERROR(__xludf.DUMMYFUNCTION("""COMPUTED_VALUE"""),"Open")</f>
        <v>Open</v>
      </c>
      <c r="F495" s="13"/>
      <c r="G495" s="13" t="str">
        <f>IFERROR(__xludf.DUMMYFUNCTION("""COMPUTED_VALUE"""),"2650 E 49TH AVE")</f>
        <v>2650 E 49TH AVE</v>
      </c>
      <c r="H495" s="13" t="str">
        <f>IFERROR(__xludf.DUMMYFUNCTION("""COMPUTED_VALUE"""),"DENVER")</f>
        <v>DENVER</v>
      </c>
      <c r="I495" s="13" t="str">
        <f>IFERROR(__xludf.DUMMYFUNCTION("""COMPUTED_VALUE"""),"CO")</f>
        <v>CO</v>
      </c>
      <c r="J495" s="13" t="str">
        <f>IFERROR(__xludf.DUMMYFUNCTION("""COMPUTED_VALUE"""),"80216-2946")</f>
        <v>80216-2946</v>
      </c>
      <c r="K495" s="13" t="str">
        <f>IFERROR(__xludf.DUMMYFUNCTION("""COMPUTED_VALUE"""),"Denver")</f>
        <v>Denver</v>
      </c>
      <c r="L495" s="17" t="str">
        <f>IFERROR(__xludf.DUMMYFUNCTION("""COMPUTED_VALUE"""),"Y")</f>
        <v>Y</v>
      </c>
      <c r="M495" s="17"/>
      <c r="N495" s="17" t="str">
        <f>IFERROR(__xludf.DUMMYFUNCTION("""COMPUTED_VALUE"""),"Y")</f>
        <v>Y</v>
      </c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>
      <c r="A496" s="13" t="str">
        <f>IFERROR(__xludf.DUMMYFUNCTION("""COMPUTED_VALUE"""),"5005")</f>
        <v>5005</v>
      </c>
      <c r="B496" s="13" t="str">
        <f>IFERROR(__xludf.DUMMYFUNCTION("""COMPUTED_VALUE"""),"Office of Children's Affairs, City and County of Denver")</f>
        <v>Office of Children's Affairs, City and County of Denver</v>
      </c>
      <c r="C496" s="13" t="str">
        <f>IFERROR(__xludf.DUMMYFUNCTION("""COMPUTED_VALUE"""),"00244")</f>
        <v>00244</v>
      </c>
      <c r="D496" s="13" t="str">
        <f>IFERROR(__xludf.DUMMYFUNCTION("""COMPUTED_VALUE"""),"La Familia Recreation Center")</f>
        <v>La Familia Recreation Center</v>
      </c>
      <c r="E496" s="13" t="str">
        <f>IFERROR(__xludf.DUMMYFUNCTION("""COMPUTED_VALUE"""),"Open")</f>
        <v>Open</v>
      </c>
      <c r="F496" s="13"/>
      <c r="G496" s="13" t="str">
        <f>IFERROR(__xludf.DUMMYFUNCTION("""COMPUTED_VALUE"""),"65 S ELATI ST")</f>
        <v>65 S ELATI ST</v>
      </c>
      <c r="H496" s="13" t="str">
        <f>IFERROR(__xludf.DUMMYFUNCTION("""COMPUTED_VALUE"""),"DENVER")</f>
        <v>DENVER</v>
      </c>
      <c r="I496" s="13" t="str">
        <f>IFERROR(__xludf.DUMMYFUNCTION("""COMPUTED_VALUE"""),"CO")</f>
        <v>CO</v>
      </c>
      <c r="J496" s="13" t="str">
        <f>IFERROR(__xludf.DUMMYFUNCTION("""COMPUTED_VALUE"""),"80223-1639")</f>
        <v>80223-1639</v>
      </c>
      <c r="K496" s="13" t="str">
        <f>IFERROR(__xludf.DUMMYFUNCTION("""COMPUTED_VALUE"""),"Denver")</f>
        <v>Denver</v>
      </c>
      <c r="L496" s="17"/>
      <c r="M496" s="17"/>
      <c r="N496" s="17" t="str">
        <f>IFERROR(__xludf.DUMMYFUNCTION("""COMPUTED_VALUE"""),"Y")</f>
        <v>Y</v>
      </c>
      <c r="O496" s="17" t="str">
        <f>IFERROR(__xludf.DUMMYFUNCTION("""COMPUTED_VALUE"""),"Y")</f>
        <v>Y</v>
      </c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>
      <c r="A497" s="13" t="str">
        <f>IFERROR(__xludf.DUMMYFUNCTION("""COMPUTED_VALUE"""),"5005")</f>
        <v>5005</v>
      </c>
      <c r="B497" s="13" t="str">
        <f>IFERROR(__xludf.DUMMYFUNCTION("""COMPUTED_VALUE"""),"Office of Children's Affairs, City and County of Denver")</f>
        <v>Office of Children's Affairs, City and County of Denver</v>
      </c>
      <c r="C497" s="13" t="str">
        <f>IFERROR(__xludf.DUMMYFUNCTION("""COMPUTED_VALUE"""),"00257")</f>
        <v>00257</v>
      </c>
      <c r="D497" s="13" t="str">
        <f>IFERROR(__xludf.DUMMYFUNCTION("""COMPUTED_VALUE"""),"Rodolfo Corky Gonzales Branch Library")</f>
        <v>Rodolfo Corky Gonzales Branch Library</v>
      </c>
      <c r="E497" s="13" t="str">
        <f>IFERROR(__xludf.DUMMYFUNCTION("""COMPUTED_VALUE"""),"Open")</f>
        <v>Open</v>
      </c>
      <c r="F497" s="13"/>
      <c r="G497" s="13" t="str">
        <f>IFERROR(__xludf.DUMMYFUNCTION("""COMPUTED_VALUE"""),"1498 IRVING ST")</f>
        <v>1498 IRVING ST</v>
      </c>
      <c r="H497" s="13" t="str">
        <f>IFERROR(__xludf.DUMMYFUNCTION("""COMPUTED_VALUE"""),"DENVER")</f>
        <v>DENVER</v>
      </c>
      <c r="I497" s="13" t="str">
        <f>IFERROR(__xludf.DUMMYFUNCTION("""COMPUTED_VALUE"""),"CO")</f>
        <v>CO</v>
      </c>
      <c r="J497" s="13" t="str">
        <f>IFERROR(__xludf.DUMMYFUNCTION("""COMPUTED_VALUE"""),"80204-1674")</f>
        <v>80204-1674</v>
      </c>
      <c r="K497" s="13" t="str">
        <f>IFERROR(__xludf.DUMMYFUNCTION("""COMPUTED_VALUE"""),"Denver")</f>
        <v>Denver</v>
      </c>
      <c r="L497" s="17"/>
      <c r="M497" s="17"/>
      <c r="N497" s="17" t="str">
        <f>IFERROR(__xludf.DUMMYFUNCTION("""COMPUTED_VALUE"""),"Y")</f>
        <v>Y</v>
      </c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>
      <c r="A498" s="13" t="str">
        <f>IFERROR(__xludf.DUMMYFUNCTION("""COMPUTED_VALUE"""),"5005")</f>
        <v>5005</v>
      </c>
      <c r="B498" s="13" t="str">
        <f>IFERROR(__xludf.DUMMYFUNCTION("""COMPUTED_VALUE"""),"Office of Children's Affairs, City and County of Denver")</f>
        <v>Office of Children's Affairs, City and County of Denver</v>
      </c>
      <c r="C498" s="13" t="str">
        <f>IFERROR(__xludf.DUMMYFUNCTION("""COMPUTED_VALUE"""),"11075")</f>
        <v>11075</v>
      </c>
      <c r="D498" s="13" t="str">
        <f>IFERROR(__xludf.DUMMYFUNCTION("""COMPUTED_VALUE"""),"Eisenhower Rec Center")</f>
        <v>Eisenhower Rec Center</v>
      </c>
      <c r="E498" s="13" t="str">
        <f>IFERROR(__xludf.DUMMYFUNCTION("""COMPUTED_VALUE"""),"Open")</f>
        <v>Open</v>
      </c>
      <c r="F498" s="13"/>
      <c r="G498" s="13" t="str">
        <f>IFERROR(__xludf.DUMMYFUNCTION("""COMPUTED_VALUE"""),"4300 E DARTMOUTH AVE")</f>
        <v>4300 E DARTMOUTH AVE</v>
      </c>
      <c r="H498" s="13" t="str">
        <f>IFERROR(__xludf.DUMMYFUNCTION("""COMPUTED_VALUE"""),"DENVER")</f>
        <v>DENVER</v>
      </c>
      <c r="I498" s="13" t="str">
        <f>IFERROR(__xludf.DUMMYFUNCTION("""COMPUTED_VALUE"""),"CO")</f>
        <v>CO</v>
      </c>
      <c r="J498" s="13" t="str">
        <f>IFERROR(__xludf.DUMMYFUNCTION("""COMPUTED_VALUE"""),"80222-6759")</f>
        <v>80222-6759</v>
      </c>
      <c r="K498" s="13" t="str">
        <f>IFERROR(__xludf.DUMMYFUNCTION("""COMPUTED_VALUE"""),"Denver")</f>
        <v>Denver</v>
      </c>
      <c r="L498" s="17" t="str">
        <f>IFERROR(__xludf.DUMMYFUNCTION("""COMPUTED_VALUE"""),"Y")</f>
        <v>Y</v>
      </c>
      <c r="M498" s="17"/>
      <c r="N498" s="17" t="str">
        <f>IFERROR(__xludf.DUMMYFUNCTION("""COMPUTED_VALUE"""),"Y")</f>
        <v>Y</v>
      </c>
      <c r="O498" s="17" t="str">
        <f>IFERROR(__xludf.DUMMYFUNCTION("""COMPUTED_VALUE"""),"Y")</f>
        <v>Y</v>
      </c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>
      <c r="A499" s="13" t="str">
        <f>IFERROR(__xludf.DUMMYFUNCTION("""COMPUTED_VALUE"""),"5005")</f>
        <v>5005</v>
      </c>
      <c r="B499" s="13" t="str">
        <f>IFERROR(__xludf.DUMMYFUNCTION("""COMPUTED_VALUE"""),"Office of Children's Affairs, City and County of Denver")</f>
        <v>Office of Children's Affairs, City and County of Denver</v>
      </c>
      <c r="C499" s="13" t="str">
        <f>IFERROR(__xludf.DUMMYFUNCTION("""COMPUTED_VALUE"""),"11078")</f>
        <v>11078</v>
      </c>
      <c r="D499" s="13" t="str">
        <f>IFERROR(__xludf.DUMMYFUNCTION("""COMPUTED_VALUE"""),"Hiawatha Davis Jr Rec Center")</f>
        <v>Hiawatha Davis Jr Rec Center</v>
      </c>
      <c r="E499" s="13" t="str">
        <f>IFERROR(__xludf.DUMMYFUNCTION("""COMPUTED_VALUE"""),"Open")</f>
        <v>Open</v>
      </c>
      <c r="F499" s="13"/>
      <c r="G499" s="13" t="str">
        <f>IFERROR(__xludf.DUMMYFUNCTION("""COMPUTED_VALUE"""),"3334 HOLLY ST")</f>
        <v>3334 HOLLY ST</v>
      </c>
      <c r="H499" s="13" t="str">
        <f>IFERROR(__xludf.DUMMYFUNCTION("""COMPUTED_VALUE"""),"DENVER")</f>
        <v>DENVER</v>
      </c>
      <c r="I499" s="13" t="str">
        <f>IFERROR(__xludf.DUMMYFUNCTION("""COMPUTED_VALUE"""),"CO")</f>
        <v>CO</v>
      </c>
      <c r="J499" s="13" t="str">
        <f>IFERROR(__xludf.DUMMYFUNCTION("""COMPUTED_VALUE"""),"80207-2036")</f>
        <v>80207-2036</v>
      </c>
      <c r="K499" s="13" t="str">
        <f>IFERROR(__xludf.DUMMYFUNCTION("""COMPUTED_VALUE"""),"Denver")</f>
        <v>Denver</v>
      </c>
      <c r="L499" s="17"/>
      <c r="M499" s="17"/>
      <c r="N499" s="17" t="str">
        <f>IFERROR(__xludf.DUMMYFUNCTION("""COMPUTED_VALUE"""),"Y")</f>
        <v>Y</v>
      </c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>
      <c r="A500" s="13" t="str">
        <f>IFERROR(__xludf.DUMMYFUNCTION("""COMPUTED_VALUE"""),"5005")</f>
        <v>5005</v>
      </c>
      <c r="B500" s="13" t="str">
        <f>IFERROR(__xludf.DUMMYFUNCTION("""COMPUTED_VALUE"""),"Office of Children's Affairs, City and County of Denver")</f>
        <v>Office of Children's Affairs, City and County of Denver</v>
      </c>
      <c r="C500" s="13" t="str">
        <f>IFERROR(__xludf.DUMMYFUNCTION("""COMPUTED_VALUE"""),"11312")</f>
        <v>11312</v>
      </c>
      <c r="D500" s="13" t="str">
        <f>IFERROR(__xludf.DUMMYFUNCTION("""COMPUTED_VALUE"""),"Cook Park Recreation Center")</f>
        <v>Cook Park Recreation Center</v>
      </c>
      <c r="E500" s="13" t="str">
        <f>IFERROR(__xludf.DUMMYFUNCTION("""COMPUTED_VALUE"""),"Open")</f>
        <v>Open</v>
      </c>
      <c r="F500" s="13"/>
      <c r="G500" s="13" t="str">
        <f>IFERROR(__xludf.DUMMYFUNCTION("""COMPUTED_VALUE"""),"7100 CHERRY CREEK SOUTH DR")</f>
        <v>7100 CHERRY CREEK SOUTH DR</v>
      </c>
      <c r="H500" s="13" t="str">
        <f>IFERROR(__xludf.DUMMYFUNCTION("""COMPUTED_VALUE"""),"DENVER")</f>
        <v>DENVER</v>
      </c>
      <c r="I500" s="13" t="str">
        <f>IFERROR(__xludf.DUMMYFUNCTION("""COMPUTED_VALUE"""),"CO")</f>
        <v>CO</v>
      </c>
      <c r="J500" s="13" t="str">
        <f>IFERROR(__xludf.DUMMYFUNCTION("""COMPUTED_VALUE"""),"80224-2200")</f>
        <v>80224-2200</v>
      </c>
      <c r="K500" s="13" t="str">
        <f>IFERROR(__xludf.DUMMYFUNCTION("""COMPUTED_VALUE"""),"Denver")</f>
        <v>Denver</v>
      </c>
      <c r="L500" s="17"/>
      <c r="M500" s="17"/>
      <c r="N500" s="17" t="str">
        <f>IFERROR(__xludf.DUMMYFUNCTION("""COMPUTED_VALUE"""),"Y")</f>
        <v>Y</v>
      </c>
      <c r="O500" s="17" t="str">
        <f>IFERROR(__xludf.DUMMYFUNCTION("""COMPUTED_VALUE"""),"Y")</f>
        <v>Y</v>
      </c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>
      <c r="A501" s="13" t="str">
        <f>IFERROR(__xludf.DUMMYFUNCTION("""COMPUTED_VALUE"""),"5005")</f>
        <v>5005</v>
      </c>
      <c r="B501" s="13" t="str">
        <f>IFERROR(__xludf.DUMMYFUNCTION("""COMPUTED_VALUE"""),"Office of Children's Affairs, City and County of Denver")</f>
        <v>Office of Children's Affairs, City and County of Denver</v>
      </c>
      <c r="C501" s="13" t="str">
        <f>IFERROR(__xludf.DUMMYFUNCTION("""COMPUTED_VALUE"""),"11313")</f>
        <v>11313</v>
      </c>
      <c r="D501" s="13" t="str">
        <f>IFERROR(__xludf.DUMMYFUNCTION("""COMPUTED_VALUE"""),"Girls Incorporated of Metro Denver")</f>
        <v>Girls Incorporated of Metro Denver</v>
      </c>
      <c r="E501" s="13" t="str">
        <f>IFERROR(__xludf.DUMMYFUNCTION("""COMPUTED_VALUE"""),"Closed - Enrolled")</f>
        <v>Closed - Enrolled</v>
      </c>
      <c r="F501" s="13"/>
      <c r="G501" s="13" t="str">
        <f>IFERROR(__xludf.DUMMYFUNCTION("""COMPUTED_VALUE"""),"1499 JULIAN ST")</f>
        <v>1499 JULIAN ST</v>
      </c>
      <c r="H501" s="13" t="str">
        <f>IFERROR(__xludf.DUMMYFUNCTION("""COMPUTED_VALUE"""),"DENVER")</f>
        <v>DENVER</v>
      </c>
      <c r="I501" s="13" t="str">
        <f>IFERROR(__xludf.DUMMYFUNCTION("""COMPUTED_VALUE"""),"CO")</f>
        <v>CO</v>
      </c>
      <c r="J501" s="13" t="str">
        <f>IFERROR(__xludf.DUMMYFUNCTION("""COMPUTED_VALUE"""),"80204-1641")</f>
        <v>80204-1641</v>
      </c>
      <c r="K501" s="13" t="str">
        <f>IFERROR(__xludf.DUMMYFUNCTION("""COMPUTED_VALUE"""),"Denver")</f>
        <v>Denver</v>
      </c>
      <c r="L501" s="17" t="str">
        <f>IFERROR(__xludf.DUMMYFUNCTION("""COMPUTED_VALUE"""),"Y")</f>
        <v>Y</v>
      </c>
      <c r="M501" s="17"/>
      <c r="N501" s="17" t="str">
        <f>IFERROR(__xludf.DUMMYFUNCTION("""COMPUTED_VALUE"""),"Y")</f>
        <v>Y</v>
      </c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>
      <c r="A502" s="13" t="str">
        <f>IFERROR(__xludf.DUMMYFUNCTION("""COMPUTED_VALUE"""),"5005")</f>
        <v>5005</v>
      </c>
      <c r="B502" s="13" t="str">
        <f>IFERROR(__xludf.DUMMYFUNCTION("""COMPUTED_VALUE"""),"Office of Children's Affairs, City and County of Denver")</f>
        <v>Office of Children's Affairs, City and County of Denver</v>
      </c>
      <c r="C502" s="13" t="str">
        <f>IFERROR(__xludf.DUMMYFUNCTION("""COMPUTED_VALUE"""),"11314")</f>
        <v>11314</v>
      </c>
      <c r="D502" s="13" t="str">
        <f>IFERROR(__xludf.DUMMYFUNCTION("""COMPUTED_VALUE"""),"Scheitler Recreation Center")</f>
        <v>Scheitler Recreation Center</v>
      </c>
      <c r="E502" s="13" t="str">
        <f>IFERROR(__xludf.DUMMYFUNCTION("""COMPUTED_VALUE"""),"Open")</f>
        <v>Open</v>
      </c>
      <c r="F502" s="13"/>
      <c r="G502" s="13" t="str">
        <f>IFERROR(__xludf.DUMMYFUNCTION("""COMPUTED_VALUE"""),"5031 W 46TH AVE")</f>
        <v>5031 W 46TH AVE</v>
      </c>
      <c r="H502" s="13" t="str">
        <f>IFERROR(__xludf.DUMMYFUNCTION("""COMPUTED_VALUE"""),"DENVER")</f>
        <v>DENVER</v>
      </c>
      <c r="I502" s="13" t="str">
        <f>IFERROR(__xludf.DUMMYFUNCTION("""COMPUTED_VALUE"""),"CO")</f>
        <v>CO</v>
      </c>
      <c r="J502" s="13" t="str">
        <f>IFERROR(__xludf.DUMMYFUNCTION("""COMPUTED_VALUE"""),"80212-2555")</f>
        <v>80212-2555</v>
      </c>
      <c r="K502" s="13" t="str">
        <f>IFERROR(__xludf.DUMMYFUNCTION("""COMPUTED_VALUE"""),"Denver")</f>
        <v>Denver</v>
      </c>
      <c r="L502" s="17"/>
      <c r="M502" s="17"/>
      <c r="N502" s="17" t="str">
        <f>IFERROR(__xludf.DUMMYFUNCTION("""COMPUTED_VALUE"""),"Y")</f>
        <v>Y</v>
      </c>
      <c r="O502" s="17" t="str">
        <f>IFERROR(__xludf.DUMMYFUNCTION("""COMPUTED_VALUE"""),"Y")</f>
        <v>Y</v>
      </c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>
      <c r="A503" s="13" t="str">
        <f>IFERROR(__xludf.DUMMYFUNCTION("""COMPUTED_VALUE"""),"5005")</f>
        <v>5005</v>
      </c>
      <c r="B503" s="13" t="str">
        <f>IFERROR(__xludf.DUMMYFUNCTION("""COMPUTED_VALUE"""),"Office of Children's Affairs, City and County of Denver")</f>
        <v>Office of Children's Affairs, City and County of Denver</v>
      </c>
      <c r="C503" s="13" t="str">
        <f>IFERROR(__xludf.DUMMYFUNCTION("""COMPUTED_VALUE"""),"11315")</f>
        <v>11315</v>
      </c>
      <c r="D503" s="13" t="str">
        <f>IFERROR(__xludf.DUMMYFUNCTION("""COMPUTED_VALUE"""),"Barnum Rec Center")</f>
        <v>Barnum Rec Center</v>
      </c>
      <c r="E503" s="13" t="str">
        <f>IFERROR(__xludf.DUMMYFUNCTION("""COMPUTED_VALUE"""),"Open")</f>
        <v>Open</v>
      </c>
      <c r="F503" s="13"/>
      <c r="G503" s="13" t="str">
        <f>IFERROR(__xludf.DUMMYFUNCTION("""COMPUTED_VALUE"""),"360 HOOKER ST")</f>
        <v>360 HOOKER ST</v>
      </c>
      <c r="H503" s="13" t="str">
        <f>IFERROR(__xludf.DUMMYFUNCTION("""COMPUTED_VALUE"""),"DENVER")</f>
        <v>DENVER</v>
      </c>
      <c r="I503" s="13" t="str">
        <f>IFERROR(__xludf.DUMMYFUNCTION("""COMPUTED_VALUE"""),"CO")</f>
        <v>CO</v>
      </c>
      <c r="J503" s="13" t="str">
        <f>IFERROR(__xludf.DUMMYFUNCTION("""COMPUTED_VALUE"""),"80219-1451")</f>
        <v>80219-1451</v>
      </c>
      <c r="K503" s="13" t="str">
        <f>IFERROR(__xludf.DUMMYFUNCTION("""COMPUTED_VALUE"""),"Denver")</f>
        <v>Denver</v>
      </c>
      <c r="L503" s="17"/>
      <c r="M503" s="17"/>
      <c r="N503" s="17" t="str">
        <f>IFERROR(__xludf.DUMMYFUNCTION("""COMPUTED_VALUE"""),"Y")</f>
        <v>Y</v>
      </c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>
      <c r="A504" s="13" t="str">
        <f>IFERROR(__xludf.DUMMYFUNCTION("""COMPUTED_VALUE"""),"5005")</f>
        <v>5005</v>
      </c>
      <c r="B504" s="13" t="str">
        <f>IFERROR(__xludf.DUMMYFUNCTION("""COMPUTED_VALUE"""),"Office of Children's Affairs, City and County of Denver")</f>
        <v>Office of Children's Affairs, City and County of Denver</v>
      </c>
      <c r="C504" s="13" t="str">
        <f>IFERROR(__xludf.DUMMYFUNCTION("""COMPUTED_VALUE"""),"12948")</f>
        <v>12948</v>
      </c>
      <c r="D504" s="13" t="str">
        <f>IFERROR(__xludf.DUMMYFUNCTION("""COMPUTED_VALUE"""),"Johnson Recreation Center")</f>
        <v>Johnson Recreation Center</v>
      </c>
      <c r="E504" s="13" t="str">
        <f>IFERROR(__xludf.DUMMYFUNCTION("""COMPUTED_VALUE"""),"Open")</f>
        <v>Open</v>
      </c>
      <c r="F504" s="13"/>
      <c r="G504" s="13" t="str">
        <f>IFERROR(__xludf.DUMMYFUNCTION("""COMPUTED_VALUE"""),"4809 RACE ST")</f>
        <v>4809 RACE ST</v>
      </c>
      <c r="H504" s="13" t="str">
        <f>IFERROR(__xludf.DUMMYFUNCTION("""COMPUTED_VALUE"""),"DENVER")</f>
        <v>DENVER</v>
      </c>
      <c r="I504" s="13" t="str">
        <f>IFERROR(__xludf.DUMMYFUNCTION("""COMPUTED_VALUE"""),"CO")</f>
        <v>CO</v>
      </c>
      <c r="J504" s="13" t="str">
        <f>IFERROR(__xludf.DUMMYFUNCTION("""COMPUTED_VALUE"""),"80216-2213")</f>
        <v>80216-2213</v>
      </c>
      <c r="K504" s="13" t="str">
        <f>IFERROR(__xludf.DUMMYFUNCTION("""COMPUTED_VALUE"""),"Denver")</f>
        <v>Denver</v>
      </c>
      <c r="L504" s="17"/>
      <c r="M504" s="17"/>
      <c r="N504" s="17" t="str">
        <f>IFERROR(__xludf.DUMMYFUNCTION("""COMPUTED_VALUE"""),"Y")</f>
        <v>Y</v>
      </c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>
      <c r="A505" s="13" t="str">
        <f>IFERROR(__xludf.DUMMYFUNCTION("""COMPUTED_VALUE"""),"5005")</f>
        <v>5005</v>
      </c>
      <c r="B505" s="13" t="str">
        <f>IFERROR(__xludf.DUMMYFUNCTION("""COMPUTED_VALUE"""),"Office of Children's Affairs, City and County of Denver")</f>
        <v>Office of Children's Affairs, City and County of Denver</v>
      </c>
      <c r="C505" s="13" t="str">
        <f>IFERROR(__xludf.DUMMYFUNCTION("""COMPUTED_VALUE"""),"15063")</f>
        <v>15063</v>
      </c>
      <c r="D505" s="13" t="str">
        <f>IFERROR(__xludf.DUMMYFUNCTION("""COMPUTED_VALUE"""),"College View Rec Center")</f>
        <v>College View Rec Center</v>
      </c>
      <c r="E505" s="13" t="str">
        <f>IFERROR(__xludf.DUMMYFUNCTION("""COMPUTED_VALUE"""),"Open")</f>
        <v>Open</v>
      </c>
      <c r="F505" s="13"/>
      <c r="G505" s="13" t="str">
        <f>IFERROR(__xludf.DUMMYFUNCTION("""COMPUTED_VALUE"""),"2525 S DECATUR ST")</f>
        <v>2525 S DECATUR ST</v>
      </c>
      <c r="H505" s="13" t="str">
        <f>IFERROR(__xludf.DUMMYFUNCTION("""COMPUTED_VALUE"""),"DENVER")</f>
        <v>DENVER</v>
      </c>
      <c r="I505" s="13" t="str">
        <f>IFERROR(__xludf.DUMMYFUNCTION("""COMPUTED_VALUE"""),"CO")</f>
        <v>CO</v>
      </c>
      <c r="J505" s="13" t="str">
        <f>IFERROR(__xludf.DUMMYFUNCTION("""COMPUTED_VALUE"""),"80219-5901")</f>
        <v>80219-5901</v>
      </c>
      <c r="K505" s="13" t="str">
        <f>IFERROR(__xludf.DUMMYFUNCTION("""COMPUTED_VALUE"""),"Denver")</f>
        <v>Denver</v>
      </c>
      <c r="L505" s="17"/>
      <c r="M505" s="17"/>
      <c r="N505" s="17" t="str">
        <f>IFERROR(__xludf.DUMMYFUNCTION("""COMPUTED_VALUE"""),"Y")</f>
        <v>Y</v>
      </c>
      <c r="O505" s="17" t="str">
        <f>IFERROR(__xludf.DUMMYFUNCTION("""COMPUTED_VALUE"""),"Y")</f>
        <v>Y</v>
      </c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>
      <c r="A506" s="13" t="str">
        <f>IFERROR(__xludf.DUMMYFUNCTION("""COMPUTED_VALUE"""),"5005")</f>
        <v>5005</v>
      </c>
      <c r="B506" s="13" t="str">
        <f>IFERROR(__xludf.DUMMYFUNCTION("""COMPUTED_VALUE"""),"Office of Children's Affairs, City and County of Denver")</f>
        <v>Office of Children's Affairs, City and County of Denver</v>
      </c>
      <c r="C506" s="13" t="str">
        <f>IFERROR(__xludf.DUMMYFUNCTION("""COMPUTED_VALUE"""),"15243")</f>
        <v>15243</v>
      </c>
      <c r="D506" s="13" t="str">
        <f>IFERROR(__xludf.DUMMYFUNCTION("""COMPUTED_VALUE"""),"Ashland Recreation Center")</f>
        <v>Ashland Recreation Center</v>
      </c>
      <c r="E506" s="13" t="str">
        <f>IFERROR(__xludf.DUMMYFUNCTION("""COMPUTED_VALUE"""),"Open")</f>
        <v>Open</v>
      </c>
      <c r="F506" s="13"/>
      <c r="G506" s="13" t="str">
        <f>IFERROR(__xludf.DUMMYFUNCTION("""COMPUTED_VALUE"""),"2475 W DUNKELD PL")</f>
        <v>2475 W DUNKELD PL</v>
      </c>
      <c r="H506" s="13" t="str">
        <f>IFERROR(__xludf.DUMMYFUNCTION("""COMPUTED_VALUE"""),"DENVER")</f>
        <v>DENVER</v>
      </c>
      <c r="I506" s="13" t="str">
        <f>IFERROR(__xludf.DUMMYFUNCTION("""COMPUTED_VALUE"""),"CO")</f>
        <v>CO</v>
      </c>
      <c r="J506" s="13" t="str">
        <f>IFERROR(__xludf.DUMMYFUNCTION("""COMPUTED_VALUE"""),"80211-3737")</f>
        <v>80211-3737</v>
      </c>
      <c r="K506" s="13" t="str">
        <f>IFERROR(__xludf.DUMMYFUNCTION("""COMPUTED_VALUE"""),"Denver")</f>
        <v>Denver</v>
      </c>
      <c r="L506" s="17"/>
      <c r="M506" s="17"/>
      <c r="N506" s="17" t="str">
        <f>IFERROR(__xludf.DUMMYFUNCTION("""COMPUTED_VALUE"""),"Y")</f>
        <v>Y</v>
      </c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>
      <c r="A507" s="13" t="str">
        <f>IFERROR(__xludf.DUMMYFUNCTION("""COMPUTED_VALUE"""),"5005")</f>
        <v>5005</v>
      </c>
      <c r="B507" s="13" t="str">
        <f>IFERROR(__xludf.DUMMYFUNCTION("""COMPUTED_VALUE"""),"Office of Children's Affairs, City and County of Denver")</f>
        <v>Office of Children's Affairs, City and County of Denver</v>
      </c>
      <c r="C507" s="13" t="str">
        <f>IFERROR(__xludf.DUMMYFUNCTION("""COMPUTED_VALUE"""),"23665")</f>
        <v>23665</v>
      </c>
      <c r="D507" s="13" t="str">
        <f>IFERROR(__xludf.DUMMYFUNCTION("""COMPUTED_VALUE"""),"Harvey Park Recreation Center")</f>
        <v>Harvey Park Recreation Center</v>
      </c>
      <c r="E507" s="13" t="str">
        <f>IFERROR(__xludf.DUMMYFUNCTION("""COMPUTED_VALUE"""),"Open")</f>
        <v>Open</v>
      </c>
      <c r="F507" s="13"/>
      <c r="G507" s="13" t="str">
        <f>IFERROR(__xludf.DUMMYFUNCTION("""COMPUTED_VALUE"""),"2120 S TENNYSON ST")</f>
        <v>2120 S TENNYSON ST</v>
      </c>
      <c r="H507" s="13" t="str">
        <f>IFERROR(__xludf.DUMMYFUNCTION("""COMPUTED_VALUE"""),"DENVER")</f>
        <v>DENVER</v>
      </c>
      <c r="I507" s="13" t="str">
        <f>IFERROR(__xludf.DUMMYFUNCTION("""COMPUTED_VALUE"""),"CO")</f>
        <v>CO</v>
      </c>
      <c r="J507" s="13" t="str">
        <f>IFERROR(__xludf.DUMMYFUNCTION("""COMPUTED_VALUE"""),"80219-5118")</f>
        <v>80219-5118</v>
      </c>
      <c r="K507" s="13" t="str">
        <f>IFERROR(__xludf.DUMMYFUNCTION("""COMPUTED_VALUE"""),"Denver")</f>
        <v>Denver</v>
      </c>
      <c r="L507" s="17" t="str">
        <f>IFERROR(__xludf.DUMMYFUNCTION("""COMPUTED_VALUE"""),"Y")</f>
        <v>Y</v>
      </c>
      <c r="M507" s="17"/>
      <c r="N507" s="17" t="str">
        <f>IFERROR(__xludf.DUMMYFUNCTION("""COMPUTED_VALUE"""),"Y")</f>
        <v>Y</v>
      </c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>
      <c r="A508" s="13" t="str">
        <f>IFERROR(__xludf.DUMMYFUNCTION("""COMPUTED_VALUE"""),"5005")</f>
        <v>5005</v>
      </c>
      <c r="B508" s="13" t="str">
        <f>IFERROR(__xludf.DUMMYFUNCTION("""COMPUTED_VALUE"""),"Office of Children's Affairs, City and County of Denver")</f>
        <v>Office of Children's Affairs, City and County of Denver</v>
      </c>
      <c r="C508" s="13" t="str">
        <f>IFERROR(__xludf.DUMMYFUNCTION("""COMPUTED_VALUE"""),"91077")</f>
        <v>91077</v>
      </c>
      <c r="D508" s="13" t="str">
        <f>IFERROR(__xludf.DUMMYFUNCTION("""COMPUTED_VALUE"""),"Bear Valley Library")</f>
        <v>Bear Valley Library</v>
      </c>
      <c r="E508" s="13" t="str">
        <f>IFERROR(__xludf.DUMMYFUNCTION("""COMPUTED_VALUE"""),"Open")</f>
        <v>Open</v>
      </c>
      <c r="F508" s="13"/>
      <c r="G508" s="13" t="str">
        <f>IFERROR(__xludf.DUMMYFUNCTION("""COMPUTED_VALUE"""),"5171 W DARTMOUTH AVE")</f>
        <v>5171 W DARTMOUTH AVE</v>
      </c>
      <c r="H508" s="13" t="str">
        <f>IFERROR(__xludf.DUMMYFUNCTION("""COMPUTED_VALUE"""),"DENVER")</f>
        <v>DENVER</v>
      </c>
      <c r="I508" s="13" t="str">
        <f>IFERROR(__xludf.DUMMYFUNCTION("""COMPUTED_VALUE"""),"CO")</f>
        <v>CO</v>
      </c>
      <c r="J508" s="13" t="str">
        <f>IFERROR(__xludf.DUMMYFUNCTION("""COMPUTED_VALUE"""),"80236-2006")</f>
        <v>80236-2006</v>
      </c>
      <c r="K508" s="13" t="str">
        <f>IFERROR(__xludf.DUMMYFUNCTION("""COMPUTED_VALUE"""),"Denver")</f>
        <v>Denver</v>
      </c>
      <c r="L508" s="17"/>
      <c r="M508" s="17"/>
      <c r="N508" s="17" t="str">
        <f>IFERROR(__xludf.DUMMYFUNCTION("""COMPUTED_VALUE"""),"Y")</f>
        <v>Y</v>
      </c>
      <c r="O508" s="17" t="str">
        <f>IFERROR(__xludf.DUMMYFUNCTION("""COMPUTED_VALUE"""),"Y")</f>
        <v>Y</v>
      </c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>
      <c r="A509" s="13" t="str">
        <f>IFERROR(__xludf.DUMMYFUNCTION("""COMPUTED_VALUE"""),"5005")</f>
        <v>5005</v>
      </c>
      <c r="B509" s="13" t="str">
        <f>IFERROR(__xludf.DUMMYFUNCTION("""COMPUTED_VALUE"""),"Office of Children's Affairs, City and County of Denver")</f>
        <v>Office of Children's Affairs, City and County of Denver</v>
      </c>
      <c r="C509" s="13" t="str">
        <f>IFERROR(__xludf.DUMMYFUNCTION("""COMPUTED_VALUE"""),"91412")</f>
        <v>91412</v>
      </c>
      <c r="D509" s="13" t="str">
        <f>IFERROR(__xludf.DUMMYFUNCTION("""COMPUTED_VALUE"""),"Hampden Branch Library")</f>
        <v>Hampden Branch Library</v>
      </c>
      <c r="E509" s="13" t="str">
        <f>IFERROR(__xludf.DUMMYFUNCTION("""COMPUTED_VALUE"""),"Open")</f>
        <v>Open</v>
      </c>
      <c r="F509" s="13"/>
      <c r="G509" s="13" t="str">
        <f>IFERROR(__xludf.DUMMYFUNCTION("""COMPUTED_VALUE"""),"9755 E GIRARD AVE")</f>
        <v>9755 E GIRARD AVE</v>
      </c>
      <c r="H509" s="13" t="str">
        <f>IFERROR(__xludf.DUMMYFUNCTION("""COMPUTED_VALUE"""),"DENVER")</f>
        <v>DENVER</v>
      </c>
      <c r="I509" s="13" t="str">
        <f>IFERROR(__xludf.DUMMYFUNCTION("""COMPUTED_VALUE"""),"CO")</f>
        <v>CO</v>
      </c>
      <c r="J509" s="13" t="str">
        <f>IFERROR(__xludf.DUMMYFUNCTION("""COMPUTED_VALUE"""),"80231-5003")</f>
        <v>80231-5003</v>
      </c>
      <c r="K509" s="13" t="str">
        <f>IFERROR(__xludf.DUMMYFUNCTION("""COMPUTED_VALUE"""),"Denver")</f>
        <v>Denver</v>
      </c>
      <c r="L509" s="17"/>
      <c r="M509" s="17"/>
      <c r="N509" s="17" t="str">
        <f>IFERROR(__xludf.DUMMYFUNCTION("""COMPUTED_VALUE"""),"Y")</f>
        <v>Y</v>
      </c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>
      <c r="A510" s="13" t="str">
        <f>IFERROR(__xludf.DUMMYFUNCTION("""COMPUTED_VALUE"""),"5005")</f>
        <v>5005</v>
      </c>
      <c r="B510" s="13" t="str">
        <f>IFERROR(__xludf.DUMMYFUNCTION("""COMPUTED_VALUE"""),"Office of Children's Affairs, City and County of Denver")</f>
        <v>Office of Children's Affairs, City and County of Denver</v>
      </c>
      <c r="C510" s="13" t="str">
        <f>IFERROR(__xludf.DUMMYFUNCTION("""COMPUTED_VALUE"""),"91595")</f>
        <v>91595</v>
      </c>
      <c r="D510" s="13" t="str">
        <f>IFERROR(__xludf.DUMMYFUNCTION("""COMPUTED_VALUE"""),"Athletics and Beyond")</f>
        <v>Athletics and Beyond</v>
      </c>
      <c r="E510" s="13" t="str">
        <f>IFERROR(__xludf.DUMMYFUNCTION("""COMPUTED_VALUE"""),"Open")</f>
        <v>Open</v>
      </c>
      <c r="F510" s="13"/>
      <c r="G510" s="13" t="str">
        <f>IFERROR(__xludf.DUMMYFUNCTION("""COMPUTED_VALUE"""),"4990 NOME ST")</f>
        <v>4990 NOME ST</v>
      </c>
      <c r="H510" s="13" t="str">
        <f>IFERROR(__xludf.DUMMYFUNCTION("""COMPUTED_VALUE"""),"DENVER")</f>
        <v>DENVER</v>
      </c>
      <c r="I510" s="13" t="str">
        <f>IFERROR(__xludf.DUMMYFUNCTION("""COMPUTED_VALUE"""),"CO")</f>
        <v>CO</v>
      </c>
      <c r="J510" s="13" t="str">
        <f>IFERROR(__xludf.DUMMYFUNCTION("""COMPUTED_VALUE"""),"80239-2736")</f>
        <v>80239-2736</v>
      </c>
      <c r="K510" s="13" t="str">
        <f>IFERROR(__xludf.DUMMYFUNCTION("""COMPUTED_VALUE"""),"Denver")</f>
        <v>Denver</v>
      </c>
      <c r="L510" s="17"/>
      <c r="M510" s="17"/>
      <c r="N510" s="17" t="str">
        <f>IFERROR(__xludf.DUMMYFUNCTION("""COMPUTED_VALUE"""),"Y")</f>
        <v>Y</v>
      </c>
      <c r="O510" s="17" t="str">
        <f>IFERROR(__xludf.DUMMYFUNCTION("""COMPUTED_VALUE"""),"Y")</f>
        <v>Y</v>
      </c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>
      <c r="A511" s="13" t="str">
        <f>IFERROR(__xludf.DUMMYFUNCTION("""COMPUTED_VALUE"""),"5005")</f>
        <v>5005</v>
      </c>
      <c r="B511" s="13" t="str">
        <f>IFERROR(__xludf.DUMMYFUNCTION("""COMPUTED_VALUE"""),"Office of Children's Affairs, City and County of Denver")</f>
        <v>Office of Children's Affairs, City and County of Denver</v>
      </c>
      <c r="C511" s="13" t="str">
        <f>IFERROR(__xludf.DUMMYFUNCTION("""COMPUTED_VALUE"""),"91598")</f>
        <v>91598</v>
      </c>
      <c r="D511" s="13" t="str">
        <f>IFERROR(__xludf.DUMMYFUNCTION("""COMPUTED_VALUE"""),"Colorado Changemakers Collective - Park")</f>
        <v>Colorado Changemakers Collective - Park</v>
      </c>
      <c r="E511" s="13" t="str">
        <f>IFERROR(__xludf.DUMMYFUNCTION("""COMPUTED_VALUE"""),"Closed - Enrolled")</f>
        <v>Closed - Enrolled</v>
      </c>
      <c r="F511" s="13"/>
      <c r="G511" s="13" t="str">
        <f>IFERROR(__xludf.DUMMYFUNCTION("""COMPUTED_VALUE"""),"12075 E 45TH AVE")</f>
        <v>12075 E 45TH AVE</v>
      </c>
      <c r="H511" s="13" t="str">
        <f>IFERROR(__xludf.DUMMYFUNCTION("""COMPUTED_VALUE"""),"DENVER")</f>
        <v>DENVER</v>
      </c>
      <c r="I511" s="13" t="str">
        <f>IFERROR(__xludf.DUMMYFUNCTION("""COMPUTED_VALUE"""),"CO")</f>
        <v>CO</v>
      </c>
      <c r="J511" s="13" t="str">
        <f>IFERROR(__xludf.DUMMYFUNCTION("""COMPUTED_VALUE"""),"80239-3141")</f>
        <v>80239-3141</v>
      </c>
      <c r="K511" s="13" t="str">
        <f>IFERROR(__xludf.DUMMYFUNCTION("""COMPUTED_VALUE"""),"Denver")</f>
        <v>Denver</v>
      </c>
      <c r="L511" s="17" t="str">
        <f>IFERROR(__xludf.DUMMYFUNCTION("""COMPUTED_VALUE"""),"Y")</f>
        <v>Y</v>
      </c>
      <c r="M511" s="17"/>
      <c r="N511" s="17" t="str">
        <f>IFERROR(__xludf.DUMMYFUNCTION("""COMPUTED_VALUE"""),"Y")</f>
        <v>Y</v>
      </c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>
      <c r="A512" s="13" t="str">
        <f>IFERROR(__xludf.DUMMYFUNCTION("""COMPUTED_VALUE"""),"5005")</f>
        <v>5005</v>
      </c>
      <c r="B512" s="13" t="str">
        <f>IFERROR(__xludf.DUMMYFUNCTION("""COMPUTED_VALUE"""),"Office of Children's Affairs, City and County of Denver")</f>
        <v>Office of Children's Affairs, City and County of Denver</v>
      </c>
      <c r="C512" s="13" t="str">
        <f>IFERROR(__xludf.DUMMYFUNCTION("""COMPUTED_VALUE"""),"91600")</f>
        <v>91600</v>
      </c>
      <c r="D512" s="13" t="str">
        <f>IFERROR(__xludf.DUMMYFUNCTION("""COMPUTED_VALUE"""),"Life Line (YEC)")</f>
        <v>Life Line (YEC)</v>
      </c>
      <c r="E512" s="13" t="str">
        <f>IFERROR(__xludf.DUMMYFUNCTION("""COMPUTED_VALUE"""),"Open")</f>
        <v>Open</v>
      </c>
      <c r="F512" s="13"/>
      <c r="G512" s="13" t="str">
        <f>IFERROR(__xludf.DUMMYFUNCTION("""COMPUTED_VALUE"""),"1240 W BAYAUD AVE")</f>
        <v>1240 W BAYAUD AVE</v>
      </c>
      <c r="H512" s="13" t="str">
        <f>IFERROR(__xludf.DUMMYFUNCTION("""COMPUTED_VALUE"""),"DENVER")</f>
        <v>DENVER</v>
      </c>
      <c r="I512" s="13" t="str">
        <f>IFERROR(__xludf.DUMMYFUNCTION("""COMPUTED_VALUE"""),"CO")</f>
        <v>CO</v>
      </c>
      <c r="J512" s="13" t="str">
        <f>IFERROR(__xludf.DUMMYFUNCTION("""COMPUTED_VALUE"""),"80223-1213")</f>
        <v>80223-1213</v>
      </c>
      <c r="K512" s="13" t="str">
        <f>IFERROR(__xludf.DUMMYFUNCTION("""COMPUTED_VALUE"""),"Denver")</f>
        <v>Denver</v>
      </c>
      <c r="L512" s="17"/>
      <c r="M512" s="17"/>
      <c r="N512" s="17" t="str">
        <f>IFERROR(__xludf.DUMMYFUNCTION("""COMPUTED_VALUE"""),"Y")</f>
        <v>Y</v>
      </c>
      <c r="O512" s="17" t="str">
        <f>IFERROR(__xludf.DUMMYFUNCTION("""COMPUTED_VALUE"""),"Y")</f>
        <v>Y</v>
      </c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>
      <c r="A513" s="13" t="str">
        <f>IFERROR(__xludf.DUMMYFUNCTION("""COMPUTED_VALUE"""),"5005")</f>
        <v>5005</v>
      </c>
      <c r="B513" s="13" t="str">
        <f>IFERROR(__xludf.DUMMYFUNCTION("""COMPUTED_VALUE"""),"Office of Children's Affairs, City and County of Denver")</f>
        <v>Office of Children's Affairs, City and County of Denver</v>
      </c>
      <c r="C513" s="13" t="str">
        <f>IFERROR(__xludf.DUMMYFUNCTION("""COMPUTED_VALUE"""),"91603")</f>
        <v>91603</v>
      </c>
      <c r="D513" s="13" t="str">
        <f>IFERROR(__xludf.DUMMYFUNCTION("""COMPUTED_VALUE"""),"Vive Wellness")</f>
        <v>Vive Wellness</v>
      </c>
      <c r="E513" s="13" t="str">
        <f>IFERROR(__xludf.DUMMYFUNCTION("""COMPUTED_VALUE"""),"Closed - Enrolled")</f>
        <v>Closed - Enrolled</v>
      </c>
      <c r="F513" s="13"/>
      <c r="G513" s="13" t="str">
        <f>IFERROR(__xludf.DUMMYFUNCTION("""COMPUTED_VALUE"""),"1620 E 36TH AVE")</f>
        <v>1620 E 36TH AVE</v>
      </c>
      <c r="H513" s="13" t="str">
        <f>IFERROR(__xludf.DUMMYFUNCTION("""COMPUTED_VALUE"""),"DENVER")</f>
        <v>DENVER</v>
      </c>
      <c r="I513" s="13" t="str">
        <f>IFERROR(__xludf.DUMMYFUNCTION("""COMPUTED_VALUE"""),"CO")</f>
        <v>CO</v>
      </c>
      <c r="J513" s="13" t="str">
        <f>IFERROR(__xludf.DUMMYFUNCTION("""COMPUTED_VALUE"""),"80205-4088")</f>
        <v>80205-4088</v>
      </c>
      <c r="K513" s="13" t="str">
        <f>IFERROR(__xludf.DUMMYFUNCTION("""COMPUTED_VALUE"""),"Denver")</f>
        <v>Denver</v>
      </c>
      <c r="L513" s="17" t="str">
        <f>IFERROR(__xludf.DUMMYFUNCTION("""COMPUTED_VALUE"""),"Y")</f>
        <v>Y</v>
      </c>
      <c r="M513" s="17"/>
      <c r="N513" s="17" t="str">
        <f>IFERROR(__xludf.DUMMYFUNCTION("""COMPUTED_VALUE"""),"Y")</f>
        <v>Y</v>
      </c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>
      <c r="A514" s="13" t="str">
        <f>IFERROR(__xludf.DUMMYFUNCTION("""COMPUTED_VALUE"""),"5005")</f>
        <v>5005</v>
      </c>
      <c r="B514" s="13" t="str">
        <f>IFERROR(__xludf.DUMMYFUNCTION("""COMPUTED_VALUE"""),"Office of Children's Affairs, City and County of Denver")</f>
        <v>Office of Children's Affairs, City and County of Denver</v>
      </c>
      <c r="C514" s="13" t="str">
        <f>IFERROR(__xludf.DUMMYFUNCTION("""COMPUTED_VALUE"""),"91605")</f>
        <v>91605</v>
      </c>
      <c r="D514" s="13" t="str">
        <f>IFERROR(__xludf.DUMMYFUNCTION("""COMPUTED_VALUE"""),"Vive Wellness - Garfield Park &amp; Pool")</f>
        <v>Vive Wellness - Garfield Park &amp; Pool</v>
      </c>
      <c r="E514" s="13" t="str">
        <f>IFERROR(__xludf.DUMMYFUNCTION("""COMPUTED_VALUE"""),"Closed - Enrolled")</f>
        <v>Closed - Enrolled</v>
      </c>
      <c r="F514" s="13"/>
      <c r="G514" s="13" t="str">
        <f>IFERROR(__xludf.DUMMYFUNCTION("""COMPUTED_VALUE"""),"1295 LOWELL BLVD")</f>
        <v>1295 LOWELL BLVD</v>
      </c>
      <c r="H514" s="13" t="str">
        <f>IFERROR(__xludf.DUMMYFUNCTION("""COMPUTED_VALUE"""),"DENVER")</f>
        <v>DENVER</v>
      </c>
      <c r="I514" s="13" t="str">
        <f>IFERROR(__xludf.DUMMYFUNCTION("""COMPUTED_VALUE"""),"CO")</f>
        <v>CO</v>
      </c>
      <c r="J514" s="13" t="str">
        <f>IFERROR(__xludf.DUMMYFUNCTION("""COMPUTED_VALUE"""),"80204-1516")</f>
        <v>80204-1516</v>
      </c>
      <c r="K514" s="13" t="str">
        <f>IFERROR(__xludf.DUMMYFUNCTION("""COMPUTED_VALUE"""),"Denver")</f>
        <v>Denver</v>
      </c>
      <c r="L514" s="17" t="str">
        <f>IFERROR(__xludf.DUMMYFUNCTION("""COMPUTED_VALUE"""),"Y")</f>
        <v>Y</v>
      </c>
      <c r="M514" s="17"/>
      <c r="N514" s="17" t="str">
        <f>IFERROR(__xludf.DUMMYFUNCTION("""COMPUTED_VALUE"""),"Y")</f>
        <v>Y</v>
      </c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>
      <c r="A515" s="13" t="str">
        <f>IFERROR(__xludf.DUMMYFUNCTION("""COMPUTED_VALUE"""),"5005")</f>
        <v>5005</v>
      </c>
      <c r="B515" s="13" t="str">
        <f>IFERROR(__xludf.DUMMYFUNCTION("""COMPUTED_VALUE"""),"Office of Children's Affairs, City and County of Denver")</f>
        <v>Office of Children's Affairs, City and County of Denver</v>
      </c>
      <c r="C515" s="13" t="str">
        <f>IFERROR(__xludf.DUMMYFUNCTION("""COMPUTED_VALUE"""),"91786")</f>
        <v>91786</v>
      </c>
      <c r="D515" s="13" t="str">
        <f>IFERROR(__xludf.DUMMYFUNCTION("""COMPUTED_VALUE"""),"10Four Youth Center")</f>
        <v>10Four Youth Center</v>
      </c>
      <c r="E515" s="13" t="str">
        <f>IFERROR(__xludf.DUMMYFUNCTION("""COMPUTED_VALUE"""),"Closed - Enrolled")</f>
        <v>Closed - Enrolled</v>
      </c>
      <c r="F515" s="13"/>
      <c r="G515" s="13" t="str">
        <f>IFERROR(__xludf.DUMMYFUNCTION("""COMPUTED_VALUE"""),"2102 N MARION ST")</f>
        <v>2102 N MARION ST</v>
      </c>
      <c r="H515" s="13" t="str">
        <f>IFERROR(__xludf.DUMMYFUNCTION("""COMPUTED_VALUE"""),"DENVER")</f>
        <v>DENVER</v>
      </c>
      <c r="I515" s="13" t="str">
        <f>IFERROR(__xludf.DUMMYFUNCTION("""COMPUTED_VALUE"""),"CO")</f>
        <v>CO</v>
      </c>
      <c r="J515" s="13" t="str">
        <f>IFERROR(__xludf.DUMMYFUNCTION("""COMPUTED_VALUE"""),"80205-5245")</f>
        <v>80205-5245</v>
      </c>
      <c r="K515" s="13" t="str">
        <f>IFERROR(__xludf.DUMMYFUNCTION("""COMPUTED_VALUE"""),"Denver")</f>
        <v>Denver</v>
      </c>
      <c r="L515" s="17" t="str">
        <f>IFERROR(__xludf.DUMMYFUNCTION("""COMPUTED_VALUE"""),"Y")</f>
        <v>Y</v>
      </c>
      <c r="M515" s="17"/>
      <c r="N515" s="17" t="str">
        <f>IFERROR(__xludf.DUMMYFUNCTION("""COMPUTED_VALUE"""),"Y")</f>
        <v>Y</v>
      </c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>
      <c r="A516" s="13" t="str">
        <f>IFERROR(__xludf.DUMMYFUNCTION("""COMPUTED_VALUE"""),"5005")</f>
        <v>5005</v>
      </c>
      <c r="B516" s="13" t="str">
        <f>IFERROR(__xludf.DUMMYFUNCTION("""COMPUTED_VALUE"""),"Office of Children's Affairs, City and County of Denver")</f>
        <v>Office of Children's Affairs, City and County of Denver</v>
      </c>
      <c r="C516" s="13" t="str">
        <f>IFERROR(__xludf.DUMMYFUNCTION("""COMPUTED_VALUE"""),"91787")</f>
        <v>91787</v>
      </c>
      <c r="D516" s="13" t="str">
        <f>IFERROR(__xludf.DUMMYFUNCTION("""COMPUTED_VALUE"""),"The Crossing")</f>
        <v>The Crossing</v>
      </c>
      <c r="E516" s="13" t="str">
        <f>IFERROR(__xludf.DUMMYFUNCTION("""COMPUTED_VALUE"""),"Closed - Enrolled")</f>
        <v>Closed - Enrolled</v>
      </c>
      <c r="F516" s="13"/>
      <c r="G516" s="13" t="str">
        <f>IFERROR(__xludf.DUMMYFUNCTION("""COMPUTED_VALUE"""),"6090 SMITH RD")</f>
        <v>6090 SMITH RD</v>
      </c>
      <c r="H516" s="13" t="str">
        <f>IFERROR(__xludf.DUMMYFUNCTION("""COMPUTED_VALUE"""),"DENVER")</f>
        <v>DENVER</v>
      </c>
      <c r="I516" s="13" t="str">
        <f>IFERROR(__xludf.DUMMYFUNCTION("""COMPUTED_VALUE"""),"CO")</f>
        <v>CO</v>
      </c>
      <c r="J516" s="13" t="str">
        <f>IFERROR(__xludf.DUMMYFUNCTION("""COMPUTED_VALUE"""),"80216-4630")</f>
        <v>80216-4630</v>
      </c>
      <c r="K516" s="13" t="str">
        <f>IFERROR(__xludf.DUMMYFUNCTION("""COMPUTED_VALUE"""),"Denver")</f>
        <v>Denver</v>
      </c>
      <c r="L516" s="17"/>
      <c r="M516" s="17"/>
      <c r="N516" s="17" t="str">
        <f>IFERROR(__xludf.DUMMYFUNCTION("""COMPUTED_VALUE"""),"Y")</f>
        <v>Y</v>
      </c>
      <c r="O516" s="17" t="str">
        <f>IFERROR(__xludf.DUMMYFUNCTION("""COMPUTED_VALUE"""),"Y")</f>
        <v>Y</v>
      </c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>
      <c r="A517" s="13" t="str">
        <f>IFERROR(__xludf.DUMMYFUNCTION("""COMPUTED_VALUE"""),"5005")</f>
        <v>5005</v>
      </c>
      <c r="B517" s="13" t="str">
        <f>IFERROR(__xludf.DUMMYFUNCTION("""COMPUTED_VALUE"""),"Office of Children's Affairs, City and County of Denver")</f>
        <v>Office of Children's Affairs, City and County of Denver</v>
      </c>
      <c r="C517" s="13" t="str">
        <f>IFERROR(__xludf.DUMMYFUNCTION("""COMPUTED_VALUE"""),"91788")</f>
        <v>91788</v>
      </c>
      <c r="D517" s="13" t="str">
        <f>IFERROR(__xludf.DUMMYFUNCTION("""COMPUTED_VALUE"""),"Vive Wellness - Mullen at Little Sisters of the Poor")</f>
        <v>Vive Wellness - Mullen at Little Sisters of the Poor</v>
      </c>
      <c r="E517" s="13" t="str">
        <f>IFERROR(__xludf.DUMMYFUNCTION("""COMPUTED_VALUE"""),"Closed - Enrolled")</f>
        <v>Closed - Enrolled</v>
      </c>
      <c r="F517" s="13"/>
      <c r="G517" s="13" t="str">
        <f>IFERROR(__xludf.DUMMYFUNCTION("""COMPUTED_VALUE"""),"3629 W 29TH AVE")</f>
        <v>3629 W 29TH AVE</v>
      </c>
      <c r="H517" s="13" t="str">
        <f>IFERROR(__xludf.DUMMYFUNCTION("""COMPUTED_VALUE"""),"DENVER")</f>
        <v>DENVER</v>
      </c>
      <c r="I517" s="13" t="str">
        <f>IFERROR(__xludf.DUMMYFUNCTION("""COMPUTED_VALUE"""),"CO")</f>
        <v>CO</v>
      </c>
      <c r="J517" s="13" t="str">
        <f>IFERROR(__xludf.DUMMYFUNCTION("""COMPUTED_VALUE"""),"80211-3601")</f>
        <v>80211-3601</v>
      </c>
      <c r="K517" s="13" t="str">
        <f>IFERROR(__xludf.DUMMYFUNCTION("""COMPUTED_VALUE"""),"Denver")</f>
        <v>Denver</v>
      </c>
      <c r="L517" s="17" t="str">
        <f>IFERROR(__xludf.DUMMYFUNCTION("""COMPUTED_VALUE"""),"Y")</f>
        <v>Y</v>
      </c>
      <c r="M517" s="17"/>
      <c r="N517" s="17" t="str">
        <f>IFERROR(__xludf.DUMMYFUNCTION("""COMPUTED_VALUE"""),"Y")</f>
        <v>Y</v>
      </c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>
      <c r="A518" s="13" t="str">
        <f>IFERROR(__xludf.DUMMYFUNCTION("""COMPUTED_VALUE"""),"5005")</f>
        <v>5005</v>
      </c>
      <c r="B518" s="13" t="str">
        <f>IFERROR(__xludf.DUMMYFUNCTION("""COMPUTED_VALUE"""),"Office of Children's Affairs, City and County of Denver")</f>
        <v>Office of Children's Affairs, City and County of Denver</v>
      </c>
      <c r="C518" s="13" t="str">
        <f>IFERROR(__xludf.DUMMYFUNCTION("""COMPUTED_VALUE"""),"91811")</f>
        <v>91811</v>
      </c>
      <c r="D518" s="13" t="str">
        <f>IFERROR(__xludf.DUMMYFUNCTION("""COMPUTED_VALUE"""),"Globeville-Argo Park")</f>
        <v>Globeville-Argo Park</v>
      </c>
      <c r="E518" s="13" t="str">
        <f>IFERROR(__xludf.DUMMYFUNCTION("""COMPUTED_VALUE"""),"Open")</f>
        <v>Open</v>
      </c>
      <c r="F518" s="13"/>
      <c r="G518" s="13" t="str">
        <f>IFERROR(__xludf.DUMMYFUNCTION("""COMPUTED_VALUE"""),"4700 Logan St.")</f>
        <v>4700 Logan St.</v>
      </c>
      <c r="H518" s="13" t="str">
        <f>IFERROR(__xludf.DUMMYFUNCTION("""COMPUTED_VALUE"""),"DENVER")</f>
        <v>DENVER</v>
      </c>
      <c r="I518" s="13" t="str">
        <f>IFERROR(__xludf.DUMMYFUNCTION("""COMPUTED_VALUE"""),"CO")</f>
        <v>CO</v>
      </c>
      <c r="J518" s="13">
        <f>IFERROR(__xludf.DUMMYFUNCTION("""COMPUTED_VALUE"""),80216.0)</f>
        <v>80216</v>
      </c>
      <c r="K518" s="13" t="str">
        <f>IFERROR(__xludf.DUMMYFUNCTION("""COMPUTED_VALUE"""),"Denver")</f>
        <v>Denver</v>
      </c>
      <c r="L518" s="17"/>
      <c r="M518" s="17"/>
      <c r="N518" s="17" t="str">
        <f>IFERROR(__xludf.DUMMYFUNCTION("""COMPUTED_VALUE"""),"Y")</f>
        <v>Y</v>
      </c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>
      <c r="A519" s="13" t="str">
        <f>IFERROR(__xludf.DUMMYFUNCTION("""COMPUTED_VALUE"""),"5005")</f>
        <v>5005</v>
      </c>
      <c r="B519" s="13" t="str">
        <f>IFERROR(__xludf.DUMMYFUNCTION("""COMPUTED_VALUE"""),"Office of Children's Affairs, City and County of Denver")</f>
        <v>Office of Children's Affairs, City and County of Denver</v>
      </c>
      <c r="C519" s="13" t="str">
        <f>IFERROR(__xludf.DUMMYFUNCTION("""COMPUTED_VALUE"""),"91815")</f>
        <v>91815</v>
      </c>
      <c r="D519" s="13" t="str">
        <f>IFERROR(__xludf.DUMMYFUNCTION("""COMPUTED_VALUE"""),"Vive Wellness - Globeville-Argo Park")</f>
        <v>Vive Wellness - Globeville-Argo Park</v>
      </c>
      <c r="E519" s="13" t="str">
        <f>IFERROR(__xludf.DUMMYFUNCTION("""COMPUTED_VALUE"""),"Closed - Enrolled")</f>
        <v>Closed - Enrolled</v>
      </c>
      <c r="F519" s="13"/>
      <c r="G519" s="13" t="str">
        <f>IFERROR(__xludf.DUMMYFUNCTION("""COMPUTED_VALUE"""),"4700 Logan Street")</f>
        <v>4700 Logan Street</v>
      </c>
      <c r="H519" s="13" t="str">
        <f>IFERROR(__xludf.DUMMYFUNCTION("""COMPUTED_VALUE"""),"DENVER")</f>
        <v>DENVER</v>
      </c>
      <c r="I519" s="13" t="str">
        <f>IFERROR(__xludf.DUMMYFUNCTION("""COMPUTED_VALUE"""),"CO")</f>
        <v>CO</v>
      </c>
      <c r="J519" s="13">
        <f>IFERROR(__xludf.DUMMYFUNCTION("""COMPUTED_VALUE"""),80216.0)</f>
        <v>80216</v>
      </c>
      <c r="K519" s="13" t="str">
        <f>IFERROR(__xludf.DUMMYFUNCTION("""COMPUTED_VALUE"""),"Denver")</f>
        <v>Denver</v>
      </c>
      <c r="L519" s="17" t="str">
        <f>IFERROR(__xludf.DUMMYFUNCTION("""COMPUTED_VALUE"""),"Y")</f>
        <v>Y</v>
      </c>
      <c r="M519" s="17"/>
      <c r="N519" s="17" t="str">
        <f>IFERROR(__xludf.DUMMYFUNCTION("""COMPUTED_VALUE"""),"Y")</f>
        <v>Y</v>
      </c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>
      <c r="A520" s="13" t="str">
        <f>IFERROR(__xludf.DUMMYFUNCTION("""COMPUTED_VALUE"""),"5009")</f>
        <v>5009</v>
      </c>
      <c r="B520" s="13" t="str">
        <f>IFERROR(__xludf.DUMMYFUNCTION("""COMPUTED_VALUE"""),"Ute Mountain Ute Recreation Center")</f>
        <v>Ute Mountain Ute Recreation Center</v>
      </c>
      <c r="C520" s="13" t="str">
        <f>IFERROR(__xludf.DUMMYFUNCTION("""COMPUTED_VALUE"""),"11084")</f>
        <v>11084</v>
      </c>
      <c r="D520" s="13" t="str">
        <f>IFERROR(__xludf.DUMMYFUNCTION("""COMPUTED_VALUE"""),"Ute Mountain Ute Recreation Center")</f>
        <v>Ute Mountain Ute Recreation Center</v>
      </c>
      <c r="E520" s="13" t="str">
        <f>IFERROR(__xludf.DUMMYFUNCTION("""COMPUTED_VALUE"""),"Open")</f>
        <v>Open</v>
      </c>
      <c r="F520" s="13"/>
      <c r="G520" s="13" t="str">
        <f>IFERROR(__xludf.DUMMYFUNCTION("""COMPUTED_VALUE"""),"PO BOX 19")</f>
        <v>PO BOX 19</v>
      </c>
      <c r="H520" s="13" t="str">
        <f>IFERROR(__xludf.DUMMYFUNCTION("""COMPUTED_VALUE"""),"TOWAOC")</f>
        <v>TOWAOC</v>
      </c>
      <c r="I520" s="13" t="str">
        <f>IFERROR(__xludf.DUMMYFUNCTION("""COMPUTED_VALUE"""),"CO")</f>
        <v>CO</v>
      </c>
      <c r="J520" s="13" t="str">
        <f>IFERROR(__xludf.DUMMYFUNCTION("""COMPUTED_VALUE"""),"81334-0019")</f>
        <v>81334-0019</v>
      </c>
      <c r="K520" s="13" t="str">
        <f>IFERROR(__xludf.DUMMYFUNCTION("""COMPUTED_VALUE"""),"Montezuma")</f>
        <v>Montezuma</v>
      </c>
      <c r="L520" s="17" t="str">
        <f>IFERROR(__xludf.DUMMYFUNCTION("""COMPUTED_VALUE"""),"Y")</f>
        <v>Y</v>
      </c>
      <c r="M520" s="17"/>
      <c r="N520" s="17" t="str">
        <f>IFERROR(__xludf.DUMMYFUNCTION("""COMPUTED_VALUE"""),"Y")</f>
        <v>Y</v>
      </c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>
      <c r="A521" s="13" t="str">
        <f>IFERROR(__xludf.DUMMYFUNCTION("""COMPUTED_VALUE"""),"5019")</f>
        <v>5019</v>
      </c>
      <c r="B521" s="13" t="str">
        <f>IFERROR(__xludf.DUMMYFUNCTION("""COMPUTED_VALUE"""),"Pre-Collegiate Program University of Colorado (Colorado Springs)")</f>
        <v>Pre-Collegiate Program University of Colorado (Colorado Springs)</v>
      </c>
      <c r="C521" s="13" t="str">
        <f>IFERROR(__xludf.DUMMYFUNCTION("""COMPUTED_VALUE"""),"12482")</f>
        <v>12482</v>
      </c>
      <c r="D521" s="13" t="str">
        <f>IFERROR(__xludf.DUMMYFUNCTION("""COMPUTED_VALUE"""),"University of Colorado Colorado Springs Pre-Collegiate Program")</f>
        <v>University of Colorado Colorado Springs Pre-Collegiate Program</v>
      </c>
      <c r="E521" s="13" t="str">
        <f>IFERROR(__xludf.DUMMYFUNCTION("""COMPUTED_VALUE"""),"Closed - Enrolled")</f>
        <v>Closed - Enrolled</v>
      </c>
      <c r="F521" s="13"/>
      <c r="G521" s="13" t="str">
        <f>IFERROR(__xludf.DUMMYFUNCTION("""COMPUTED_VALUE"""),"1420 AUSTIN BLUFFS PKWY")</f>
        <v>1420 AUSTIN BLUFFS PKWY</v>
      </c>
      <c r="H521" s="13" t="str">
        <f>IFERROR(__xludf.DUMMYFUNCTION("""COMPUTED_VALUE"""),"COLORADO SPGS")</f>
        <v>COLORADO SPGS</v>
      </c>
      <c r="I521" s="13" t="str">
        <f>IFERROR(__xludf.DUMMYFUNCTION("""COMPUTED_VALUE"""),"CO")</f>
        <v>CO</v>
      </c>
      <c r="J521" s="13" t="str">
        <f>IFERROR(__xludf.DUMMYFUNCTION("""COMPUTED_VALUE"""),"80918-3733")</f>
        <v>80918-3733</v>
      </c>
      <c r="K521" s="13" t="str">
        <f>IFERROR(__xludf.DUMMYFUNCTION("""COMPUTED_VALUE"""),"El Paso")</f>
        <v>El Paso</v>
      </c>
      <c r="L521" s="17" t="str">
        <f>IFERROR(__xludf.DUMMYFUNCTION("""COMPUTED_VALUE"""),"Y")</f>
        <v>Y</v>
      </c>
      <c r="M521" s="17"/>
      <c r="N521" s="17" t="str">
        <f>IFERROR(__xludf.DUMMYFUNCTION("""COMPUTED_VALUE"""),"Y")</f>
        <v>Y</v>
      </c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>
      <c r="A522" s="13" t="str">
        <f>IFERROR(__xludf.DUMMYFUNCTION("""COMPUTED_VALUE"""),"5022")</f>
        <v>5022</v>
      </c>
      <c r="B522" s="13" t="str">
        <f>IFERROR(__xludf.DUMMYFUNCTION("""COMPUTED_VALUE"""),"Blanca / Ft. Garland Community Center")</f>
        <v>Blanca / Ft. Garland Community Center</v>
      </c>
      <c r="C522" s="13" t="str">
        <f>IFERROR(__xludf.DUMMYFUNCTION("""COMPUTED_VALUE"""),"13035")</f>
        <v>13035</v>
      </c>
      <c r="D522" s="13" t="str">
        <f>IFERROR(__xludf.DUMMYFUNCTION("""COMPUTED_VALUE"""),"Blanca/ Ft. Garland Community Center")</f>
        <v>Blanca/ Ft. Garland Community Center</v>
      </c>
      <c r="E522" s="13" t="str">
        <f>IFERROR(__xludf.DUMMYFUNCTION("""COMPUTED_VALUE"""),"Open")</f>
        <v>Open</v>
      </c>
      <c r="F522" s="13" t="str">
        <f>IFERROR(__xludf.DUMMYFUNCTION("""COMPUTED_VALUE"""),"Hybrid")</f>
        <v>Hybrid</v>
      </c>
      <c r="G522" s="13" t="str">
        <f>IFERROR(__xludf.DUMMYFUNCTION("""COMPUTED_VALUE"""),"PO BOX 310")</f>
        <v>PO BOX 310</v>
      </c>
      <c r="H522" s="13" t="str">
        <f>IFERROR(__xludf.DUMMYFUNCTION("""COMPUTED_VALUE"""),"BLANCA")</f>
        <v>BLANCA</v>
      </c>
      <c r="I522" s="13" t="str">
        <f>IFERROR(__xludf.DUMMYFUNCTION("""COMPUTED_VALUE"""),"CO")</f>
        <v>CO</v>
      </c>
      <c r="J522" s="13" t="str">
        <f>IFERROR(__xludf.DUMMYFUNCTION("""COMPUTED_VALUE"""),"81123-0310")</f>
        <v>81123-0310</v>
      </c>
      <c r="K522" s="13" t="str">
        <f>IFERROR(__xludf.DUMMYFUNCTION("""COMPUTED_VALUE"""),"Costilla")</f>
        <v>Costilla</v>
      </c>
      <c r="L522" s="17" t="str">
        <f>IFERROR(__xludf.DUMMYFUNCTION("""COMPUTED_VALUE"""),"Y")</f>
        <v>Y</v>
      </c>
      <c r="M522" s="17"/>
      <c r="N522" s="17" t="str">
        <f>IFERROR(__xludf.DUMMYFUNCTION("""COMPUTED_VALUE"""),"Y")</f>
        <v>Y</v>
      </c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>
      <c r="A523" s="13" t="str">
        <f>IFERROR(__xludf.DUMMYFUNCTION("""COMPUTED_VALUE"""),"5023")</f>
        <v>5023</v>
      </c>
      <c r="B523" s="13" t="str">
        <f>IFERROR(__xludf.DUMMYFUNCTION("""COMPUTED_VALUE"""),"The City of Monte Vista Kids Connection")</f>
        <v>The City of Monte Vista Kids Connection</v>
      </c>
      <c r="C523" s="13" t="str">
        <f>IFERROR(__xludf.DUMMYFUNCTION("""COMPUTED_VALUE"""),"91785")</f>
        <v>91785</v>
      </c>
      <c r="D523" s="13" t="str">
        <f>IFERROR(__xludf.DUMMYFUNCTION("""COMPUTED_VALUE"""),"The City of Monte Vista Kids Connection")</f>
        <v>The City of Monte Vista Kids Connection</v>
      </c>
      <c r="E523" s="13" t="str">
        <f>IFERROR(__xludf.DUMMYFUNCTION("""COMPUTED_VALUE"""),"Closed - Enrolled")</f>
        <v>Closed - Enrolled</v>
      </c>
      <c r="F523" s="13"/>
      <c r="G523" s="13" t="str">
        <f>IFERROR(__xludf.DUMMYFUNCTION("""COMPUTED_VALUE"""),"134 WASHINGTON ST")</f>
        <v>134 WASHINGTON ST</v>
      </c>
      <c r="H523" s="13" t="str">
        <f>IFERROR(__xludf.DUMMYFUNCTION("""COMPUTED_VALUE"""),"MONTE VISTA")</f>
        <v>MONTE VISTA</v>
      </c>
      <c r="I523" s="13" t="str">
        <f>IFERROR(__xludf.DUMMYFUNCTION("""COMPUTED_VALUE"""),"CO")</f>
        <v>CO</v>
      </c>
      <c r="J523" s="13" t="str">
        <f>IFERROR(__xludf.DUMMYFUNCTION("""COMPUTED_VALUE"""),"81144-1409")</f>
        <v>81144-1409</v>
      </c>
      <c r="K523" s="13" t="str">
        <f>IFERROR(__xludf.DUMMYFUNCTION("""COMPUTED_VALUE"""),"Rio Grande")</f>
        <v>Rio Grande</v>
      </c>
      <c r="L523" s="17" t="str">
        <f>IFERROR(__xludf.DUMMYFUNCTION("""COMPUTED_VALUE"""),"Y")</f>
        <v>Y</v>
      </c>
      <c r="M523" s="17"/>
      <c r="N523" s="17" t="str">
        <f>IFERROR(__xludf.DUMMYFUNCTION("""COMPUTED_VALUE"""),"Y")</f>
        <v>Y</v>
      </c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>
      <c r="A524" s="13" t="str">
        <f>IFERROR(__xludf.DUMMYFUNCTION("""COMPUTED_VALUE"""),"6002")</f>
        <v>6002</v>
      </c>
      <c r="B524" s="13" t="str">
        <f>IFERROR(__xludf.DUMMYFUNCTION("""COMPUTED_VALUE"""),"SALVATION ARMY")</f>
        <v>SALVATION ARMY</v>
      </c>
      <c r="C524" s="13" t="str">
        <f>IFERROR(__xludf.DUMMYFUNCTION("""COMPUTED_VALUE"""),"00302")</f>
        <v>00302</v>
      </c>
      <c r="D524" s="13" t="str">
        <f>IFERROR(__xludf.DUMMYFUNCTION("""COMPUTED_VALUE"""),"High Peak Camp")</f>
        <v>High Peak Camp</v>
      </c>
      <c r="E524" s="13" t="str">
        <f>IFERROR(__xludf.DUMMYFUNCTION("""COMPUTED_VALUE"""),"Camp - Residential")</f>
        <v>Camp - Residential</v>
      </c>
      <c r="F524" s="13"/>
      <c r="G524" s="13" t="str">
        <f>IFERROR(__xludf.DUMMYFUNCTION("""COMPUTED_VALUE"""),"111 SALVATION LN")</f>
        <v>111 SALVATION LN</v>
      </c>
      <c r="H524" s="13" t="str">
        <f>IFERROR(__xludf.DUMMYFUNCTION("""COMPUTED_VALUE"""),"ESTES PARK")</f>
        <v>ESTES PARK</v>
      </c>
      <c r="I524" s="13" t="str">
        <f>IFERROR(__xludf.DUMMYFUNCTION("""COMPUTED_VALUE"""),"CO")</f>
        <v>CO</v>
      </c>
      <c r="J524" s="13" t="str">
        <f>IFERROR(__xludf.DUMMYFUNCTION("""COMPUTED_VALUE"""),"80517-6454")</f>
        <v>80517-6454</v>
      </c>
      <c r="K524" s="13" t="str">
        <f>IFERROR(__xludf.DUMMYFUNCTION("""COMPUTED_VALUE"""),"Larimer")</f>
        <v>Larimer</v>
      </c>
      <c r="L524" s="17" t="str">
        <f>IFERROR(__xludf.DUMMYFUNCTION("""COMPUTED_VALUE"""),"Y")</f>
        <v>Y</v>
      </c>
      <c r="M524" s="17"/>
      <c r="N524" s="17" t="str">
        <f>IFERROR(__xludf.DUMMYFUNCTION("""COMPUTED_VALUE"""),"Y")</f>
        <v>Y</v>
      </c>
      <c r="O524" s="17"/>
      <c r="P524" s="17" t="str">
        <f>IFERROR(__xludf.DUMMYFUNCTION("""COMPUTED_VALUE"""),"Y")</f>
        <v>Y</v>
      </c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>
      <c r="A525" s="13" t="str">
        <f>IFERROR(__xludf.DUMMYFUNCTION("""COMPUTED_VALUE"""),"7009")</f>
        <v>7009</v>
      </c>
      <c r="B525" s="13" t="str">
        <f>IFERROR(__xludf.DUMMYFUNCTION("""COMPUTED_VALUE"""),"Food Bank of the Rockies Inc.")</f>
        <v>Food Bank of the Rockies Inc.</v>
      </c>
      <c r="C525" s="13" t="str">
        <f>IFERROR(__xludf.DUMMYFUNCTION("""COMPUTED_VALUE"""),"00486")</f>
        <v>00486</v>
      </c>
      <c r="D525" s="13" t="str">
        <f>IFERROR(__xludf.DUMMYFUNCTION("""COMPUTED_VALUE"""),"Boys and Girls Club - Owen")</f>
        <v>Boys and Girls Club - Owen</v>
      </c>
      <c r="E525" s="13" t="str">
        <f>IFERROR(__xludf.DUMMYFUNCTION("""COMPUTED_VALUE"""),"Open")</f>
        <v>Open</v>
      </c>
      <c r="F525" s="13"/>
      <c r="G525" s="13" t="str">
        <f>IFERROR(__xludf.DUMMYFUNCTION("""COMPUTED_VALUE"""),"3480 W KENTUCKY AVE")</f>
        <v>3480 W KENTUCKY AVE</v>
      </c>
      <c r="H525" s="13" t="str">
        <f>IFERROR(__xludf.DUMMYFUNCTION("""COMPUTED_VALUE"""),"DENVER")</f>
        <v>DENVER</v>
      </c>
      <c r="I525" s="13" t="str">
        <f>IFERROR(__xludf.DUMMYFUNCTION("""COMPUTED_VALUE"""),"CO")</f>
        <v>CO</v>
      </c>
      <c r="J525" s="13" t="str">
        <f>IFERROR(__xludf.DUMMYFUNCTION("""COMPUTED_VALUE"""),"80219-3324")</f>
        <v>80219-3324</v>
      </c>
      <c r="K525" s="13" t="str">
        <f>IFERROR(__xludf.DUMMYFUNCTION("""COMPUTED_VALUE"""),"Denver")</f>
        <v>Denver</v>
      </c>
      <c r="L525" s="17" t="str">
        <f>IFERROR(__xludf.DUMMYFUNCTION("""COMPUTED_VALUE"""),"Y")</f>
        <v>Y</v>
      </c>
      <c r="M525" s="17"/>
      <c r="N525" s="17" t="str">
        <f>IFERROR(__xludf.DUMMYFUNCTION("""COMPUTED_VALUE"""),"Y")</f>
        <v>Y</v>
      </c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>
      <c r="A526" s="13" t="str">
        <f>IFERROR(__xludf.DUMMYFUNCTION("""COMPUTED_VALUE"""),"7009")</f>
        <v>7009</v>
      </c>
      <c r="B526" s="13" t="str">
        <f>IFERROR(__xludf.DUMMYFUNCTION("""COMPUTED_VALUE"""),"Food Bank of the Rockies Inc.")</f>
        <v>Food Bank of the Rockies Inc.</v>
      </c>
      <c r="C526" s="13" t="str">
        <f>IFERROR(__xludf.DUMMYFUNCTION("""COMPUTED_VALUE"""),"00513")</f>
        <v>00513</v>
      </c>
      <c r="D526" s="13" t="str">
        <f>IFERROR(__xludf.DUMMYFUNCTION("""COMPUTED_VALUE"""),"Boys and Girls Club - Johnson")</f>
        <v>Boys and Girls Club - Johnson</v>
      </c>
      <c r="E526" s="13" t="str">
        <f>IFERROR(__xludf.DUMMYFUNCTION("""COMPUTED_VALUE"""),"Open")</f>
        <v>Open</v>
      </c>
      <c r="F526" s="13"/>
      <c r="G526" s="13" t="str">
        <f>IFERROR(__xludf.DUMMYFUNCTION("""COMPUTED_VALUE"""),"3325 W 16TH AVE")</f>
        <v>3325 W 16TH AVE</v>
      </c>
      <c r="H526" s="13" t="str">
        <f>IFERROR(__xludf.DUMMYFUNCTION("""COMPUTED_VALUE"""),"DENVER")</f>
        <v>DENVER</v>
      </c>
      <c r="I526" s="13" t="str">
        <f>IFERROR(__xludf.DUMMYFUNCTION("""COMPUTED_VALUE"""),"CO")</f>
        <v>CO</v>
      </c>
      <c r="J526" s="13" t="str">
        <f>IFERROR(__xludf.DUMMYFUNCTION("""COMPUTED_VALUE"""),"80204-1605")</f>
        <v>80204-1605</v>
      </c>
      <c r="K526" s="13" t="str">
        <f>IFERROR(__xludf.DUMMYFUNCTION("""COMPUTED_VALUE"""),"Denver")</f>
        <v>Denver</v>
      </c>
      <c r="L526" s="17" t="str">
        <f>IFERROR(__xludf.DUMMYFUNCTION("""COMPUTED_VALUE"""),"Y")</f>
        <v>Y</v>
      </c>
      <c r="M526" s="17"/>
      <c r="N526" s="17" t="str">
        <f>IFERROR(__xludf.DUMMYFUNCTION("""COMPUTED_VALUE"""),"Y")</f>
        <v>Y</v>
      </c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>
      <c r="A527" s="13" t="str">
        <f>IFERROR(__xludf.DUMMYFUNCTION("""COMPUTED_VALUE"""),"7009")</f>
        <v>7009</v>
      </c>
      <c r="B527" s="13" t="str">
        <f>IFERROR(__xludf.DUMMYFUNCTION("""COMPUTED_VALUE"""),"Food Bank of the Rockies Inc.")</f>
        <v>Food Bank of the Rockies Inc.</v>
      </c>
      <c r="C527" s="13" t="str">
        <f>IFERROR(__xludf.DUMMYFUNCTION("""COMPUTED_VALUE"""),"00521")</f>
        <v>00521</v>
      </c>
      <c r="D527" s="13" t="str">
        <f>IFERROR(__xludf.DUMMYFUNCTION("""COMPUTED_VALUE"""),"Eastridge Childcare Program")</f>
        <v>Eastridge Childcare Program</v>
      </c>
      <c r="E527" s="13" t="str">
        <f>IFERROR(__xludf.DUMMYFUNCTION("""COMPUTED_VALUE"""),"Closed - Enrolled")</f>
        <v>Closed - Enrolled</v>
      </c>
      <c r="F527" s="13"/>
      <c r="G527" s="13" t="str">
        <f>IFERROR(__xludf.DUMMYFUNCTION("""COMPUTED_VALUE"""),"11777 E WESLEY AVE")</f>
        <v>11777 E WESLEY AVE</v>
      </c>
      <c r="H527" s="13" t="str">
        <f>IFERROR(__xludf.DUMMYFUNCTION("""COMPUTED_VALUE"""),"AURORA")</f>
        <v>AURORA</v>
      </c>
      <c r="I527" s="13" t="str">
        <f>IFERROR(__xludf.DUMMYFUNCTION("""COMPUTED_VALUE"""),"CO")</f>
        <v>CO</v>
      </c>
      <c r="J527" s="13" t="str">
        <f>IFERROR(__xludf.DUMMYFUNCTION("""COMPUTED_VALUE"""),"80014-1869")</f>
        <v>80014-1869</v>
      </c>
      <c r="K527" s="13" t="str">
        <f>IFERROR(__xludf.DUMMYFUNCTION("""COMPUTED_VALUE"""),"Arapahoe")</f>
        <v>Arapahoe</v>
      </c>
      <c r="L527" s="17"/>
      <c r="M527" s="17"/>
      <c r="N527" s="17"/>
      <c r="O527" s="17"/>
      <c r="P527" s="17" t="str">
        <f>IFERROR(__xludf.DUMMYFUNCTION("""COMPUTED_VALUE"""),"Y")</f>
        <v>Y</v>
      </c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>
      <c r="A528" s="13" t="str">
        <f>IFERROR(__xludf.DUMMYFUNCTION("""COMPUTED_VALUE"""),"7009")</f>
        <v>7009</v>
      </c>
      <c r="B528" s="13" t="str">
        <f>IFERROR(__xludf.DUMMYFUNCTION("""COMPUTED_VALUE"""),"Food Bank of the Rockies Inc.")</f>
        <v>Food Bank of the Rockies Inc.</v>
      </c>
      <c r="C528" s="13" t="str">
        <f>IFERROR(__xludf.DUMMYFUNCTION("""COMPUTED_VALUE"""),"00527")</f>
        <v>00527</v>
      </c>
      <c r="D528" s="13" t="str">
        <f>IFERROR(__xludf.DUMMYFUNCTION("""COMPUTED_VALUE"""),"Anythink Library Commerce City")</f>
        <v>Anythink Library Commerce City</v>
      </c>
      <c r="E528" s="13" t="str">
        <f>IFERROR(__xludf.DUMMYFUNCTION("""COMPUTED_VALUE"""),"Open")</f>
        <v>Open</v>
      </c>
      <c r="F528" s="13"/>
      <c r="G528" s="13" t="str">
        <f>IFERROR(__xludf.DUMMYFUNCTION("""COMPUTED_VALUE"""),"7185 MONACO ST")</f>
        <v>7185 MONACO ST</v>
      </c>
      <c r="H528" s="13" t="str">
        <f>IFERROR(__xludf.DUMMYFUNCTION("""COMPUTED_VALUE"""),"COMMERCE CITY")</f>
        <v>COMMERCE CITY</v>
      </c>
      <c r="I528" s="13" t="str">
        <f>IFERROR(__xludf.DUMMYFUNCTION("""COMPUTED_VALUE"""),"CO")</f>
        <v>CO</v>
      </c>
      <c r="J528" s="13" t="str">
        <f>IFERROR(__xludf.DUMMYFUNCTION("""COMPUTED_VALUE"""),"80022-2051")</f>
        <v>80022-2051</v>
      </c>
      <c r="K528" s="13" t="str">
        <f>IFERROR(__xludf.DUMMYFUNCTION("""COMPUTED_VALUE"""),"Adams")</f>
        <v>Adams</v>
      </c>
      <c r="L528" s="17"/>
      <c r="M528" s="17"/>
      <c r="N528" s="17" t="str">
        <f>IFERROR(__xludf.DUMMYFUNCTION("""COMPUTED_VALUE"""),"Y")</f>
        <v>Y</v>
      </c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>
      <c r="A529" s="13" t="str">
        <f>IFERROR(__xludf.DUMMYFUNCTION("""COMPUTED_VALUE"""),"7009")</f>
        <v>7009</v>
      </c>
      <c r="B529" s="13" t="str">
        <f>IFERROR(__xludf.DUMMYFUNCTION("""COMPUTED_VALUE"""),"Food Bank of the Rockies Inc.")</f>
        <v>Food Bank of the Rockies Inc.</v>
      </c>
      <c r="C529" s="13" t="str">
        <f>IFERROR(__xludf.DUMMYFUNCTION("""COMPUTED_VALUE"""),"00528")</f>
        <v>00528</v>
      </c>
      <c r="D529" s="13" t="str">
        <f>IFERROR(__xludf.DUMMYFUNCTION("""COMPUTED_VALUE"""),"Anythink Library Huron Street")</f>
        <v>Anythink Library Huron Street</v>
      </c>
      <c r="E529" s="13" t="str">
        <f>IFERROR(__xludf.DUMMYFUNCTION("""COMPUTED_VALUE"""),"Open")</f>
        <v>Open</v>
      </c>
      <c r="F529" s="13"/>
      <c r="G529" s="13" t="str">
        <f>IFERROR(__xludf.DUMMYFUNCTION("""COMPUTED_VALUE"""),"9417 HURON ST")</f>
        <v>9417 HURON ST</v>
      </c>
      <c r="H529" s="13" t="str">
        <f>IFERROR(__xludf.DUMMYFUNCTION("""COMPUTED_VALUE"""),"THORNTON")</f>
        <v>THORNTON</v>
      </c>
      <c r="I529" s="13" t="str">
        <f>IFERROR(__xludf.DUMMYFUNCTION("""COMPUTED_VALUE"""),"CO")</f>
        <v>CO</v>
      </c>
      <c r="J529" s="13" t="str">
        <f>IFERROR(__xludf.DUMMYFUNCTION("""COMPUTED_VALUE"""),"80260-5426")</f>
        <v>80260-5426</v>
      </c>
      <c r="K529" s="13" t="str">
        <f>IFERROR(__xludf.DUMMYFUNCTION("""COMPUTED_VALUE"""),"Adams")</f>
        <v>Adams</v>
      </c>
      <c r="L529" s="17"/>
      <c r="M529" s="17"/>
      <c r="N529" s="17" t="str">
        <f>IFERROR(__xludf.DUMMYFUNCTION("""COMPUTED_VALUE"""),"Y")</f>
        <v>Y</v>
      </c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>
      <c r="A530" s="18" t="str">
        <f>IFERROR(__xludf.DUMMYFUNCTION("""COMPUTED_VALUE"""),"7009")</f>
        <v>7009</v>
      </c>
      <c r="B530" s="18" t="str">
        <f>IFERROR(__xludf.DUMMYFUNCTION("""COMPUTED_VALUE"""),"Food Bank of the Rockies Inc.")</f>
        <v>Food Bank of the Rockies Inc.</v>
      </c>
      <c r="C530" s="18" t="str">
        <f>IFERROR(__xludf.DUMMYFUNCTION("""COMPUTED_VALUE"""),"00568")</f>
        <v>00568</v>
      </c>
      <c r="D530" s="18" t="str">
        <f>IFERROR(__xludf.DUMMYFUNCTION("""COMPUTED_VALUE"""),"Villages at Gateway")</f>
        <v>Villages at Gateway</v>
      </c>
      <c r="E530" s="18" t="str">
        <f>IFERROR(__xludf.DUMMYFUNCTION("""COMPUTED_VALUE"""),"Open")</f>
        <v>Open</v>
      </c>
      <c r="F530" s="18" t="str">
        <f>IFERROR(__xludf.DUMMYFUNCTION("""COMPUTED_VALUE""")," ")</f>
        <v> </v>
      </c>
      <c r="G530" s="18" t="str">
        <f>IFERROR(__xludf.DUMMYFUNCTION("""COMPUTED_VALUE"""),"12175 ALBROOK DR")</f>
        <v>12175 ALBROOK DR</v>
      </c>
      <c r="H530" s="18" t="str">
        <f>IFERROR(__xludf.DUMMYFUNCTION("""COMPUTED_VALUE"""),"DENVER")</f>
        <v>DENVER</v>
      </c>
      <c r="I530" s="18" t="str">
        <f>IFERROR(__xludf.DUMMYFUNCTION("""COMPUTED_VALUE"""),"CO")</f>
        <v>CO</v>
      </c>
      <c r="J530" s="18" t="str">
        <f>IFERROR(__xludf.DUMMYFUNCTION("""COMPUTED_VALUE"""),"80239-4515")</f>
        <v>80239-4515</v>
      </c>
      <c r="K530" s="18" t="str">
        <f>IFERROR(__xludf.DUMMYFUNCTION("""COMPUTED_VALUE"""),"Denver")</f>
        <v>Denver</v>
      </c>
      <c r="L530" s="19" t="str">
        <f>IFERROR(__xludf.DUMMYFUNCTION("""COMPUTED_VALUE"""),"Y")</f>
        <v>Y</v>
      </c>
      <c r="M530" s="19"/>
      <c r="N530" s="19" t="str">
        <f>IFERROR(__xludf.DUMMYFUNCTION("""COMPUTED_VALUE"""),"Y")</f>
        <v>Y</v>
      </c>
      <c r="O530" s="19"/>
      <c r="P530" s="19"/>
      <c r="Q530" s="19" t="str">
        <f>IFERROR(__xludf.DUMMYFUNCTION("""COMPUTED_VALUE"""),"No Claims as of 11.24")</f>
        <v>No Claims as of 11.24</v>
      </c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>
      <c r="A531" s="18" t="str">
        <f>IFERROR(__xludf.DUMMYFUNCTION("""COMPUTED_VALUE"""),"7009")</f>
        <v>7009</v>
      </c>
      <c r="B531" s="18" t="str">
        <f>IFERROR(__xludf.DUMMYFUNCTION("""COMPUTED_VALUE"""),"Food Bank of the Rockies Inc.")</f>
        <v>Food Bank of the Rockies Inc.</v>
      </c>
      <c r="C531" s="18" t="str">
        <f>IFERROR(__xludf.DUMMYFUNCTION("""COMPUTED_VALUE"""),"00589")</f>
        <v>00589</v>
      </c>
      <c r="D531" s="18" t="str">
        <f>IFERROR(__xludf.DUMMYFUNCTION("""COMPUTED_VALUE"""),"Project Access @ Revive at 9 Mile")</f>
        <v>Project Access @ Revive at 9 Mile</v>
      </c>
      <c r="E531" s="18" t="str">
        <f>IFERROR(__xludf.DUMMYFUNCTION("""COMPUTED_VALUE"""),"Closed - Enrolled")</f>
        <v>Closed - Enrolled</v>
      </c>
      <c r="F531" s="18" t="str">
        <f>IFERROR(__xludf.DUMMYFUNCTION("""COMPUTED_VALUE""")," ")</f>
        <v> </v>
      </c>
      <c r="G531" s="18" t="str">
        <f>IFERROR(__xludf.DUMMYFUNCTION("""COMPUTED_VALUE"""),"10700 E DARTMOUTH AVE")</f>
        <v>10700 E DARTMOUTH AVE</v>
      </c>
      <c r="H531" s="18" t="str">
        <f>IFERROR(__xludf.DUMMYFUNCTION("""COMPUTED_VALUE"""),"DENVER")</f>
        <v>DENVER</v>
      </c>
      <c r="I531" s="18" t="str">
        <f>IFERROR(__xludf.DUMMYFUNCTION("""COMPUTED_VALUE"""),"CO")</f>
        <v>CO</v>
      </c>
      <c r="J531" s="18" t="str">
        <f>IFERROR(__xludf.DUMMYFUNCTION("""COMPUTED_VALUE"""),"80014-4801")</f>
        <v>80014-4801</v>
      </c>
      <c r="K531" s="18" t="str">
        <f>IFERROR(__xludf.DUMMYFUNCTION("""COMPUTED_VALUE"""),"Denver")</f>
        <v>Denver</v>
      </c>
      <c r="L531" s="19" t="str">
        <f>IFERROR(__xludf.DUMMYFUNCTION("""COMPUTED_VALUE"""),"Y")</f>
        <v>Y</v>
      </c>
      <c r="M531" s="19"/>
      <c r="N531" s="19" t="str">
        <f>IFERROR(__xludf.DUMMYFUNCTION("""COMPUTED_VALUE"""),"Y")</f>
        <v>Y</v>
      </c>
      <c r="O531" s="19"/>
      <c r="P531" s="19"/>
      <c r="Q531" s="19" t="str">
        <f>IFERROR(__xludf.DUMMYFUNCTION("""COMPUTED_VALUE"""),"No Claims as of 11.24")</f>
        <v>No Claims as of 11.24</v>
      </c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>
      <c r="A532" s="13" t="str">
        <f>IFERROR(__xludf.DUMMYFUNCTION("""COMPUTED_VALUE"""),"7009")</f>
        <v>7009</v>
      </c>
      <c r="B532" s="13" t="str">
        <f>IFERROR(__xludf.DUMMYFUNCTION("""COMPUTED_VALUE"""),"Food Bank of the Rockies Inc.")</f>
        <v>Food Bank of the Rockies Inc.</v>
      </c>
      <c r="C532" s="13" t="str">
        <f>IFERROR(__xludf.DUMMYFUNCTION("""COMPUTED_VALUE"""),"00590")</f>
        <v>00590</v>
      </c>
      <c r="D532" s="13" t="str">
        <f>IFERROR(__xludf.DUMMYFUNCTION("""COMPUTED_VALUE"""),"Boys and Girls Club - Vickers")</f>
        <v>Boys and Girls Club - Vickers</v>
      </c>
      <c r="E532" s="13" t="str">
        <f>IFERROR(__xludf.DUMMYFUNCTION("""COMPUTED_VALUE"""),"Closed - Enrolled")</f>
        <v>Closed - Enrolled</v>
      </c>
      <c r="F532" s="13"/>
      <c r="G532" s="13" t="str">
        <f>IFERROR(__xludf.DUMMYFUNCTION("""COMPUTED_VALUE"""),"3333 HOLLY ST")</f>
        <v>3333 HOLLY ST</v>
      </c>
      <c r="H532" s="13" t="str">
        <f>IFERROR(__xludf.DUMMYFUNCTION("""COMPUTED_VALUE"""),"DENVER")</f>
        <v>DENVER</v>
      </c>
      <c r="I532" s="13" t="str">
        <f>IFERROR(__xludf.DUMMYFUNCTION("""COMPUTED_VALUE"""),"CO")</f>
        <v>CO</v>
      </c>
      <c r="J532" s="13" t="str">
        <f>IFERROR(__xludf.DUMMYFUNCTION("""COMPUTED_VALUE"""),"80207-2035")</f>
        <v>80207-2035</v>
      </c>
      <c r="K532" s="13" t="str">
        <f>IFERROR(__xludf.DUMMYFUNCTION("""COMPUTED_VALUE"""),"Denver")</f>
        <v>Denver</v>
      </c>
      <c r="L532" s="17" t="str">
        <f>IFERROR(__xludf.DUMMYFUNCTION("""COMPUTED_VALUE"""),"Y")</f>
        <v>Y</v>
      </c>
      <c r="M532" s="17"/>
      <c r="N532" s="17" t="str">
        <f>IFERROR(__xludf.DUMMYFUNCTION("""COMPUTED_VALUE"""),"Y")</f>
        <v>Y</v>
      </c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>
      <c r="A533" s="13" t="str">
        <f>IFERROR(__xludf.DUMMYFUNCTION("""COMPUTED_VALUE"""),"7009")</f>
        <v>7009</v>
      </c>
      <c r="B533" s="13" t="str">
        <f>IFERROR(__xludf.DUMMYFUNCTION("""COMPUTED_VALUE"""),"Food Bank of the Rockies Inc.")</f>
        <v>Food Bank of the Rockies Inc.</v>
      </c>
      <c r="C533" s="13" t="str">
        <f>IFERROR(__xludf.DUMMYFUNCTION("""COMPUTED_VALUE"""),"00610")</f>
        <v>00610</v>
      </c>
      <c r="D533" s="13" t="str">
        <f>IFERROR(__xludf.DUMMYFUNCTION("""COMPUTED_VALUE"""),"Aurora Community Connection")</f>
        <v>Aurora Community Connection</v>
      </c>
      <c r="E533" s="13" t="str">
        <f>IFERROR(__xludf.DUMMYFUNCTION("""COMPUTED_VALUE"""),"Closed - Enrolled")</f>
        <v>Closed - Enrolled</v>
      </c>
      <c r="F533" s="13"/>
      <c r="G533" s="13" t="str">
        <f>IFERROR(__xludf.DUMMYFUNCTION("""COMPUTED_VALUE"""),"9801 E COLFAX AVE")</f>
        <v>9801 E COLFAX AVE</v>
      </c>
      <c r="H533" s="13" t="str">
        <f>IFERROR(__xludf.DUMMYFUNCTION("""COMPUTED_VALUE"""),"AURORA")</f>
        <v>AURORA</v>
      </c>
      <c r="I533" s="13" t="str">
        <f>IFERROR(__xludf.DUMMYFUNCTION("""COMPUTED_VALUE"""),"CO")</f>
        <v>CO</v>
      </c>
      <c r="J533" s="13" t="str">
        <f>IFERROR(__xludf.DUMMYFUNCTION("""COMPUTED_VALUE"""),"80010-2155")</f>
        <v>80010-2155</v>
      </c>
      <c r="K533" s="13" t="str">
        <f>IFERROR(__xludf.DUMMYFUNCTION("""COMPUTED_VALUE"""),"Adams")</f>
        <v>Adams</v>
      </c>
      <c r="L533" s="17" t="str">
        <f>IFERROR(__xludf.DUMMYFUNCTION("""COMPUTED_VALUE"""),"Y")</f>
        <v>Y</v>
      </c>
      <c r="M533" s="17"/>
      <c r="N533" s="17" t="str">
        <f>IFERROR(__xludf.DUMMYFUNCTION("""COMPUTED_VALUE"""),"Y")</f>
        <v>Y</v>
      </c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>
      <c r="A534" s="13" t="str">
        <f>IFERROR(__xludf.DUMMYFUNCTION("""COMPUTED_VALUE"""),"7009")</f>
        <v>7009</v>
      </c>
      <c r="B534" s="13" t="str">
        <f>IFERROR(__xludf.DUMMYFUNCTION("""COMPUTED_VALUE"""),"Food Bank of the Rockies Inc.")</f>
        <v>Food Bank of the Rockies Inc.</v>
      </c>
      <c r="C534" s="13" t="str">
        <f>IFERROR(__xludf.DUMMYFUNCTION("""COMPUTED_VALUE"""),"00627")</f>
        <v>00627</v>
      </c>
      <c r="D534" s="13" t="str">
        <f>IFERROR(__xludf.DUMMYFUNCTION("""COMPUTED_VALUE"""),"Mesa County Library")</f>
        <v>Mesa County Library</v>
      </c>
      <c r="E534" s="13" t="str">
        <f>IFERROR(__xludf.DUMMYFUNCTION("""COMPUTED_VALUE"""),"Open")</f>
        <v>Open</v>
      </c>
      <c r="F534" s="13"/>
      <c r="G534" s="13" t="str">
        <f>IFERROR(__xludf.DUMMYFUNCTION("""COMPUTED_VALUE"""),"443 N 6TH ST")</f>
        <v>443 N 6TH ST</v>
      </c>
      <c r="H534" s="13" t="str">
        <f>IFERROR(__xludf.DUMMYFUNCTION("""COMPUTED_VALUE"""),"GRAND JCT")</f>
        <v>GRAND JCT</v>
      </c>
      <c r="I534" s="13" t="str">
        <f>IFERROR(__xludf.DUMMYFUNCTION("""COMPUTED_VALUE"""),"CO")</f>
        <v>CO</v>
      </c>
      <c r="J534" s="13" t="str">
        <f>IFERROR(__xludf.DUMMYFUNCTION("""COMPUTED_VALUE"""),"81501-2731")</f>
        <v>81501-2731</v>
      </c>
      <c r="K534" s="13" t="str">
        <f>IFERROR(__xludf.DUMMYFUNCTION("""COMPUTED_VALUE"""),"Mesa")</f>
        <v>Mesa</v>
      </c>
      <c r="L534" s="17"/>
      <c r="M534" s="17"/>
      <c r="N534" s="17" t="str">
        <f>IFERROR(__xludf.DUMMYFUNCTION("""COMPUTED_VALUE"""),"Y")</f>
        <v>Y</v>
      </c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>
      <c r="A535" s="13" t="str">
        <f>IFERROR(__xludf.DUMMYFUNCTION("""COMPUTED_VALUE"""),"7009")</f>
        <v>7009</v>
      </c>
      <c r="B535" s="13" t="str">
        <f>IFERROR(__xludf.DUMMYFUNCTION("""COMPUTED_VALUE"""),"Food Bank of the Rockies Inc.")</f>
        <v>Food Bank of the Rockies Inc.</v>
      </c>
      <c r="C535" s="13" t="str">
        <f>IFERROR(__xludf.DUMMYFUNCTION("""COMPUTED_VALUE"""),"00672")</f>
        <v>00672</v>
      </c>
      <c r="D535" s="13" t="str">
        <f>IFERROR(__xludf.DUMMYFUNCTION("""COMPUTED_VALUE"""),"Decatur Place Apartments")</f>
        <v>Decatur Place Apartments</v>
      </c>
      <c r="E535" s="13" t="str">
        <f>IFERROR(__xludf.DUMMYFUNCTION("""COMPUTED_VALUE"""),"Closed - Enrolled")</f>
        <v>Closed - Enrolled</v>
      </c>
      <c r="F535" s="13"/>
      <c r="G535" s="13" t="str">
        <f>IFERROR(__xludf.DUMMYFUNCTION("""COMPUTED_VALUE"""),"1155 DECATUR ST")</f>
        <v>1155 DECATUR ST</v>
      </c>
      <c r="H535" s="13" t="str">
        <f>IFERROR(__xludf.DUMMYFUNCTION("""COMPUTED_VALUE"""),"DENVER")</f>
        <v>DENVER</v>
      </c>
      <c r="I535" s="13" t="str">
        <f>IFERROR(__xludf.DUMMYFUNCTION("""COMPUTED_VALUE"""),"CO")</f>
        <v>CO</v>
      </c>
      <c r="J535" s="13" t="str">
        <f>IFERROR(__xludf.DUMMYFUNCTION("""COMPUTED_VALUE"""),"80204-3332")</f>
        <v>80204-3332</v>
      </c>
      <c r="K535" s="13" t="str">
        <f>IFERROR(__xludf.DUMMYFUNCTION("""COMPUTED_VALUE"""),"Denver")</f>
        <v>Denver</v>
      </c>
      <c r="L535" s="17"/>
      <c r="M535" s="17"/>
      <c r="N535" s="17" t="str">
        <f>IFERROR(__xludf.DUMMYFUNCTION("""COMPUTED_VALUE"""),"Y")</f>
        <v>Y</v>
      </c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>
      <c r="A536" s="18" t="str">
        <f>IFERROR(__xludf.DUMMYFUNCTION("""COMPUTED_VALUE"""),"7009")</f>
        <v>7009</v>
      </c>
      <c r="B536" s="18" t="str">
        <f>IFERROR(__xludf.DUMMYFUNCTION("""COMPUTED_VALUE"""),"Food Bank of the Rockies Inc.")</f>
        <v>Food Bank of the Rockies Inc.</v>
      </c>
      <c r="C536" s="18" t="str">
        <f>IFERROR(__xludf.DUMMYFUNCTION("""COMPUTED_VALUE"""),"00710")</f>
        <v>00710</v>
      </c>
      <c r="D536" s="18" t="str">
        <f>IFERROR(__xludf.DUMMYFUNCTION("""COMPUTED_VALUE"""),"Salvation Army / Denver Red Shield")</f>
        <v>Salvation Army / Denver Red Shield</v>
      </c>
      <c r="E536" s="18" t="str">
        <f>IFERROR(__xludf.DUMMYFUNCTION("""COMPUTED_VALUE"""),"Closed - Enrolled")</f>
        <v>Closed - Enrolled</v>
      </c>
      <c r="F536" s="18" t="str">
        <f>IFERROR(__xludf.DUMMYFUNCTION("""COMPUTED_VALUE""")," ")</f>
        <v> </v>
      </c>
      <c r="G536" s="18" t="str">
        <f>IFERROR(__xludf.DUMMYFUNCTION("""COMPUTED_VALUE"""),"2915 N HIGH ST")</f>
        <v>2915 N HIGH ST</v>
      </c>
      <c r="H536" s="18" t="str">
        <f>IFERROR(__xludf.DUMMYFUNCTION("""COMPUTED_VALUE"""),"DENVER")</f>
        <v>DENVER</v>
      </c>
      <c r="I536" s="18" t="str">
        <f>IFERROR(__xludf.DUMMYFUNCTION("""COMPUTED_VALUE"""),"CO")</f>
        <v>CO</v>
      </c>
      <c r="J536" s="18" t="str">
        <f>IFERROR(__xludf.DUMMYFUNCTION("""COMPUTED_VALUE"""),"80205-4547")</f>
        <v>80205-4547</v>
      </c>
      <c r="K536" s="18" t="str">
        <f>IFERROR(__xludf.DUMMYFUNCTION("""COMPUTED_VALUE"""),"Denver")</f>
        <v>Denver</v>
      </c>
      <c r="L536" s="19" t="str">
        <f>IFERROR(__xludf.DUMMYFUNCTION("""COMPUTED_VALUE"""),"Y")</f>
        <v>Y</v>
      </c>
      <c r="M536" s="19"/>
      <c r="N536" s="19"/>
      <c r="O536" s="19"/>
      <c r="P536" s="19" t="str">
        <f>IFERROR(__xludf.DUMMYFUNCTION("""COMPUTED_VALUE"""),"Y")</f>
        <v>Y</v>
      </c>
      <c r="Q536" s="19" t="str">
        <f>IFERROR(__xludf.DUMMYFUNCTION("""COMPUTED_VALUE"""),"No Claims as of 11.24")</f>
        <v>No Claims as of 11.24</v>
      </c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>
      <c r="A537" s="13" t="str">
        <f>IFERROR(__xludf.DUMMYFUNCTION("""COMPUTED_VALUE"""),"7009")</f>
        <v>7009</v>
      </c>
      <c r="B537" s="13" t="str">
        <f>IFERROR(__xludf.DUMMYFUNCTION("""COMPUTED_VALUE"""),"Food Bank of the Rockies Inc.")</f>
        <v>Food Bank of the Rockies Inc.</v>
      </c>
      <c r="C537" s="13" t="str">
        <f>IFERROR(__xludf.DUMMYFUNCTION("""COMPUTED_VALUE"""),"00717")</f>
        <v>00717</v>
      </c>
      <c r="D537" s="13" t="str">
        <f>IFERROR(__xludf.DUMMYFUNCTION("""COMPUTED_VALUE"""),"Thornton Community Center (The Spot)")</f>
        <v>Thornton Community Center (The Spot)</v>
      </c>
      <c r="E537" s="13" t="str">
        <f>IFERROR(__xludf.DUMMYFUNCTION("""COMPUTED_VALUE"""),"Open")</f>
        <v>Open</v>
      </c>
      <c r="F537" s="13"/>
      <c r="G537" s="13" t="str">
        <f>IFERROR(__xludf.DUMMYFUNCTION("""COMPUTED_VALUE"""),"2211 EPPINGER BLVD")</f>
        <v>2211 EPPINGER BLVD</v>
      </c>
      <c r="H537" s="13" t="str">
        <f>IFERROR(__xludf.DUMMYFUNCTION("""COMPUTED_VALUE"""),"THORNTON")</f>
        <v>THORNTON</v>
      </c>
      <c r="I537" s="13" t="str">
        <f>IFERROR(__xludf.DUMMYFUNCTION("""COMPUTED_VALUE"""),"CO")</f>
        <v>CO</v>
      </c>
      <c r="J537" s="13" t="str">
        <f>IFERROR(__xludf.DUMMYFUNCTION("""COMPUTED_VALUE"""),"80229-7656")</f>
        <v>80229-7656</v>
      </c>
      <c r="K537" s="13" t="str">
        <f>IFERROR(__xludf.DUMMYFUNCTION("""COMPUTED_VALUE"""),"Adams")</f>
        <v>Adams</v>
      </c>
      <c r="L537" s="17"/>
      <c r="M537" s="17"/>
      <c r="N537" s="17" t="str">
        <f>IFERROR(__xludf.DUMMYFUNCTION("""COMPUTED_VALUE"""),"Y")</f>
        <v>Y</v>
      </c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>
      <c r="A538" s="13" t="str">
        <f>IFERROR(__xludf.DUMMYFUNCTION("""COMPUTED_VALUE"""),"7009")</f>
        <v>7009</v>
      </c>
      <c r="B538" s="13" t="str">
        <f>IFERROR(__xludf.DUMMYFUNCTION("""COMPUTED_VALUE"""),"Food Bank of the Rockies Inc.")</f>
        <v>Food Bank of the Rockies Inc.</v>
      </c>
      <c r="C538" s="13" t="str">
        <f>IFERROR(__xludf.DUMMYFUNCTION("""COMPUTED_VALUE"""),"00721")</f>
        <v>00721</v>
      </c>
      <c r="D538" s="13" t="str">
        <f>IFERROR(__xludf.DUMMYFUNCTION("""COMPUTED_VALUE"""),"Kids SmART @ Rose Stein Elementary")</f>
        <v>Kids SmART @ Rose Stein Elementary</v>
      </c>
      <c r="E538" s="13" t="str">
        <f>IFERROR(__xludf.DUMMYFUNCTION("""COMPUTED_VALUE"""),"Closed - Enrolled")</f>
        <v>Closed - Enrolled</v>
      </c>
      <c r="F538" s="13"/>
      <c r="G538" s="13" t="str">
        <f>IFERROR(__xludf.DUMMYFUNCTION("""COMPUTED_VALUE"""),"8605 W 23RD AVE")</f>
        <v>8605 W 23RD AVE</v>
      </c>
      <c r="H538" s="13" t="str">
        <f>IFERROR(__xludf.DUMMYFUNCTION("""COMPUTED_VALUE"""),"LAKEWOOD")</f>
        <v>LAKEWOOD</v>
      </c>
      <c r="I538" s="13" t="str">
        <f>IFERROR(__xludf.DUMMYFUNCTION("""COMPUTED_VALUE"""),"CO")</f>
        <v>CO</v>
      </c>
      <c r="J538" s="13" t="str">
        <f>IFERROR(__xludf.DUMMYFUNCTION("""COMPUTED_VALUE"""),"80215-1736")</f>
        <v>80215-1736</v>
      </c>
      <c r="K538" s="13" t="str">
        <f>IFERROR(__xludf.DUMMYFUNCTION("""COMPUTED_VALUE"""),"Jefferson")</f>
        <v>Jefferson</v>
      </c>
      <c r="L538" s="17" t="str">
        <f>IFERROR(__xludf.DUMMYFUNCTION("""COMPUTED_VALUE"""),"Y")</f>
        <v>Y</v>
      </c>
      <c r="M538" s="17"/>
      <c r="N538" s="17" t="str">
        <f>IFERROR(__xludf.DUMMYFUNCTION("""COMPUTED_VALUE"""),"Y")</f>
        <v>Y</v>
      </c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>
      <c r="A539" s="18" t="str">
        <f>IFERROR(__xludf.DUMMYFUNCTION("""COMPUTED_VALUE"""),"7009")</f>
        <v>7009</v>
      </c>
      <c r="B539" s="18" t="str">
        <f>IFERROR(__xludf.DUMMYFUNCTION("""COMPUTED_VALUE"""),"Food Bank of the Rockies Inc.")</f>
        <v>Food Bank of the Rockies Inc.</v>
      </c>
      <c r="C539" s="18" t="str">
        <f>IFERROR(__xludf.DUMMYFUNCTION("""COMPUTED_VALUE"""),"00726")</f>
        <v>00726</v>
      </c>
      <c r="D539" s="18" t="str">
        <f>IFERROR(__xludf.DUMMYFUNCTION("""COMPUTED_VALUE"""),"Lift Up @ Joyce Park")</f>
        <v>Lift Up @ Joyce Park</v>
      </c>
      <c r="E539" s="18" t="str">
        <f>IFERROR(__xludf.DUMMYFUNCTION("""COMPUTED_VALUE"""),"Open")</f>
        <v>Open</v>
      </c>
      <c r="F539" s="18" t="str">
        <f>IFERROR(__xludf.DUMMYFUNCTION("""COMPUTED_VALUE""")," ")</f>
        <v> </v>
      </c>
      <c r="G539" s="18" t="str">
        <f>IFERROR(__xludf.DUMMYFUNCTION("""COMPUTED_VALUE"""),"595 W. 24th St")</f>
        <v>595 W. 24th St</v>
      </c>
      <c r="H539" s="18" t="str">
        <f>IFERROR(__xludf.DUMMYFUNCTION("""COMPUTED_VALUE"""),"RIFLE")</f>
        <v>RIFLE</v>
      </c>
      <c r="I539" s="18" t="str">
        <f>IFERROR(__xludf.DUMMYFUNCTION("""COMPUTED_VALUE"""),"CO")</f>
        <v>CO</v>
      </c>
      <c r="J539" s="18">
        <f>IFERROR(__xludf.DUMMYFUNCTION("""COMPUTED_VALUE"""),81650.0)</f>
        <v>81650</v>
      </c>
      <c r="K539" s="18" t="str">
        <f>IFERROR(__xludf.DUMMYFUNCTION("""COMPUTED_VALUE"""),"Garfield")</f>
        <v>Garfield</v>
      </c>
      <c r="L539" s="19"/>
      <c r="M539" s="19"/>
      <c r="N539" s="19" t="str">
        <f>IFERROR(__xludf.DUMMYFUNCTION("""COMPUTED_VALUE"""),"Y")</f>
        <v>Y</v>
      </c>
      <c r="O539" s="19"/>
      <c r="P539" s="19"/>
      <c r="Q539" s="19" t="str">
        <f>IFERROR(__xludf.DUMMYFUNCTION("""COMPUTED_VALUE"""),"No Claims as of 11.24")</f>
        <v>No Claims as of 11.24</v>
      </c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>
      <c r="A540" s="18" t="str">
        <f>IFERROR(__xludf.DUMMYFUNCTION("""COMPUTED_VALUE"""),"7009")</f>
        <v>7009</v>
      </c>
      <c r="B540" s="18" t="str">
        <f>IFERROR(__xludf.DUMMYFUNCTION("""COMPUTED_VALUE"""),"Food Bank of the Rockies Inc.")</f>
        <v>Food Bank of the Rockies Inc.</v>
      </c>
      <c r="C540" s="18" t="str">
        <f>IFERROR(__xludf.DUMMYFUNCTION("""COMPUTED_VALUE"""),"00747")</f>
        <v>00747</v>
      </c>
      <c r="D540" s="18" t="str">
        <f>IFERROR(__xludf.DUMMYFUNCTION("""COMPUTED_VALUE"""),"Lift Up @ Cotton Wood Springs Trailer Park")</f>
        <v>Lift Up @ Cotton Wood Springs Trailer Park</v>
      </c>
      <c r="E540" s="18" t="str">
        <f>IFERROR(__xludf.DUMMYFUNCTION("""COMPUTED_VALUE"""),"Open")</f>
        <v>Open</v>
      </c>
      <c r="F540" s="18" t="str">
        <f>IFERROR(__xludf.DUMMYFUNCTION("""COMPUTED_VALUE""")," ")</f>
        <v> </v>
      </c>
      <c r="G540" s="18" t="str">
        <f>IFERROR(__xludf.DUMMYFUNCTION("""COMPUTED_VALUE"""),"27653 US 6 #100")</f>
        <v>27653 US 6 #100</v>
      </c>
      <c r="H540" s="18" t="str">
        <f>IFERROR(__xludf.DUMMYFUNCTION("""COMPUTED_VALUE"""),"RIFLE")</f>
        <v>RIFLE</v>
      </c>
      <c r="I540" s="18" t="str">
        <f>IFERROR(__xludf.DUMMYFUNCTION("""COMPUTED_VALUE"""),"CO")</f>
        <v>CO</v>
      </c>
      <c r="J540" s="18">
        <f>IFERROR(__xludf.DUMMYFUNCTION("""COMPUTED_VALUE"""),81650.0)</f>
        <v>81650</v>
      </c>
      <c r="K540" s="18" t="str">
        <f>IFERROR(__xludf.DUMMYFUNCTION("""COMPUTED_VALUE"""),"Garfield")</f>
        <v>Garfield</v>
      </c>
      <c r="L540" s="19"/>
      <c r="M540" s="19"/>
      <c r="N540" s="19" t="str">
        <f>IFERROR(__xludf.DUMMYFUNCTION("""COMPUTED_VALUE"""),"Y")</f>
        <v>Y</v>
      </c>
      <c r="O540" s="19"/>
      <c r="P540" s="19"/>
      <c r="Q540" s="19" t="str">
        <f>IFERROR(__xludf.DUMMYFUNCTION("""COMPUTED_VALUE"""),"No Claims as of 11.24")</f>
        <v>No Claims as of 11.24</v>
      </c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>
      <c r="A541" s="18" t="str">
        <f>IFERROR(__xludf.DUMMYFUNCTION("""COMPUTED_VALUE"""),"7009")</f>
        <v>7009</v>
      </c>
      <c r="B541" s="18" t="str">
        <f>IFERROR(__xludf.DUMMYFUNCTION("""COMPUTED_VALUE"""),"Food Bank of the Rockies Inc.")</f>
        <v>Food Bank of the Rockies Inc.</v>
      </c>
      <c r="C541" s="18" t="str">
        <f>IFERROR(__xludf.DUMMYFUNCTION("""COMPUTED_VALUE"""),"00748")</f>
        <v>00748</v>
      </c>
      <c r="D541" s="18" t="str">
        <f>IFERROR(__xludf.DUMMYFUNCTION("""COMPUTED_VALUE"""),"Lift Up @ Centennial Park")</f>
        <v>Lift Up @ Centennial Park</v>
      </c>
      <c r="E541" s="18" t="str">
        <f>IFERROR(__xludf.DUMMYFUNCTION("""COMPUTED_VALUE"""),"Open")</f>
        <v>Open</v>
      </c>
      <c r="F541" s="18" t="str">
        <f>IFERROR(__xludf.DUMMYFUNCTION("""COMPUTED_VALUE""")," ")</f>
        <v> </v>
      </c>
      <c r="G541" s="18" t="str">
        <f>IFERROR(__xludf.DUMMYFUNCTION("""COMPUTED_VALUE"""),"300 W. 5th Street")</f>
        <v>300 W. 5th Street</v>
      </c>
      <c r="H541" s="18" t="str">
        <f>IFERROR(__xludf.DUMMYFUNCTION("""COMPUTED_VALUE"""),"RIFLE")</f>
        <v>RIFLE</v>
      </c>
      <c r="I541" s="18" t="str">
        <f>IFERROR(__xludf.DUMMYFUNCTION("""COMPUTED_VALUE"""),"CO")</f>
        <v>CO</v>
      </c>
      <c r="J541" s="18">
        <f>IFERROR(__xludf.DUMMYFUNCTION("""COMPUTED_VALUE"""),81650.0)</f>
        <v>81650</v>
      </c>
      <c r="K541" s="18" t="str">
        <f>IFERROR(__xludf.DUMMYFUNCTION("""COMPUTED_VALUE"""),"Garfield")</f>
        <v>Garfield</v>
      </c>
      <c r="L541" s="19"/>
      <c r="M541" s="19"/>
      <c r="N541" s="19" t="str">
        <f>IFERROR(__xludf.DUMMYFUNCTION("""COMPUTED_VALUE"""),"Y")</f>
        <v>Y</v>
      </c>
      <c r="O541" s="19"/>
      <c r="P541" s="19"/>
      <c r="Q541" s="19" t="str">
        <f>IFERROR(__xludf.DUMMYFUNCTION("""COMPUTED_VALUE"""),"No Claims as of 11.24")</f>
        <v>No Claims as of 11.24</v>
      </c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>
      <c r="A542" s="18" t="str">
        <f>IFERROR(__xludf.DUMMYFUNCTION("""COMPUTED_VALUE"""),"7009")</f>
        <v>7009</v>
      </c>
      <c r="B542" s="18" t="str">
        <f>IFERROR(__xludf.DUMMYFUNCTION("""COMPUTED_VALUE"""),"Food Bank of the Rockies Inc.")</f>
        <v>Food Bank of the Rockies Inc.</v>
      </c>
      <c r="C542" s="18" t="str">
        <f>IFERROR(__xludf.DUMMYFUNCTION("""COMPUTED_VALUE"""),"00781")</f>
        <v>00781</v>
      </c>
      <c r="D542" s="18" t="str">
        <f>IFERROR(__xludf.DUMMYFUNCTION("""COMPUTED_VALUE"""),"MSU Denver Center for Urban Education")</f>
        <v>MSU Denver Center for Urban Education</v>
      </c>
      <c r="E542" s="18" t="str">
        <f>IFERROR(__xludf.DUMMYFUNCTION("""COMPUTED_VALUE"""),"Closed - Enrolled")</f>
        <v>Closed - Enrolled</v>
      </c>
      <c r="F542" s="18" t="str">
        <f>IFERROR(__xludf.DUMMYFUNCTION("""COMPUTED_VALUE""")," ")</f>
        <v> </v>
      </c>
      <c r="G542" s="18" t="str">
        <f>IFERROR(__xludf.DUMMYFUNCTION("""COMPUTED_VALUE"""),"900 AURARIA PKWY")</f>
        <v>900 AURARIA PKWY</v>
      </c>
      <c r="H542" s="18" t="str">
        <f>IFERROR(__xludf.DUMMYFUNCTION("""COMPUTED_VALUE"""),"DENVER")</f>
        <v>DENVER</v>
      </c>
      <c r="I542" s="18" t="str">
        <f>IFERROR(__xludf.DUMMYFUNCTION("""COMPUTED_VALUE"""),"CO")</f>
        <v>CO</v>
      </c>
      <c r="J542" s="18" t="str">
        <f>IFERROR(__xludf.DUMMYFUNCTION("""COMPUTED_VALUE"""),"80204-1894")</f>
        <v>80204-1894</v>
      </c>
      <c r="K542" s="18" t="str">
        <f>IFERROR(__xludf.DUMMYFUNCTION("""COMPUTED_VALUE"""),"Denver")</f>
        <v>Denver</v>
      </c>
      <c r="L542" s="19" t="str">
        <f>IFERROR(__xludf.DUMMYFUNCTION("""COMPUTED_VALUE"""),"Y")</f>
        <v>Y</v>
      </c>
      <c r="M542" s="19"/>
      <c r="N542" s="19" t="str">
        <f>IFERROR(__xludf.DUMMYFUNCTION("""COMPUTED_VALUE"""),"Y")</f>
        <v>Y</v>
      </c>
      <c r="O542" s="19"/>
      <c r="P542" s="19"/>
      <c r="Q542" s="19" t="str">
        <f>IFERROR(__xludf.DUMMYFUNCTION("""COMPUTED_VALUE"""),"No Claims as of 11.24")</f>
        <v>No Claims as of 11.24</v>
      </c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>
      <c r="A543" s="13" t="str">
        <f>IFERROR(__xludf.DUMMYFUNCTION("""COMPUTED_VALUE"""),"7009")</f>
        <v>7009</v>
      </c>
      <c r="B543" s="13" t="str">
        <f>IFERROR(__xludf.DUMMYFUNCTION("""COMPUTED_VALUE"""),"Food Bank of the Rockies Inc.")</f>
        <v>Food Bank of the Rockies Inc.</v>
      </c>
      <c r="C543" s="13" t="str">
        <f>IFERROR(__xludf.DUMMYFUNCTION("""COMPUTED_VALUE"""),"00786")</f>
        <v>00786</v>
      </c>
      <c r="D543" s="13" t="str">
        <f>IFERROR(__xludf.DUMMYFUNCTION("""COMPUTED_VALUE"""),"VALVERDE ELEMENTARY")</f>
        <v>VALVERDE ELEMENTARY</v>
      </c>
      <c r="E543" s="13" t="str">
        <f>IFERROR(__xludf.DUMMYFUNCTION("""COMPUTED_VALUE"""),"Closed - Enrolled")</f>
        <v>Closed - Enrolled</v>
      </c>
      <c r="F543" s="13"/>
      <c r="G543" s="13" t="str">
        <f>IFERROR(__xludf.DUMMYFUNCTION("""COMPUTED_VALUE"""),"2030 W ALAMEDA AVE")</f>
        <v>2030 W ALAMEDA AVE</v>
      </c>
      <c r="H543" s="13" t="str">
        <f>IFERROR(__xludf.DUMMYFUNCTION("""COMPUTED_VALUE"""),"DENVER")</f>
        <v>DENVER</v>
      </c>
      <c r="I543" s="13" t="str">
        <f>IFERROR(__xludf.DUMMYFUNCTION("""COMPUTED_VALUE"""),"CO")</f>
        <v>CO</v>
      </c>
      <c r="J543" s="13" t="str">
        <f>IFERROR(__xludf.DUMMYFUNCTION("""COMPUTED_VALUE"""),"80223-1923")</f>
        <v>80223-1923</v>
      </c>
      <c r="K543" s="13" t="str">
        <f>IFERROR(__xludf.DUMMYFUNCTION("""COMPUTED_VALUE"""),"Denver")</f>
        <v>Denver</v>
      </c>
      <c r="L543" s="17"/>
      <c r="M543" s="17"/>
      <c r="N543" s="17" t="str">
        <f>IFERROR(__xludf.DUMMYFUNCTION("""COMPUTED_VALUE"""),"Y")</f>
        <v>Y</v>
      </c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>
      <c r="A544" s="13" t="str">
        <f>IFERROR(__xludf.DUMMYFUNCTION("""COMPUTED_VALUE"""),"7009")</f>
        <v>7009</v>
      </c>
      <c r="B544" s="13" t="str">
        <f>IFERROR(__xludf.DUMMYFUNCTION("""COMPUTED_VALUE"""),"Food Bank of the Rockies Inc.")</f>
        <v>Food Bank of the Rockies Inc.</v>
      </c>
      <c r="C544" s="13" t="str">
        <f>IFERROR(__xludf.DUMMYFUNCTION("""COMPUTED_VALUE"""),"08229")</f>
        <v>08229</v>
      </c>
      <c r="D544" s="13" t="str">
        <f>IFERROR(__xludf.DUMMYFUNCTION("""COMPUTED_VALUE"""),"Vega Collegiate Academy")</f>
        <v>Vega Collegiate Academy</v>
      </c>
      <c r="E544" s="13" t="str">
        <f>IFERROR(__xludf.DUMMYFUNCTION("""COMPUTED_VALUE"""),"Closed - Enrolled")</f>
        <v>Closed - Enrolled</v>
      </c>
      <c r="F544" s="13"/>
      <c r="G544" s="13" t="str">
        <f>IFERROR(__xludf.DUMMYFUNCTION("""COMPUTED_VALUE"""),"1400 Yosemite St")</f>
        <v>1400 Yosemite St</v>
      </c>
      <c r="H544" s="13" t="str">
        <f>IFERROR(__xludf.DUMMYFUNCTION("""COMPUTED_VALUE"""),"AURORA")</f>
        <v>AURORA</v>
      </c>
      <c r="I544" s="13" t="str">
        <f>IFERROR(__xludf.DUMMYFUNCTION("""COMPUTED_VALUE"""),"CO")</f>
        <v>CO</v>
      </c>
      <c r="J544" s="13">
        <f>IFERROR(__xludf.DUMMYFUNCTION("""COMPUTED_VALUE"""),80010.0)</f>
        <v>80010</v>
      </c>
      <c r="K544" s="13" t="str">
        <f>IFERROR(__xludf.DUMMYFUNCTION("""COMPUTED_VALUE"""),"Arapahoe")</f>
        <v>Arapahoe</v>
      </c>
      <c r="L544" s="17" t="str">
        <f>IFERROR(__xludf.DUMMYFUNCTION("""COMPUTED_VALUE"""),"Y")</f>
        <v>Y</v>
      </c>
      <c r="M544" s="17"/>
      <c r="N544" s="17" t="str">
        <f>IFERROR(__xludf.DUMMYFUNCTION("""COMPUTED_VALUE"""),"Y")</f>
        <v>Y</v>
      </c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>
      <c r="A545" s="18" t="str">
        <f>IFERROR(__xludf.DUMMYFUNCTION("""COMPUTED_VALUE"""),"7009")</f>
        <v>7009</v>
      </c>
      <c r="B545" s="18" t="str">
        <f>IFERROR(__xludf.DUMMYFUNCTION("""COMPUTED_VALUE"""),"Food Bank of the Rockies Inc.")</f>
        <v>Food Bank of the Rockies Inc.</v>
      </c>
      <c r="C545" s="18" t="str">
        <f>IFERROR(__xludf.DUMMYFUNCTION("""COMPUTED_VALUE"""),"08244")</f>
        <v>08244</v>
      </c>
      <c r="D545" s="18" t="str">
        <f>IFERROR(__xludf.DUMMYFUNCTION("""COMPUTED_VALUE"""),"Boys and Girls Club - Laredo Elementary")</f>
        <v>Boys and Girls Club - Laredo Elementary</v>
      </c>
      <c r="E545" s="18" t="str">
        <f>IFERROR(__xludf.DUMMYFUNCTION("""COMPUTED_VALUE"""),"Closed - Enrolled")</f>
        <v>Closed - Enrolled</v>
      </c>
      <c r="F545" s="18" t="str">
        <f>IFERROR(__xludf.DUMMYFUNCTION("""COMPUTED_VALUE""")," ")</f>
        <v> </v>
      </c>
      <c r="G545" s="18" t="str">
        <f>IFERROR(__xludf.DUMMYFUNCTION("""COMPUTED_VALUE"""),"1350 LAREDO ST")</f>
        <v>1350 LAREDO ST</v>
      </c>
      <c r="H545" s="18" t="str">
        <f>IFERROR(__xludf.DUMMYFUNCTION("""COMPUTED_VALUE"""),"AURORA")</f>
        <v>AURORA</v>
      </c>
      <c r="I545" s="18" t="str">
        <f>IFERROR(__xludf.DUMMYFUNCTION("""COMPUTED_VALUE"""),"CO")</f>
        <v>CO</v>
      </c>
      <c r="J545" s="18" t="str">
        <f>IFERROR(__xludf.DUMMYFUNCTION("""COMPUTED_VALUE"""),"80011-7455")</f>
        <v>80011-7455</v>
      </c>
      <c r="K545" s="18" t="str">
        <f>IFERROR(__xludf.DUMMYFUNCTION("""COMPUTED_VALUE"""),"Adams")</f>
        <v>Adams</v>
      </c>
      <c r="L545" s="19" t="str">
        <f>IFERROR(__xludf.DUMMYFUNCTION("""COMPUTED_VALUE"""),"Y")</f>
        <v>Y</v>
      </c>
      <c r="M545" s="19"/>
      <c r="N545" s="19" t="str">
        <f>IFERROR(__xludf.DUMMYFUNCTION("""COMPUTED_VALUE"""),"Y")</f>
        <v>Y</v>
      </c>
      <c r="O545" s="19"/>
      <c r="P545" s="19"/>
      <c r="Q545" s="19" t="str">
        <f>IFERROR(__xludf.DUMMYFUNCTION("""COMPUTED_VALUE"""),"No Claims as of 11.24")</f>
        <v>No Claims as of 11.24</v>
      </c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>
      <c r="A546" s="18" t="str">
        <f>IFERROR(__xludf.DUMMYFUNCTION("""COMPUTED_VALUE"""),"7009")</f>
        <v>7009</v>
      </c>
      <c r="B546" s="18" t="str">
        <f>IFERROR(__xludf.DUMMYFUNCTION("""COMPUTED_VALUE"""),"Food Bank of the Rockies Inc.")</f>
        <v>Food Bank of the Rockies Inc.</v>
      </c>
      <c r="C546" s="18" t="str">
        <f>IFERROR(__xludf.DUMMYFUNCTION("""COMPUTED_VALUE"""),"08245")</f>
        <v>08245</v>
      </c>
      <c r="D546" s="18" t="str">
        <f>IFERROR(__xludf.DUMMYFUNCTION("""COMPUTED_VALUE"""),"Boys and Girls Club - Montview Elementary")</f>
        <v>Boys and Girls Club - Montview Elementary</v>
      </c>
      <c r="E546" s="18" t="str">
        <f>IFERROR(__xludf.DUMMYFUNCTION("""COMPUTED_VALUE"""),"Closed - Enrolled")</f>
        <v>Closed - Enrolled</v>
      </c>
      <c r="F546" s="18" t="str">
        <f>IFERROR(__xludf.DUMMYFUNCTION("""COMPUTED_VALUE""")," ")</f>
        <v> </v>
      </c>
      <c r="G546" s="18" t="str">
        <f>IFERROR(__xludf.DUMMYFUNCTION("""COMPUTED_VALUE"""),"2055 MOLINE ST")</f>
        <v>2055 MOLINE ST</v>
      </c>
      <c r="H546" s="18" t="str">
        <f>IFERROR(__xludf.DUMMYFUNCTION("""COMPUTED_VALUE"""),"AURORA")</f>
        <v>AURORA</v>
      </c>
      <c r="I546" s="18" t="str">
        <f>IFERROR(__xludf.DUMMYFUNCTION("""COMPUTED_VALUE"""),"CO")</f>
        <v>CO</v>
      </c>
      <c r="J546" s="18" t="str">
        <f>IFERROR(__xludf.DUMMYFUNCTION("""COMPUTED_VALUE"""),"80010-1345")</f>
        <v>80010-1345</v>
      </c>
      <c r="K546" s="18" t="str">
        <f>IFERROR(__xludf.DUMMYFUNCTION("""COMPUTED_VALUE"""),"Adams")</f>
        <v>Adams</v>
      </c>
      <c r="L546" s="19" t="str">
        <f>IFERROR(__xludf.DUMMYFUNCTION("""COMPUTED_VALUE"""),"Y")</f>
        <v>Y</v>
      </c>
      <c r="M546" s="19"/>
      <c r="N546" s="19" t="str">
        <f>IFERROR(__xludf.DUMMYFUNCTION("""COMPUTED_VALUE"""),"Y")</f>
        <v>Y</v>
      </c>
      <c r="O546" s="19"/>
      <c r="P546" s="19"/>
      <c r="Q546" s="19" t="str">
        <f>IFERROR(__xludf.DUMMYFUNCTION("""COMPUTED_VALUE"""),"No Claims as of 11.24")</f>
        <v>No Claims as of 11.24</v>
      </c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>
      <c r="A547" s="13" t="str">
        <f>IFERROR(__xludf.DUMMYFUNCTION("""COMPUTED_VALUE"""),"7009")</f>
        <v>7009</v>
      </c>
      <c r="B547" s="13" t="str">
        <f>IFERROR(__xludf.DUMMYFUNCTION("""COMPUTED_VALUE"""),"Food Bank of the Rockies Inc.")</f>
        <v>Food Bank of the Rockies Inc.</v>
      </c>
      <c r="C547" s="13" t="str">
        <f>IFERROR(__xludf.DUMMYFUNCTION("""COMPUTED_VALUE"""),"11131")</f>
        <v>11131</v>
      </c>
      <c r="D547" s="13" t="str">
        <f>IFERROR(__xludf.DUMMYFUNCTION("""COMPUTED_VALUE"""),"Anythink Library Brighton")</f>
        <v>Anythink Library Brighton</v>
      </c>
      <c r="E547" s="13" t="str">
        <f>IFERROR(__xludf.DUMMYFUNCTION("""COMPUTED_VALUE"""),"Open")</f>
        <v>Open</v>
      </c>
      <c r="F547" s="13"/>
      <c r="G547" s="13" t="str">
        <f>IFERROR(__xludf.DUMMYFUNCTION("""COMPUTED_VALUE"""),"327 E BRIDGE ST")</f>
        <v>327 E BRIDGE ST</v>
      </c>
      <c r="H547" s="13" t="str">
        <f>IFERROR(__xludf.DUMMYFUNCTION("""COMPUTED_VALUE"""),"BRIGHTON")</f>
        <v>BRIGHTON</v>
      </c>
      <c r="I547" s="13" t="str">
        <f>IFERROR(__xludf.DUMMYFUNCTION("""COMPUTED_VALUE"""),"CO")</f>
        <v>CO</v>
      </c>
      <c r="J547" s="13" t="str">
        <f>IFERROR(__xludf.DUMMYFUNCTION("""COMPUTED_VALUE"""),"80601-2018")</f>
        <v>80601-2018</v>
      </c>
      <c r="K547" s="13" t="str">
        <f>IFERROR(__xludf.DUMMYFUNCTION("""COMPUTED_VALUE"""),"Adams")</f>
        <v>Adams</v>
      </c>
      <c r="L547" s="17"/>
      <c r="M547" s="17"/>
      <c r="N547" s="17"/>
      <c r="O547" s="17"/>
      <c r="P547" s="17" t="str">
        <f>IFERROR(__xludf.DUMMYFUNCTION("""COMPUTED_VALUE"""),"Y")</f>
        <v>Y</v>
      </c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>
      <c r="A548" s="13" t="str">
        <f>IFERROR(__xludf.DUMMYFUNCTION("""COMPUTED_VALUE"""),"7009")</f>
        <v>7009</v>
      </c>
      <c r="B548" s="13" t="str">
        <f>IFERROR(__xludf.DUMMYFUNCTION("""COMPUTED_VALUE"""),"Food Bank of the Rockies Inc.")</f>
        <v>Food Bank of the Rockies Inc.</v>
      </c>
      <c r="C548" s="13" t="str">
        <f>IFERROR(__xludf.DUMMYFUNCTION("""COMPUTED_VALUE"""),"11330")</f>
        <v>11330</v>
      </c>
      <c r="D548" s="13" t="str">
        <f>IFERROR(__xludf.DUMMYFUNCTION("""COMPUTED_VALUE"""),"Boys and Girls Club - Broncos")</f>
        <v>Boys and Girls Club - Broncos</v>
      </c>
      <c r="E548" s="13" t="str">
        <f>IFERROR(__xludf.DUMMYFUNCTION("""COMPUTED_VALUE"""),"Closed - Enrolled")</f>
        <v>Closed - Enrolled</v>
      </c>
      <c r="F548" s="13"/>
      <c r="G548" s="13" t="str">
        <f>IFERROR(__xludf.DUMMYFUNCTION("""COMPUTED_VALUE"""),"4397 CROWN BLVD")</f>
        <v>4397 CROWN BLVD</v>
      </c>
      <c r="H548" s="13" t="str">
        <f>IFERROR(__xludf.DUMMYFUNCTION("""COMPUTED_VALUE"""),"DENVER")</f>
        <v>DENVER</v>
      </c>
      <c r="I548" s="13" t="str">
        <f>IFERROR(__xludf.DUMMYFUNCTION("""COMPUTED_VALUE"""),"CO")</f>
        <v>CO</v>
      </c>
      <c r="J548" s="13" t="str">
        <f>IFERROR(__xludf.DUMMYFUNCTION("""COMPUTED_VALUE"""),"80239-4821")</f>
        <v>80239-4821</v>
      </c>
      <c r="K548" s="13" t="str">
        <f>IFERROR(__xludf.DUMMYFUNCTION("""COMPUTED_VALUE"""),"Denver")</f>
        <v>Denver</v>
      </c>
      <c r="L548" s="17" t="str">
        <f>IFERROR(__xludf.DUMMYFUNCTION("""COMPUTED_VALUE"""),"Y")</f>
        <v>Y</v>
      </c>
      <c r="M548" s="17"/>
      <c r="N548" s="17" t="str">
        <f>IFERROR(__xludf.DUMMYFUNCTION("""COMPUTED_VALUE"""),"Y")</f>
        <v>Y</v>
      </c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>
      <c r="A549" s="13" t="str">
        <f>IFERROR(__xludf.DUMMYFUNCTION("""COMPUTED_VALUE"""),"7009")</f>
        <v>7009</v>
      </c>
      <c r="B549" s="13" t="str">
        <f>IFERROR(__xludf.DUMMYFUNCTION("""COMPUTED_VALUE"""),"Food Bank of the Rockies Inc.")</f>
        <v>Food Bank of the Rockies Inc.</v>
      </c>
      <c r="C549" s="13" t="str">
        <f>IFERROR(__xludf.DUMMYFUNCTION("""COMPUTED_VALUE"""),"11336")</f>
        <v>11336</v>
      </c>
      <c r="D549" s="13" t="str">
        <f>IFERROR(__xludf.DUMMYFUNCTION("""COMPUTED_VALUE"""),"Boys and Girls Club - Cope")</f>
        <v>Boys and Girls Club - Cope</v>
      </c>
      <c r="E549" s="13" t="str">
        <f>IFERROR(__xludf.DUMMYFUNCTION("""COMPUTED_VALUE"""),"Open")</f>
        <v>Open</v>
      </c>
      <c r="F549" s="13"/>
      <c r="G549" s="13" t="str">
        <f>IFERROR(__xludf.DUMMYFUNCTION("""COMPUTED_VALUE"""),"808 INCA ST")</f>
        <v>808 INCA ST</v>
      </c>
      <c r="H549" s="13" t="str">
        <f>IFERROR(__xludf.DUMMYFUNCTION("""COMPUTED_VALUE"""),"DENVER")</f>
        <v>DENVER</v>
      </c>
      <c r="I549" s="13" t="str">
        <f>IFERROR(__xludf.DUMMYFUNCTION("""COMPUTED_VALUE"""),"CO")</f>
        <v>CO</v>
      </c>
      <c r="J549" s="13" t="str">
        <f>IFERROR(__xludf.DUMMYFUNCTION("""COMPUTED_VALUE"""),"80204-4343")</f>
        <v>80204-4343</v>
      </c>
      <c r="K549" s="13" t="str">
        <f>IFERROR(__xludf.DUMMYFUNCTION("""COMPUTED_VALUE"""),"Denver")</f>
        <v>Denver</v>
      </c>
      <c r="L549" s="17"/>
      <c r="M549" s="17"/>
      <c r="N549" s="17" t="str">
        <f>IFERROR(__xludf.DUMMYFUNCTION("""COMPUTED_VALUE"""),"Y")</f>
        <v>Y</v>
      </c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>
      <c r="A550" s="13" t="str">
        <f>IFERROR(__xludf.DUMMYFUNCTION("""COMPUTED_VALUE"""),"7009")</f>
        <v>7009</v>
      </c>
      <c r="B550" s="13" t="str">
        <f>IFERROR(__xludf.DUMMYFUNCTION("""COMPUTED_VALUE"""),"Food Bank of the Rockies Inc.")</f>
        <v>Food Bank of the Rockies Inc.</v>
      </c>
      <c r="C550" s="13" t="str">
        <f>IFERROR(__xludf.DUMMYFUNCTION("""COMPUTED_VALUE"""),"11356")</f>
        <v>11356</v>
      </c>
      <c r="D550" s="13" t="str">
        <f>IFERROR(__xludf.DUMMYFUNCTION("""COMPUTED_VALUE"""),"Boys and Girls Club - Shopneck")</f>
        <v>Boys and Girls Club - Shopneck</v>
      </c>
      <c r="E550" s="13" t="str">
        <f>IFERROR(__xludf.DUMMYFUNCTION("""COMPUTED_VALUE"""),"Closed - Enrolled")</f>
        <v>Closed - Enrolled</v>
      </c>
      <c r="F550" s="13"/>
      <c r="G550" s="13" t="str">
        <f>IFERROR(__xludf.DUMMYFUNCTION("""COMPUTED_VALUE"""),"1800 LONGS PEAK ST")</f>
        <v>1800 LONGS PEAK ST</v>
      </c>
      <c r="H550" s="13" t="str">
        <f>IFERROR(__xludf.DUMMYFUNCTION("""COMPUTED_VALUE"""),"BRIGHTON")</f>
        <v>BRIGHTON</v>
      </c>
      <c r="I550" s="13" t="str">
        <f>IFERROR(__xludf.DUMMYFUNCTION("""COMPUTED_VALUE"""),"CO")</f>
        <v>CO</v>
      </c>
      <c r="J550" s="13" t="str">
        <f>IFERROR(__xludf.DUMMYFUNCTION("""COMPUTED_VALUE"""),"80601-1955")</f>
        <v>80601-1955</v>
      </c>
      <c r="K550" s="13" t="str">
        <f>IFERROR(__xludf.DUMMYFUNCTION("""COMPUTED_VALUE"""),"Adams")</f>
        <v>Adams</v>
      </c>
      <c r="L550" s="17"/>
      <c r="M550" s="17"/>
      <c r="N550" s="17"/>
      <c r="O550" s="17"/>
      <c r="P550" s="17" t="str">
        <f>IFERROR(__xludf.DUMMYFUNCTION("""COMPUTED_VALUE"""),"Y")</f>
        <v>Y</v>
      </c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>
      <c r="A551" s="13" t="str">
        <f>IFERROR(__xludf.DUMMYFUNCTION("""COMPUTED_VALUE"""),"7009")</f>
        <v>7009</v>
      </c>
      <c r="B551" s="13" t="str">
        <f>IFERROR(__xludf.DUMMYFUNCTION("""COMPUTED_VALUE"""),"Food Bank of the Rockies Inc.")</f>
        <v>Food Bank of the Rockies Inc.</v>
      </c>
      <c r="C551" s="13" t="str">
        <f>IFERROR(__xludf.DUMMYFUNCTION("""COMPUTED_VALUE"""),"11607")</f>
        <v>11607</v>
      </c>
      <c r="D551" s="13" t="str">
        <f>IFERROR(__xludf.DUMMYFUNCTION("""COMPUTED_VALUE"""),"Kids SmART @ Eiber")</f>
        <v>Kids SmART @ Eiber</v>
      </c>
      <c r="E551" s="13" t="str">
        <f>IFERROR(__xludf.DUMMYFUNCTION("""COMPUTED_VALUE"""),"Closed - Enrolled")</f>
        <v>Closed - Enrolled</v>
      </c>
      <c r="F551" s="13"/>
      <c r="G551" s="13" t="str">
        <f>IFERROR(__xludf.DUMMYFUNCTION("""COMPUTED_VALUE"""),"1385 INDEPENDENCE ST")</f>
        <v>1385 INDEPENDENCE ST</v>
      </c>
      <c r="H551" s="13" t="str">
        <f>IFERROR(__xludf.DUMMYFUNCTION("""COMPUTED_VALUE"""),"LAKEWOOD")</f>
        <v>LAKEWOOD</v>
      </c>
      <c r="I551" s="13" t="str">
        <f>IFERROR(__xludf.DUMMYFUNCTION("""COMPUTED_VALUE"""),"CO")</f>
        <v>CO</v>
      </c>
      <c r="J551" s="13" t="str">
        <f>IFERROR(__xludf.DUMMYFUNCTION("""COMPUTED_VALUE"""),"80215-4612")</f>
        <v>80215-4612</v>
      </c>
      <c r="K551" s="13" t="str">
        <f>IFERROR(__xludf.DUMMYFUNCTION("""COMPUTED_VALUE"""),"Jefferson")</f>
        <v>Jefferson</v>
      </c>
      <c r="L551" s="17" t="str">
        <f>IFERROR(__xludf.DUMMYFUNCTION("""COMPUTED_VALUE"""),"Y")</f>
        <v>Y</v>
      </c>
      <c r="M551" s="17"/>
      <c r="N551" s="17" t="str">
        <f>IFERROR(__xludf.DUMMYFUNCTION("""COMPUTED_VALUE"""),"Y")</f>
        <v>Y</v>
      </c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>
      <c r="A552" s="13" t="str">
        <f>IFERROR(__xludf.DUMMYFUNCTION("""COMPUTED_VALUE"""),"7009")</f>
        <v>7009</v>
      </c>
      <c r="B552" s="13" t="str">
        <f>IFERROR(__xludf.DUMMYFUNCTION("""COMPUTED_VALUE"""),"Food Bank of the Rockies Inc.")</f>
        <v>Food Bank of the Rockies Inc.</v>
      </c>
      <c r="C552" s="13" t="str">
        <f>IFERROR(__xludf.DUMMYFUNCTION("""COMPUTED_VALUE"""),"12317")</f>
        <v>12317</v>
      </c>
      <c r="D552" s="13" t="str">
        <f>IFERROR(__xludf.DUMMYFUNCTION("""COMPUTED_VALUE"""),"Museo de las Americas")</f>
        <v>Museo de las Americas</v>
      </c>
      <c r="E552" s="13" t="str">
        <f>IFERROR(__xludf.DUMMYFUNCTION("""COMPUTED_VALUE"""),"Closed - Enrolled")</f>
        <v>Closed - Enrolled</v>
      </c>
      <c r="F552" s="13"/>
      <c r="G552" s="13" t="str">
        <f>IFERROR(__xludf.DUMMYFUNCTION("""COMPUTED_VALUE"""),"861 SANTA FE DR")</f>
        <v>861 SANTA FE DR</v>
      </c>
      <c r="H552" s="13" t="str">
        <f>IFERROR(__xludf.DUMMYFUNCTION("""COMPUTED_VALUE"""),"DENVER")</f>
        <v>DENVER</v>
      </c>
      <c r="I552" s="13" t="str">
        <f>IFERROR(__xludf.DUMMYFUNCTION("""COMPUTED_VALUE"""),"CO")</f>
        <v>CO</v>
      </c>
      <c r="J552" s="13" t="str">
        <f>IFERROR(__xludf.DUMMYFUNCTION("""COMPUTED_VALUE"""),"80204-4344")</f>
        <v>80204-4344</v>
      </c>
      <c r="K552" s="13" t="str">
        <f>IFERROR(__xludf.DUMMYFUNCTION("""COMPUTED_VALUE"""),"Denver")</f>
        <v>Denver</v>
      </c>
      <c r="L552" s="17"/>
      <c r="M552" s="17"/>
      <c r="N552" s="17" t="str">
        <f>IFERROR(__xludf.DUMMYFUNCTION("""COMPUTED_VALUE"""),"Y")</f>
        <v>Y</v>
      </c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>
      <c r="A553" s="18" t="str">
        <f>IFERROR(__xludf.DUMMYFUNCTION("""COMPUTED_VALUE"""),"7009")</f>
        <v>7009</v>
      </c>
      <c r="B553" s="18" t="str">
        <f>IFERROR(__xludf.DUMMYFUNCTION("""COMPUTED_VALUE"""),"Food Bank of the Rockies Inc.")</f>
        <v>Food Bank of the Rockies Inc.</v>
      </c>
      <c r="C553" s="18" t="str">
        <f>IFERROR(__xludf.DUMMYFUNCTION("""COMPUTED_VALUE"""),"12860")</f>
        <v>12860</v>
      </c>
      <c r="D553" s="18" t="str">
        <f>IFERROR(__xludf.DUMMYFUNCTION("""COMPUTED_VALUE"""),"Boys and Girls Club - Boston ES")</f>
        <v>Boys and Girls Club - Boston ES</v>
      </c>
      <c r="E553" s="18" t="str">
        <f>IFERROR(__xludf.DUMMYFUNCTION("""COMPUTED_VALUE"""),"Closed - Enrolled")</f>
        <v>Closed - Enrolled</v>
      </c>
      <c r="F553" s="18" t="str">
        <f>IFERROR(__xludf.DUMMYFUNCTION("""COMPUTED_VALUE""")," ")</f>
        <v> </v>
      </c>
      <c r="G553" s="18" t="str">
        <f>IFERROR(__xludf.DUMMYFUNCTION("""COMPUTED_VALUE"""),"1365 BOSTON ST")</f>
        <v>1365 BOSTON ST</v>
      </c>
      <c r="H553" s="18" t="str">
        <f>IFERROR(__xludf.DUMMYFUNCTION("""COMPUTED_VALUE"""),"AURORA")</f>
        <v>AURORA</v>
      </c>
      <c r="I553" s="18" t="str">
        <f>IFERROR(__xludf.DUMMYFUNCTION("""COMPUTED_VALUE"""),"CO")</f>
        <v>CO</v>
      </c>
      <c r="J553" s="18" t="str">
        <f>IFERROR(__xludf.DUMMYFUNCTION("""COMPUTED_VALUE"""),"80010-3033")</f>
        <v>80010-3033</v>
      </c>
      <c r="K553" s="18" t="str">
        <f>IFERROR(__xludf.DUMMYFUNCTION("""COMPUTED_VALUE"""),"Arapahoe")</f>
        <v>Arapahoe</v>
      </c>
      <c r="L553" s="19"/>
      <c r="M553" s="19"/>
      <c r="N553" s="19"/>
      <c r="O553" s="19"/>
      <c r="P553" s="19" t="str">
        <f>IFERROR(__xludf.DUMMYFUNCTION("""COMPUTED_VALUE"""),"Y")</f>
        <v>Y</v>
      </c>
      <c r="Q553" s="19" t="str">
        <f>IFERROR(__xludf.DUMMYFUNCTION("""COMPUTED_VALUE"""),"No Claims as of 11.24")</f>
        <v>No Claims as of 11.24</v>
      </c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>
      <c r="A554" s="13" t="str">
        <f>IFERROR(__xludf.DUMMYFUNCTION("""COMPUTED_VALUE"""),"7009")</f>
        <v>7009</v>
      </c>
      <c r="B554" s="13" t="str">
        <f>IFERROR(__xludf.DUMMYFUNCTION("""COMPUTED_VALUE"""),"Food Bank of the Rockies Inc.")</f>
        <v>Food Bank of the Rockies Inc.</v>
      </c>
      <c r="C554" s="13" t="str">
        <f>IFERROR(__xludf.DUMMYFUNCTION("""COMPUTED_VALUE"""),"12971")</f>
        <v>12971</v>
      </c>
      <c r="D554" s="13" t="str">
        <f>IFERROR(__xludf.DUMMYFUNCTION("""COMPUTED_VALUE"""),"Bluff Lake Apartments")</f>
        <v>Bluff Lake Apartments</v>
      </c>
      <c r="E554" s="13" t="str">
        <f>IFERROR(__xludf.DUMMYFUNCTION("""COMPUTED_VALUE"""),"Closed - Enrolled")</f>
        <v>Closed - Enrolled</v>
      </c>
      <c r="F554" s="13"/>
      <c r="G554" s="13" t="str">
        <f>IFERROR(__xludf.DUMMYFUNCTION("""COMPUTED_VALUE"""),"10425 E 31ST AVE")</f>
        <v>10425 E 31ST AVE</v>
      </c>
      <c r="H554" s="13" t="str">
        <f>IFERROR(__xludf.DUMMYFUNCTION("""COMPUTED_VALUE"""),"DENVER")</f>
        <v>DENVER</v>
      </c>
      <c r="I554" s="13" t="str">
        <f>IFERROR(__xludf.DUMMYFUNCTION("""COMPUTED_VALUE"""),"CO")</f>
        <v>CO</v>
      </c>
      <c r="J554" s="13" t="str">
        <f>IFERROR(__xludf.DUMMYFUNCTION("""COMPUTED_VALUE"""),"80238-3308")</f>
        <v>80238-3308</v>
      </c>
      <c r="K554" s="13" t="str">
        <f>IFERROR(__xludf.DUMMYFUNCTION("""COMPUTED_VALUE"""),"Denver")</f>
        <v>Denver</v>
      </c>
      <c r="L554" s="17" t="str">
        <f>IFERROR(__xludf.DUMMYFUNCTION("""COMPUTED_VALUE"""),"Y")</f>
        <v>Y</v>
      </c>
      <c r="M554" s="17"/>
      <c r="N554" s="17" t="str">
        <f>IFERROR(__xludf.DUMMYFUNCTION("""COMPUTED_VALUE"""),"Y")</f>
        <v>Y</v>
      </c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>
      <c r="A555" s="13" t="str">
        <f>IFERROR(__xludf.DUMMYFUNCTION("""COMPUTED_VALUE"""),"7009")</f>
        <v>7009</v>
      </c>
      <c r="B555" s="13" t="str">
        <f>IFERROR(__xludf.DUMMYFUNCTION("""COMPUTED_VALUE"""),"Food Bank of the Rockies Inc.")</f>
        <v>Food Bank of the Rockies Inc.</v>
      </c>
      <c r="C555" s="13" t="str">
        <f>IFERROR(__xludf.DUMMYFUNCTION("""COMPUTED_VALUE"""),"23282")</f>
        <v>23282</v>
      </c>
      <c r="D555" s="13" t="str">
        <f>IFERROR(__xludf.DUMMYFUNCTION("""COMPUTED_VALUE"""),"Family Resource Center")</f>
        <v>Family Resource Center</v>
      </c>
      <c r="E555" s="13" t="str">
        <f>IFERROR(__xludf.DUMMYFUNCTION("""COMPUTED_VALUE"""),"Closed - Enrolled")</f>
        <v>Closed - Enrolled</v>
      </c>
      <c r="F555" s="13"/>
      <c r="G555" s="13" t="str">
        <f>IFERROR(__xludf.DUMMYFUNCTION("""COMPUTED_VALUE"""),"120 MAIN ST")</f>
        <v>120 MAIN ST</v>
      </c>
      <c r="H555" s="13" t="str">
        <f>IFERROR(__xludf.DUMMYFUNCTION("""COMPUTED_VALUE"""),"STERLING")</f>
        <v>STERLING</v>
      </c>
      <c r="I555" s="13" t="str">
        <f>IFERROR(__xludf.DUMMYFUNCTION("""COMPUTED_VALUE"""),"CO")</f>
        <v>CO</v>
      </c>
      <c r="J555" s="13" t="str">
        <f>IFERROR(__xludf.DUMMYFUNCTION("""COMPUTED_VALUE"""),"80751-4342")</f>
        <v>80751-4342</v>
      </c>
      <c r="K555" s="13" t="str">
        <f>IFERROR(__xludf.DUMMYFUNCTION("""COMPUTED_VALUE"""),"Logan")</f>
        <v>Logan</v>
      </c>
      <c r="L555" s="17"/>
      <c r="M555" s="17"/>
      <c r="N555" s="17" t="str">
        <f>IFERROR(__xludf.DUMMYFUNCTION("""COMPUTED_VALUE"""),"Y")</f>
        <v>Y</v>
      </c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>
      <c r="A556" s="18" t="str">
        <f>IFERROR(__xludf.DUMMYFUNCTION("""COMPUTED_VALUE"""),"7009")</f>
        <v>7009</v>
      </c>
      <c r="B556" s="18" t="str">
        <f>IFERROR(__xludf.DUMMYFUNCTION("""COMPUTED_VALUE"""),"Food Bank of the Rockies Inc.")</f>
        <v>Food Bank of the Rockies Inc.</v>
      </c>
      <c r="C556" s="18" t="str">
        <f>IFERROR(__xludf.DUMMYFUNCTION("""COMPUTED_VALUE"""),"90809")</f>
        <v>90809</v>
      </c>
      <c r="D556" s="18" t="str">
        <f>IFERROR(__xludf.DUMMYFUNCTION("""COMPUTED_VALUE"""),"Kids SmART @ Rocky Mountain Prep: Southwest")</f>
        <v>Kids SmART @ Rocky Mountain Prep: Southwest</v>
      </c>
      <c r="E556" s="18" t="str">
        <f>IFERROR(__xludf.DUMMYFUNCTION("""COMPUTED_VALUE"""),"Closed - Enrolled")</f>
        <v>Closed - Enrolled</v>
      </c>
      <c r="F556" s="18" t="str">
        <f>IFERROR(__xludf.DUMMYFUNCTION("""COMPUTED_VALUE""")," ")</f>
        <v> </v>
      </c>
      <c r="G556" s="18" t="str">
        <f>IFERROR(__xludf.DUMMYFUNCTION("""COMPUTED_VALUE"""),"911 S HAZEL CT")</f>
        <v>911 S HAZEL CT</v>
      </c>
      <c r="H556" s="18" t="str">
        <f>IFERROR(__xludf.DUMMYFUNCTION("""COMPUTED_VALUE"""),"DENVER")</f>
        <v>DENVER</v>
      </c>
      <c r="I556" s="18" t="str">
        <f>IFERROR(__xludf.DUMMYFUNCTION("""COMPUTED_VALUE"""),"CO")</f>
        <v>CO</v>
      </c>
      <c r="J556" s="18" t="str">
        <f>IFERROR(__xludf.DUMMYFUNCTION("""COMPUTED_VALUE"""),"80219-3418")</f>
        <v>80219-3418</v>
      </c>
      <c r="K556" s="18" t="str">
        <f>IFERROR(__xludf.DUMMYFUNCTION("""COMPUTED_VALUE"""),"Denver")</f>
        <v>Denver</v>
      </c>
      <c r="L556" s="19" t="str">
        <f>IFERROR(__xludf.DUMMYFUNCTION("""COMPUTED_VALUE"""),"Y")</f>
        <v>Y</v>
      </c>
      <c r="M556" s="19"/>
      <c r="N556" s="19" t="str">
        <f>IFERROR(__xludf.DUMMYFUNCTION("""COMPUTED_VALUE"""),"Y")</f>
        <v>Y</v>
      </c>
      <c r="O556" s="19"/>
      <c r="P556" s="19"/>
      <c r="Q556" s="19" t="str">
        <f>IFERROR(__xludf.DUMMYFUNCTION("""COMPUTED_VALUE"""),"No Claims as of 11.24")</f>
        <v>No Claims as of 11.24</v>
      </c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>
      <c r="A557" s="13" t="str">
        <f>IFERROR(__xludf.DUMMYFUNCTION("""COMPUTED_VALUE"""),"7009")</f>
        <v>7009</v>
      </c>
      <c r="B557" s="13" t="str">
        <f>IFERROR(__xludf.DUMMYFUNCTION("""COMPUTED_VALUE"""),"Food Bank of the Rockies Inc.")</f>
        <v>Food Bank of the Rockies Inc.</v>
      </c>
      <c r="C557" s="13" t="str">
        <f>IFERROR(__xludf.DUMMYFUNCTION("""COMPUTED_VALUE"""),"91009")</f>
        <v>91009</v>
      </c>
      <c r="D557" s="13" t="str">
        <f>IFERROR(__xludf.DUMMYFUNCTION("""COMPUTED_VALUE"""),"Mesa County Library - Clifton Branch")</f>
        <v>Mesa County Library - Clifton Branch</v>
      </c>
      <c r="E557" s="13" t="str">
        <f>IFERROR(__xludf.DUMMYFUNCTION("""COMPUTED_VALUE"""),"Open")</f>
        <v>Open</v>
      </c>
      <c r="F557" s="13"/>
      <c r="G557" s="13" t="str">
        <f>IFERROR(__xludf.DUMMYFUNCTION("""COMPUTED_VALUE"""),"590 32nd Rd # 6F")</f>
        <v>590 32nd Rd # 6F</v>
      </c>
      <c r="H557" s="13" t="str">
        <f>IFERROR(__xludf.DUMMYFUNCTION("""COMPUTED_VALUE"""),"CLIFTON")</f>
        <v>CLIFTON</v>
      </c>
      <c r="I557" s="13" t="str">
        <f>IFERROR(__xludf.DUMMYFUNCTION("""COMPUTED_VALUE"""),"CO")</f>
        <v>CO</v>
      </c>
      <c r="J557" s="13">
        <f>IFERROR(__xludf.DUMMYFUNCTION("""COMPUTED_VALUE"""),81520.0)</f>
        <v>81520</v>
      </c>
      <c r="K557" s="13" t="str">
        <f>IFERROR(__xludf.DUMMYFUNCTION("""COMPUTED_VALUE"""),"Mesa")</f>
        <v>Mesa</v>
      </c>
      <c r="L557" s="17"/>
      <c r="M557" s="17"/>
      <c r="N557" s="17"/>
      <c r="O557" s="17"/>
      <c r="P557" s="17" t="str">
        <f>IFERROR(__xludf.DUMMYFUNCTION("""COMPUTED_VALUE"""),"Y")</f>
        <v>Y</v>
      </c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>
      <c r="A558" s="18" t="str">
        <f>IFERROR(__xludf.DUMMYFUNCTION("""COMPUTED_VALUE"""),"7009")</f>
        <v>7009</v>
      </c>
      <c r="B558" s="18" t="str">
        <f>IFERROR(__xludf.DUMMYFUNCTION("""COMPUTED_VALUE"""),"Food Bank of the Rockies Inc.")</f>
        <v>Food Bank of the Rockies Inc.</v>
      </c>
      <c r="C558" s="18" t="str">
        <f>IFERROR(__xludf.DUMMYFUNCTION("""COMPUTED_VALUE"""),"91140")</f>
        <v>91140</v>
      </c>
      <c r="D558" s="18" t="str">
        <f>IFERROR(__xludf.DUMMYFUNCTION("""COMPUTED_VALUE"""),"Kids SmART Slater")</f>
        <v>Kids SmART Slater</v>
      </c>
      <c r="E558" s="18" t="str">
        <f>IFERROR(__xludf.DUMMYFUNCTION("""COMPUTED_VALUE"""),"Closed - Enrolled")</f>
        <v>Closed - Enrolled</v>
      </c>
      <c r="F558" s="18" t="str">
        <f>IFERROR(__xludf.DUMMYFUNCTION("""COMPUTED_VALUE""")," ")</f>
        <v> </v>
      </c>
      <c r="G558" s="18" t="str">
        <f>IFERROR(__xludf.DUMMYFUNCTION("""COMPUTED_VALUE"""),"8605 W 23RD AVE")</f>
        <v>8605 W 23RD AVE</v>
      </c>
      <c r="H558" s="18" t="str">
        <f>IFERROR(__xludf.DUMMYFUNCTION("""COMPUTED_VALUE"""),"LAKEWOOD")</f>
        <v>LAKEWOOD</v>
      </c>
      <c r="I558" s="18" t="str">
        <f>IFERROR(__xludf.DUMMYFUNCTION("""COMPUTED_VALUE"""),"CO")</f>
        <v>CO</v>
      </c>
      <c r="J558" s="18" t="str">
        <f>IFERROR(__xludf.DUMMYFUNCTION("""COMPUTED_VALUE"""),"80215-1736")</f>
        <v>80215-1736</v>
      </c>
      <c r="K558" s="18" t="str">
        <f>IFERROR(__xludf.DUMMYFUNCTION("""COMPUTED_VALUE"""),"Jefferson")</f>
        <v>Jefferson</v>
      </c>
      <c r="L558" s="19" t="str">
        <f>IFERROR(__xludf.DUMMYFUNCTION("""COMPUTED_VALUE"""),"Y")</f>
        <v>Y</v>
      </c>
      <c r="M558" s="19"/>
      <c r="N558" s="19" t="str">
        <f>IFERROR(__xludf.DUMMYFUNCTION("""COMPUTED_VALUE"""),"Y")</f>
        <v>Y</v>
      </c>
      <c r="O558" s="19"/>
      <c r="P558" s="19"/>
      <c r="Q558" s="19" t="str">
        <f>IFERROR(__xludf.DUMMYFUNCTION("""COMPUTED_VALUE"""),"No Claims as of 11.24")</f>
        <v>No Claims as of 11.24</v>
      </c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>
      <c r="A559" s="18" t="str">
        <f>IFERROR(__xludf.DUMMYFUNCTION("""COMPUTED_VALUE"""),"7009")</f>
        <v>7009</v>
      </c>
      <c r="B559" s="18" t="str">
        <f>IFERROR(__xludf.DUMMYFUNCTION("""COMPUTED_VALUE"""),"Food Bank of the Rockies Inc.")</f>
        <v>Food Bank of the Rockies Inc.</v>
      </c>
      <c r="C559" s="18" t="str">
        <f>IFERROR(__xludf.DUMMYFUNCTION("""COMPUTED_VALUE"""),"91345")</f>
        <v>91345</v>
      </c>
      <c r="D559" s="18" t="str">
        <f>IFERROR(__xludf.DUMMYFUNCTION("""COMPUTED_VALUE"""),"Colorado Institute of Early Learning")</f>
        <v>Colorado Institute of Early Learning</v>
      </c>
      <c r="E559" s="18" t="str">
        <f>IFERROR(__xludf.DUMMYFUNCTION("""COMPUTED_VALUE"""),"Open")</f>
        <v>Open</v>
      </c>
      <c r="F559" s="18" t="str">
        <f>IFERROR(__xludf.DUMMYFUNCTION("""COMPUTED_VALUE""")," ")</f>
        <v> </v>
      </c>
      <c r="G559" s="18" t="str">
        <f>IFERROR(__xludf.DUMMYFUNCTION("""COMPUTED_VALUE"""),"3590 JASMINE ST")</f>
        <v>3590 JASMINE ST</v>
      </c>
      <c r="H559" s="18" t="str">
        <f>IFERROR(__xludf.DUMMYFUNCTION("""COMPUTED_VALUE"""),"DENVER")</f>
        <v>DENVER</v>
      </c>
      <c r="I559" s="18" t="str">
        <f>IFERROR(__xludf.DUMMYFUNCTION("""COMPUTED_VALUE"""),"CO")</f>
        <v>CO</v>
      </c>
      <c r="J559" s="18" t="str">
        <f>IFERROR(__xludf.DUMMYFUNCTION("""COMPUTED_VALUE"""),"80207-1350")</f>
        <v>80207-1350</v>
      </c>
      <c r="K559" s="18" t="str">
        <f>IFERROR(__xludf.DUMMYFUNCTION("""COMPUTED_VALUE"""),"Denver")</f>
        <v>Denver</v>
      </c>
      <c r="L559" s="19" t="str">
        <f>IFERROR(__xludf.DUMMYFUNCTION("""COMPUTED_VALUE"""),"Y")</f>
        <v>Y</v>
      </c>
      <c r="M559" s="19"/>
      <c r="N559" s="19" t="str">
        <f>IFERROR(__xludf.DUMMYFUNCTION("""COMPUTED_VALUE"""),"Y")</f>
        <v>Y</v>
      </c>
      <c r="O559" s="19"/>
      <c r="P559" s="19"/>
      <c r="Q559" s="19" t="str">
        <f>IFERROR(__xludf.DUMMYFUNCTION("""COMPUTED_VALUE"""),"No Claims as of 11.24")</f>
        <v>No Claims as of 11.24</v>
      </c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>
      <c r="A560" s="13" t="str">
        <f>IFERROR(__xludf.DUMMYFUNCTION("""COMPUTED_VALUE"""),"7009")</f>
        <v>7009</v>
      </c>
      <c r="B560" s="13" t="str">
        <f>IFERROR(__xludf.DUMMYFUNCTION("""COMPUTED_VALUE"""),"Food Bank of the Rockies Inc.")</f>
        <v>Food Bank of the Rockies Inc.</v>
      </c>
      <c r="C560" s="13" t="str">
        <f>IFERROR(__xludf.DUMMYFUNCTION("""COMPUTED_VALUE"""),"91431")</f>
        <v>91431</v>
      </c>
      <c r="D560" s="13" t="str">
        <f>IFERROR(__xludf.DUMMYFUNCTION("""COMPUTED_VALUE"""),"Challenge School")</f>
        <v>Challenge School</v>
      </c>
      <c r="E560" s="13" t="str">
        <f>IFERROR(__xludf.DUMMYFUNCTION("""COMPUTED_VALUE"""),"Closed - Enrolled")</f>
        <v>Closed - Enrolled</v>
      </c>
      <c r="F560" s="13"/>
      <c r="G560" s="13" t="str">
        <f>IFERROR(__xludf.DUMMYFUNCTION("""COMPUTED_VALUE"""),"9659 E MISSISSIPPI AVE")</f>
        <v>9659 E MISSISSIPPI AVE</v>
      </c>
      <c r="H560" s="13" t="str">
        <f>IFERROR(__xludf.DUMMYFUNCTION("""COMPUTED_VALUE"""),"DENVER")</f>
        <v>DENVER</v>
      </c>
      <c r="I560" s="13" t="str">
        <f>IFERROR(__xludf.DUMMYFUNCTION("""COMPUTED_VALUE"""),"CO")</f>
        <v>CO</v>
      </c>
      <c r="J560" s="13" t="str">
        <f>IFERROR(__xludf.DUMMYFUNCTION("""COMPUTED_VALUE"""),"80247-2401")</f>
        <v>80247-2401</v>
      </c>
      <c r="K560" s="13" t="str">
        <f>IFERROR(__xludf.DUMMYFUNCTION("""COMPUTED_VALUE"""),"Denver")</f>
        <v>Denver</v>
      </c>
      <c r="L560" s="17" t="str">
        <f>IFERROR(__xludf.DUMMYFUNCTION("""COMPUTED_VALUE"""),"Y")</f>
        <v>Y</v>
      </c>
      <c r="M560" s="17"/>
      <c r="N560" s="17"/>
      <c r="O560" s="17"/>
      <c r="P560" s="17" t="str">
        <f>IFERROR(__xludf.DUMMYFUNCTION("""COMPUTED_VALUE"""),"Y")</f>
        <v>Y</v>
      </c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>
      <c r="A561" s="18" t="str">
        <f>IFERROR(__xludf.DUMMYFUNCTION("""COMPUTED_VALUE"""),"7009")</f>
        <v>7009</v>
      </c>
      <c r="B561" s="18" t="str">
        <f>IFERROR(__xludf.DUMMYFUNCTION("""COMPUTED_VALUE"""),"Food Bank of the Rockies Inc.")</f>
        <v>Food Bank of the Rockies Inc.</v>
      </c>
      <c r="C561" s="18" t="str">
        <f>IFERROR(__xludf.DUMMYFUNCTION("""COMPUTED_VALUE"""),"91432")</f>
        <v>91432</v>
      </c>
      <c r="D561" s="18" t="str">
        <f>IFERROR(__xludf.DUMMYFUNCTION("""COMPUTED_VALUE"""),"Kids SmART @ Patterson International")</f>
        <v>Kids SmART @ Patterson International</v>
      </c>
      <c r="E561" s="18" t="str">
        <f>IFERROR(__xludf.DUMMYFUNCTION("""COMPUTED_VALUE"""),"Closed - Enrolled")</f>
        <v>Closed - Enrolled</v>
      </c>
      <c r="F561" s="18" t="str">
        <f>IFERROR(__xludf.DUMMYFUNCTION("""COMPUTED_VALUE""")," ")</f>
        <v> </v>
      </c>
      <c r="G561" s="18" t="str">
        <f>IFERROR(__xludf.DUMMYFUNCTION("""COMPUTED_VALUE"""),"1263 DUDLEY ST")</f>
        <v>1263 DUDLEY ST</v>
      </c>
      <c r="H561" s="18" t="str">
        <f>IFERROR(__xludf.DUMMYFUNCTION("""COMPUTED_VALUE"""),"LAKEWOOD")</f>
        <v>LAKEWOOD</v>
      </c>
      <c r="I561" s="18" t="str">
        <f>IFERROR(__xludf.DUMMYFUNCTION("""COMPUTED_VALUE"""),"CO")</f>
        <v>CO</v>
      </c>
      <c r="J561" s="18">
        <f>IFERROR(__xludf.DUMMYFUNCTION("""COMPUTED_VALUE"""),80215.0)</f>
        <v>80215</v>
      </c>
      <c r="K561" s="18" t="str">
        <f>IFERROR(__xludf.DUMMYFUNCTION("""COMPUTED_VALUE"""),"Jefferson")</f>
        <v>Jefferson</v>
      </c>
      <c r="L561" s="19" t="str">
        <f>IFERROR(__xludf.DUMMYFUNCTION("""COMPUTED_VALUE"""),"Y")</f>
        <v>Y</v>
      </c>
      <c r="M561" s="19"/>
      <c r="N561" s="19" t="str">
        <f>IFERROR(__xludf.DUMMYFUNCTION("""COMPUTED_VALUE"""),"Y")</f>
        <v>Y</v>
      </c>
      <c r="O561" s="19"/>
      <c r="P561" s="19"/>
      <c r="Q561" s="19" t="str">
        <f>IFERROR(__xludf.DUMMYFUNCTION("""COMPUTED_VALUE"""),"No Claims as of 11.24")</f>
        <v>No Claims as of 11.24</v>
      </c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>
      <c r="A562" s="13" t="str">
        <f>IFERROR(__xludf.DUMMYFUNCTION("""COMPUTED_VALUE"""),"7009")</f>
        <v>7009</v>
      </c>
      <c r="B562" s="13" t="str">
        <f>IFERROR(__xludf.DUMMYFUNCTION("""COMPUTED_VALUE"""),"Food Bank of the Rockies Inc.")</f>
        <v>Food Bank of the Rockies Inc.</v>
      </c>
      <c r="C562" s="13" t="str">
        <f>IFERROR(__xludf.DUMMYFUNCTION("""COMPUTED_VALUE"""),"91460")</f>
        <v>91460</v>
      </c>
      <c r="D562" s="13" t="str">
        <f>IFERROR(__xludf.DUMMYFUNCTION("""COMPUTED_VALUE"""),"Portable Playground @ Aztec Villa")</f>
        <v>Portable Playground @ Aztec Villa</v>
      </c>
      <c r="E562" s="13" t="str">
        <f>IFERROR(__xludf.DUMMYFUNCTION("""COMPUTED_VALUE"""),"Open")</f>
        <v>Open</v>
      </c>
      <c r="F562" s="13"/>
      <c r="G562" s="13" t="str">
        <f>IFERROR(__xludf.DUMMYFUNCTION("""COMPUTED_VALUE"""),"8675 MARIPOSA ST")</f>
        <v>8675 MARIPOSA ST</v>
      </c>
      <c r="H562" s="13" t="str">
        <f>IFERROR(__xludf.DUMMYFUNCTION("""COMPUTED_VALUE"""),"THORNTON")</f>
        <v>THORNTON</v>
      </c>
      <c r="I562" s="13" t="str">
        <f>IFERROR(__xludf.DUMMYFUNCTION("""COMPUTED_VALUE"""),"CO")</f>
        <v>CO</v>
      </c>
      <c r="J562" s="13" t="str">
        <f>IFERROR(__xludf.DUMMYFUNCTION("""COMPUTED_VALUE"""),"80260-4384")</f>
        <v>80260-4384</v>
      </c>
      <c r="K562" s="13" t="str">
        <f>IFERROR(__xludf.DUMMYFUNCTION("""COMPUTED_VALUE"""),"Adams")</f>
        <v>Adams</v>
      </c>
      <c r="L562" s="17"/>
      <c r="M562" s="17"/>
      <c r="N562" s="17" t="str">
        <f>IFERROR(__xludf.DUMMYFUNCTION("""COMPUTED_VALUE"""),"Y")</f>
        <v>Y</v>
      </c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>
      <c r="A563" s="13" t="str">
        <f>IFERROR(__xludf.DUMMYFUNCTION("""COMPUTED_VALUE"""),"7009")</f>
        <v>7009</v>
      </c>
      <c r="B563" s="13" t="str">
        <f>IFERROR(__xludf.DUMMYFUNCTION("""COMPUTED_VALUE"""),"Food Bank of the Rockies Inc.")</f>
        <v>Food Bank of the Rockies Inc.</v>
      </c>
      <c r="C563" s="13" t="str">
        <f>IFERROR(__xludf.DUMMYFUNCTION("""COMPUTED_VALUE"""),"91461")</f>
        <v>91461</v>
      </c>
      <c r="D563" s="13" t="str">
        <f>IFERROR(__xludf.DUMMYFUNCTION("""COMPUTED_VALUE"""),"Portable Playground @ Creekside Place")</f>
        <v>Portable Playground @ Creekside Place</v>
      </c>
      <c r="E563" s="13" t="str">
        <f>IFERROR(__xludf.DUMMYFUNCTION("""COMPUTED_VALUE"""),"Open")</f>
        <v>Open</v>
      </c>
      <c r="F563" s="13"/>
      <c r="G563" s="13" t="str">
        <f>IFERROR(__xludf.DUMMYFUNCTION("""COMPUTED_VALUE"""),"9189 GALE BLVD")</f>
        <v>9189 GALE BLVD</v>
      </c>
      <c r="H563" s="13" t="str">
        <f>IFERROR(__xludf.DUMMYFUNCTION("""COMPUTED_VALUE"""),"THORNTON")</f>
        <v>THORNTON</v>
      </c>
      <c r="I563" s="13" t="str">
        <f>IFERROR(__xludf.DUMMYFUNCTION("""COMPUTED_VALUE"""),"CO")</f>
        <v>CO</v>
      </c>
      <c r="J563" s="13" t="str">
        <f>IFERROR(__xludf.DUMMYFUNCTION("""COMPUTED_VALUE"""),"80260-4962")</f>
        <v>80260-4962</v>
      </c>
      <c r="K563" s="13" t="str">
        <f>IFERROR(__xludf.DUMMYFUNCTION("""COMPUTED_VALUE"""),"Adams")</f>
        <v>Adams</v>
      </c>
      <c r="L563" s="17"/>
      <c r="M563" s="17"/>
      <c r="N563" s="17" t="str">
        <f>IFERROR(__xludf.DUMMYFUNCTION("""COMPUTED_VALUE"""),"Y")</f>
        <v>Y</v>
      </c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>
      <c r="A564" s="13" t="str">
        <f>IFERROR(__xludf.DUMMYFUNCTION("""COMPUTED_VALUE"""),"7009")</f>
        <v>7009</v>
      </c>
      <c r="B564" s="13" t="str">
        <f>IFERROR(__xludf.DUMMYFUNCTION("""COMPUTED_VALUE"""),"Food Bank of the Rockies Inc.")</f>
        <v>Food Bank of the Rockies Inc.</v>
      </c>
      <c r="C564" s="13" t="str">
        <f>IFERROR(__xludf.DUMMYFUNCTION("""COMPUTED_VALUE"""),"91463")</f>
        <v>91463</v>
      </c>
      <c r="D564" s="13" t="str">
        <f>IFERROR(__xludf.DUMMYFUNCTION("""COMPUTED_VALUE"""),"Portable Playground @ Pine Lakes Ranch")</f>
        <v>Portable Playground @ Pine Lakes Ranch</v>
      </c>
      <c r="E564" s="13" t="str">
        <f>IFERROR(__xludf.DUMMYFUNCTION("""COMPUTED_VALUE"""),"Open")</f>
        <v>Open</v>
      </c>
      <c r="F564" s="13"/>
      <c r="G564" s="13" t="str">
        <f>IFERROR(__xludf.DUMMYFUNCTION("""COMPUTED_VALUE"""),"10201 RIVERDALE RD")</f>
        <v>10201 RIVERDALE RD</v>
      </c>
      <c r="H564" s="13" t="str">
        <f>IFERROR(__xludf.DUMMYFUNCTION("""COMPUTED_VALUE"""),"THORNTON")</f>
        <v>THORNTON</v>
      </c>
      <c r="I564" s="13" t="str">
        <f>IFERROR(__xludf.DUMMYFUNCTION("""COMPUTED_VALUE"""),"CO")</f>
        <v>CO</v>
      </c>
      <c r="J564" s="13" t="str">
        <f>IFERROR(__xludf.DUMMYFUNCTION("""COMPUTED_VALUE"""),"80229-2919")</f>
        <v>80229-2919</v>
      </c>
      <c r="K564" s="13" t="str">
        <f>IFERROR(__xludf.DUMMYFUNCTION("""COMPUTED_VALUE"""),"Adams")</f>
        <v>Adams</v>
      </c>
      <c r="L564" s="17"/>
      <c r="M564" s="17"/>
      <c r="N564" s="17" t="str">
        <f>IFERROR(__xludf.DUMMYFUNCTION("""COMPUTED_VALUE"""),"Y")</f>
        <v>Y</v>
      </c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>
      <c r="A565" s="13" t="str">
        <f>IFERROR(__xludf.DUMMYFUNCTION("""COMPUTED_VALUE"""),"7009")</f>
        <v>7009</v>
      </c>
      <c r="B565" s="13" t="str">
        <f>IFERROR(__xludf.DUMMYFUNCTION("""COMPUTED_VALUE"""),"Food Bank of the Rockies Inc.")</f>
        <v>Food Bank of the Rockies Inc.</v>
      </c>
      <c r="C565" s="13" t="str">
        <f>IFERROR(__xludf.DUMMYFUNCTION("""COMPUTED_VALUE"""),"91464")</f>
        <v>91464</v>
      </c>
      <c r="D565" s="13" t="str">
        <f>IFERROR(__xludf.DUMMYFUNCTION("""COMPUTED_VALUE"""),"Portable Playground @ Redwood Estates")</f>
        <v>Portable Playground @ Redwood Estates</v>
      </c>
      <c r="E565" s="13" t="str">
        <f>IFERROR(__xludf.DUMMYFUNCTION("""COMPUTED_VALUE"""),"Open")</f>
        <v>Open</v>
      </c>
      <c r="F565" s="13"/>
      <c r="G565" s="13" t="str">
        <f>IFERROR(__xludf.DUMMYFUNCTION("""COMPUTED_VALUE"""),"9595 PECOS ST")</f>
        <v>9595 PECOS ST</v>
      </c>
      <c r="H565" s="13" t="str">
        <f>IFERROR(__xludf.DUMMYFUNCTION("""COMPUTED_VALUE"""),"THORNTON")</f>
        <v>THORNTON</v>
      </c>
      <c r="I565" s="13" t="str">
        <f>IFERROR(__xludf.DUMMYFUNCTION("""COMPUTED_VALUE"""),"CO")</f>
        <v>CO</v>
      </c>
      <c r="J565" s="13" t="str">
        <f>IFERROR(__xludf.DUMMYFUNCTION("""COMPUTED_VALUE"""),"80260-5925")</f>
        <v>80260-5925</v>
      </c>
      <c r="K565" s="13" t="str">
        <f>IFERROR(__xludf.DUMMYFUNCTION("""COMPUTED_VALUE"""),"Adams")</f>
        <v>Adams</v>
      </c>
      <c r="L565" s="17"/>
      <c r="M565" s="17"/>
      <c r="N565" s="17" t="str">
        <f>IFERROR(__xludf.DUMMYFUNCTION("""COMPUTED_VALUE"""),"Y")</f>
        <v>Y</v>
      </c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>
      <c r="A566" s="13" t="str">
        <f>IFERROR(__xludf.DUMMYFUNCTION("""COMPUTED_VALUE"""),"7009")</f>
        <v>7009</v>
      </c>
      <c r="B566" s="13" t="str">
        <f>IFERROR(__xludf.DUMMYFUNCTION("""COMPUTED_VALUE"""),"Food Bank of the Rockies Inc.")</f>
        <v>Food Bank of the Rockies Inc.</v>
      </c>
      <c r="C566" s="13" t="str">
        <f>IFERROR(__xludf.DUMMYFUNCTION("""COMPUTED_VALUE"""),"91465")</f>
        <v>91465</v>
      </c>
      <c r="D566" s="13" t="str">
        <f>IFERROR(__xludf.DUMMYFUNCTION("""COMPUTED_VALUE"""),"Portable Playground @ Rockview Terrace")</f>
        <v>Portable Playground @ Rockview Terrace</v>
      </c>
      <c r="E566" s="13" t="str">
        <f>IFERROR(__xludf.DUMMYFUNCTION("""COMPUTED_VALUE"""),"Open")</f>
        <v>Open</v>
      </c>
      <c r="F566" s="13"/>
      <c r="G566" s="13" t="str">
        <f>IFERROR(__xludf.DUMMYFUNCTION("""COMPUTED_VALUE"""),"388 E 88TH AVE")</f>
        <v>388 E 88TH AVE</v>
      </c>
      <c r="H566" s="13" t="str">
        <f>IFERROR(__xludf.DUMMYFUNCTION("""COMPUTED_VALUE"""),"THORNTON")</f>
        <v>THORNTON</v>
      </c>
      <c r="I566" s="13" t="str">
        <f>IFERROR(__xludf.DUMMYFUNCTION("""COMPUTED_VALUE"""),"CO")</f>
        <v>CO</v>
      </c>
      <c r="J566" s="13" t="str">
        <f>IFERROR(__xludf.DUMMYFUNCTION("""COMPUTED_VALUE"""),"80229-4430")</f>
        <v>80229-4430</v>
      </c>
      <c r="K566" s="13" t="str">
        <f>IFERROR(__xludf.DUMMYFUNCTION("""COMPUTED_VALUE"""),"Adams")</f>
        <v>Adams</v>
      </c>
      <c r="L566" s="17"/>
      <c r="M566" s="17"/>
      <c r="N566" s="17" t="str">
        <f>IFERROR(__xludf.DUMMYFUNCTION("""COMPUTED_VALUE"""),"Y")</f>
        <v>Y</v>
      </c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>
      <c r="A567" s="18" t="str">
        <f>IFERROR(__xludf.DUMMYFUNCTION("""COMPUTED_VALUE"""),"7009")</f>
        <v>7009</v>
      </c>
      <c r="B567" s="18" t="str">
        <f>IFERROR(__xludf.DUMMYFUNCTION("""COMPUTED_VALUE"""),"Food Bank of the Rockies Inc.")</f>
        <v>Food Bank of the Rockies Inc.</v>
      </c>
      <c r="C567" s="18" t="str">
        <f>IFERROR(__xludf.DUMMYFUNCTION("""COMPUTED_VALUE"""),"91466")</f>
        <v>91466</v>
      </c>
      <c r="D567" s="18" t="str">
        <f>IFERROR(__xludf.DUMMYFUNCTION("""COMPUTED_VALUE"""),"Southern Stars - Northstar Park")</f>
        <v>Southern Stars - Northstar Park</v>
      </c>
      <c r="E567" s="18" t="str">
        <f>IFERROR(__xludf.DUMMYFUNCTION("""COMPUTED_VALUE"""),"Open")</f>
        <v>Open</v>
      </c>
      <c r="F567" s="18" t="str">
        <f>IFERROR(__xludf.DUMMYFUNCTION("""COMPUTED_VALUE""")," ")</f>
        <v> </v>
      </c>
      <c r="G567" s="18" t="str">
        <f>IFERROR(__xludf.DUMMYFUNCTION("""COMPUTED_VALUE"""),"400 E. 88th Avenue")</f>
        <v>400 E. 88th Avenue</v>
      </c>
      <c r="H567" s="18" t="str">
        <f>IFERROR(__xludf.DUMMYFUNCTION("""COMPUTED_VALUE"""),"THORNTON")</f>
        <v>THORNTON</v>
      </c>
      <c r="I567" s="18" t="str">
        <f>IFERROR(__xludf.DUMMYFUNCTION("""COMPUTED_VALUE"""),"CO")</f>
        <v>CO</v>
      </c>
      <c r="J567" s="18">
        <f>IFERROR(__xludf.DUMMYFUNCTION("""COMPUTED_VALUE"""),80260.0)</f>
        <v>80260</v>
      </c>
      <c r="K567" s="18" t="str">
        <f>IFERROR(__xludf.DUMMYFUNCTION("""COMPUTED_VALUE"""),"Adams")</f>
        <v>Adams</v>
      </c>
      <c r="L567" s="19"/>
      <c r="M567" s="19"/>
      <c r="N567" s="19" t="str">
        <f>IFERROR(__xludf.DUMMYFUNCTION("""COMPUTED_VALUE"""),"Y")</f>
        <v>Y</v>
      </c>
      <c r="O567" s="19"/>
      <c r="P567" s="19"/>
      <c r="Q567" s="19" t="str">
        <f>IFERROR(__xludf.DUMMYFUNCTION("""COMPUTED_VALUE"""),"No Claims as of 11.24")</f>
        <v>No Claims as of 11.24</v>
      </c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>
      <c r="A568" s="13" t="str">
        <f>IFERROR(__xludf.DUMMYFUNCTION("""COMPUTED_VALUE"""),"7009")</f>
        <v>7009</v>
      </c>
      <c r="B568" s="13" t="str">
        <f>IFERROR(__xludf.DUMMYFUNCTION("""COMPUTED_VALUE"""),"Food Bank of the Rockies Inc.")</f>
        <v>Food Bank of the Rockies Inc.</v>
      </c>
      <c r="C568" s="13" t="str">
        <f>IFERROR(__xludf.DUMMYFUNCTION("""COMPUTED_VALUE"""),"91467")</f>
        <v>91467</v>
      </c>
      <c r="D568" s="13" t="str">
        <f>IFERROR(__xludf.DUMMYFUNCTION("""COMPUTED_VALUE"""),"Portable Playground @ The Grove at Alta Ridge")</f>
        <v>Portable Playground @ The Grove at Alta Ridge</v>
      </c>
      <c r="E568" s="13" t="str">
        <f>IFERROR(__xludf.DUMMYFUNCTION("""COMPUTED_VALUE"""),"Open")</f>
        <v>Open</v>
      </c>
      <c r="F568" s="13"/>
      <c r="G568" s="13" t="str">
        <f>IFERROR(__xludf.DUMMYFUNCTION("""COMPUTED_VALUE"""),"1201 W THORNTON PKWY")</f>
        <v>1201 W THORNTON PKWY</v>
      </c>
      <c r="H568" s="13" t="str">
        <f>IFERROR(__xludf.DUMMYFUNCTION("""COMPUTED_VALUE"""),"THORNTON")</f>
        <v>THORNTON</v>
      </c>
      <c r="I568" s="13" t="str">
        <f>IFERROR(__xludf.DUMMYFUNCTION("""COMPUTED_VALUE"""),"CO")</f>
        <v>CO</v>
      </c>
      <c r="J568" s="13" t="str">
        <f>IFERROR(__xludf.DUMMYFUNCTION("""COMPUTED_VALUE"""),"80260-5458")</f>
        <v>80260-5458</v>
      </c>
      <c r="K568" s="13" t="str">
        <f>IFERROR(__xludf.DUMMYFUNCTION("""COMPUTED_VALUE"""),"Adams")</f>
        <v>Adams</v>
      </c>
      <c r="L568" s="17"/>
      <c r="M568" s="17"/>
      <c r="N568" s="17" t="str">
        <f>IFERROR(__xludf.DUMMYFUNCTION("""COMPUTED_VALUE"""),"Y")</f>
        <v>Y</v>
      </c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>
      <c r="A569" s="13" t="str">
        <f>IFERROR(__xludf.DUMMYFUNCTION("""COMPUTED_VALUE"""),"7009")</f>
        <v>7009</v>
      </c>
      <c r="B569" s="13" t="str">
        <f>IFERROR(__xludf.DUMMYFUNCTION("""COMPUTED_VALUE"""),"Food Bank of the Rockies Inc.")</f>
        <v>Food Bank of the Rockies Inc.</v>
      </c>
      <c r="C569" s="13" t="str">
        <f>IFERROR(__xludf.DUMMYFUNCTION("""COMPUTED_VALUE"""),"91468")</f>
        <v>91468</v>
      </c>
      <c r="D569" s="13" t="str">
        <f>IFERROR(__xludf.DUMMYFUNCTION("""COMPUTED_VALUE"""),"Portable Playground @ The Overlook at Thornton")</f>
        <v>Portable Playground @ The Overlook at Thornton</v>
      </c>
      <c r="E569" s="13" t="str">
        <f>IFERROR(__xludf.DUMMYFUNCTION("""COMPUTED_VALUE"""),"Open")</f>
        <v>Open</v>
      </c>
      <c r="F569" s="13"/>
      <c r="G569" s="13" t="str">
        <f>IFERROR(__xludf.DUMMYFUNCTION("""COMPUTED_VALUE"""),"647 W 91ST AVE")</f>
        <v>647 W 91ST AVE</v>
      </c>
      <c r="H569" s="13" t="str">
        <f>IFERROR(__xludf.DUMMYFUNCTION("""COMPUTED_VALUE"""),"THORNTON")</f>
        <v>THORNTON</v>
      </c>
      <c r="I569" s="13" t="str">
        <f>IFERROR(__xludf.DUMMYFUNCTION("""COMPUTED_VALUE"""),"CO")</f>
        <v>CO</v>
      </c>
      <c r="J569" s="13" t="str">
        <f>IFERROR(__xludf.DUMMYFUNCTION("""COMPUTED_VALUE"""),"80260-8803")</f>
        <v>80260-8803</v>
      </c>
      <c r="K569" s="13" t="str">
        <f>IFERROR(__xludf.DUMMYFUNCTION("""COMPUTED_VALUE"""),"Adams")</f>
        <v>Adams</v>
      </c>
      <c r="L569" s="17"/>
      <c r="M569" s="17"/>
      <c r="N569" s="17" t="str">
        <f>IFERROR(__xludf.DUMMYFUNCTION("""COMPUTED_VALUE"""),"Y")</f>
        <v>Y</v>
      </c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>
      <c r="A570" s="13" t="str">
        <f>IFERROR(__xludf.DUMMYFUNCTION("""COMPUTED_VALUE"""),"7009")</f>
        <v>7009</v>
      </c>
      <c r="B570" s="13" t="str">
        <f>IFERROR(__xludf.DUMMYFUNCTION("""COMPUTED_VALUE"""),"Food Bank of the Rockies Inc.")</f>
        <v>Food Bank of the Rockies Inc.</v>
      </c>
      <c r="C570" s="13" t="str">
        <f>IFERROR(__xludf.DUMMYFUNCTION("""COMPUTED_VALUE"""),"91469")</f>
        <v>91469</v>
      </c>
      <c r="D570" s="13" t="str">
        <f>IFERROR(__xludf.DUMMYFUNCTION("""COMPUTED_VALUE"""),"Portable Playground @ Village of Yorkshire")</f>
        <v>Portable Playground @ Village of Yorkshire</v>
      </c>
      <c r="E570" s="13" t="str">
        <f>IFERROR(__xludf.DUMMYFUNCTION("""COMPUTED_VALUE"""),"Open")</f>
        <v>Open</v>
      </c>
      <c r="F570" s="13"/>
      <c r="G570" s="13" t="str">
        <f>IFERROR(__xludf.DUMMYFUNCTION("""COMPUTED_VALUE"""),"10370 BRENDON WAY")</f>
        <v>10370 BRENDON WAY</v>
      </c>
      <c r="H570" s="13" t="str">
        <f>IFERROR(__xludf.DUMMYFUNCTION("""COMPUTED_VALUE"""),"THORNTON")</f>
        <v>THORNTON</v>
      </c>
      <c r="I570" s="13" t="str">
        <f>IFERROR(__xludf.DUMMYFUNCTION("""COMPUTED_VALUE"""),"CO")</f>
        <v>CO</v>
      </c>
      <c r="J570" s="13" t="str">
        <f>IFERROR(__xludf.DUMMYFUNCTION("""COMPUTED_VALUE"""),"80229-2304")</f>
        <v>80229-2304</v>
      </c>
      <c r="K570" s="13" t="str">
        <f>IFERROR(__xludf.DUMMYFUNCTION("""COMPUTED_VALUE"""),"Adams")</f>
        <v>Adams</v>
      </c>
      <c r="L570" s="17"/>
      <c r="M570" s="17"/>
      <c r="N570" s="17" t="str">
        <f>IFERROR(__xludf.DUMMYFUNCTION("""COMPUTED_VALUE"""),"Y")</f>
        <v>Y</v>
      </c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>
      <c r="A571" s="13" t="str">
        <f>IFERROR(__xludf.DUMMYFUNCTION("""COMPUTED_VALUE"""),"7009")</f>
        <v>7009</v>
      </c>
      <c r="B571" s="13" t="str">
        <f>IFERROR(__xludf.DUMMYFUNCTION("""COMPUTED_VALUE"""),"Food Bank of the Rockies Inc.")</f>
        <v>Food Bank of the Rockies Inc.</v>
      </c>
      <c r="C571" s="13" t="str">
        <f>IFERROR(__xludf.DUMMYFUNCTION("""COMPUTED_VALUE"""),"91470")</f>
        <v>91470</v>
      </c>
      <c r="D571" s="13" t="str">
        <f>IFERROR(__xludf.DUMMYFUNCTION("""COMPUTED_VALUE"""),"Portable Playground @ Woodland Hills")</f>
        <v>Portable Playground @ Woodland Hills</v>
      </c>
      <c r="E571" s="13" t="str">
        <f>IFERROR(__xludf.DUMMYFUNCTION("""COMPUTED_VALUE"""),"Open")</f>
        <v>Open</v>
      </c>
      <c r="F571" s="13"/>
      <c r="G571" s="13" t="str">
        <f>IFERROR(__xludf.DUMMYFUNCTION("""COMPUTED_VALUE"""),"1500 W THORNTON PKWY")</f>
        <v>1500 W THORNTON PKWY</v>
      </c>
      <c r="H571" s="13" t="str">
        <f>IFERROR(__xludf.DUMMYFUNCTION("""COMPUTED_VALUE"""),"THORNTON")</f>
        <v>THORNTON</v>
      </c>
      <c r="I571" s="13" t="str">
        <f>IFERROR(__xludf.DUMMYFUNCTION("""COMPUTED_VALUE"""),"CO")</f>
        <v>CO</v>
      </c>
      <c r="J571" s="13" t="str">
        <f>IFERROR(__xludf.DUMMYFUNCTION("""COMPUTED_VALUE"""),"80260-7914")</f>
        <v>80260-7914</v>
      </c>
      <c r="K571" s="13" t="str">
        <f>IFERROR(__xludf.DUMMYFUNCTION("""COMPUTED_VALUE"""),"Adams")</f>
        <v>Adams</v>
      </c>
      <c r="L571" s="17"/>
      <c r="M571" s="17"/>
      <c r="N571" s="17" t="str">
        <f>IFERROR(__xludf.DUMMYFUNCTION("""COMPUTED_VALUE"""),"Y")</f>
        <v>Y</v>
      </c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>
      <c r="A572" s="13" t="str">
        <f>IFERROR(__xludf.DUMMYFUNCTION("""COMPUTED_VALUE"""),"7009")</f>
        <v>7009</v>
      </c>
      <c r="B572" s="13" t="str">
        <f>IFERROR(__xludf.DUMMYFUNCTION("""COMPUTED_VALUE"""),"Food Bank of the Rockies Inc.")</f>
        <v>Food Bank of the Rockies Inc.</v>
      </c>
      <c r="C572" s="13" t="str">
        <f>IFERROR(__xludf.DUMMYFUNCTION("""COMPUTED_VALUE"""),"91472")</f>
        <v>91472</v>
      </c>
      <c r="D572" s="13" t="str">
        <f>IFERROR(__xludf.DUMMYFUNCTION("""COMPUTED_VALUE"""),"Clear Creek Metro Rec District- Kids Korner")</f>
        <v>Clear Creek Metro Rec District- Kids Korner</v>
      </c>
      <c r="E572" s="13" t="str">
        <f>IFERROR(__xludf.DUMMYFUNCTION("""COMPUTED_VALUE"""),"Closed - Enrolled")</f>
        <v>Closed - Enrolled</v>
      </c>
      <c r="F572" s="13"/>
      <c r="G572" s="13" t="str">
        <f>IFERROR(__xludf.DUMMYFUNCTION("""COMPUTED_VALUE"""),"1300 COLORADO BLVD")</f>
        <v>1300 COLORADO BLVD</v>
      </c>
      <c r="H572" s="13" t="str">
        <f>IFERROR(__xludf.DUMMYFUNCTION("""COMPUTED_VALUE"""),"IDAHO SPRINGS")</f>
        <v>IDAHO SPRINGS</v>
      </c>
      <c r="I572" s="13" t="str">
        <f>IFERROR(__xludf.DUMMYFUNCTION("""COMPUTED_VALUE"""),"CO")</f>
        <v>CO</v>
      </c>
      <c r="J572" s="13">
        <f>IFERROR(__xludf.DUMMYFUNCTION("""COMPUTED_VALUE"""),80452.0)</f>
        <v>80452</v>
      </c>
      <c r="K572" s="13" t="str">
        <f>IFERROR(__xludf.DUMMYFUNCTION("""COMPUTED_VALUE"""),"Clear Creek")</f>
        <v>Clear Creek</v>
      </c>
      <c r="L572" s="17" t="str">
        <f>IFERROR(__xludf.DUMMYFUNCTION("""COMPUTED_VALUE"""),"Y")</f>
        <v>Y</v>
      </c>
      <c r="M572" s="17"/>
      <c r="N572" s="17" t="str">
        <f>IFERROR(__xludf.DUMMYFUNCTION("""COMPUTED_VALUE"""),"Y")</f>
        <v>Y</v>
      </c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>
      <c r="A573" s="13" t="str">
        <f>IFERROR(__xludf.DUMMYFUNCTION("""COMPUTED_VALUE"""),"7009")</f>
        <v>7009</v>
      </c>
      <c r="B573" s="13" t="str">
        <f>IFERROR(__xludf.DUMMYFUNCTION("""COMPUTED_VALUE"""),"Food Bank of the Rockies Inc.")</f>
        <v>Food Bank of the Rockies Inc.</v>
      </c>
      <c r="C573" s="13" t="str">
        <f>IFERROR(__xludf.DUMMYFUNCTION("""COMPUTED_VALUE"""),"91513")</f>
        <v>91513</v>
      </c>
      <c r="D573" s="13" t="str">
        <f>IFERROR(__xludf.DUMMYFUNCTION("""COMPUTED_VALUE"""),"Kids SmART @ Rocky Mountain Prep: Berkeley")</f>
        <v>Kids SmART @ Rocky Mountain Prep: Berkeley</v>
      </c>
      <c r="E573" s="13" t="str">
        <f>IFERROR(__xludf.DUMMYFUNCTION("""COMPUTED_VALUE"""),"Closed - Enrolled")</f>
        <v>Closed - Enrolled</v>
      </c>
      <c r="F573" s="13"/>
      <c r="G573" s="13" t="str">
        <f>IFERROR(__xludf.DUMMYFUNCTION("""COMPUTED_VALUE"""),"3752 TENNYSON ST")</f>
        <v>3752 TENNYSON ST</v>
      </c>
      <c r="H573" s="13" t="str">
        <f>IFERROR(__xludf.DUMMYFUNCTION("""COMPUTED_VALUE"""),"DENVER")</f>
        <v>DENVER</v>
      </c>
      <c r="I573" s="13" t="str">
        <f>IFERROR(__xludf.DUMMYFUNCTION("""COMPUTED_VALUE"""),"CO")</f>
        <v>CO</v>
      </c>
      <c r="J573" s="13" t="str">
        <f>IFERROR(__xludf.DUMMYFUNCTION("""COMPUTED_VALUE"""),"80212-1914")</f>
        <v>80212-1914</v>
      </c>
      <c r="K573" s="13" t="str">
        <f>IFERROR(__xludf.DUMMYFUNCTION("""COMPUTED_VALUE"""),"Denver")</f>
        <v>Denver</v>
      </c>
      <c r="L573" s="17" t="str">
        <f>IFERROR(__xludf.DUMMYFUNCTION("""COMPUTED_VALUE"""),"Y")</f>
        <v>Y</v>
      </c>
      <c r="M573" s="17"/>
      <c r="N573" s="17" t="str">
        <f>IFERROR(__xludf.DUMMYFUNCTION("""COMPUTED_VALUE"""),"Y")</f>
        <v>Y</v>
      </c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>
      <c r="A574" s="18" t="str">
        <f>IFERROR(__xludf.DUMMYFUNCTION("""COMPUTED_VALUE"""),"7009")</f>
        <v>7009</v>
      </c>
      <c r="B574" s="18" t="str">
        <f>IFERROR(__xludf.DUMMYFUNCTION("""COMPUTED_VALUE"""),"Food Bank of the Rockies Inc.")</f>
        <v>Food Bank of the Rockies Inc.</v>
      </c>
      <c r="C574" s="18" t="str">
        <f>IFERROR(__xludf.DUMMYFUNCTION("""COMPUTED_VALUE"""),"91587")</f>
        <v>91587</v>
      </c>
      <c r="D574" s="18" t="str">
        <f>IFERROR(__xludf.DUMMYFUNCTION("""COMPUTED_VALUE"""),"Fruita Community Center @ Shelledy Elementary School")</f>
        <v>Fruita Community Center @ Shelledy Elementary School</v>
      </c>
      <c r="E574" s="18" t="str">
        <f>IFERROR(__xludf.DUMMYFUNCTION("""COMPUTED_VALUE"""),"Closed - Enrolled")</f>
        <v>Closed - Enrolled</v>
      </c>
      <c r="F574" s="18" t="str">
        <f>IFERROR(__xludf.DUMMYFUNCTION("""COMPUTED_VALUE""")," ")</f>
        <v> </v>
      </c>
      <c r="G574" s="18" t="str">
        <f>IFERROR(__xludf.DUMMYFUNCTION("""COMPUTED_VALUE"""),"353 N MESA ST")</f>
        <v>353 N MESA ST</v>
      </c>
      <c r="H574" s="18" t="str">
        <f>IFERROR(__xludf.DUMMYFUNCTION("""COMPUTED_VALUE"""),"FRUITA")</f>
        <v>FRUITA</v>
      </c>
      <c r="I574" s="18" t="str">
        <f>IFERROR(__xludf.DUMMYFUNCTION("""COMPUTED_VALUE"""),"CO")</f>
        <v>CO</v>
      </c>
      <c r="J574" s="18" t="str">
        <f>IFERROR(__xludf.DUMMYFUNCTION("""COMPUTED_VALUE"""),"81521-2109")</f>
        <v>81521-2109</v>
      </c>
      <c r="K574" s="18" t="str">
        <f>IFERROR(__xludf.DUMMYFUNCTION("""COMPUTED_VALUE"""),"Mesa")</f>
        <v>Mesa</v>
      </c>
      <c r="L574" s="19" t="str">
        <f>IFERROR(__xludf.DUMMYFUNCTION("""COMPUTED_VALUE"""),"Y")</f>
        <v>Y</v>
      </c>
      <c r="M574" s="19"/>
      <c r="N574" s="19"/>
      <c r="O574" s="19"/>
      <c r="P574" s="19"/>
      <c r="Q574" s="19" t="str">
        <f>IFERROR(__xludf.DUMMYFUNCTION("""COMPUTED_VALUE"""),"No Claims as of 11.24")</f>
        <v>No Claims as of 11.24</v>
      </c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>
      <c r="A575" s="18" t="str">
        <f>IFERROR(__xludf.DUMMYFUNCTION("""COMPUTED_VALUE"""),"7009")</f>
        <v>7009</v>
      </c>
      <c r="B575" s="18" t="str">
        <f>IFERROR(__xludf.DUMMYFUNCTION("""COMPUTED_VALUE"""),"Food Bank of the Rockies Inc.")</f>
        <v>Food Bank of the Rockies Inc.</v>
      </c>
      <c r="C575" s="18" t="str">
        <f>IFERROR(__xludf.DUMMYFUNCTION("""COMPUTED_VALUE"""),"91620")</f>
        <v>91620</v>
      </c>
      <c r="D575" s="18" t="str">
        <f>IFERROR(__xludf.DUMMYFUNCTION("""COMPUTED_VALUE"""),"Lift Up @ Rifle Library")</f>
        <v>Lift Up @ Rifle Library</v>
      </c>
      <c r="E575" s="18" t="str">
        <f>IFERROR(__xludf.DUMMYFUNCTION("""COMPUTED_VALUE"""),"Open")</f>
        <v>Open</v>
      </c>
      <c r="F575" s="18" t="str">
        <f>IFERROR(__xludf.DUMMYFUNCTION("""COMPUTED_VALUE""")," ")</f>
        <v> </v>
      </c>
      <c r="G575" s="18" t="str">
        <f>IFERROR(__xludf.DUMMYFUNCTION("""COMPUTED_VALUE"""),"207 EAST AVE")</f>
        <v>207 EAST AVE</v>
      </c>
      <c r="H575" s="18" t="str">
        <f>IFERROR(__xludf.DUMMYFUNCTION("""COMPUTED_VALUE"""),"RIFLE")</f>
        <v>RIFLE</v>
      </c>
      <c r="I575" s="18" t="str">
        <f>IFERROR(__xludf.DUMMYFUNCTION("""COMPUTED_VALUE"""),"CO")</f>
        <v>CO</v>
      </c>
      <c r="J575" s="18" t="str">
        <f>IFERROR(__xludf.DUMMYFUNCTION("""COMPUTED_VALUE"""),"81650-2301")</f>
        <v>81650-2301</v>
      </c>
      <c r="K575" s="18" t="str">
        <f>IFERROR(__xludf.DUMMYFUNCTION("""COMPUTED_VALUE"""),"Garfield")</f>
        <v>Garfield</v>
      </c>
      <c r="L575" s="19"/>
      <c r="M575" s="19"/>
      <c r="N575" s="19" t="str">
        <f>IFERROR(__xludf.DUMMYFUNCTION("""COMPUTED_VALUE"""),"Y")</f>
        <v>Y</v>
      </c>
      <c r="O575" s="19"/>
      <c r="P575" s="19"/>
      <c r="Q575" s="19" t="str">
        <f>IFERROR(__xludf.DUMMYFUNCTION("""COMPUTED_VALUE"""),"No Claims as of 11.24")</f>
        <v>No Claims as of 11.24</v>
      </c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>
      <c r="A576" s="18" t="str">
        <f>IFERROR(__xludf.DUMMYFUNCTION("""COMPUTED_VALUE"""),"7009")</f>
        <v>7009</v>
      </c>
      <c r="B576" s="18" t="str">
        <f>IFERROR(__xludf.DUMMYFUNCTION("""COMPUTED_VALUE"""),"Food Bank of the Rockies Inc.")</f>
        <v>Food Bank of the Rockies Inc.</v>
      </c>
      <c r="C576" s="18" t="str">
        <f>IFERROR(__xludf.DUMMYFUNCTION("""COMPUTED_VALUE"""),"91633")</f>
        <v>91633</v>
      </c>
      <c r="D576" s="18" t="str">
        <f>IFERROR(__xludf.DUMMYFUNCTION("""COMPUTED_VALUE"""),"LiftUP @ Heinze Park")</f>
        <v>LiftUP @ Heinze Park</v>
      </c>
      <c r="E576" s="18" t="str">
        <f>IFERROR(__xludf.DUMMYFUNCTION("""COMPUTED_VALUE"""),"Open")</f>
        <v>Open</v>
      </c>
      <c r="F576" s="18" t="str">
        <f>IFERROR(__xludf.DUMMYFUNCTION("""COMPUTED_VALUE""")," ")</f>
        <v> </v>
      </c>
      <c r="G576" s="18" t="str">
        <f>IFERROR(__xludf.DUMMYFUNCTION("""COMPUTED_VALUE"""),"612 RAILROAD AVE")</f>
        <v>612 RAILROAD AVE</v>
      </c>
      <c r="H576" s="18" t="str">
        <f>IFERROR(__xludf.DUMMYFUNCTION("""COMPUTED_VALUE"""),"RIFLE")</f>
        <v>RIFLE</v>
      </c>
      <c r="I576" s="18" t="str">
        <f>IFERROR(__xludf.DUMMYFUNCTION("""COMPUTED_VALUE"""),"CO")</f>
        <v>CO</v>
      </c>
      <c r="J576" s="18">
        <f>IFERROR(__xludf.DUMMYFUNCTION("""COMPUTED_VALUE"""),81650.0)</f>
        <v>81650</v>
      </c>
      <c r="K576" s="18" t="str">
        <f>IFERROR(__xludf.DUMMYFUNCTION("""COMPUTED_VALUE"""),"Garfield")</f>
        <v>Garfield</v>
      </c>
      <c r="L576" s="19"/>
      <c r="M576" s="19"/>
      <c r="N576" s="19" t="str">
        <f>IFERROR(__xludf.DUMMYFUNCTION("""COMPUTED_VALUE"""),"Y")</f>
        <v>Y</v>
      </c>
      <c r="O576" s="19"/>
      <c r="P576" s="19"/>
      <c r="Q576" s="19" t="str">
        <f>IFERROR(__xludf.DUMMYFUNCTION("""COMPUTED_VALUE"""),"No Claims as of 11.24")</f>
        <v>No Claims as of 11.24</v>
      </c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>
      <c r="A577" s="13" t="str">
        <f>IFERROR(__xludf.DUMMYFUNCTION("""COMPUTED_VALUE"""),"7009")</f>
        <v>7009</v>
      </c>
      <c r="B577" s="13" t="str">
        <f>IFERROR(__xludf.DUMMYFUNCTION("""COMPUTED_VALUE"""),"Food Bank of the Rockies Inc.")</f>
        <v>Food Bank of the Rockies Inc.</v>
      </c>
      <c r="C577" s="13" t="str">
        <f>IFERROR(__xludf.DUMMYFUNCTION("""COMPUTED_VALUE"""),"91639")</f>
        <v>91639</v>
      </c>
      <c r="D577" s="13" t="str">
        <f>IFERROR(__xludf.DUMMYFUNCTION("""COMPUTED_VALUE"""),"Portable Playground @ Community Park")</f>
        <v>Portable Playground @ Community Park</v>
      </c>
      <c r="E577" s="13" t="str">
        <f>IFERROR(__xludf.DUMMYFUNCTION("""COMPUTED_VALUE"""),"Open")</f>
        <v>Open</v>
      </c>
      <c r="F577" s="13"/>
      <c r="G577" s="13" t="str">
        <f>IFERROR(__xludf.DUMMYFUNCTION("""COMPUTED_VALUE"""),"2141 E. 95th Avenue")</f>
        <v>2141 E. 95th Avenue</v>
      </c>
      <c r="H577" s="13" t="str">
        <f>IFERROR(__xludf.DUMMYFUNCTION("""COMPUTED_VALUE"""),"THORNTON")</f>
        <v>THORNTON</v>
      </c>
      <c r="I577" s="13" t="str">
        <f>IFERROR(__xludf.DUMMYFUNCTION("""COMPUTED_VALUE"""),"CO")</f>
        <v>CO</v>
      </c>
      <c r="J577" s="13">
        <f>IFERROR(__xludf.DUMMYFUNCTION("""COMPUTED_VALUE"""),80229.0)</f>
        <v>80229</v>
      </c>
      <c r="K577" s="13" t="str">
        <f>IFERROR(__xludf.DUMMYFUNCTION("""COMPUTED_VALUE"""),"Adams")</f>
        <v>Adams</v>
      </c>
      <c r="L577" s="17"/>
      <c r="M577" s="17"/>
      <c r="N577" s="17" t="str">
        <f>IFERROR(__xludf.DUMMYFUNCTION("""COMPUTED_VALUE"""),"Y")</f>
        <v>Y</v>
      </c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>
      <c r="A578" s="13" t="str">
        <f>IFERROR(__xludf.DUMMYFUNCTION("""COMPUTED_VALUE"""),"7009")</f>
        <v>7009</v>
      </c>
      <c r="B578" s="13" t="str">
        <f>IFERROR(__xludf.DUMMYFUNCTION("""COMPUTED_VALUE"""),"Food Bank of the Rockies Inc.")</f>
        <v>Food Bank of the Rockies Inc.</v>
      </c>
      <c r="C578" s="13" t="str">
        <f>IFERROR(__xludf.DUMMYFUNCTION("""COMPUTED_VALUE"""),"91640")</f>
        <v>91640</v>
      </c>
      <c r="D578" s="13" t="str">
        <f>IFERROR(__xludf.DUMMYFUNCTION("""COMPUTED_VALUE"""),"Boys and Girls Club - Suncor")</f>
        <v>Boys and Girls Club - Suncor</v>
      </c>
      <c r="E578" s="13" t="str">
        <f>IFERROR(__xludf.DUMMYFUNCTION("""COMPUTED_VALUE"""),"Closed - Enrolled")</f>
        <v>Closed - Enrolled</v>
      </c>
      <c r="F578" s="13"/>
      <c r="G578" s="13" t="str">
        <f>IFERROR(__xludf.DUMMYFUNCTION("""COMPUTED_VALUE"""),"6201 Holly St.")</f>
        <v>6201 Holly St.</v>
      </c>
      <c r="H578" s="13" t="str">
        <f>IFERROR(__xludf.DUMMYFUNCTION("""COMPUTED_VALUE"""),"COMMERCE CITY")</f>
        <v>COMMERCE CITY</v>
      </c>
      <c r="I578" s="13" t="str">
        <f>IFERROR(__xludf.DUMMYFUNCTION("""COMPUTED_VALUE"""),"CO")</f>
        <v>CO</v>
      </c>
      <c r="J578" s="13">
        <f>IFERROR(__xludf.DUMMYFUNCTION("""COMPUTED_VALUE"""),80022.0)</f>
        <v>80022</v>
      </c>
      <c r="K578" s="13" t="str">
        <f>IFERROR(__xludf.DUMMYFUNCTION("""COMPUTED_VALUE"""),"Adams")</f>
        <v>Adams</v>
      </c>
      <c r="L578" s="17" t="str">
        <f>IFERROR(__xludf.DUMMYFUNCTION("""COMPUTED_VALUE"""),"Y")</f>
        <v>Y</v>
      </c>
      <c r="M578" s="17"/>
      <c r="N578" s="17" t="str">
        <f>IFERROR(__xludf.DUMMYFUNCTION("""COMPUTED_VALUE"""),"Y")</f>
        <v>Y</v>
      </c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>
      <c r="A579" s="18" t="str">
        <f>IFERROR(__xludf.DUMMYFUNCTION("""COMPUTED_VALUE"""),"7009")</f>
        <v>7009</v>
      </c>
      <c r="B579" s="18" t="str">
        <f>IFERROR(__xludf.DUMMYFUNCTION("""COMPUTED_VALUE"""),"Food Bank of the Rockies Inc.")</f>
        <v>Food Bank of the Rockies Inc.</v>
      </c>
      <c r="C579" s="18" t="str">
        <f>IFERROR(__xludf.DUMMYFUNCTION("""COMPUTED_VALUE"""),"91642")</f>
        <v>91642</v>
      </c>
      <c r="D579" s="18" t="str">
        <f>IFERROR(__xludf.DUMMYFUNCTION("""COMPUTED_VALUE"""),"Boys and Girls Club - Del West Baker School")</f>
        <v>Boys and Girls Club - Del West Baker School</v>
      </c>
      <c r="E579" s="18" t="str">
        <f>IFERROR(__xludf.DUMMYFUNCTION("""COMPUTED_VALUE"""),"Restricted Open")</f>
        <v>Restricted Open</v>
      </c>
      <c r="F579" s="18" t="str">
        <f>IFERROR(__xludf.DUMMYFUNCTION("""COMPUTED_VALUE""")," ")</f>
        <v> </v>
      </c>
      <c r="G579" s="18" t="str">
        <f>IFERROR(__xludf.DUMMYFUNCTION("""COMPUTED_VALUE"""),"3555 W 64TH AVE")</f>
        <v>3555 W 64TH AVE</v>
      </c>
      <c r="H579" s="18" t="str">
        <f>IFERROR(__xludf.DUMMYFUNCTION("""COMPUTED_VALUE"""),"DENVER")</f>
        <v>DENVER</v>
      </c>
      <c r="I579" s="18" t="str">
        <f>IFERROR(__xludf.DUMMYFUNCTION("""COMPUTED_VALUE"""),"CO")</f>
        <v>CO</v>
      </c>
      <c r="J579" s="18" t="str">
        <f>IFERROR(__xludf.DUMMYFUNCTION("""COMPUTED_VALUE"""),"80221-2198")</f>
        <v>80221-2198</v>
      </c>
      <c r="K579" s="18" t="str">
        <f>IFERROR(__xludf.DUMMYFUNCTION("""COMPUTED_VALUE"""),"Denver")</f>
        <v>Denver</v>
      </c>
      <c r="L579" s="19" t="str">
        <f>IFERROR(__xludf.DUMMYFUNCTION("""COMPUTED_VALUE"""),"Y")</f>
        <v>Y</v>
      </c>
      <c r="M579" s="19"/>
      <c r="N579" s="19" t="str">
        <f>IFERROR(__xludf.DUMMYFUNCTION("""COMPUTED_VALUE"""),"Y")</f>
        <v>Y</v>
      </c>
      <c r="O579" s="19"/>
      <c r="P579" s="19"/>
      <c r="Q579" s="19" t="str">
        <f>IFERROR(__xludf.DUMMYFUNCTION("""COMPUTED_VALUE"""),"No Claims as of 11.24")</f>
        <v>No Claims as of 11.24</v>
      </c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>
      <c r="A580" s="18" t="str">
        <f>IFERROR(__xludf.DUMMYFUNCTION("""COMPUTED_VALUE"""),"7009")</f>
        <v>7009</v>
      </c>
      <c r="B580" s="18" t="str">
        <f>IFERROR(__xludf.DUMMYFUNCTION("""COMPUTED_VALUE"""),"Food Bank of the Rockies Inc.")</f>
        <v>Food Bank of the Rockies Inc.</v>
      </c>
      <c r="C580" s="18" t="str">
        <f>IFERROR(__xludf.DUMMYFUNCTION("""COMPUTED_VALUE"""),"91644")</f>
        <v>91644</v>
      </c>
      <c r="D580" s="18" t="str">
        <f>IFERROR(__xludf.DUMMYFUNCTION("""COMPUTED_VALUE"""),"Denver Dream Center")</f>
        <v>Denver Dream Center</v>
      </c>
      <c r="E580" s="18" t="str">
        <f>IFERROR(__xludf.DUMMYFUNCTION("""COMPUTED_VALUE"""),"Closed - Enrolled")</f>
        <v>Closed - Enrolled</v>
      </c>
      <c r="F580" s="18" t="str">
        <f>IFERROR(__xludf.DUMMYFUNCTION("""COMPUTED_VALUE""")," ")</f>
        <v> </v>
      </c>
      <c r="G580" s="18" t="str">
        <f>IFERROR(__xludf.DUMMYFUNCTION("""COMPUTED_VALUE"""),"2165 CURTIS ST")</f>
        <v>2165 CURTIS ST</v>
      </c>
      <c r="H580" s="18" t="str">
        <f>IFERROR(__xludf.DUMMYFUNCTION("""COMPUTED_VALUE"""),"DENVER")</f>
        <v>DENVER</v>
      </c>
      <c r="I580" s="18" t="str">
        <f>IFERROR(__xludf.DUMMYFUNCTION("""COMPUTED_VALUE"""),"CO")</f>
        <v>CO</v>
      </c>
      <c r="J580" s="18" t="str">
        <f>IFERROR(__xludf.DUMMYFUNCTION("""COMPUTED_VALUE"""),"80205-2518")</f>
        <v>80205-2518</v>
      </c>
      <c r="K580" s="18" t="str">
        <f>IFERROR(__xludf.DUMMYFUNCTION("""COMPUTED_VALUE"""),"Denver")</f>
        <v>Denver</v>
      </c>
      <c r="L580" s="19"/>
      <c r="M580" s="19"/>
      <c r="N580" s="19" t="str">
        <f>IFERROR(__xludf.DUMMYFUNCTION("""COMPUTED_VALUE"""),"Y")</f>
        <v>Y</v>
      </c>
      <c r="O580" s="19"/>
      <c r="P580" s="19"/>
      <c r="Q580" s="19" t="str">
        <f>IFERROR(__xludf.DUMMYFUNCTION("""COMPUTED_VALUE"""),"No Claims as of 11.24")</f>
        <v>No Claims as of 11.24</v>
      </c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>
      <c r="A581" s="13" t="str">
        <f>IFERROR(__xludf.DUMMYFUNCTION("""COMPUTED_VALUE"""),"7009")</f>
        <v>7009</v>
      </c>
      <c r="B581" s="13" t="str">
        <f>IFERROR(__xludf.DUMMYFUNCTION("""COMPUTED_VALUE"""),"Food Bank of the Rockies Inc.")</f>
        <v>Food Bank of the Rockies Inc.</v>
      </c>
      <c r="C581" s="13" t="str">
        <f>IFERROR(__xludf.DUMMYFUNCTION("""COMPUTED_VALUE"""),"91646")</f>
        <v>91646</v>
      </c>
      <c r="D581" s="13" t="str">
        <f>IFERROR(__xludf.DUMMYFUNCTION("""COMPUTED_VALUE"""),"CSU Spur @ Johnson Rec Center")</f>
        <v>CSU Spur @ Johnson Rec Center</v>
      </c>
      <c r="E581" s="13" t="str">
        <f>IFERROR(__xludf.DUMMYFUNCTION("""COMPUTED_VALUE"""),"Closed - Enrolled")</f>
        <v>Closed - Enrolled</v>
      </c>
      <c r="F581" s="13"/>
      <c r="G581" s="13" t="str">
        <f>IFERROR(__xludf.DUMMYFUNCTION("""COMPUTED_VALUE"""),"4809 RACE ST")</f>
        <v>4809 RACE ST</v>
      </c>
      <c r="H581" s="13" t="str">
        <f>IFERROR(__xludf.DUMMYFUNCTION("""COMPUTED_VALUE"""),"DENVER")</f>
        <v>DENVER</v>
      </c>
      <c r="I581" s="13" t="str">
        <f>IFERROR(__xludf.DUMMYFUNCTION("""COMPUTED_VALUE"""),"CO")</f>
        <v>CO</v>
      </c>
      <c r="J581" s="13" t="str">
        <f>IFERROR(__xludf.DUMMYFUNCTION("""COMPUTED_VALUE"""),"80216-2213")</f>
        <v>80216-2213</v>
      </c>
      <c r="K581" s="13" t="str">
        <f>IFERROR(__xludf.DUMMYFUNCTION("""COMPUTED_VALUE"""),"Denver")</f>
        <v>Denver</v>
      </c>
      <c r="L581" s="17"/>
      <c r="M581" s="17"/>
      <c r="N581" s="17" t="str">
        <f>IFERROR(__xludf.DUMMYFUNCTION("""COMPUTED_VALUE"""),"Y")</f>
        <v>Y</v>
      </c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>
      <c r="A582" s="18" t="str">
        <f>IFERROR(__xludf.DUMMYFUNCTION("""COMPUTED_VALUE"""),"7009")</f>
        <v>7009</v>
      </c>
      <c r="B582" s="18" t="str">
        <f>IFERROR(__xludf.DUMMYFUNCTION("""COMPUTED_VALUE"""),"Food Bank of the Rockies Inc.")</f>
        <v>Food Bank of the Rockies Inc.</v>
      </c>
      <c r="C582" s="18" t="str">
        <f>IFERROR(__xludf.DUMMYFUNCTION("""COMPUTED_VALUE"""),"91662")</f>
        <v>91662</v>
      </c>
      <c r="D582" s="18" t="str">
        <f>IFERROR(__xludf.DUMMYFUNCTION("""COMPUTED_VALUE"""),"Project Access @ Bridges at 9 Mile")</f>
        <v>Project Access @ Bridges at 9 Mile</v>
      </c>
      <c r="E582" s="18" t="str">
        <f>IFERROR(__xludf.DUMMYFUNCTION("""COMPUTED_VALUE"""),"Closed - Enrolled")</f>
        <v>Closed - Enrolled</v>
      </c>
      <c r="F582" s="18" t="str">
        <f>IFERROR(__xludf.DUMMYFUNCTION("""COMPUTED_VALUE""")," ")</f>
        <v> </v>
      </c>
      <c r="G582" s="18" t="str">
        <f>IFERROR(__xludf.DUMMYFUNCTION("""COMPUTED_VALUE"""),"10025 E GIRARD AVE")</f>
        <v>10025 E GIRARD AVE</v>
      </c>
      <c r="H582" s="18" t="str">
        <f>IFERROR(__xludf.DUMMYFUNCTION("""COMPUTED_VALUE"""),"DENVER")</f>
        <v>DENVER</v>
      </c>
      <c r="I582" s="18" t="str">
        <f>IFERROR(__xludf.DUMMYFUNCTION("""COMPUTED_VALUE"""),"CO")</f>
        <v>CO</v>
      </c>
      <c r="J582" s="18" t="str">
        <f>IFERROR(__xludf.DUMMYFUNCTION("""COMPUTED_VALUE"""),"80231-5554")</f>
        <v>80231-5554</v>
      </c>
      <c r="K582" s="18" t="str">
        <f>IFERROR(__xludf.DUMMYFUNCTION("""COMPUTED_VALUE"""),"Denver")</f>
        <v>Denver</v>
      </c>
      <c r="L582" s="19" t="str">
        <f>IFERROR(__xludf.DUMMYFUNCTION("""COMPUTED_VALUE"""),"Y")</f>
        <v>Y</v>
      </c>
      <c r="M582" s="19"/>
      <c r="N582" s="19" t="str">
        <f>IFERROR(__xludf.DUMMYFUNCTION("""COMPUTED_VALUE"""),"Y")</f>
        <v>Y</v>
      </c>
      <c r="O582" s="19"/>
      <c r="P582" s="19"/>
      <c r="Q582" s="19" t="str">
        <f>IFERROR(__xludf.DUMMYFUNCTION("""COMPUTED_VALUE"""),"No Claims as of 11.24")</f>
        <v>No Claims as of 11.24</v>
      </c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>
      <c r="A583" s="13" t="str">
        <f>IFERROR(__xludf.DUMMYFUNCTION("""COMPUTED_VALUE"""),"7009")</f>
        <v>7009</v>
      </c>
      <c r="B583" s="13" t="str">
        <f>IFERROR(__xludf.DUMMYFUNCTION("""COMPUTED_VALUE"""),"Food Bank of the Rockies Inc.")</f>
        <v>Food Bank of the Rockies Inc.</v>
      </c>
      <c r="C583" s="13" t="str">
        <f>IFERROR(__xludf.DUMMYFUNCTION("""COMPUTED_VALUE"""),"91666")</f>
        <v>91666</v>
      </c>
      <c r="D583" s="13" t="str">
        <f>IFERROR(__xludf.DUMMYFUNCTION("""COMPUTED_VALUE"""),"CSU Spur")</f>
        <v>CSU Spur</v>
      </c>
      <c r="E583" s="13" t="str">
        <f>IFERROR(__xludf.DUMMYFUNCTION("""COMPUTED_VALUE"""),"Closed - Enrolled")</f>
        <v>Closed - Enrolled</v>
      </c>
      <c r="F583" s="13"/>
      <c r="G583" s="13" t="str">
        <f>IFERROR(__xludf.DUMMYFUNCTION("""COMPUTED_VALUE"""),"4777 NATIONAL WESTERN DR")</f>
        <v>4777 NATIONAL WESTERN DR</v>
      </c>
      <c r="H583" s="13" t="str">
        <f>IFERROR(__xludf.DUMMYFUNCTION("""COMPUTED_VALUE"""),"DENVER")</f>
        <v>DENVER</v>
      </c>
      <c r="I583" s="13" t="str">
        <f>IFERROR(__xludf.DUMMYFUNCTION("""COMPUTED_VALUE"""),"CO")</f>
        <v>CO</v>
      </c>
      <c r="J583" s="13" t="str">
        <f>IFERROR(__xludf.DUMMYFUNCTION("""COMPUTED_VALUE"""),"80216-2127")</f>
        <v>80216-2127</v>
      </c>
      <c r="K583" s="13" t="str">
        <f>IFERROR(__xludf.DUMMYFUNCTION("""COMPUTED_VALUE"""),"Denver")</f>
        <v>Denver</v>
      </c>
      <c r="L583" s="17"/>
      <c r="M583" s="17"/>
      <c r="N583" s="17" t="str">
        <f>IFERROR(__xludf.DUMMYFUNCTION("""COMPUTED_VALUE"""),"Y")</f>
        <v>Y</v>
      </c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>
      <c r="A584" s="13" t="str">
        <f>IFERROR(__xludf.DUMMYFUNCTION("""COMPUTED_VALUE"""),"7009")</f>
        <v>7009</v>
      </c>
      <c r="B584" s="13" t="str">
        <f>IFERROR(__xludf.DUMMYFUNCTION("""COMPUTED_VALUE"""),"Food Bank of the Rockies Inc.")</f>
        <v>Food Bank of the Rockies Inc.</v>
      </c>
      <c r="C584" s="13" t="str">
        <f>IFERROR(__xludf.DUMMYFUNCTION("""COMPUTED_VALUE"""),"91668")</f>
        <v>91668</v>
      </c>
      <c r="D584" s="13" t="str">
        <f>IFERROR(__xludf.DUMMYFUNCTION("""COMPUTED_VALUE"""),"Camp Chayos Hakodesh; Congregation Zera Abraham")</f>
        <v>Camp Chayos Hakodesh; Congregation Zera Abraham</v>
      </c>
      <c r="E584" s="13" t="str">
        <f>IFERROR(__xludf.DUMMYFUNCTION("""COMPUTED_VALUE"""),"Closed - Enrolled")</f>
        <v>Closed - Enrolled</v>
      </c>
      <c r="F584" s="13"/>
      <c r="G584" s="13" t="str">
        <f>IFERROR(__xludf.DUMMYFUNCTION("""COMPUTED_VALUE"""),"1560 WINONA CT")</f>
        <v>1560 WINONA CT</v>
      </c>
      <c r="H584" s="13" t="str">
        <f>IFERROR(__xludf.DUMMYFUNCTION("""COMPUTED_VALUE"""),"DENVER")</f>
        <v>DENVER</v>
      </c>
      <c r="I584" s="13" t="str">
        <f>IFERROR(__xludf.DUMMYFUNCTION("""COMPUTED_VALUE"""),"CO")</f>
        <v>CO</v>
      </c>
      <c r="J584" s="13" t="str">
        <f>IFERROR(__xludf.DUMMYFUNCTION("""COMPUTED_VALUE"""),"80204-1143")</f>
        <v>80204-1143</v>
      </c>
      <c r="K584" s="13" t="str">
        <f>IFERROR(__xludf.DUMMYFUNCTION("""COMPUTED_VALUE"""),"Denver")</f>
        <v>Denver</v>
      </c>
      <c r="L584" s="17" t="str">
        <f>IFERROR(__xludf.DUMMYFUNCTION("""COMPUTED_VALUE"""),"Y")</f>
        <v>Y</v>
      </c>
      <c r="M584" s="17"/>
      <c r="N584" s="17"/>
      <c r="O584" s="17" t="str">
        <f>IFERROR(__xludf.DUMMYFUNCTION("""COMPUTED_VALUE"""),"Y")</f>
        <v>Y</v>
      </c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>
      <c r="A585" s="13" t="str">
        <f>IFERROR(__xludf.DUMMYFUNCTION("""COMPUTED_VALUE"""),"7009")</f>
        <v>7009</v>
      </c>
      <c r="B585" s="13" t="str">
        <f>IFERROR(__xludf.DUMMYFUNCTION("""COMPUTED_VALUE"""),"Food Bank of the Rockies Inc.")</f>
        <v>Food Bank of the Rockies Inc.</v>
      </c>
      <c r="C585" s="13" t="str">
        <f>IFERROR(__xludf.DUMMYFUNCTION("""COMPUTED_VALUE"""),"91669")</f>
        <v>91669</v>
      </c>
      <c r="D585" s="13" t="str">
        <f>IFERROR(__xludf.DUMMYFUNCTION("""COMPUTED_VALUE"""),"Camp Gan Israel; Chabad Lubavitch of Colorado")</f>
        <v>Camp Gan Israel; Chabad Lubavitch of Colorado</v>
      </c>
      <c r="E585" s="13" t="str">
        <f>IFERROR(__xludf.DUMMYFUNCTION("""COMPUTED_VALUE"""),"Closed - Enrolled")</f>
        <v>Closed - Enrolled</v>
      </c>
      <c r="F585" s="13"/>
      <c r="G585" s="13" t="str">
        <f>IFERROR(__xludf.DUMMYFUNCTION("""COMPUTED_VALUE"""),"400 S HOLLY ST")</f>
        <v>400 S HOLLY ST</v>
      </c>
      <c r="H585" s="13" t="str">
        <f>IFERROR(__xludf.DUMMYFUNCTION("""COMPUTED_VALUE"""),"DENVER")</f>
        <v>DENVER</v>
      </c>
      <c r="I585" s="13" t="str">
        <f>IFERROR(__xludf.DUMMYFUNCTION("""COMPUTED_VALUE"""),"CO")</f>
        <v>CO</v>
      </c>
      <c r="J585" s="13" t="str">
        <f>IFERROR(__xludf.DUMMYFUNCTION("""COMPUTED_VALUE"""),"80246-1422")</f>
        <v>80246-1422</v>
      </c>
      <c r="K585" s="13" t="str">
        <f>IFERROR(__xludf.DUMMYFUNCTION("""COMPUTED_VALUE"""),"Denver")</f>
        <v>Denver</v>
      </c>
      <c r="L585" s="17" t="str">
        <f>IFERROR(__xludf.DUMMYFUNCTION("""COMPUTED_VALUE"""),"Y")</f>
        <v>Y</v>
      </c>
      <c r="M585" s="17"/>
      <c r="N585" s="17"/>
      <c r="O585" s="17" t="str">
        <f>IFERROR(__xludf.DUMMYFUNCTION("""COMPUTED_VALUE"""),"Y")</f>
        <v>Y</v>
      </c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>
      <c r="A586" s="13" t="str">
        <f>IFERROR(__xludf.DUMMYFUNCTION("""COMPUTED_VALUE"""),"7009")</f>
        <v>7009</v>
      </c>
      <c r="B586" s="13" t="str">
        <f>IFERROR(__xludf.DUMMYFUNCTION("""COMPUTED_VALUE"""),"Food Bank of the Rockies Inc.")</f>
        <v>Food Bank of the Rockies Inc.</v>
      </c>
      <c r="C586" s="13" t="str">
        <f>IFERROR(__xludf.DUMMYFUNCTION("""COMPUTED_VALUE"""),"91670")</f>
        <v>91670</v>
      </c>
      <c r="D586" s="13" t="str">
        <f>IFERROR(__xludf.DUMMYFUNCTION("""COMPUTED_VALUE"""),"Camp Rina; Hilel Academy of Denver")</f>
        <v>Camp Rina; Hilel Academy of Denver</v>
      </c>
      <c r="E586" s="13" t="str">
        <f>IFERROR(__xludf.DUMMYFUNCTION("""COMPUTED_VALUE"""),"Closed - Enrolled")</f>
        <v>Closed - Enrolled</v>
      </c>
      <c r="F586" s="13"/>
      <c r="G586" s="13" t="str">
        <f>IFERROR(__xludf.DUMMYFUNCTION("""COMPUTED_VALUE"""),"450 S HUDSON ST")</f>
        <v>450 S HUDSON ST</v>
      </c>
      <c r="H586" s="13" t="str">
        <f>IFERROR(__xludf.DUMMYFUNCTION("""COMPUTED_VALUE"""),"DENVER")</f>
        <v>DENVER</v>
      </c>
      <c r="I586" s="13" t="str">
        <f>IFERROR(__xludf.DUMMYFUNCTION("""COMPUTED_VALUE"""),"CO")</f>
        <v>CO</v>
      </c>
      <c r="J586" s="13" t="str">
        <f>IFERROR(__xludf.DUMMYFUNCTION("""COMPUTED_VALUE"""),"80246-1428")</f>
        <v>80246-1428</v>
      </c>
      <c r="K586" s="13" t="str">
        <f>IFERROR(__xludf.DUMMYFUNCTION("""COMPUTED_VALUE"""),"Denver")</f>
        <v>Denver</v>
      </c>
      <c r="L586" s="17" t="str">
        <f>IFERROR(__xludf.DUMMYFUNCTION("""COMPUTED_VALUE"""),"Y")</f>
        <v>Y</v>
      </c>
      <c r="M586" s="17"/>
      <c r="N586" s="17"/>
      <c r="O586" s="17" t="str">
        <f>IFERROR(__xludf.DUMMYFUNCTION("""COMPUTED_VALUE"""),"Y")</f>
        <v>Y</v>
      </c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>
      <c r="A587" s="13" t="str">
        <f>IFERROR(__xludf.DUMMYFUNCTION("""COMPUTED_VALUE"""),"7009")</f>
        <v>7009</v>
      </c>
      <c r="B587" s="13" t="str">
        <f>IFERROR(__xludf.DUMMYFUNCTION("""COMPUTED_VALUE"""),"Food Bank of the Rockies Inc.")</f>
        <v>Food Bank of the Rockies Inc.</v>
      </c>
      <c r="C587" s="13" t="str">
        <f>IFERROR(__xludf.DUMMYFUNCTION("""COMPUTED_VALUE"""),"91671")</f>
        <v>91671</v>
      </c>
      <c r="D587" s="13" t="str">
        <f>IFERROR(__xludf.DUMMYFUNCTION("""COMPUTED_VALUE"""),"Denver Jewish Day Camp")</f>
        <v>Denver Jewish Day Camp</v>
      </c>
      <c r="E587" s="13" t="str">
        <f>IFERROR(__xludf.DUMMYFUNCTION("""COMPUTED_VALUE"""),"Closed - Enrolled")</f>
        <v>Closed - Enrolled</v>
      </c>
      <c r="F587" s="13"/>
      <c r="G587" s="13" t="str">
        <f>IFERROR(__xludf.DUMMYFUNCTION("""COMPUTED_VALUE"""),"295 S LOCUST ST")</f>
        <v>295 S LOCUST ST</v>
      </c>
      <c r="H587" s="13" t="str">
        <f>IFERROR(__xludf.DUMMYFUNCTION("""COMPUTED_VALUE"""),"DENVER")</f>
        <v>DENVER</v>
      </c>
      <c r="I587" s="13" t="str">
        <f>IFERROR(__xludf.DUMMYFUNCTION("""COMPUTED_VALUE"""),"CO")</f>
        <v>CO</v>
      </c>
      <c r="J587" s="13" t="str">
        <f>IFERROR(__xludf.DUMMYFUNCTION("""COMPUTED_VALUE"""),"80224-1049")</f>
        <v>80224-1049</v>
      </c>
      <c r="K587" s="13" t="str">
        <f>IFERROR(__xludf.DUMMYFUNCTION("""COMPUTED_VALUE"""),"Denver")</f>
        <v>Denver</v>
      </c>
      <c r="L587" s="17" t="str">
        <f>IFERROR(__xludf.DUMMYFUNCTION("""COMPUTED_VALUE"""),"Y")</f>
        <v>Y</v>
      </c>
      <c r="M587" s="17"/>
      <c r="N587" s="17"/>
      <c r="O587" s="17" t="str">
        <f>IFERROR(__xludf.DUMMYFUNCTION("""COMPUTED_VALUE"""),"Y")</f>
        <v>Y</v>
      </c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>
      <c r="A588" s="18" t="str">
        <f>IFERROR(__xludf.DUMMYFUNCTION("""COMPUTED_VALUE"""),"7009")</f>
        <v>7009</v>
      </c>
      <c r="B588" s="18" t="str">
        <f>IFERROR(__xludf.DUMMYFUNCTION("""COMPUTED_VALUE"""),"Food Bank of the Rockies Inc.")</f>
        <v>Food Bank of the Rockies Inc.</v>
      </c>
      <c r="C588" s="18" t="str">
        <f>IFERROR(__xludf.DUMMYFUNCTION("""COMPUTED_VALUE"""),"91760")</f>
        <v>91760</v>
      </c>
      <c r="D588" s="18" t="str">
        <f>IFERROR(__xludf.DUMMYFUNCTION("""COMPUTED_VALUE"""),"10Four Youth Organization")</f>
        <v>10Four Youth Organization</v>
      </c>
      <c r="E588" s="18" t="str">
        <f>IFERROR(__xludf.DUMMYFUNCTION("""COMPUTED_VALUE"""),"Closed - Enrolled")</f>
        <v>Closed - Enrolled</v>
      </c>
      <c r="F588" s="18" t="str">
        <f>IFERROR(__xludf.DUMMYFUNCTION("""COMPUTED_VALUE""")," ")</f>
        <v> </v>
      </c>
      <c r="G588" s="18" t="str">
        <f>IFERROR(__xludf.DUMMYFUNCTION("""COMPUTED_VALUE"""),"2102 N MARION ST")</f>
        <v>2102 N MARION ST</v>
      </c>
      <c r="H588" s="18" t="str">
        <f>IFERROR(__xludf.DUMMYFUNCTION("""COMPUTED_VALUE"""),"DENVER")</f>
        <v>DENVER</v>
      </c>
      <c r="I588" s="18" t="str">
        <f>IFERROR(__xludf.DUMMYFUNCTION("""COMPUTED_VALUE"""),"CO")</f>
        <v>CO</v>
      </c>
      <c r="J588" s="18" t="str">
        <f>IFERROR(__xludf.DUMMYFUNCTION("""COMPUTED_VALUE"""),"80205-5245")</f>
        <v>80205-5245</v>
      </c>
      <c r="K588" s="18" t="str">
        <f>IFERROR(__xludf.DUMMYFUNCTION("""COMPUTED_VALUE"""),"Denver")</f>
        <v>Denver</v>
      </c>
      <c r="L588" s="19"/>
      <c r="M588" s="19"/>
      <c r="N588" s="19"/>
      <c r="O588" s="19"/>
      <c r="P588" s="19" t="str">
        <f>IFERROR(__xludf.DUMMYFUNCTION("""COMPUTED_VALUE"""),"Y")</f>
        <v>Y</v>
      </c>
      <c r="Q588" s="19" t="str">
        <f>IFERROR(__xludf.DUMMYFUNCTION("""COMPUTED_VALUE"""),"No Claims as of 11.24")</f>
        <v>No Claims as of 11.24</v>
      </c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>
      <c r="A589" s="13" t="str">
        <f>IFERROR(__xludf.DUMMYFUNCTION("""COMPUTED_VALUE"""),"7009")</f>
        <v>7009</v>
      </c>
      <c r="B589" s="13" t="str">
        <f>IFERROR(__xludf.DUMMYFUNCTION("""COMPUTED_VALUE"""),"Food Bank of the Rockies Inc.")</f>
        <v>Food Bank of the Rockies Inc.</v>
      </c>
      <c r="C589" s="13" t="str">
        <f>IFERROR(__xludf.DUMMYFUNCTION("""COMPUTED_VALUE"""),"91817")</f>
        <v>91817</v>
      </c>
      <c r="D589" s="13" t="str">
        <f>IFERROR(__xludf.DUMMYFUNCTION("""COMPUTED_VALUE"""),"Novi at Lowry Apartments")</f>
        <v>Novi at Lowry Apartments</v>
      </c>
      <c r="E589" s="13" t="str">
        <f>IFERROR(__xludf.DUMMYFUNCTION("""COMPUTED_VALUE"""),"Closed - Enrolled")</f>
        <v>Closed - Enrolled</v>
      </c>
      <c r="F589" s="13"/>
      <c r="G589" s="13" t="str">
        <f>IFERROR(__xludf.DUMMYFUNCTION("""COMPUTED_VALUE"""),"8000 E 12TH AVE")</f>
        <v>8000 E 12TH AVE</v>
      </c>
      <c r="H589" s="13" t="str">
        <f>IFERROR(__xludf.DUMMYFUNCTION("""COMPUTED_VALUE"""),"DENVER")</f>
        <v>DENVER</v>
      </c>
      <c r="I589" s="13" t="str">
        <f>IFERROR(__xludf.DUMMYFUNCTION("""COMPUTED_VALUE"""),"CO")</f>
        <v>CO</v>
      </c>
      <c r="J589" s="13" t="str">
        <f>IFERROR(__xludf.DUMMYFUNCTION("""COMPUTED_VALUE"""),"80220-3300")</f>
        <v>80220-3300</v>
      </c>
      <c r="K589" s="13" t="str">
        <f>IFERROR(__xludf.DUMMYFUNCTION("""COMPUTED_VALUE"""),"Denver")</f>
        <v>Denver</v>
      </c>
      <c r="L589" s="17"/>
      <c r="M589" s="17"/>
      <c r="N589" s="17" t="str">
        <f>IFERROR(__xludf.DUMMYFUNCTION("""COMPUTED_VALUE"""),"Y")</f>
        <v>Y</v>
      </c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>
      <c r="A590" s="13" t="str">
        <f>IFERROR(__xludf.DUMMYFUNCTION("""COMPUTED_VALUE"""),"7009")</f>
        <v>7009</v>
      </c>
      <c r="B590" s="13" t="str">
        <f>IFERROR(__xludf.DUMMYFUNCTION("""COMPUTED_VALUE"""),"Food Bank of the Rockies Inc.")</f>
        <v>Food Bank of the Rockies Inc.</v>
      </c>
      <c r="C590" s="13" t="str">
        <f>IFERROR(__xludf.DUMMYFUNCTION("""COMPUTED_VALUE"""),"91818")</f>
        <v>91818</v>
      </c>
      <c r="D590" s="13" t="str">
        <f>IFERROR(__xludf.DUMMYFUNCTION("""COMPUTED_VALUE"""),"Westbury Apartments")</f>
        <v>Westbury Apartments</v>
      </c>
      <c r="E590" s="13" t="str">
        <f>IFERROR(__xludf.DUMMYFUNCTION("""COMPUTED_VALUE"""),"Closed - Enrolled")</f>
        <v>Closed - Enrolled</v>
      </c>
      <c r="F590" s="13"/>
      <c r="G590" s="13" t="str">
        <f>IFERROR(__xludf.DUMMYFUNCTION("""COMPUTED_VALUE"""),"1585 W 115TH AVE")</f>
        <v>1585 W 115TH AVE</v>
      </c>
      <c r="H590" s="13" t="str">
        <f>IFERROR(__xludf.DUMMYFUNCTION("""COMPUTED_VALUE"""),"WESTMINSTER")</f>
        <v>WESTMINSTER</v>
      </c>
      <c r="I590" s="13" t="str">
        <f>IFERROR(__xludf.DUMMYFUNCTION("""COMPUTED_VALUE"""),"CO")</f>
        <v>CO</v>
      </c>
      <c r="J590" s="13" t="str">
        <f>IFERROR(__xludf.DUMMYFUNCTION("""COMPUTED_VALUE"""),"80234-2885")</f>
        <v>80234-2885</v>
      </c>
      <c r="K590" s="13" t="str">
        <f>IFERROR(__xludf.DUMMYFUNCTION("""COMPUTED_VALUE"""),"Adams")</f>
        <v>Adams</v>
      </c>
      <c r="L590" s="17"/>
      <c r="M590" s="17"/>
      <c r="N590" s="17" t="str">
        <f>IFERROR(__xludf.DUMMYFUNCTION("""COMPUTED_VALUE"""),"Y")</f>
        <v>Y</v>
      </c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>
      <c r="A591" s="13" t="str">
        <f>IFERROR(__xludf.DUMMYFUNCTION("""COMPUTED_VALUE"""),"7009")</f>
        <v>7009</v>
      </c>
      <c r="B591" s="13" t="str">
        <f>IFERROR(__xludf.DUMMYFUNCTION("""COMPUTED_VALUE"""),"Food Bank of the Rockies Inc.")</f>
        <v>Food Bank of the Rockies Inc.</v>
      </c>
      <c r="C591" s="13" t="str">
        <f>IFERROR(__xludf.DUMMYFUNCTION("""COMPUTED_VALUE"""),"91831")</f>
        <v>91831</v>
      </c>
      <c r="D591" s="13" t="str">
        <f>IFERROR(__xludf.DUMMYFUNCTION("""COMPUTED_VALUE"""),"Boys and Girls Club - Lasley")</f>
        <v>Boys and Girls Club - Lasley</v>
      </c>
      <c r="E591" s="13" t="str">
        <f>IFERROR(__xludf.DUMMYFUNCTION("""COMPUTED_VALUE"""),"Open")</f>
        <v>Open</v>
      </c>
      <c r="F591" s="13"/>
      <c r="G591" s="13" t="str">
        <f>IFERROR(__xludf.DUMMYFUNCTION("""COMPUTED_VALUE"""),"1401 S KENDALL ST")</f>
        <v>1401 S KENDALL ST</v>
      </c>
      <c r="H591" s="13" t="str">
        <f>IFERROR(__xludf.DUMMYFUNCTION("""COMPUTED_VALUE"""),"LAKEWOOD")</f>
        <v>LAKEWOOD</v>
      </c>
      <c r="I591" s="13" t="str">
        <f>IFERROR(__xludf.DUMMYFUNCTION("""COMPUTED_VALUE"""),"CO")</f>
        <v>CO</v>
      </c>
      <c r="J591" s="13" t="str">
        <f>IFERROR(__xludf.DUMMYFUNCTION("""COMPUTED_VALUE"""),"80232-5748")</f>
        <v>80232-5748</v>
      </c>
      <c r="K591" s="13" t="str">
        <f>IFERROR(__xludf.DUMMYFUNCTION("""COMPUTED_VALUE"""),"Jefferson")</f>
        <v>Jefferson</v>
      </c>
      <c r="L591" s="17" t="str">
        <f>IFERROR(__xludf.DUMMYFUNCTION("""COMPUTED_VALUE"""),"Y")</f>
        <v>Y</v>
      </c>
      <c r="M591" s="17"/>
      <c r="N591" s="17" t="str">
        <f>IFERROR(__xludf.DUMMYFUNCTION("""COMPUTED_VALUE"""),"Y")</f>
        <v>Y</v>
      </c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>
      <c r="A592" s="13" t="str">
        <f>IFERROR(__xludf.DUMMYFUNCTION("""COMPUTED_VALUE"""),"7009")</f>
        <v>7009</v>
      </c>
      <c r="B592" s="13" t="str">
        <f>IFERROR(__xludf.DUMMYFUNCTION("""COMPUTED_VALUE"""),"Food Bank of the Rockies Inc.")</f>
        <v>Food Bank of the Rockies Inc.</v>
      </c>
      <c r="C592" s="13" t="str">
        <f>IFERROR(__xludf.DUMMYFUNCTION("""COMPUTED_VALUE"""),"91849")</f>
        <v>91849</v>
      </c>
      <c r="D592" s="13" t="str">
        <f>IFERROR(__xludf.DUMMYFUNCTION("""COMPUTED_VALUE"""),"Copperwood Apartments")</f>
        <v>Copperwood Apartments</v>
      </c>
      <c r="E592" s="13" t="str">
        <f>IFERROR(__xludf.DUMMYFUNCTION("""COMPUTED_VALUE"""),"Closed - Enrolled")</f>
        <v>Closed - Enrolled</v>
      </c>
      <c r="F592" s="13"/>
      <c r="G592" s="13" t="str">
        <f>IFERROR(__xludf.DUMMYFUNCTION("""COMPUTED_VALUE"""),"8200 SHERIDAN BLVD")</f>
        <v>8200 SHERIDAN BLVD</v>
      </c>
      <c r="H592" s="13" t="str">
        <f>IFERROR(__xludf.DUMMYFUNCTION("""COMPUTED_VALUE"""),"WESTMINSTER")</f>
        <v>WESTMINSTER</v>
      </c>
      <c r="I592" s="13" t="str">
        <f>IFERROR(__xludf.DUMMYFUNCTION("""COMPUTED_VALUE"""),"CO")</f>
        <v>CO</v>
      </c>
      <c r="J592" s="13" t="str">
        <f>IFERROR(__xludf.DUMMYFUNCTION("""COMPUTED_VALUE"""),"80003-6135")</f>
        <v>80003-6135</v>
      </c>
      <c r="K592" s="13" t="str">
        <f>IFERROR(__xludf.DUMMYFUNCTION("""COMPUTED_VALUE"""),"Adams")</f>
        <v>Adams</v>
      </c>
      <c r="L592" s="17"/>
      <c r="M592" s="17"/>
      <c r="N592" s="17" t="str">
        <f>IFERROR(__xludf.DUMMYFUNCTION("""COMPUTED_VALUE"""),"Y")</f>
        <v>Y</v>
      </c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>
      <c r="A593" s="13" t="str">
        <f>IFERROR(__xludf.DUMMYFUNCTION("""COMPUTED_VALUE"""),"7009")</f>
        <v>7009</v>
      </c>
      <c r="B593" s="13" t="str">
        <f>IFERROR(__xludf.DUMMYFUNCTION("""COMPUTED_VALUE"""),"Food Bank of the Rockies Inc.")</f>
        <v>Food Bank of the Rockies Inc.</v>
      </c>
      <c r="C593" s="13" t="str">
        <f>IFERROR(__xludf.DUMMYFUNCTION("""COMPUTED_VALUE"""),"91850")</f>
        <v>91850</v>
      </c>
      <c r="D593" s="13" t="str">
        <f>IFERROR(__xludf.DUMMYFUNCTION("""COMPUTED_VALUE"""),"Elm at Panorama Apartments")</f>
        <v>Elm at Panorama Apartments</v>
      </c>
      <c r="E593" s="13" t="str">
        <f>IFERROR(__xludf.DUMMYFUNCTION("""COMPUTED_VALUE"""),"Closed - Enrolled")</f>
        <v>Closed - Enrolled</v>
      </c>
      <c r="F593" s="13"/>
      <c r="G593" s="13" t="str">
        <f>IFERROR(__xludf.DUMMYFUNCTION("""COMPUTED_VALUE"""),"10050 E HARVARD AVE")</f>
        <v>10050 E HARVARD AVE</v>
      </c>
      <c r="H593" s="13" t="str">
        <f>IFERROR(__xludf.DUMMYFUNCTION("""COMPUTED_VALUE"""),"DENVER")</f>
        <v>DENVER</v>
      </c>
      <c r="I593" s="13" t="str">
        <f>IFERROR(__xludf.DUMMYFUNCTION("""COMPUTED_VALUE"""),"CO")</f>
        <v>CO</v>
      </c>
      <c r="J593" s="13" t="str">
        <f>IFERROR(__xludf.DUMMYFUNCTION("""COMPUTED_VALUE"""),"80231-3923")</f>
        <v>80231-3923</v>
      </c>
      <c r="K593" s="13" t="str">
        <f>IFERROR(__xludf.DUMMYFUNCTION("""COMPUTED_VALUE"""),"Denver")</f>
        <v>Denver</v>
      </c>
      <c r="L593" s="17"/>
      <c r="M593" s="17"/>
      <c r="N593" s="17" t="str">
        <f>IFERROR(__xludf.DUMMYFUNCTION("""COMPUTED_VALUE"""),"Y")</f>
        <v>Y</v>
      </c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>
      <c r="A594" s="13" t="str">
        <f>IFERROR(__xludf.DUMMYFUNCTION("""COMPUTED_VALUE"""),"7009")</f>
        <v>7009</v>
      </c>
      <c r="B594" s="13" t="str">
        <f>IFERROR(__xludf.DUMMYFUNCTION("""COMPUTED_VALUE"""),"Food Bank of the Rockies Inc.")</f>
        <v>Food Bank of the Rockies Inc.</v>
      </c>
      <c r="C594" s="13" t="str">
        <f>IFERROR(__xludf.DUMMYFUNCTION("""COMPUTED_VALUE"""),"91851")</f>
        <v>91851</v>
      </c>
      <c r="D594" s="13" t="str">
        <f>IFERROR(__xludf.DUMMYFUNCTION("""COMPUTED_VALUE"""),"Park Place at 92nd Apartments")</f>
        <v>Park Place at 92nd Apartments</v>
      </c>
      <c r="E594" s="13" t="str">
        <f>IFERROR(__xludf.DUMMYFUNCTION("""COMPUTED_VALUE"""),"Closed - Enrolled")</f>
        <v>Closed - Enrolled</v>
      </c>
      <c r="F594" s="13"/>
      <c r="G594" s="13" t="str">
        <f>IFERROR(__xludf.DUMMYFUNCTION("""COMPUTED_VALUE"""),"9081 FEDERAL BLVD")</f>
        <v>9081 FEDERAL BLVD</v>
      </c>
      <c r="H594" s="13" t="str">
        <f>IFERROR(__xludf.DUMMYFUNCTION("""COMPUTED_VALUE"""),"WESTMINSTER")</f>
        <v>WESTMINSTER</v>
      </c>
      <c r="I594" s="13" t="str">
        <f>IFERROR(__xludf.DUMMYFUNCTION("""COMPUTED_VALUE"""),"CO")</f>
        <v>CO</v>
      </c>
      <c r="J594" s="13" t="str">
        <f>IFERROR(__xludf.DUMMYFUNCTION("""COMPUTED_VALUE"""),"80260-7422")</f>
        <v>80260-7422</v>
      </c>
      <c r="K594" s="13" t="str">
        <f>IFERROR(__xludf.DUMMYFUNCTION("""COMPUTED_VALUE"""),"Adams")</f>
        <v>Adams</v>
      </c>
      <c r="L594" s="17"/>
      <c r="M594" s="17"/>
      <c r="N594" s="17" t="str">
        <f>IFERROR(__xludf.DUMMYFUNCTION("""COMPUTED_VALUE"""),"Y")</f>
        <v>Y</v>
      </c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>
      <c r="A595" s="13" t="str">
        <f>IFERROR(__xludf.DUMMYFUNCTION("""COMPUTED_VALUE"""),"7009")</f>
        <v>7009</v>
      </c>
      <c r="B595" s="13" t="str">
        <f>IFERROR(__xludf.DUMMYFUNCTION("""COMPUTED_VALUE"""),"Food Bank of the Rockies Inc.")</f>
        <v>Food Bank of the Rockies Inc.</v>
      </c>
      <c r="C595" s="13" t="str">
        <f>IFERROR(__xludf.DUMMYFUNCTION("""COMPUTED_VALUE"""),"91852")</f>
        <v>91852</v>
      </c>
      <c r="D595" s="13" t="str">
        <f>IFERROR(__xludf.DUMMYFUNCTION("""COMPUTED_VALUE"""),"Tuscan Heights Apartments")</f>
        <v>Tuscan Heights Apartments</v>
      </c>
      <c r="E595" s="13" t="str">
        <f>IFERROR(__xludf.DUMMYFUNCTION("""COMPUTED_VALUE"""),"Closed - Enrolled")</f>
        <v>Closed - Enrolled</v>
      </c>
      <c r="F595" s="13"/>
      <c r="G595" s="13" t="str">
        <f>IFERROR(__xludf.DUMMYFUNCTION("""COMPUTED_VALUE"""),"1800 W 85TH AVE")</f>
        <v>1800 W 85TH AVE</v>
      </c>
      <c r="H595" s="13" t="str">
        <f>IFERROR(__xludf.DUMMYFUNCTION("""COMPUTED_VALUE"""),"DENVER")</f>
        <v>DENVER</v>
      </c>
      <c r="I595" s="13" t="str">
        <f>IFERROR(__xludf.DUMMYFUNCTION("""COMPUTED_VALUE"""),"CO")</f>
        <v>CO</v>
      </c>
      <c r="J595" s="13" t="str">
        <f>IFERROR(__xludf.DUMMYFUNCTION("""COMPUTED_VALUE"""),"80260-5039")</f>
        <v>80260-5039</v>
      </c>
      <c r="K595" s="13" t="str">
        <f>IFERROR(__xludf.DUMMYFUNCTION("""COMPUTED_VALUE"""),"Adams")</f>
        <v>Adams</v>
      </c>
      <c r="L595" s="17"/>
      <c r="M595" s="17"/>
      <c r="N595" s="17" t="str">
        <f>IFERROR(__xludf.DUMMYFUNCTION("""COMPUTED_VALUE"""),"Y")</f>
        <v>Y</v>
      </c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>
      <c r="A596" s="13" t="str">
        <f>IFERROR(__xludf.DUMMYFUNCTION("""COMPUTED_VALUE"""),"7009")</f>
        <v>7009</v>
      </c>
      <c r="B596" s="13" t="str">
        <f>IFERROR(__xludf.DUMMYFUNCTION("""COMPUTED_VALUE"""),"Food Bank of the Rockies Inc.")</f>
        <v>Food Bank of the Rockies Inc.</v>
      </c>
      <c r="C596" s="13" t="str">
        <f>IFERROR(__xludf.DUMMYFUNCTION("""COMPUTED_VALUE"""),"91853")</f>
        <v>91853</v>
      </c>
      <c r="D596" s="13" t="str">
        <f>IFERROR(__xludf.DUMMYFUNCTION("""COMPUTED_VALUE"""),"Colorado East Community Action Agency")</f>
        <v>Colorado East Community Action Agency</v>
      </c>
      <c r="E596" s="13" t="str">
        <f>IFERROR(__xludf.DUMMYFUNCTION("""COMPUTED_VALUE"""),"Closed - Enrolled")</f>
        <v>Closed - Enrolled</v>
      </c>
      <c r="F596" s="13" t="str">
        <f>IFERROR(__xludf.DUMMYFUNCTION("""COMPUTED_VALUE"""),"Non-congregate")</f>
        <v>Non-congregate</v>
      </c>
      <c r="G596" s="13" t="str">
        <f>IFERROR(__xludf.DUMMYFUNCTION("""COMPUTED_VALUE"""),"183 E AVE")</f>
        <v>183 E AVE</v>
      </c>
      <c r="H596" s="13" t="str">
        <f>IFERROR(__xludf.DUMMYFUNCTION("""COMPUTED_VALUE"""),"LIMON")</f>
        <v>LIMON</v>
      </c>
      <c r="I596" s="13" t="str">
        <f>IFERROR(__xludf.DUMMYFUNCTION("""COMPUTED_VALUE"""),"CO")</f>
        <v>CO</v>
      </c>
      <c r="J596" s="13">
        <f>IFERROR(__xludf.DUMMYFUNCTION("""COMPUTED_VALUE"""),80828.0)</f>
        <v>80828</v>
      </c>
      <c r="K596" s="13" t="str">
        <f>IFERROR(__xludf.DUMMYFUNCTION("""COMPUTED_VALUE"""),"Lincoln")</f>
        <v>Lincoln</v>
      </c>
      <c r="L596" s="17"/>
      <c r="M596" s="17"/>
      <c r="N596" s="17" t="str">
        <f>IFERROR(__xludf.DUMMYFUNCTION("""COMPUTED_VALUE"""),"Y")</f>
        <v>Y</v>
      </c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>
      <c r="A597" s="18" t="str">
        <f>IFERROR(__xludf.DUMMYFUNCTION("""COMPUTED_VALUE"""),"7009")</f>
        <v>7009</v>
      </c>
      <c r="B597" s="18" t="str">
        <f>IFERROR(__xludf.DUMMYFUNCTION("""COMPUTED_VALUE"""),"Food Bank of the Rockies Inc.")</f>
        <v>Food Bank of the Rockies Inc.</v>
      </c>
      <c r="C597" s="18" t="str">
        <f>IFERROR(__xludf.DUMMYFUNCTION("""COMPUTED_VALUE"""),"91854")</f>
        <v>91854</v>
      </c>
      <c r="D597" s="18" t="str">
        <f>IFERROR(__xludf.DUMMYFUNCTION("""COMPUTED_VALUE"""),"CSU Spur Single-Week Programs")</f>
        <v>CSU Spur Single-Week Programs</v>
      </c>
      <c r="E597" s="18" t="str">
        <f>IFERROR(__xludf.DUMMYFUNCTION("""COMPUTED_VALUE"""),"Closed - Enrolled")</f>
        <v>Closed - Enrolled</v>
      </c>
      <c r="F597" s="18" t="str">
        <f>IFERROR(__xludf.DUMMYFUNCTION("""COMPUTED_VALUE""")," ")</f>
        <v> </v>
      </c>
      <c r="G597" s="18" t="str">
        <f>IFERROR(__xludf.DUMMYFUNCTION("""COMPUTED_VALUE"""),"4777 NATIONAL WESTERN DR")</f>
        <v>4777 NATIONAL WESTERN DR</v>
      </c>
      <c r="H597" s="18" t="str">
        <f>IFERROR(__xludf.DUMMYFUNCTION("""COMPUTED_VALUE"""),"DENVER")</f>
        <v>DENVER</v>
      </c>
      <c r="I597" s="18" t="str">
        <f>IFERROR(__xludf.DUMMYFUNCTION("""COMPUTED_VALUE"""),"CO")</f>
        <v>CO</v>
      </c>
      <c r="J597" s="18" t="str">
        <f>IFERROR(__xludf.DUMMYFUNCTION("""COMPUTED_VALUE"""),"80216-2127")</f>
        <v>80216-2127</v>
      </c>
      <c r="K597" s="18" t="str">
        <f>IFERROR(__xludf.DUMMYFUNCTION("""COMPUTED_VALUE"""),"Denver")</f>
        <v>Denver</v>
      </c>
      <c r="L597" s="19"/>
      <c r="M597" s="19"/>
      <c r="N597" s="19" t="str">
        <f>IFERROR(__xludf.DUMMYFUNCTION("""COMPUTED_VALUE"""),"Y")</f>
        <v>Y</v>
      </c>
      <c r="O597" s="19"/>
      <c r="P597" s="19"/>
      <c r="Q597" s="19" t="str">
        <f>IFERROR(__xludf.DUMMYFUNCTION("""COMPUTED_VALUE"""),"No Claims as of 11.24")</f>
        <v>No Claims as of 11.24</v>
      </c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>
      <c r="A598" s="13" t="str">
        <f>IFERROR(__xludf.DUMMYFUNCTION("""COMPUTED_VALUE"""),"7009")</f>
        <v>7009</v>
      </c>
      <c r="B598" s="13" t="str">
        <f>IFERROR(__xludf.DUMMYFUNCTION("""COMPUTED_VALUE"""),"Food Bank of the Rockies Inc.")</f>
        <v>Food Bank of the Rockies Inc.</v>
      </c>
      <c r="C598" s="13" t="str">
        <f>IFERROR(__xludf.DUMMYFUNCTION("""COMPUTED_VALUE"""),"91862")</f>
        <v>91862</v>
      </c>
      <c r="D598" s="13" t="str">
        <f>IFERROR(__xludf.DUMMYFUNCTION("""COMPUTED_VALUE"""),"Penrose Community Library")</f>
        <v>Penrose Community Library</v>
      </c>
      <c r="E598" s="13" t="str">
        <f>IFERROR(__xludf.DUMMYFUNCTION("""COMPUTED_VALUE"""),"Open")</f>
        <v>Open</v>
      </c>
      <c r="F598" s="13" t="str">
        <f>IFERROR(__xludf.DUMMYFUNCTION("""COMPUTED_VALUE"""),"Non-congregate")</f>
        <v>Non-congregate</v>
      </c>
      <c r="G598" s="13" t="str">
        <f>IFERROR(__xludf.DUMMYFUNCTION("""COMPUTED_VALUE"""),"35 7TH AVE")</f>
        <v>35 7TH AVE</v>
      </c>
      <c r="H598" s="13" t="str">
        <f>IFERROR(__xludf.DUMMYFUNCTION("""COMPUTED_VALUE"""),"PENROSE")</f>
        <v>PENROSE</v>
      </c>
      <c r="I598" s="13" t="str">
        <f>IFERROR(__xludf.DUMMYFUNCTION("""COMPUTED_VALUE"""),"CO")</f>
        <v>CO</v>
      </c>
      <c r="J598" s="13" t="str">
        <f>IFERROR(__xludf.DUMMYFUNCTION("""COMPUTED_VALUE"""),"81240-9038")</f>
        <v>81240-9038</v>
      </c>
      <c r="K598" s="13" t="str">
        <f>IFERROR(__xludf.DUMMYFUNCTION("""COMPUTED_VALUE"""),"Fremont")</f>
        <v>Fremont</v>
      </c>
      <c r="L598" s="17"/>
      <c r="M598" s="17"/>
      <c r="N598" s="17" t="str">
        <f>IFERROR(__xludf.DUMMYFUNCTION("""COMPUTED_VALUE"""),"Y")</f>
        <v>Y</v>
      </c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>
      <c r="A599" s="18" t="str">
        <f>IFERROR(__xludf.DUMMYFUNCTION("""COMPUTED_VALUE"""),"7009")</f>
        <v>7009</v>
      </c>
      <c r="B599" s="18" t="str">
        <f>IFERROR(__xludf.DUMMYFUNCTION("""COMPUTED_VALUE"""),"Food Bank of the Rockies Inc.")</f>
        <v>Food Bank of the Rockies Inc.</v>
      </c>
      <c r="C599" s="18" t="str">
        <f>IFERROR(__xludf.DUMMYFUNCTION("""COMPUTED_VALUE"""),"91879")</f>
        <v>91879</v>
      </c>
      <c r="D599" s="18" t="str">
        <f>IFERROR(__xludf.DUMMYFUNCTION("""COMPUTED_VALUE"""),"Ariel Clinical Services")</f>
        <v>Ariel Clinical Services</v>
      </c>
      <c r="E599" s="18" t="str">
        <f>IFERROR(__xludf.DUMMYFUNCTION("""COMPUTED_VALUE"""),"Closed - Enrolled")</f>
        <v>Closed - Enrolled</v>
      </c>
      <c r="F599" s="18" t="str">
        <f>IFERROR(__xludf.DUMMYFUNCTION("""COMPUTED_VALUE""")," ")</f>
        <v> </v>
      </c>
      <c r="G599" s="18" t="str">
        <f>IFERROR(__xludf.DUMMYFUNCTION("""COMPUTED_VALUE"""),"3241 F 1/4 RD")</f>
        <v>3241 F 1/4 RD</v>
      </c>
      <c r="H599" s="18" t="str">
        <f>IFERROR(__xludf.DUMMYFUNCTION("""COMPUTED_VALUE"""),"CLIFTON")</f>
        <v>CLIFTON</v>
      </c>
      <c r="I599" s="18" t="str">
        <f>IFERROR(__xludf.DUMMYFUNCTION("""COMPUTED_VALUE"""),"CO")</f>
        <v>CO</v>
      </c>
      <c r="J599" s="18" t="str">
        <f>IFERROR(__xludf.DUMMYFUNCTION("""COMPUTED_VALUE"""),"81520-7404")</f>
        <v>81520-7404</v>
      </c>
      <c r="K599" s="18" t="str">
        <f>IFERROR(__xludf.DUMMYFUNCTION("""COMPUTED_VALUE"""),"Mesa")</f>
        <v>Mesa</v>
      </c>
      <c r="L599" s="19"/>
      <c r="M599" s="19"/>
      <c r="N599" s="19" t="str">
        <f>IFERROR(__xludf.DUMMYFUNCTION("""COMPUTED_VALUE"""),"Y")</f>
        <v>Y</v>
      </c>
      <c r="O599" s="19"/>
      <c r="P599" s="19"/>
      <c r="Q599" s="19" t="str">
        <f>IFERROR(__xludf.DUMMYFUNCTION("""COMPUTED_VALUE"""),"No Claims as of 11.24")</f>
        <v>No Claims as of 11.24</v>
      </c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>
      <c r="A600" s="13" t="str">
        <f>IFERROR(__xludf.DUMMYFUNCTION("""COMPUTED_VALUE"""),"7010")</f>
        <v>7010</v>
      </c>
      <c r="B600" s="13" t="str">
        <f>IFERROR(__xludf.DUMMYFUNCTION("""COMPUTED_VALUE"""),"Food Bank for Larimer County")</f>
        <v>Food Bank for Larimer County</v>
      </c>
      <c r="C600" s="13" t="str">
        <f>IFERROR(__xludf.DUMMYFUNCTION("""COMPUTED_VALUE"""),"00565")</f>
        <v>00565</v>
      </c>
      <c r="D600" s="13" t="str">
        <f>IFERROR(__xludf.DUMMYFUNCTION("""COMPUTED_VALUE"""),"Boys &amp; Girls Club at Lincoln")</f>
        <v>Boys &amp; Girls Club at Lincoln</v>
      </c>
      <c r="E600" s="13" t="str">
        <f>IFERROR(__xludf.DUMMYFUNCTION("""COMPUTED_VALUE"""),"Closed - Enrolled")</f>
        <v>Closed - Enrolled</v>
      </c>
      <c r="F600" s="13"/>
      <c r="G600" s="13" t="str">
        <f>IFERROR(__xludf.DUMMYFUNCTION("""COMPUTED_VALUE"""),"1600 LANCER DR")</f>
        <v>1600 LANCER DR</v>
      </c>
      <c r="H600" s="13" t="str">
        <f>IFERROR(__xludf.DUMMYFUNCTION("""COMPUTED_VALUE"""),"FORT COLLINS")</f>
        <v>FORT COLLINS</v>
      </c>
      <c r="I600" s="13" t="str">
        <f>IFERROR(__xludf.DUMMYFUNCTION("""COMPUTED_VALUE"""),"CO")</f>
        <v>CO</v>
      </c>
      <c r="J600" s="13" t="str">
        <f>IFERROR(__xludf.DUMMYFUNCTION("""COMPUTED_VALUE"""),"80521-1609")</f>
        <v>80521-1609</v>
      </c>
      <c r="K600" s="13" t="str">
        <f>IFERROR(__xludf.DUMMYFUNCTION("""COMPUTED_VALUE"""),"Larimer")</f>
        <v>Larimer</v>
      </c>
      <c r="L600" s="17"/>
      <c r="M600" s="17"/>
      <c r="N600" s="17" t="str">
        <f>IFERROR(__xludf.DUMMYFUNCTION("""COMPUTED_VALUE"""),"Y")</f>
        <v>Y</v>
      </c>
      <c r="O600" s="17" t="str">
        <f>IFERROR(__xludf.DUMMYFUNCTION("""COMPUTED_VALUE"""),"Y")</f>
        <v>Y</v>
      </c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>
      <c r="A601" s="13" t="str">
        <f>IFERROR(__xludf.DUMMYFUNCTION("""COMPUTED_VALUE"""),"7010")</f>
        <v>7010</v>
      </c>
      <c r="B601" s="13" t="str">
        <f>IFERROR(__xludf.DUMMYFUNCTION("""COMPUTED_VALUE"""),"Food Bank for Larimer County")</f>
        <v>Food Bank for Larimer County</v>
      </c>
      <c r="C601" s="13" t="str">
        <f>IFERROR(__xludf.DUMMYFUNCTION("""COMPUTED_VALUE"""),"11124")</f>
        <v>11124</v>
      </c>
      <c r="D601" s="13" t="str">
        <f>IFERROR(__xludf.DUMMYFUNCTION("""COMPUTED_VALUE"""),"Lago Vista Trailer Park")</f>
        <v>Lago Vista Trailer Park</v>
      </c>
      <c r="E601" s="13" t="str">
        <f>IFERROR(__xludf.DUMMYFUNCTION("""COMPUTED_VALUE"""),"Closed - Enrolled")</f>
        <v>Closed - Enrolled</v>
      </c>
      <c r="F601" s="13"/>
      <c r="G601" s="13" t="str">
        <f>IFERROR(__xludf.DUMMYFUNCTION("""COMPUTED_VALUE"""),"420 E 57TH ST")</f>
        <v>420 E 57TH ST</v>
      </c>
      <c r="H601" s="13" t="str">
        <f>IFERROR(__xludf.DUMMYFUNCTION("""COMPUTED_VALUE"""),"LOVELAND")</f>
        <v>LOVELAND</v>
      </c>
      <c r="I601" s="13" t="str">
        <f>IFERROR(__xludf.DUMMYFUNCTION("""COMPUTED_VALUE"""),"CO")</f>
        <v>CO</v>
      </c>
      <c r="J601" s="13" t="str">
        <f>IFERROR(__xludf.DUMMYFUNCTION("""COMPUTED_VALUE"""),"80538-1214")</f>
        <v>80538-1214</v>
      </c>
      <c r="K601" s="13" t="str">
        <f>IFERROR(__xludf.DUMMYFUNCTION("""COMPUTED_VALUE"""),"Larimer")</f>
        <v>Larimer</v>
      </c>
      <c r="L601" s="17" t="str">
        <f>IFERROR(__xludf.DUMMYFUNCTION("""COMPUTED_VALUE"""),"Y")</f>
        <v>Y</v>
      </c>
      <c r="M601" s="17"/>
      <c r="N601" s="17" t="str">
        <f>IFERROR(__xludf.DUMMYFUNCTION("""COMPUTED_VALUE"""),"Y")</f>
        <v>Y</v>
      </c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>
      <c r="A602" s="13" t="str">
        <f>IFERROR(__xludf.DUMMYFUNCTION("""COMPUTED_VALUE"""),"7010")</f>
        <v>7010</v>
      </c>
      <c r="B602" s="13" t="str">
        <f>IFERROR(__xludf.DUMMYFUNCTION("""COMPUTED_VALUE"""),"Food Bank for Larimer County")</f>
        <v>Food Bank for Larimer County</v>
      </c>
      <c r="C602" s="13" t="str">
        <f>IFERROR(__xludf.DUMMYFUNCTION("""COMPUTED_VALUE"""),"11128")</f>
        <v>11128</v>
      </c>
      <c r="D602" s="13" t="str">
        <f>IFERROR(__xludf.DUMMYFUNCTION("""COMPUTED_VALUE"""),"Poudre Valley Mobile Home Park")</f>
        <v>Poudre Valley Mobile Home Park</v>
      </c>
      <c r="E602" s="13" t="str">
        <f>IFERROR(__xludf.DUMMYFUNCTION("""COMPUTED_VALUE"""),"Open")</f>
        <v>Open</v>
      </c>
      <c r="F602" s="13"/>
      <c r="G602" s="13" t="str">
        <f>IFERROR(__xludf.DUMMYFUNCTION("""COMPUTED_VALUE"""),"2025 N COLLEGE AVE")</f>
        <v>2025 N COLLEGE AVE</v>
      </c>
      <c r="H602" s="13" t="str">
        <f>IFERROR(__xludf.DUMMYFUNCTION("""COMPUTED_VALUE"""),"FORT COLLINS")</f>
        <v>FORT COLLINS</v>
      </c>
      <c r="I602" s="13" t="str">
        <f>IFERROR(__xludf.DUMMYFUNCTION("""COMPUTED_VALUE"""),"CO")</f>
        <v>CO</v>
      </c>
      <c r="J602" s="13" t="str">
        <f>IFERROR(__xludf.DUMMYFUNCTION("""COMPUTED_VALUE"""),"80524-1380")</f>
        <v>80524-1380</v>
      </c>
      <c r="K602" s="13" t="str">
        <f>IFERROR(__xludf.DUMMYFUNCTION("""COMPUTED_VALUE"""),"Larimer")</f>
        <v>Larimer</v>
      </c>
      <c r="L602" s="17"/>
      <c r="M602" s="17"/>
      <c r="N602" s="17" t="str">
        <f>IFERROR(__xludf.DUMMYFUNCTION("""COMPUTED_VALUE"""),"Y")</f>
        <v>Y</v>
      </c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>
      <c r="A603" s="13" t="str">
        <f>IFERROR(__xludf.DUMMYFUNCTION("""COMPUTED_VALUE"""),"7010")</f>
        <v>7010</v>
      </c>
      <c r="B603" s="13" t="str">
        <f>IFERROR(__xludf.DUMMYFUNCTION("""COMPUTED_VALUE"""),"Food Bank for Larimer County")</f>
        <v>Food Bank for Larimer County</v>
      </c>
      <c r="C603" s="13" t="str">
        <f>IFERROR(__xludf.DUMMYFUNCTION("""COMPUTED_VALUE"""),"11367")</f>
        <v>11367</v>
      </c>
      <c r="D603" s="13" t="str">
        <f>IFERROR(__xludf.DUMMYFUNCTION("""COMPUTED_VALUE"""),"Boys &amp; Girls Club - Fort Collins")</f>
        <v>Boys &amp; Girls Club - Fort Collins</v>
      </c>
      <c r="E603" s="13" t="str">
        <f>IFERROR(__xludf.DUMMYFUNCTION("""COMPUTED_VALUE"""),"Closed - Enrolled")</f>
        <v>Closed - Enrolled</v>
      </c>
      <c r="F603" s="13"/>
      <c r="G603" s="13" t="str">
        <f>IFERROR(__xludf.DUMMYFUNCTION("""COMPUTED_VALUE"""),"1608 LANCER DR")</f>
        <v>1608 LANCER DR</v>
      </c>
      <c r="H603" s="13" t="str">
        <f>IFERROR(__xludf.DUMMYFUNCTION("""COMPUTED_VALUE"""),"FORT COLLINS")</f>
        <v>FORT COLLINS</v>
      </c>
      <c r="I603" s="13" t="str">
        <f>IFERROR(__xludf.DUMMYFUNCTION("""COMPUTED_VALUE"""),"CO")</f>
        <v>CO</v>
      </c>
      <c r="J603" s="13" t="str">
        <f>IFERROR(__xludf.DUMMYFUNCTION("""COMPUTED_VALUE"""),"80521-1609")</f>
        <v>80521-1609</v>
      </c>
      <c r="K603" s="13" t="str">
        <f>IFERROR(__xludf.DUMMYFUNCTION("""COMPUTED_VALUE"""),"Larimer")</f>
        <v>Larimer</v>
      </c>
      <c r="L603" s="17"/>
      <c r="M603" s="17"/>
      <c r="N603" s="17" t="str">
        <f>IFERROR(__xludf.DUMMYFUNCTION("""COMPUTED_VALUE"""),"Y")</f>
        <v>Y</v>
      </c>
      <c r="O603" s="17" t="str">
        <f>IFERROR(__xludf.DUMMYFUNCTION("""COMPUTED_VALUE"""),"Y")</f>
        <v>Y</v>
      </c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>
      <c r="A604" s="13" t="str">
        <f>IFERROR(__xludf.DUMMYFUNCTION("""COMPUTED_VALUE"""),"7010")</f>
        <v>7010</v>
      </c>
      <c r="B604" s="13" t="str">
        <f>IFERROR(__xludf.DUMMYFUNCTION("""COMPUTED_VALUE"""),"Food Bank for Larimer County")</f>
        <v>Food Bank for Larimer County</v>
      </c>
      <c r="C604" s="13" t="str">
        <f>IFERROR(__xludf.DUMMYFUNCTION("""COMPUTED_VALUE"""),"11368")</f>
        <v>11368</v>
      </c>
      <c r="D604" s="13" t="str">
        <f>IFERROR(__xludf.DUMMYFUNCTION("""COMPUTED_VALUE"""),"Boys &amp; Girls Club - Loveland")</f>
        <v>Boys &amp; Girls Club - Loveland</v>
      </c>
      <c r="E604" s="13" t="str">
        <f>IFERROR(__xludf.DUMMYFUNCTION("""COMPUTED_VALUE"""),"Closed - Enrolled")</f>
        <v>Closed - Enrolled</v>
      </c>
      <c r="F604" s="13"/>
      <c r="G604" s="13" t="str">
        <f>IFERROR(__xludf.DUMMYFUNCTION("""COMPUTED_VALUE"""),"2500 E 1ST ST")</f>
        <v>2500 E 1ST ST</v>
      </c>
      <c r="H604" s="13" t="str">
        <f>IFERROR(__xludf.DUMMYFUNCTION("""COMPUTED_VALUE"""),"LOVELAND")</f>
        <v>LOVELAND</v>
      </c>
      <c r="I604" s="13" t="str">
        <f>IFERROR(__xludf.DUMMYFUNCTION("""COMPUTED_VALUE"""),"CO")</f>
        <v>CO</v>
      </c>
      <c r="J604" s="13" t="str">
        <f>IFERROR(__xludf.DUMMYFUNCTION("""COMPUTED_VALUE"""),"80537-8828")</f>
        <v>80537-8828</v>
      </c>
      <c r="K604" s="13" t="str">
        <f>IFERROR(__xludf.DUMMYFUNCTION("""COMPUTED_VALUE"""),"Larimer")</f>
        <v>Larimer</v>
      </c>
      <c r="L604" s="17"/>
      <c r="M604" s="17"/>
      <c r="N604" s="17" t="str">
        <f>IFERROR(__xludf.DUMMYFUNCTION("""COMPUTED_VALUE"""),"Y")</f>
        <v>Y</v>
      </c>
      <c r="O604" s="17" t="str">
        <f>IFERROR(__xludf.DUMMYFUNCTION("""COMPUTED_VALUE"""),"Y")</f>
        <v>Y</v>
      </c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>
      <c r="A605" s="13" t="str">
        <f>IFERROR(__xludf.DUMMYFUNCTION("""COMPUTED_VALUE"""),"7010")</f>
        <v>7010</v>
      </c>
      <c r="B605" s="13" t="str">
        <f>IFERROR(__xludf.DUMMYFUNCTION("""COMPUTED_VALUE"""),"Food Bank for Larimer County")</f>
        <v>Food Bank for Larimer County</v>
      </c>
      <c r="C605" s="13" t="str">
        <f>IFERROR(__xludf.DUMMYFUNCTION("""COMPUTED_VALUE"""),"11370")</f>
        <v>11370</v>
      </c>
      <c r="D605" s="13" t="str">
        <f>IFERROR(__xludf.DUMMYFUNCTION("""COMPUTED_VALUE"""),"Northside Aztlan Community Center")</f>
        <v>Northside Aztlan Community Center</v>
      </c>
      <c r="E605" s="13" t="str">
        <f>IFERROR(__xludf.DUMMYFUNCTION("""COMPUTED_VALUE"""),"Closed - Enrolled")</f>
        <v>Closed - Enrolled</v>
      </c>
      <c r="F605" s="13"/>
      <c r="G605" s="13" t="str">
        <f>IFERROR(__xludf.DUMMYFUNCTION("""COMPUTED_VALUE"""),"112 WILLOW ST")</f>
        <v>112 WILLOW ST</v>
      </c>
      <c r="H605" s="13" t="str">
        <f>IFERROR(__xludf.DUMMYFUNCTION("""COMPUTED_VALUE"""),"FORT COLLINS")</f>
        <v>FORT COLLINS</v>
      </c>
      <c r="I605" s="13" t="str">
        <f>IFERROR(__xludf.DUMMYFUNCTION("""COMPUTED_VALUE"""),"CO")</f>
        <v>CO</v>
      </c>
      <c r="J605" s="13" t="str">
        <f>IFERROR(__xludf.DUMMYFUNCTION("""COMPUTED_VALUE"""),"80524-2452")</f>
        <v>80524-2452</v>
      </c>
      <c r="K605" s="13" t="str">
        <f>IFERROR(__xludf.DUMMYFUNCTION("""COMPUTED_VALUE"""),"Larimer")</f>
        <v>Larimer</v>
      </c>
      <c r="L605" s="17"/>
      <c r="M605" s="17"/>
      <c r="N605" s="17" t="str">
        <f>IFERROR(__xludf.DUMMYFUNCTION("""COMPUTED_VALUE"""),"Y")</f>
        <v>Y</v>
      </c>
      <c r="O605" s="17" t="str">
        <f>IFERROR(__xludf.DUMMYFUNCTION("""COMPUTED_VALUE"""),"Y")</f>
        <v>Y</v>
      </c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>
      <c r="A606" s="13" t="str">
        <f>IFERROR(__xludf.DUMMYFUNCTION("""COMPUTED_VALUE"""),"7010")</f>
        <v>7010</v>
      </c>
      <c r="B606" s="13" t="str">
        <f>IFERROR(__xludf.DUMMYFUNCTION("""COMPUTED_VALUE"""),"Food Bank for Larimer County")</f>
        <v>Food Bank for Larimer County</v>
      </c>
      <c r="C606" s="13" t="str">
        <f>IFERROR(__xludf.DUMMYFUNCTION("""COMPUTED_VALUE"""),"11375")</f>
        <v>11375</v>
      </c>
      <c r="D606" s="13" t="str">
        <f>IFERROR(__xludf.DUMMYFUNCTION("""COMPUTED_VALUE"""),"Timber Ridge Mobile Home Community")</f>
        <v>Timber Ridge Mobile Home Community</v>
      </c>
      <c r="E606" s="13" t="str">
        <f>IFERROR(__xludf.DUMMYFUNCTION("""COMPUTED_VALUE"""),"Open")</f>
        <v>Open</v>
      </c>
      <c r="F606" s="13"/>
      <c r="G606" s="13" t="str">
        <f>IFERROR(__xludf.DUMMYFUNCTION("""COMPUTED_VALUE"""),"3717 S TAFT HILL RD")</f>
        <v>3717 S TAFT HILL RD</v>
      </c>
      <c r="H606" s="13" t="str">
        <f>IFERROR(__xludf.DUMMYFUNCTION("""COMPUTED_VALUE"""),"FORT COLLINS")</f>
        <v>FORT COLLINS</v>
      </c>
      <c r="I606" s="13" t="str">
        <f>IFERROR(__xludf.DUMMYFUNCTION("""COMPUTED_VALUE"""),"CO")</f>
        <v>CO</v>
      </c>
      <c r="J606" s="13" t="str">
        <f>IFERROR(__xludf.DUMMYFUNCTION("""COMPUTED_VALUE"""),"80526-2967")</f>
        <v>80526-2967</v>
      </c>
      <c r="K606" s="13" t="str">
        <f>IFERROR(__xludf.DUMMYFUNCTION("""COMPUTED_VALUE"""),"Larimer")</f>
        <v>Larimer</v>
      </c>
      <c r="L606" s="17"/>
      <c r="M606" s="17"/>
      <c r="N606" s="17" t="str">
        <f>IFERROR(__xludf.DUMMYFUNCTION("""COMPUTED_VALUE"""),"Y")</f>
        <v>Y</v>
      </c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>
      <c r="A607" s="13" t="str">
        <f>IFERROR(__xludf.DUMMYFUNCTION("""COMPUTED_VALUE"""),"7010")</f>
        <v>7010</v>
      </c>
      <c r="B607" s="13" t="str">
        <f>IFERROR(__xludf.DUMMYFUNCTION("""COMPUTED_VALUE"""),"Food Bank for Larimer County")</f>
        <v>Food Bank for Larimer County</v>
      </c>
      <c r="C607" s="13" t="str">
        <f>IFERROR(__xludf.DUMMYFUNCTION("""COMPUTED_VALUE"""),"12650")</f>
        <v>12650</v>
      </c>
      <c r="D607" s="13" t="str">
        <f>IFERROR(__xludf.DUMMYFUNCTION("""COMPUTED_VALUE"""),"Greenbriar")</f>
        <v>Greenbriar</v>
      </c>
      <c r="E607" s="13" t="str">
        <f>IFERROR(__xludf.DUMMYFUNCTION("""COMPUTED_VALUE"""),"Open")</f>
        <v>Open</v>
      </c>
      <c r="F607" s="13"/>
      <c r="G607" s="13" t="str">
        <f>IFERROR(__xludf.DUMMYFUNCTION("""COMPUTED_VALUE"""),"406 BUTCH CASSIDY DR")</f>
        <v>406 BUTCH CASSIDY DR</v>
      </c>
      <c r="H607" s="13" t="str">
        <f>IFERROR(__xludf.DUMMYFUNCTION("""COMPUTED_VALUE"""),"FORT COLLINS")</f>
        <v>FORT COLLINS</v>
      </c>
      <c r="I607" s="13" t="str">
        <f>IFERROR(__xludf.DUMMYFUNCTION("""COMPUTED_VALUE"""),"CO")</f>
        <v>CO</v>
      </c>
      <c r="J607" s="13" t="str">
        <f>IFERROR(__xludf.DUMMYFUNCTION("""COMPUTED_VALUE"""),"80524-2037")</f>
        <v>80524-2037</v>
      </c>
      <c r="K607" s="13" t="str">
        <f>IFERROR(__xludf.DUMMYFUNCTION("""COMPUTED_VALUE"""),"Larimer")</f>
        <v>Larimer</v>
      </c>
      <c r="L607" s="17"/>
      <c r="M607" s="17"/>
      <c r="N607" s="17" t="str">
        <f>IFERROR(__xludf.DUMMYFUNCTION("""COMPUTED_VALUE"""),"Y")</f>
        <v>Y</v>
      </c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>
      <c r="A608" s="18" t="str">
        <f>IFERROR(__xludf.DUMMYFUNCTION("""COMPUTED_VALUE"""),"7010")</f>
        <v>7010</v>
      </c>
      <c r="B608" s="18" t="str">
        <f>IFERROR(__xludf.DUMMYFUNCTION("""COMPUTED_VALUE"""),"Food Bank for Larimer County")</f>
        <v>Food Bank for Larimer County</v>
      </c>
      <c r="C608" s="18" t="str">
        <f>IFERROR(__xludf.DUMMYFUNCTION("""COMPUTED_VALUE"""),"12658")</f>
        <v>12658</v>
      </c>
      <c r="D608" s="18" t="str">
        <f>IFERROR(__xludf.DUMMYFUNCTION("""COMPUTED_VALUE"""),"Poudre River Library")</f>
        <v>Poudre River Library</v>
      </c>
      <c r="E608" s="18" t="str">
        <f>IFERROR(__xludf.DUMMYFUNCTION("""COMPUTED_VALUE"""),"Open")</f>
        <v>Open</v>
      </c>
      <c r="F608" s="18" t="str">
        <f>IFERROR(__xludf.DUMMYFUNCTION("""COMPUTED_VALUE""")," ")</f>
        <v> </v>
      </c>
      <c r="G608" s="18" t="str">
        <f>IFERROR(__xludf.DUMMYFUNCTION("""COMPUTED_VALUE"""),"200 MATHEWS ST")</f>
        <v>200 MATHEWS ST</v>
      </c>
      <c r="H608" s="18" t="str">
        <f>IFERROR(__xludf.DUMMYFUNCTION("""COMPUTED_VALUE"""),"FORT COLLINS")</f>
        <v>FORT COLLINS</v>
      </c>
      <c r="I608" s="18" t="str">
        <f>IFERROR(__xludf.DUMMYFUNCTION("""COMPUTED_VALUE"""),"CO")</f>
        <v>CO</v>
      </c>
      <c r="J608" s="18" t="str">
        <f>IFERROR(__xludf.DUMMYFUNCTION("""COMPUTED_VALUE"""),"80524-2817")</f>
        <v>80524-2817</v>
      </c>
      <c r="K608" s="18" t="str">
        <f>IFERROR(__xludf.DUMMYFUNCTION("""COMPUTED_VALUE"""),"Larimer")</f>
        <v>Larimer</v>
      </c>
      <c r="L608" s="19"/>
      <c r="M608" s="19"/>
      <c r="N608" s="19"/>
      <c r="O608" s="19" t="str">
        <f>IFERROR(__xludf.DUMMYFUNCTION("""COMPUTED_VALUE"""),"Y")</f>
        <v>Y</v>
      </c>
      <c r="P608" s="19"/>
      <c r="Q608" s="19" t="str">
        <f>IFERROR(__xludf.DUMMYFUNCTION("""COMPUTED_VALUE"""),"No Claims as of 11.24")</f>
        <v>No Claims as of 11.24</v>
      </c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>
      <c r="A609" s="13" t="str">
        <f>IFERROR(__xludf.DUMMYFUNCTION("""COMPUTED_VALUE"""),"7010")</f>
        <v>7010</v>
      </c>
      <c r="B609" s="13" t="str">
        <f>IFERROR(__xludf.DUMMYFUNCTION("""COMPUTED_VALUE"""),"Food Bank for Larimer County")</f>
        <v>Food Bank for Larimer County</v>
      </c>
      <c r="C609" s="13" t="str">
        <f>IFERROR(__xludf.DUMMYFUNCTION("""COMPUTED_VALUE"""),"12914")</f>
        <v>12914</v>
      </c>
      <c r="D609" s="13" t="str">
        <f>IFERROR(__xludf.DUMMYFUNCTION("""COMPUTED_VALUE"""),"Loveland Public Library")</f>
        <v>Loveland Public Library</v>
      </c>
      <c r="E609" s="13" t="str">
        <f>IFERROR(__xludf.DUMMYFUNCTION("""COMPUTED_VALUE"""),"Open")</f>
        <v>Open</v>
      </c>
      <c r="F609" s="13"/>
      <c r="G609" s="13" t="str">
        <f>IFERROR(__xludf.DUMMYFUNCTION("""COMPUTED_VALUE"""),"300 ADAMS AVE")</f>
        <v>300 ADAMS AVE</v>
      </c>
      <c r="H609" s="13" t="str">
        <f>IFERROR(__xludf.DUMMYFUNCTION("""COMPUTED_VALUE"""),"LOVELAND")</f>
        <v>LOVELAND</v>
      </c>
      <c r="I609" s="13" t="str">
        <f>IFERROR(__xludf.DUMMYFUNCTION("""COMPUTED_VALUE"""),"CO")</f>
        <v>CO</v>
      </c>
      <c r="J609" s="13" t="str">
        <f>IFERROR(__xludf.DUMMYFUNCTION("""COMPUTED_VALUE"""),"80537-5754")</f>
        <v>80537-5754</v>
      </c>
      <c r="K609" s="13" t="str">
        <f>IFERROR(__xludf.DUMMYFUNCTION("""COMPUTED_VALUE"""),"Larimer")</f>
        <v>Larimer</v>
      </c>
      <c r="L609" s="17"/>
      <c r="M609" s="17"/>
      <c r="N609" s="17" t="str">
        <f>IFERROR(__xludf.DUMMYFUNCTION("""COMPUTED_VALUE"""),"Y")</f>
        <v>Y</v>
      </c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>
      <c r="A610" s="13" t="str">
        <f>IFERROR(__xludf.DUMMYFUNCTION("""COMPUTED_VALUE"""),"7010")</f>
        <v>7010</v>
      </c>
      <c r="B610" s="13" t="str">
        <f>IFERROR(__xludf.DUMMYFUNCTION("""COMPUTED_VALUE"""),"Food Bank for Larimer County")</f>
        <v>Food Bank for Larimer County</v>
      </c>
      <c r="C610" s="13" t="str">
        <f>IFERROR(__xludf.DUMMYFUNCTION("""COMPUTED_VALUE"""),"12916")</f>
        <v>12916</v>
      </c>
      <c r="D610" s="13" t="str">
        <f>IFERROR(__xludf.DUMMYFUNCTION("""COMPUTED_VALUE"""),"Housing Catalyst- Village on Horsetooth")</f>
        <v>Housing Catalyst- Village on Horsetooth</v>
      </c>
      <c r="E610" s="13" t="str">
        <f>IFERROR(__xludf.DUMMYFUNCTION("""COMPUTED_VALUE"""),"Closed - Enrolled")</f>
        <v>Closed - Enrolled</v>
      </c>
      <c r="F610" s="13"/>
      <c r="G610" s="13" t="str">
        <f>IFERROR(__xludf.DUMMYFUNCTION("""COMPUTED_VALUE"""),"1506 W HORSETOOTH RD")</f>
        <v>1506 W HORSETOOTH RD</v>
      </c>
      <c r="H610" s="13" t="str">
        <f>IFERROR(__xludf.DUMMYFUNCTION("""COMPUTED_VALUE"""),"FORT COLLINS")</f>
        <v>FORT COLLINS</v>
      </c>
      <c r="I610" s="13" t="str">
        <f>IFERROR(__xludf.DUMMYFUNCTION("""COMPUTED_VALUE"""),"CO")</f>
        <v>CO</v>
      </c>
      <c r="J610" s="13" t="str">
        <f>IFERROR(__xludf.DUMMYFUNCTION("""COMPUTED_VALUE"""),"80526-2578")</f>
        <v>80526-2578</v>
      </c>
      <c r="K610" s="13" t="str">
        <f>IFERROR(__xludf.DUMMYFUNCTION("""COMPUTED_VALUE"""),"Larimer")</f>
        <v>Larimer</v>
      </c>
      <c r="L610" s="17"/>
      <c r="M610" s="17" t="str">
        <f>IFERROR(__xludf.DUMMYFUNCTION("""COMPUTED_VALUE"""),"Y")</f>
        <v>Y</v>
      </c>
      <c r="N610" s="17" t="str">
        <f>IFERROR(__xludf.DUMMYFUNCTION("""COMPUTED_VALUE"""),"Y")</f>
        <v>Y</v>
      </c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>
      <c r="A611" s="13" t="str">
        <f>IFERROR(__xludf.DUMMYFUNCTION("""COMPUTED_VALUE"""),"7010")</f>
        <v>7010</v>
      </c>
      <c r="B611" s="13" t="str">
        <f>IFERROR(__xludf.DUMMYFUNCTION("""COMPUTED_VALUE"""),"Food Bank for Larimer County")</f>
        <v>Food Bank for Larimer County</v>
      </c>
      <c r="C611" s="13" t="str">
        <f>IFERROR(__xludf.DUMMYFUNCTION("""COMPUTED_VALUE"""),"12917")</f>
        <v>12917</v>
      </c>
      <c r="D611" s="13" t="str">
        <f>IFERROR(__xludf.DUMMYFUNCTION("""COMPUTED_VALUE"""),"North Lake Park")</f>
        <v>North Lake Park</v>
      </c>
      <c r="E611" s="13" t="str">
        <f>IFERROR(__xludf.DUMMYFUNCTION("""COMPUTED_VALUE"""),"Open")</f>
        <v>Open</v>
      </c>
      <c r="F611" s="13"/>
      <c r="G611" s="13" t="str">
        <f>IFERROR(__xludf.DUMMYFUNCTION("""COMPUTED_VALUE"""),"2750 N. Taft Ave.")</f>
        <v>2750 N. Taft Ave.</v>
      </c>
      <c r="H611" s="13" t="str">
        <f>IFERROR(__xludf.DUMMYFUNCTION("""COMPUTED_VALUE"""),"LOVELAND")</f>
        <v>LOVELAND</v>
      </c>
      <c r="I611" s="13" t="str">
        <f>IFERROR(__xludf.DUMMYFUNCTION("""COMPUTED_VALUE"""),"CO")</f>
        <v>CO</v>
      </c>
      <c r="J611" s="13">
        <f>IFERROR(__xludf.DUMMYFUNCTION("""COMPUTED_VALUE"""),80538.0)</f>
        <v>80538</v>
      </c>
      <c r="K611" s="13" t="str">
        <f>IFERROR(__xludf.DUMMYFUNCTION("""COMPUTED_VALUE"""),"Larimer")</f>
        <v>Larimer</v>
      </c>
      <c r="L611" s="17"/>
      <c r="M611" s="17"/>
      <c r="N611" s="17" t="str">
        <f>IFERROR(__xludf.DUMMYFUNCTION("""COMPUTED_VALUE"""),"Y")</f>
        <v>Y</v>
      </c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>
      <c r="A612" s="13" t="str">
        <f>IFERROR(__xludf.DUMMYFUNCTION("""COMPUTED_VALUE"""),"7010")</f>
        <v>7010</v>
      </c>
      <c r="B612" s="13" t="str">
        <f>IFERROR(__xludf.DUMMYFUNCTION("""COMPUTED_VALUE"""),"Food Bank for Larimer County")</f>
        <v>Food Bank for Larimer County</v>
      </c>
      <c r="C612" s="13" t="str">
        <f>IFERROR(__xludf.DUMMYFUNCTION("""COMPUTED_VALUE"""),"12926")</f>
        <v>12926</v>
      </c>
      <c r="D612" s="13" t="str">
        <f>IFERROR(__xludf.DUMMYFUNCTION("""COMPUTED_VALUE"""),"Hickory Village Mobile Home Park")</f>
        <v>Hickory Village Mobile Home Park</v>
      </c>
      <c r="E612" s="13" t="str">
        <f>IFERROR(__xludf.DUMMYFUNCTION("""COMPUTED_VALUE"""),"Open")</f>
        <v>Open</v>
      </c>
      <c r="F612" s="13"/>
      <c r="G612" s="13" t="str">
        <f>IFERROR(__xludf.DUMMYFUNCTION("""COMPUTED_VALUE"""),"400 HICKORY ST")</f>
        <v>400 HICKORY ST</v>
      </c>
      <c r="H612" s="13" t="str">
        <f>IFERROR(__xludf.DUMMYFUNCTION("""COMPUTED_VALUE"""),"FORT COLLINS")</f>
        <v>FORT COLLINS</v>
      </c>
      <c r="I612" s="13" t="str">
        <f>IFERROR(__xludf.DUMMYFUNCTION("""COMPUTED_VALUE"""),"CO")</f>
        <v>CO</v>
      </c>
      <c r="J612" s="13" t="str">
        <f>IFERROR(__xludf.DUMMYFUNCTION("""COMPUTED_VALUE"""),"80524-1130")</f>
        <v>80524-1130</v>
      </c>
      <c r="K612" s="13" t="str">
        <f>IFERROR(__xludf.DUMMYFUNCTION("""COMPUTED_VALUE"""),"Larimer")</f>
        <v>Larimer</v>
      </c>
      <c r="L612" s="17"/>
      <c r="M612" s="17"/>
      <c r="N612" s="17" t="str">
        <f>IFERROR(__xludf.DUMMYFUNCTION("""COMPUTED_VALUE"""),"Y")</f>
        <v>Y</v>
      </c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>
      <c r="A613" s="13" t="str">
        <f>IFERROR(__xludf.DUMMYFUNCTION("""COMPUTED_VALUE"""),"7010")</f>
        <v>7010</v>
      </c>
      <c r="B613" s="13" t="str">
        <f>IFERROR(__xludf.DUMMYFUNCTION("""COMPUTED_VALUE"""),"Food Bank for Larimer County")</f>
        <v>Food Bank for Larimer County</v>
      </c>
      <c r="C613" s="13" t="str">
        <f>IFERROR(__xludf.DUMMYFUNCTION("""COMPUTED_VALUE"""),"12937")</f>
        <v>12937</v>
      </c>
      <c r="D613" s="13" t="str">
        <f>IFERROR(__xludf.DUMMYFUNCTION("""COMPUTED_VALUE"""),"Old Town Library")</f>
        <v>Old Town Library</v>
      </c>
      <c r="E613" s="13" t="str">
        <f>IFERROR(__xludf.DUMMYFUNCTION("""COMPUTED_VALUE"""),"Open")</f>
        <v>Open</v>
      </c>
      <c r="F613" s="13"/>
      <c r="G613" s="13" t="str">
        <f>IFERROR(__xludf.DUMMYFUNCTION("""COMPUTED_VALUE"""),"201 PETERSON ST")</f>
        <v>201 PETERSON ST</v>
      </c>
      <c r="H613" s="13" t="str">
        <f>IFERROR(__xludf.DUMMYFUNCTION("""COMPUTED_VALUE"""),"FORT COLLINS")</f>
        <v>FORT COLLINS</v>
      </c>
      <c r="I613" s="13" t="str">
        <f>IFERROR(__xludf.DUMMYFUNCTION("""COMPUTED_VALUE"""),"CO")</f>
        <v>CO</v>
      </c>
      <c r="J613" s="13" t="str">
        <f>IFERROR(__xludf.DUMMYFUNCTION("""COMPUTED_VALUE"""),"80524-2919")</f>
        <v>80524-2919</v>
      </c>
      <c r="K613" s="13" t="str">
        <f>IFERROR(__xludf.DUMMYFUNCTION("""COMPUTED_VALUE"""),"Larimer")</f>
        <v>Larimer</v>
      </c>
      <c r="L613" s="17"/>
      <c r="M613" s="17"/>
      <c r="N613" s="17" t="str">
        <f>IFERROR(__xludf.DUMMYFUNCTION("""COMPUTED_VALUE"""),"Y")</f>
        <v>Y</v>
      </c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>
      <c r="A614" s="13" t="str">
        <f>IFERROR(__xludf.DUMMYFUNCTION("""COMPUTED_VALUE"""),"7010")</f>
        <v>7010</v>
      </c>
      <c r="B614" s="13" t="str">
        <f>IFERROR(__xludf.DUMMYFUNCTION("""COMPUTED_VALUE"""),"Food Bank for Larimer County")</f>
        <v>Food Bank for Larimer County</v>
      </c>
      <c r="C614" s="13" t="str">
        <f>IFERROR(__xludf.DUMMYFUNCTION("""COMPUTED_VALUE"""),"13030")</f>
        <v>13030</v>
      </c>
      <c r="D614" s="13" t="str">
        <f>IFERROR(__xludf.DUMMYFUNCTION("""COMPUTED_VALUE"""),"Aggie Village Apartments")</f>
        <v>Aggie Village Apartments</v>
      </c>
      <c r="E614" s="13" t="str">
        <f>IFERROR(__xludf.DUMMYFUNCTION("""COMPUTED_VALUE"""),"Open")</f>
        <v>Open</v>
      </c>
      <c r="F614" s="13"/>
      <c r="G614" s="13" t="str">
        <f>IFERROR(__xludf.DUMMYFUNCTION("""COMPUTED_VALUE"""),"500 W PROSPECT RD")</f>
        <v>500 W PROSPECT RD</v>
      </c>
      <c r="H614" s="13" t="str">
        <f>IFERROR(__xludf.DUMMYFUNCTION("""COMPUTED_VALUE"""),"FORT COLLINS")</f>
        <v>FORT COLLINS</v>
      </c>
      <c r="I614" s="13" t="str">
        <f>IFERROR(__xludf.DUMMYFUNCTION("""COMPUTED_VALUE"""),"CO")</f>
        <v>CO</v>
      </c>
      <c r="J614" s="13" t="str">
        <f>IFERROR(__xludf.DUMMYFUNCTION("""COMPUTED_VALUE"""),"80526-2171")</f>
        <v>80526-2171</v>
      </c>
      <c r="K614" s="13" t="str">
        <f>IFERROR(__xludf.DUMMYFUNCTION("""COMPUTED_VALUE"""),"Larimer")</f>
        <v>Larimer</v>
      </c>
      <c r="L614" s="17"/>
      <c r="M614" s="17"/>
      <c r="N614" s="17" t="str">
        <f>IFERROR(__xludf.DUMMYFUNCTION("""COMPUTED_VALUE"""),"Y")</f>
        <v>Y</v>
      </c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>
      <c r="A615" s="13" t="str">
        <f>IFERROR(__xludf.DUMMYFUNCTION("""COMPUTED_VALUE"""),"7010")</f>
        <v>7010</v>
      </c>
      <c r="B615" s="13" t="str">
        <f>IFERROR(__xludf.DUMMYFUNCTION("""COMPUTED_VALUE"""),"Food Bank for Larimer County")</f>
        <v>Food Bank for Larimer County</v>
      </c>
      <c r="C615" s="13" t="str">
        <f>IFERROR(__xludf.DUMMYFUNCTION("""COMPUTED_VALUE"""),"15252")</f>
        <v>15252</v>
      </c>
      <c r="D615" s="13" t="str">
        <f>IFERROR(__xludf.DUMMYFUNCTION("""COMPUTED_VALUE"""),"Fairgrounds Park")</f>
        <v>Fairgrounds Park</v>
      </c>
      <c r="E615" s="13" t="str">
        <f>IFERROR(__xludf.DUMMYFUNCTION("""COMPUTED_VALUE"""),"Open")</f>
        <v>Open</v>
      </c>
      <c r="F615" s="13"/>
      <c r="G615" s="13" t="str">
        <f>IFERROR(__xludf.DUMMYFUNCTION("""COMPUTED_VALUE"""),"700 RAILROAD AVE")</f>
        <v>700 RAILROAD AVE</v>
      </c>
      <c r="H615" s="13" t="str">
        <f>IFERROR(__xludf.DUMMYFUNCTION("""COMPUTED_VALUE"""),"LOVELAND")</f>
        <v>LOVELAND</v>
      </c>
      <c r="I615" s="13" t="str">
        <f>IFERROR(__xludf.DUMMYFUNCTION("""COMPUTED_VALUE"""),"CO")</f>
        <v>CO</v>
      </c>
      <c r="J615" s="13">
        <f>IFERROR(__xludf.DUMMYFUNCTION("""COMPUTED_VALUE"""),80537.0)</f>
        <v>80537</v>
      </c>
      <c r="K615" s="13" t="str">
        <f>IFERROR(__xludf.DUMMYFUNCTION("""COMPUTED_VALUE"""),"Larimer")</f>
        <v>Larimer</v>
      </c>
      <c r="L615" s="17"/>
      <c r="M615" s="17"/>
      <c r="N615" s="17" t="str">
        <f>IFERROR(__xludf.DUMMYFUNCTION("""COMPUTED_VALUE"""),"Y")</f>
        <v>Y</v>
      </c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>
      <c r="A616" s="13" t="str">
        <f>IFERROR(__xludf.DUMMYFUNCTION("""COMPUTED_VALUE"""),"7010")</f>
        <v>7010</v>
      </c>
      <c r="B616" s="13" t="str">
        <f>IFERROR(__xludf.DUMMYFUNCTION("""COMPUTED_VALUE"""),"Food Bank for Larimer County")</f>
        <v>Food Bank for Larimer County</v>
      </c>
      <c r="C616" s="13" t="str">
        <f>IFERROR(__xludf.DUMMYFUNCTION("""COMPUTED_VALUE"""),"15262")</f>
        <v>15262</v>
      </c>
      <c r="D616" s="13" t="str">
        <f>IFERROR(__xludf.DUMMYFUNCTION("""COMPUTED_VALUE"""),"Park Lane Mobile Home Park")</f>
        <v>Park Lane Mobile Home Park</v>
      </c>
      <c r="E616" s="13" t="str">
        <f>IFERROR(__xludf.DUMMYFUNCTION("""COMPUTED_VALUE"""),"Open")</f>
        <v>Open</v>
      </c>
      <c r="F616" s="13"/>
      <c r="G616" s="13" t="str">
        <f>IFERROR(__xludf.DUMMYFUNCTION("""COMPUTED_VALUE"""),"411 S COURT ST")</f>
        <v>411 S COURT ST</v>
      </c>
      <c r="H616" s="13" t="str">
        <f>IFERROR(__xludf.DUMMYFUNCTION("""COMPUTED_VALUE"""),"FORT COLLINS")</f>
        <v>FORT COLLINS</v>
      </c>
      <c r="I616" s="13" t="str">
        <f>IFERROR(__xludf.DUMMYFUNCTION("""COMPUTED_VALUE"""),"CO")</f>
        <v>CO</v>
      </c>
      <c r="J616" s="13" t="str">
        <f>IFERROR(__xludf.DUMMYFUNCTION("""COMPUTED_VALUE"""),"80524-2766")</f>
        <v>80524-2766</v>
      </c>
      <c r="K616" s="13" t="str">
        <f>IFERROR(__xludf.DUMMYFUNCTION("""COMPUTED_VALUE"""),"Larimer")</f>
        <v>Larimer</v>
      </c>
      <c r="L616" s="17"/>
      <c r="M616" s="17"/>
      <c r="N616" s="17" t="str">
        <f>IFERROR(__xludf.DUMMYFUNCTION("""COMPUTED_VALUE"""),"Y")</f>
        <v>Y</v>
      </c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>
      <c r="A617" s="13" t="str">
        <f>IFERROR(__xludf.DUMMYFUNCTION("""COMPUTED_VALUE"""),"7010")</f>
        <v>7010</v>
      </c>
      <c r="B617" s="13" t="str">
        <f>IFERROR(__xludf.DUMMYFUNCTION("""COMPUTED_VALUE"""),"Food Bank for Larimer County")</f>
        <v>Food Bank for Larimer County</v>
      </c>
      <c r="C617" s="13" t="str">
        <f>IFERROR(__xludf.DUMMYFUNCTION("""COMPUTED_VALUE"""),"23334")</f>
        <v>23334</v>
      </c>
      <c r="D617" s="13" t="str">
        <f>IFERROR(__xludf.DUMMYFUNCTION("""COMPUTED_VALUE"""),"Mehaffey Park")</f>
        <v>Mehaffey Park</v>
      </c>
      <c r="E617" s="13" t="str">
        <f>IFERROR(__xludf.DUMMYFUNCTION("""COMPUTED_VALUE"""),"Open")</f>
        <v>Open</v>
      </c>
      <c r="F617" s="13"/>
      <c r="G617" s="13" t="str">
        <f>IFERROR(__xludf.DUMMYFUNCTION("""COMPUTED_VALUE"""),"3285 W. 22nd St")</f>
        <v>3285 W. 22nd St</v>
      </c>
      <c r="H617" s="13" t="str">
        <f>IFERROR(__xludf.DUMMYFUNCTION("""COMPUTED_VALUE"""),"LOVELAND")</f>
        <v>LOVELAND</v>
      </c>
      <c r="I617" s="13" t="str">
        <f>IFERROR(__xludf.DUMMYFUNCTION("""COMPUTED_VALUE"""),"CO")</f>
        <v>CO</v>
      </c>
      <c r="J617" s="13">
        <f>IFERROR(__xludf.DUMMYFUNCTION("""COMPUTED_VALUE"""),80538.0)</f>
        <v>80538</v>
      </c>
      <c r="K617" s="13" t="str">
        <f>IFERROR(__xludf.DUMMYFUNCTION("""COMPUTED_VALUE"""),"Larimer")</f>
        <v>Larimer</v>
      </c>
      <c r="L617" s="17"/>
      <c r="M617" s="17"/>
      <c r="N617" s="17" t="str">
        <f>IFERROR(__xludf.DUMMYFUNCTION("""COMPUTED_VALUE"""),"Y")</f>
        <v>Y</v>
      </c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>
      <c r="A618" s="13" t="str">
        <f>IFERROR(__xludf.DUMMYFUNCTION("""COMPUTED_VALUE"""),"7010")</f>
        <v>7010</v>
      </c>
      <c r="B618" s="13" t="str">
        <f>IFERROR(__xludf.DUMMYFUNCTION("""COMPUTED_VALUE"""),"Food Bank for Larimer County")</f>
        <v>Food Bank for Larimer County</v>
      </c>
      <c r="C618" s="13" t="str">
        <f>IFERROR(__xludf.DUMMYFUNCTION("""COMPUTED_VALUE"""),"90940")</f>
        <v>90940</v>
      </c>
      <c r="D618" s="13" t="str">
        <f>IFERROR(__xludf.DUMMYFUNCTION("""COMPUTED_VALUE"""),"Collins Aire Park")</f>
        <v>Collins Aire Park</v>
      </c>
      <c r="E618" s="13" t="str">
        <f>IFERROR(__xludf.DUMMYFUNCTION("""COMPUTED_VALUE"""),"Open")</f>
        <v>Open</v>
      </c>
      <c r="F618" s="13"/>
      <c r="G618" s="13" t="str">
        <f>IFERROR(__xludf.DUMMYFUNCTION("""COMPUTED_VALUE"""),"401 N TIMBERLINE RD")</f>
        <v>401 N TIMBERLINE RD</v>
      </c>
      <c r="H618" s="13" t="str">
        <f>IFERROR(__xludf.DUMMYFUNCTION("""COMPUTED_VALUE"""),"FORT COLLINS")</f>
        <v>FORT COLLINS</v>
      </c>
      <c r="I618" s="13" t="str">
        <f>IFERROR(__xludf.DUMMYFUNCTION("""COMPUTED_VALUE"""),"CO")</f>
        <v>CO</v>
      </c>
      <c r="J618" s="13" t="str">
        <f>IFERROR(__xludf.DUMMYFUNCTION("""COMPUTED_VALUE"""),"80524-1413")</f>
        <v>80524-1413</v>
      </c>
      <c r="K618" s="13" t="str">
        <f>IFERROR(__xludf.DUMMYFUNCTION("""COMPUTED_VALUE"""),"Larimer")</f>
        <v>Larimer</v>
      </c>
      <c r="L618" s="17"/>
      <c r="M618" s="17"/>
      <c r="N618" s="17" t="str">
        <f>IFERROR(__xludf.DUMMYFUNCTION("""COMPUTED_VALUE"""),"Y")</f>
        <v>Y</v>
      </c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>
      <c r="A619" s="13" t="str">
        <f>IFERROR(__xludf.DUMMYFUNCTION("""COMPUTED_VALUE"""),"7010")</f>
        <v>7010</v>
      </c>
      <c r="B619" s="13" t="str">
        <f>IFERROR(__xludf.DUMMYFUNCTION("""COMPUTED_VALUE"""),"Food Bank for Larimer County")</f>
        <v>Food Bank for Larimer County</v>
      </c>
      <c r="C619" s="13" t="str">
        <f>IFERROR(__xludf.DUMMYFUNCTION("""COMPUTED_VALUE"""),"90945")</f>
        <v>90945</v>
      </c>
      <c r="D619" s="13" t="str">
        <f>IFERROR(__xludf.DUMMYFUNCTION("""COMPUTED_VALUE"""),"University Village Center")</f>
        <v>University Village Center</v>
      </c>
      <c r="E619" s="13" t="str">
        <f>IFERROR(__xludf.DUMMYFUNCTION("""COMPUTED_VALUE"""),"Open")</f>
        <v>Open</v>
      </c>
      <c r="F619" s="13"/>
      <c r="G619" s="13" t="str">
        <f>IFERROR(__xludf.DUMMYFUNCTION("""COMPUTED_VALUE"""),"1500 W PLUM ST")</f>
        <v>1500 W PLUM ST</v>
      </c>
      <c r="H619" s="13" t="str">
        <f>IFERROR(__xludf.DUMMYFUNCTION("""COMPUTED_VALUE"""),"FORT COLLINS")</f>
        <v>FORT COLLINS</v>
      </c>
      <c r="I619" s="13" t="str">
        <f>IFERROR(__xludf.DUMMYFUNCTION("""COMPUTED_VALUE"""),"CO")</f>
        <v>CO</v>
      </c>
      <c r="J619" s="13" t="str">
        <f>IFERROR(__xludf.DUMMYFUNCTION("""COMPUTED_VALUE"""),"80521-3426")</f>
        <v>80521-3426</v>
      </c>
      <c r="K619" s="13" t="str">
        <f>IFERROR(__xludf.DUMMYFUNCTION("""COMPUTED_VALUE"""),"Larimer")</f>
        <v>Larimer</v>
      </c>
      <c r="L619" s="17"/>
      <c r="M619" s="17"/>
      <c r="N619" s="17" t="str">
        <f>IFERROR(__xludf.DUMMYFUNCTION("""COMPUTED_VALUE"""),"Y")</f>
        <v>Y</v>
      </c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>
      <c r="A620" s="13" t="str">
        <f>IFERROR(__xludf.DUMMYFUNCTION("""COMPUTED_VALUE"""),"7010")</f>
        <v>7010</v>
      </c>
      <c r="B620" s="13" t="str">
        <f>IFERROR(__xludf.DUMMYFUNCTION("""COMPUTED_VALUE"""),"Food Bank for Larimer County")</f>
        <v>Food Bank for Larimer County</v>
      </c>
      <c r="C620" s="13" t="str">
        <f>IFERROR(__xludf.DUMMYFUNCTION("""COMPUTED_VALUE"""),"91105")</f>
        <v>91105</v>
      </c>
      <c r="D620" s="13" t="str">
        <f>IFERROR(__xludf.DUMMYFUNCTION("""COMPUTED_VALUE"""),"CSU - Glenn Morris Fieldhouse")</f>
        <v>CSU - Glenn Morris Fieldhouse</v>
      </c>
      <c r="E620" s="13" t="str">
        <f>IFERROR(__xludf.DUMMYFUNCTION("""COMPUTED_VALUE"""),"Closed - Enrolled")</f>
        <v>Closed - Enrolled</v>
      </c>
      <c r="F620" s="13"/>
      <c r="G620" s="13" t="str">
        <f>IFERROR(__xludf.DUMMYFUNCTION("""COMPUTED_VALUE"""),"CSU S. COLLEGE AVE")</f>
        <v>CSU S. COLLEGE AVE</v>
      </c>
      <c r="H620" s="13" t="str">
        <f>IFERROR(__xludf.DUMMYFUNCTION("""COMPUTED_VALUE"""),"FORT COLLINS")</f>
        <v>FORT COLLINS</v>
      </c>
      <c r="I620" s="13" t="str">
        <f>IFERROR(__xludf.DUMMYFUNCTION("""COMPUTED_VALUE"""),"CO")</f>
        <v>CO</v>
      </c>
      <c r="J620" s="13" t="str">
        <f>IFERROR(__xludf.DUMMYFUNCTION("""COMPUTED_VALUE"""),"80523-0001")</f>
        <v>80523-0001</v>
      </c>
      <c r="K620" s="13" t="str">
        <f>IFERROR(__xludf.DUMMYFUNCTION("""COMPUTED_VALUE"""),"Larimer")</f>
        <v>Larimer</v>
      </c>
      <c r="L620" s="17"/>
      <c r="M620" s="17"/>
      <c r="N620" s="17" t="str">
        <f>IFERROR(__xludf.DUMMYFUNCTION("""COMPUTED_VALUE"""),"Y")</f>
        <v>Y</v>
      </c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>
      <c r="A621" s="13" t="str">
        <f>IFERROR(__xludf.DUMMYFUNCTION("""COMPUTED_VALUE"""),"7010")</f>
        <v>7010</v>
      </c>
      <c r="B621" s="13" t="str">
        <f>IFERROR(__xludf.DUMMYFUNCTION("""COMPUTED_VALUE"""),"Food Bank for Larimer County")</f>
        <v>Food Bank for Larimer County</v>
      </c>
      <c r="C621" s="13" t="str">
        <f>IFERROR(__xludf.DUMMYFUNCTION("""COMPUTED_VALUE"""),"91106")</f>
        <v>91106</v>
      </c>
      <c r="D621" s="13" t="str">
        <f>IFERROR(__xludf.DUMMYFUNCTION("""COMPUTED_VALUE"""),"CSU - Moby Arena")</f>
        <v>CSU - Moby Arena</v>
      </c>
      <c r="E621" s="13" t="str">
        <f>IFERROR(__xludf.DUMMYFUNCTION("""COMPUTED_VALUE"""),"Closed - Enrolled")</f>
        <v>Closed - Enrolled</v>
      </c>
      <c r="F621" s="13"/>
      <c r="G621" s="13" t="str">
        <f>IFERROR(__xludf.DUMMYFUNCTION("""COMPUTED_VALUE"""),"951 W. Plum Street")</f>
        <v>951 W. Plum Street</v>
      </c>
      <c r="H621" s="13" t="str">
        <f>IFERROR(__xludf.DUMMYFUNCTION("""COMPUTED_VALUE"""),"FORT COLLINS")</f>
        <v>FORT COLLINS</v>
      </c>
      <c r="I621" s="13" t="str">
        <f>IFERROR(__xludf.DUMMYFUNCTION("""COMPUTED_VALUE"""),"CO")</f>
        <v>CO</v>
      </c>
      <c r="J621" s="13">
        <f>IFERROR(__xludf.DUMMYFUNCTION("""COMPUTED_VALUE"""),80521.0)</f>
        <v>80521</v>
      </c>
      <c r="K621" s="13" t="str">
        <f>IFERROR(__xludf.DUMMYFUNCTION("""COMPUTED_VALUE"""),"Larimer")</f>
        <v>Larimer</v>
      </c>
      <c r="L621" s="17"/>
      <c r="M621" s="17"/>
      <c r="N621" s="17" t="str">
        <f>IFERROR(__xludf.DUMMYFUNCTION("""COMPUTED_VALUE"""),"Y")</f>
        <v>Y</v>
      </c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>
      <c r="A622" s="13" t="str">
        <f>IFERROR(__xludf.DUMMYFUNCTION("""COMPUTED_VALUE"""),"7010")</f>
        <v>7010</v>
      </c>
      <c r="B622" s="13" t="str">
        <f>IFERROR(__xludf.DUMMYFUNCTION("""COMPUTED_VALUE"""),"Food Bank for Larimer County")</f>
        <v>Food Bank for Larimer County</v>
      </c>
      <c r="C622" s="13" t="str">
        <f>IFERROR(__xludf.DUMMYFUNCTION("""COMPUTED_VALUE"""),"91452")</f>
        <v>91452</v>
      </c>
      <c r="D622" s="13" t="str">
        <f>IFERROR(__xludf.DUMMYFUNCTION("""COMPUTED_VALUE"""),"Rolland Moore Park")</f>
        <v>Rolland Moore Park</v>
      </c>
      <c r="E622" s="13" t="str">
        <f>IFERROR(__xludf.DUMMYFUNCTION("""COMPUTED_VALUE"""),"Open")</f>
        <v>Open</v>
      </c>
      <c r="F622" s="13"/>
      <c r="G622" s="13" t="str">
        <f>IFERROR(__xludf.DUMMYFUNCTION("""COMPUTED_VALUE"""),"2201 S Shields St.")</f>
        <v>2201 S Shields St.</v>
      </c>
      <c r="H622" s="13" t="str">
        <f>IFERROR(__xludf.DUMMYFUNCTION("""COMPUTED_VALUE"""),"FORT COLLINS")</f>
        <v>FORT COLLINS</v>
      </c>
      <c r="I622" s="13" t="str">
        <f>IFERROR(__xludf.DUMMYFUNCTION("""COMPUTED_VALUE"""),"CO")</f>
        <v>CO</v>
      </c>
      <c r="J622" s="13">
        <f>IFERROR(__xludf.DUMMYFUNCTION("""COMPUTED_VALUE"""),80526.0)</f>
        <v>80526</v>
      </c>
      <c r="K622" s="13" t="str">
        <f>IFERROR(__xludf.DUMMYFUNCTION("""COMPUTED_VALUE"""),"Larimer")</f>
        <v>Larimer</v>
      </c>
      <c r="L622" s="17"/>
      <c r="M622" s="17"/>
      <c r="N622" s="17" t="str">
        <f>IFERROR(__xludf.DUMMYFUNCTION("""COMPUTED_VALUE"""),"Y")</f>
        <v>Y</v>
      </c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>
      <c r="A623" s="13" t="str">
        <f>IFERROR(__xludf.DUMMYFUNCTION("""COMPUTED_VALUE"""),"7010")</f>
        <v>7010</v>
      </c>
      <c r="B623" s="13" t="str">
        <f>IFERROR(__xludf.DUMMYFUNCTION("""COMPUTED_VALUE"""),"Food Bank for Larimer County")</f>
        <v>Food Bank for Larimer County</v>
      </c>
      <c r="C623" s="13" t="str">
        <f>IFERROR(__xludf.DUMMYFUNCTION("""COMPUTED_VALUE"""),"91453")</f>
        <v>91453</v>
      </c>
      <c r="D623" s="13" t="str">
        <f>IFERROR(__xludf.DUMMYFUNCTION("""COMPUTED_VALUE"""),"Laporte Presbyterian Church")</f>
        <v>Laporte Presbyterian Church</v>
      </c>
      <c r="E623" s="13" t="str">
        <f>IFERROR(__xludf.DUMMYFUNCTION("""COMPUTED_VALUE"""),"Open")</f>
        <v>Open</v>
      </c>
      <c r="F623" s="13"/>
      <c r="G623" s="13" t="str">
        <f>IFERROR(__xludf.DUMMYFUNCTION("""COMPUTED_VALUE"""),"3820 W COUNTY ROAD 54G")</f>
        <v>3820 W COUNTY ROAD 54G</v>
      </c>
      <c r="H623" s="13" t="str">
        <f>IFERROR(__xludf.DUMMYFUNCTION("""COMPUTED_VALUE"""),"LAPORTE")</f>
        <v>LAPORTE</v>
      </c>
      <c r="I623" s="13" t="str">
        <f>IFERROR(__xludf.DUMMYFUNCTION("""COMPUTED_VALUE"""),"CO")</f>
        <v>CO</v>
      </c>
      <c r="J623" s="13" t="str">
        <f>IFERROR(__xludf.DUMMYFUNCTION("""COMPUTED_VALUE"""),"80535-9361")</f>
        <v>80535-9361</v>
      </c>
      <c r="K623" s="13" t="str">
        <f>IFERROR(__xludf.DUMMYFUNCTION("""COMPUTED_VALUE"""),"Larimer")</f>
        <v>Larimer</v>
      </c>
      <c r="L623" s="17"/>
      <c r="M623" s="17"/>
      <c r="N623" s="17" t="str">
        <f>IFERROR(__xludf.DUMMYFUNCTION("""COMPUTED_VALUE"""),"Y")</f>
        <v>Y</v>
      </c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>
      <c r="A624" s="13" t="str">
        <f>IFERROR(__xludf.DUMMYFUNCTION("""COMPUTED_VALUE"""),"7010")</f>
        <v>7010</v>
      </c>
      <c r="B624" s="13" t="str">
        <f>IFERROR(__xludf.DUMMYFUNCTION("""COMPUTED_VALUE"""),"Food Bank for Larimer County")</f>
        <v>Food Bank for Larimer County</v>
      </c>
      <c r="C624" s="13" t="str">
        <f>IFERROR(__xludf.DUMMYFUNCTION("""COMPUTED_VALUE"""),"91481")</f>
        <v>91481</v>
      </c>
      <c r="D624" s="13" t="str">
        <f>IFERROR(__xludf.DUMMYFUNCTION("""COMPUTED_VALUE"""),"Buffalo Run Apartments")</f>
        <v>Buffalo Run Apartments</v>
      </c>
      <c r="E624" s="13" t="str">
        <f>IFERROR(__xludf.DUMMYFUNCTION("""COMPUTED_VALUE"""),"Open")</f>
        <v>Open</v>
      </c>
      <c r="F624" s="13"/>
      <c r="G624" s="13" t="str">
        <f>IFERROR(__xludf.DUMMYFUNCTION("""COMPUTED_VALUE"""),"1245 E LINCOLN AVE")</f>
        <v>1245 E LINCOLN AVE</v>
      </c>
      <c r="H624" s="13" t="str">
        <f>IFERROR(__xludf.DUMMYFUNCTION("""COMPUTED_VALUE"""),"FORT COLLINS")</f>
        <v>FORT COLLINS</v>
      </c>
      <c r="I624" s="13" t="str">
        <f>IFERROR(__xludf.DUMMYFUNCTION("""COMPUTED_VALUE"""),"CO")</f>
        <v>CO</v>
      </c>
      <c r="J624" s="13" t="str">
        <f>IFERROR(__xludf.DUMMYFUNCTION("""COMPUTED_VALUE"""),"80524-4744")</f>
        <v>80524-4744</v>
      </c>
      <c r="K624" s="13" t="str">
        <f>IFERROR(__xludf.DUMMYFUNCTION("""COMPUTED_VALUE"""),"Larimer")</f>
        <v>Larimer</v>
      </c>
      <c r="L624" s="17"/>
      <c r="M624" s="17"/>
      <c r="N624" s="17" t="str">
        <f>IFERROR(__xludf.DUMMYFUNCTION("""COMPUTED_VALUE"""),"Y")</f>
        <v>Y</v>
      </c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>
      <c r="A625" s="18" t="str">
        <f>IFERROR(__xludf.DUMMYFUNCTION("""COMPUTED_VALUE"""),"7010")</f>
        <v>7010</v>
      </c>
      <c r="B625" s="18" t="str">
        <f>IFERROR(__xludf.DUMMYFUNCTION("""COMPUTED_VALUE"""),"Food Bank for Larimer County")</f>
        <v>Food Bank for Larimer County</v>
      </c>
      <c r="C625" s="18" t="str">
        <f>IFERROR(__xludf.DUMMYFUNCTION("""COMPUTED_VALUE"""),"91607")</f>
        <v>91607</v>
      </c>
      <c r="D625" s="18" t="str">
        <f>IFERROR(__xludf.DUMMYFUNCTION("""COMPUTED_VALUE"""),"YMCA- Mary Blair")</f>
        <v>YMCA- Mary Blair</v>
      </c>
      <c r="E625" s="18" t="str">
        <f>IFERROR(__xludf.DUMMYFUNCTION("""COMPUTED_VALUE"""),"Closed - Enrolled")</f>
        <v>Closed - Enrolled</v>
      </c>
      <c r="F625" s="18" t="str">
        <f>IFERROR(__xludf.DUMMYFUNCTION("""COMPUTED_VALUE""")," ")</f>
        <v> </v>
      </c>
      <c r="G625" s="18" t="str">
        <f>IFERROR(__xludf.DUMMYFUNCTION("""COMPUTED_VALUE"""),"860 E 29TH ST")</f>
        <v>860 E 29TH ST</v>
      </c>
      <c r="H625" s="18" t="str">
        <f>IFERROR(__xludf.DUMMYFUNCTION("""COMPUTED_VALUE"""),"LOVELAND")</f>
        <v>LOVELAND</v>
      </c>
      <c r="I625" s="18" t="str">
        <f>IFERROR(__xludf.DUMMYFUNCTION("""COMPUTED_VALUE"""),"CO")</f>
        <v>CO</v>
      </c>
      <c r="J625" s="18" t="str">
        <f>IFERROR(__xludf.DUMMYFUNCTION("""COMPUTED_VALUE"""),"80538-2801")</f>
        <v>80538-2801</v>
      </c>
      <c r="K625" s="18" t="str">
        <f>IFERROR(__xludf.DUMMYFUNCTION("""COMPUTED_VALUE"""),"Larimer")</f>
        <v>Larimer</v>
      </c>
      <c r="L625" s="19"/>
      <c r="M625" s="19"/>
      <c r="N625" s="19" t="str">
        <f>IFERROR(__xludf.DUMMYFUNCTION("""COMPUTED_VALUE"""),"Y")</f>
        <v>Y</v>
      </c>
      <c r="O625" s="19" t="str">
        <f>IFERROR(__xludf.DUMMYFUNCTION("""COMPUTED_VALUE"""),"Y")</f>
        <v>Y</v>
      </c>
      <c r="P625" s="19"/>
      <c r="Q625" s="19" t="str">
        <f>IFERROR(__xludf.DUMMYFUNCTION("""COMPUTED_VALUE"""),"No Claims as of 11.24")</f>
        <v>No Claims as of 11.24</v>
      </c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>
      <c r="A626" s="13" t="str">
        <f>IFERROR(__xludf.DUMMYFUNCTION("""COMPUTED_VALUE"""),"7010")</f>
        <v>7010</v>
      </c>
      <c r="B626" s="13" t="str">
        <f>IFERROR(__xludf.DUMMYFUNCTION("""COMPUTED_VALUE"""),"Food Bank for Larimer County")</f>
        <v>Food Bank for Larimer County</v>
      </c>
      <c r="C626" s="13" t="str">
        <f>IFERROR(__xludf.DUMMYFUNCTION("""COMPUTED_VALUE"""),"91617")</f>
        <v>91617</v>
      </c>
      <c r="D626" s="13" t="str">
        <f>IFERROR(__xludf.DUMMYFUNCTION("""COMPUTED_VALUE"""),"Pleasant Grove MHC")</f>
        <v>Pleasant Grove MHC</v>
      </c>
      <c r="E626" s="13" t="str">
        <f>IFERROR(__xludf.DUMMYFUNCTION("""COMPUTED_VALUE"""),"Open")</f>
        <v>Open</v>
      </c>
      <c r="F626" s="13"/>
      <c r="G626" s="13" t="str">
        <f>IFERROR(__xludf.DUMMYFUNCTION("""COMPUTED_VALUE"""),"517 E TRILBY RD")</f>
        <v>517 E TRILBY RD</v>
      </c>
      <c r="H626" s="13" t="str">
        <f>IFERROR(__xludf.DUMMYFUNCTION("""COMPUTED_VALUE"""),"FORT COLLINS")</f>
        <v>FORT COLLINS</v>
      </c>
      <c r="I626" s="13" t="str">
        <f>IFERROR(__xludf.DUMMYFUNCTION("""COMPUTED_VALUE"""),"CO")</f>
        <v>CO</v>
      </c>
      <c r="J626" s="13" t="str">
        <f>IFERROR(__xludf.DUMMYFUNCTION("""COMPUTED_VALUE"""),"80525-4170")</f>
        <v>80525-4170</v>
      </c>
      <c r="K626" s="13" t="str">
        <f>IFERROR(__xludf.DUMMYFUNCTION("""COMPUTED_VALUE"""),"Larimer")</f>
        <v>Larimer</v>
      </c>
      <c r="L626" s="17"/>
      <c r="M626" s="17"/>
      <c r="N626" s="17" t="str">
        <f>IFERROR(__xludf.DUMMYFUNCTION("""COMPUTED_VALUE"""),"Y")</f>
        <v>Y</v>
      </c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>
      <c r="A627" s="13" t="str">
        <f>IFERROR(__xludf.DUMMYFUNCTION("""COMPUTED_VALUE"""),"7010")</f>
        <v>7010</v>
      </c>
      <c r="B627" s="13" t="str">
        <f>IFERROR(__xludf.DUMMYFUNCTION("""COMPUTED_VALUE"""),"Food Bank for Larimer County")</f>
        <v>Food Bank for Larimer County</v>
      </c>
      <c r="C627" s="13" t="str">
        <f>IFERROR(__xludf.DUMMYFUNCTION("""COMPUTED_VALUE"""),"91799")</f>
        <v>91799</v>
      </c>
      <c r="D627" s="13" t="str">
        <f>IFERROR(__xludf.DUMMYFUNCTION("""COMPUTED_VALUE"""),"Avery Park")</f>
        <v>Avery Park</v>
      </c>
      <c r="E627" s="13" t="str">
        <f>IFERROR(__xludf.DUMMYFUNCTION("""COMPUTED_VALUE"""),"Open")</f>
        <v>Open</v>
      </c>
      <c r="F627" s="13"/>
      <c r="G627" s="13" t="str">
        <f>IFERROR(__xludf.DUMMYFUNCTION("""COMPUTED_VALUE"""),"1101 Castlerock Drive")</f>
        <v>1101 Castlerock Drive</v>
      </c>
      <c r="H627" s="13" t="str">
        <f>IFERROR(__xludf.DUMMYFUNCTION("""COMPUTED_VALUE"""),"FORT COLLINS")</f>
        <v>FORT COLLINS</v>
      </c>
      <c r="I627" s="13" t="str">
        <f>IFERROR(__xludf.DUMMYFUNCTION("""COMPUTED_VALUE"""),"CO")</f>
        <v>CO</v>
      </c>
      <c r="J627" s="13">
        <f>IFERROR(__xludf.DUMMYFUNCTION("""COMPUTED_VALUE"""),80521.0)</f>
        <v>80521</v>
      </c>
      <c r="K627" s="13" t="str">
        <f>IFERROR(__xludf.DUMMYFUNCTION("""COMPUTED_VALUE"""),"Larimer")</f>
        <v>Larimer</v>
      </c>
      <c r="L627" s="17"/>
      <c r="M627" s="17"/>
      <c r="N627" s="17" t="str">
        <f>IFERROR(__xludf.DUMMYFUNCTION("""COMPUTED_VALUE"""),"Y")</f>
        <v>Y</v>
      </c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>
      <c r="A628" s="18" t="str">
        <f>IFERROR(__xludf.DUMMYFUNCTION("""COMPUTED_VALUE"""),"7010")</f>
        <v>7010</v>
      </c>
      <c r="B628" s="18" t="str">
        <f>IFERROR(__xludf.DUMMYFUNCTION("""COMPUTED_VALUE"""),"Food Bank for Larimer County")</f>
        <v>Food Bank for Larimer County</v>
      </c>
      <c r="C628" s="18" t="str">
        <f>IFERROR(__xludf.DUMMYFUNCTION("""COMPUTED_VALUE"""),"91801")</f>
        <v>91801</v>
      </c>
      <c r="D628" s="18" t="str">
        <f>IFERROR(__xludf.DUMMYFUNCTION("""COMPUTED_VALUE"""),"Boys and Girls Club Zach")</f>
        <v>Boys and Girls Club Zach</v>
      </c>
      <c r="E628" s="18" t="str">
        <f>IFERROR(__xludf.DUMMYFUNCTION("""COMPUTED_VALUE"""),"Closed - Enrolled")</f>
        <v>Closed - Enrolled</v>
      </c>
      <c r="F628" s="18" t="str">
        <f>IFERROR(__xludf.DUMMYFUNCTION("""COMPUTED_VALUE""")," ")</f>
        <v> </v>
      </c>
      <c r="G628" s="18" t="str">
        <f>IFERROR(__xludf.DUMMYFUNCTION("""COMPUTED_VALUE"""),"1600 LANCER DR")</f>
        <v>1600 LANCER DR</v>
      </c>
      <c r="H628" s="18" t="str">
        <f>IFERROR(__xludf.DUMMYFUNCTION("""COMPUTED_VALUE"""),"FORT COLLINS")</f>
        <v>FORT COLLINS</v>
      </c>
      <c r="I628" s="18" t="str">
        <f>IFERROR(__xludf.DUMMYFUNCTION("""COMPUTED_VALUE"""),"CO")</f>
        <v>CO</v>
      </c>
      <c r="J628" s="18" t="str">
        <f>IFERROR(__xludf.DUMMYFUNCTION("""COMPUTED_VALUE"""),"80521-1609")</f>
        <v>80521-1609</v>
      </c>
      <c r="K628" s="18" t="str">
        <f>IFERROR(__xludf.DUMMYFUNCTION("""COMPUTED_VALUE"""),"Larimer")</f>
        <v>Larimer</v>
      </c>
      <c r="L628" s="19"/>
      <c r="M628" s="19"/>
      <c r="N628" s="19" t="str">
        <f>IFERROR(__xludf.DUMMYFUNCTION("""COMPUTED_VALUE"""),"Y")</f>
        <v>Y</v>
      </c>
      <c r="O628" s="19" t="str">
        <f>IFERROR(__xludf.DUMMYFUNCTION("""COMPUTED_VALUE"""),"Y")</f>
        <v>Y</v>
      </c>
      <c r="P628" s="19"/>
      <c r="Q628" s="19" t="str">
        <f>IFERROR(__xludf.DUMMYFUNCTION("""COMPUTED_VALUE"""),"No Claims as of 11.24")</f>
        <v>No Claims as of 11.24</v>
      </c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>
      <c r="A629" s="13" t="str">
        <f>IFERROR(__xludf.DUMMYFUNCTION("""COMPUTED_VALUE"""),"7014")</f>
        <v>7014</v>
      </c>
      <c r="B629" s="13" t="str">
        <f>IFERROR(__xludf.DUMMYFUNCTION("""COMPUTED_VALUE"""),"Prairie Family Center")</f>
        <v>Prairie Family Center</v>
      </c>
      <c r="C629" s="13" t="str">
        <f>IFERROR(__xludf.DUMMYFUNCTION("""COMPUTED_VALUE"""),"12943")</f>
        <v>12943</v>
      </c>
      <c r="D629" s="13" t="str">
        <f>IFERROR(__xludf.DUMMYFUNCTION("""COMPUTED_VALUE"""),"Flagler School")</f>
        <v>Flagler School</v>
      </c>
      <c r="E629" s="13" t="str">
        <f>IFERROR(__xludf.DUMMYFUNCTION("""COMPUTED_VALUE"""),"Open")</f>
        <v>Open</v>
      </c>
      <c r="F629" s="13"/>
      <c r="G629" s="13" t="str">
        <f>IFERROR(__xludf.DUMMYFUNCTION("""COMPUTED_VALUE"""),"421 JULIAN AVE")</f>
        <v>421 JULIAN AVE</v>
      </c>
      <c r="H629" s="13" t="str">
        <f>IFERROR(__xludf.DUMMYFUNCTION("""COMPUTED_VALUE"""),"FLAGLER")</f>
        <v>FLAGLER</v>
      </c>
      <c r="I629" s="13" t="str">
        <f>IFERROR(__xludf.DUMMYFUNCTION("""COMPUTED_VALUE"""),"CO")</f>
        <v>CO</v>
      </c>
      <c r="J629" s="13" t="str">
        <f>IFERROR(__xludf.DUMMYFUNCTION("""COMPUTED_VALUE"""),"80815-8901")</f>
        <v>80815-8901</v>
      </c>
      <c r="K629" s="13" t="str">
        <f>IFERROR(__xludf.DUMMYFUNCTION("""COMPUTED_VALUE"""),"Kit Carson")</f>
        <v>Kit Carson</v>
      </c>
      <c r="L629" s="17" t="str">
        <f>IFERROR(__xludf.DUMMYFUNCTION("""COMPUTED_VALUE"""),"Y")</f>
        <v>Y</v>
      </c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>
      <c r="A630" s="13" t="str">
        <f>IFERROR(__xludf.DUMMYFUNCTION("""COMPUTED_VALUE"""),"7014")</f>
        <v>7014</v>
      </c>
      <c r="B630" s="13" t="str">
        <f>IFERROR(__xludf.DUMMYFUNCTION("""COMPUTED_VALUE"""),"Prairie Family Center")</f>
        <v>Prairie Family Center</v>
      </c>
      <c r="C630" s="13" t="str">
        <f>IFERROR(__xludf.DUMMYFUNCTION("""COMPUTED_VALUE"""),"23671")</f>
        <v>23671</v>
      </c>
      <c r="D630" s="13" t="str">
        <f>IFERROR(__xludf.DUMMYFUNCTION("""COMPUTED_VALUE"""),"Burlington Elementary School")</f>
        <v>Burlington Elementary School</v>
      </c>
      <c r="E630" s="13" t="str">
        <f>IFERROR(__xludf.DUMMYFUNCTION("""COMPUTED_VALUE"""),"Open")</f>
        <v>Open</v>
      </c>
      <c r="F630" s="13" t="str">
        <f>IFERROR(__xludf.DUMMYFUNCTION("""COMPUTED_VALUE"""),"Hybrid")</f>
        <v>Hybrid</v>
      </c>
      <c r="G630" s="13" t="str">
        <f>IFERROR(__xludf.DUMMYFUNCTION("""COMPUTED_VALUE"""),"450 11TH ST")</f>
        <v>450 11TH ST</v>
      </c>
      <c r="H630" s="13" t="str">
        <f>IFERROR(__xludf.DUMMYFUNCTION("""COMPUTED_VALUE"""),"BURLINGTON")</f>
        <v>BURLINGTON</v>
      </c>
      <c r="I630" s="13" t="str">
        <f>IFERROR(__xludf.DUMMYFUNCTION("""COMPUTED_VALUE"""),"CO")</f>
        <v>CO</v>
      </c>
      <c r="J630" s="13" t="str">
        <f>IFERROR(__xludf.DUMMYFUNCTION("""COMPUTED_VALUE"""),"80807-1710")</f>
        <v>80807-1710</v>
      </c>
      <c r="K630" s="13" t="str">
        <f>IFERROR(__xludf.DUMMYFUNCTION("""COMPUTED_VALUE"""),"Kit Carson")</f>
        <v>Kit Carson</v>
      </c>
      <c r="L630" s="17" t="str">
        <f>IFERROR(__xludf.DUMMYFUNCTION("""COMPUTED_VALUE"""),"Y")</f>
        <v>Y</v>
      </c>
      <c r="M630" s="17"/>
      <c r="N630" s="17" t="str">
        <f>IFERROR(__xludf.DUMMYFUNCTION("""COMPUTED_VALUE"""),"Y")</f>
        <v>Y</v>
      </c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>
      <c r="A631" s="13" t="str">
        <f>IFERROR(__xludf.DUMMYFUNCTION("""COMPUTED_VALUE"""),"7014")</f>
        <v>7014</v>
      </c>
      <c r="B631" s="13" t="str">
        <f>IFERROR(__xludf.DUMMYFUNCTION("""COMPUTED_VALUE"""),"Prairie Family Center")</f>
        <v>Prairie Family Center</v>
      </c>
      <c r="C631" s="13" t="str">
        <f>IFERROR(__xludf.DUMMYFUNCTION("""COMPUTED_VALUE"""),"91655")</f>
        <v>91655</v>
      </c>
      <c r="D631" s="13" t="str">
        <f>IFERROR(__xludf.DUMMYFUNCTION("""COMPUTED_VALUE"""),"Stratton Elementary School")</f>
        <v>Stratton Elementary School</v>
      </c>
      <c r="E631" s="13" t="str">
        <f>IFERROR(__xludf.DUMMYFUNCTION("""COMPUTED_VALUE"""),"Open")</f>
        <v>Open</v>
      </c>
      <c r="F631" s="13"/>
      <c r="G631" s="13" t="str">
        <f>IFERROR(__xludf.DUMMYFUNCTION("""COMPUTED_VALUE"""),"6 Main St.")</f>
        <v>6 Main St.</v>
      </c>
      <c r="H631" s="13" t="str">
        <f>IFERROR(__xludf.DUMMYFUNCTION("""COMPUTED_VALUE"""),"STRATTON")</f>
        <v>STRATTON</v>
      </c>
      <c r="I631" s="13" t="str">
        <f>IFERROR(__xludf.DUMMYFUNCTION("""COMPUTED_VALUE"""),"CO")</f>
        <v>CO</v>
      </c>
      <c r="J631" s="13">
        <f>IFERROR(__xludf.DUMMYFUNCTION("""COMPUTED_VALUE"""),80836.0)</f>
        <v>80836</v>
      </c>
      <c r="K631" s="13" t="str">
        <f>IFERROR(__xludf.DUMMYFUNCTION("""COMPUTED_VALUE"""),"Kit Carson")</f>
        <v>Kit Carson</v>
      </c>
      <c r="L631" s="17" t="str">
        <f>IFERROR(__xludf.DUMMYFUNCTION("""COMPUTED_VALUE"""),"Y")</f>
        <v>Y</v>
      </c>
      <c r="M631" s="17"/>
      <c r="N631" s="17" t="str">
        <f>IFERROR(__xludf.DUMMYFUNCTION("""COMPUTED_VALUE"""),"Y")</f>
        <v>Y</v>
      </c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>
      <c r="A632" s="13" t="str">
        <f>IFERROR(__xludf.DUMMYFUNCTION("""COMPUTED_VALUE"""),"7018")</f>
        <v>7018</v>
      </c>
      <c r="B632" s="13" t="str">
        <f>IFERROR(__xludf.DUMMYFUNCTION("""COMPUTED_VALUE"""),"Weld Food Bank")</f>
        <v>Weld Food Bank</v>
      </c>
      <c r="C632" s="13" t="str">
        <f>IFERROR(__xludf.DUMMYFUNCTION("""COMPUTED_VALUE"""),"05900")</f>
        <v>05900</v>
      </c>
      <c r="D632" s="13" t="str">
        <f>IFERROR(__xludf.DUMMYFUNCTION("""COMPUTED_VALUE"""),"Farm Labor Housing")</f>
        <v>Farm Labor Housing</v>
      </c>
      <c r="E632" s="13" t="str">
        <f>IFERROR(__xludf.DUMMYFUNCTION("""COMPUTED_VALUE"""),"Open")</f>
        <v>Open</v>
      </c>
      <c r="F632" s="13"/>
      <c r="G632" s="13" t="str">
        <f>IFERROR(__xludf.DUMMYFUNCTION("""COMPUTED_VALUE"""),"2501 Ash Ave. #36")</f>
        <v>2501 Ash Ave. #36</v>
      </c>
      <c r="H632" s="13" t="str">
        <f>IFERROR(__xludf.DUMMYFUNCTION("""COMPUTED_VALUE"""),"GREELEY")</f>
        <v>GREELEY</v>
      </c>
      <c r="I632" s="13" t="str">
        <f>IFERROR(__xludf.DUMMYFUNCTION("""COMPUTED_VALUE"""),"CO")</f>
        <v>CO</v>
      </c>
      <c r="J632" s="13">
        <f>IFERROR(__xludf.DUMMYFUNCTION("""COMPUTED_VALUE"""),80631.0)</f>
        <v>80631</v>
      </c>
      <c r="K632" s="13" t="str">
        <f>IFERROR(__xludf.DUMMYFUNCTION("""COMPUTED_VALUE"""),"Weld")</f>
        <v>Weld</v>
      </c>
      <c r="L632" s="17" t="str">
        <f>IFERROR(__xludf.DUMMYFUNCTION("""COMPUTED_VALUE"""),"Y")</f>
        <v>Y</v>
      </c>
      <c r="M632" s="17"/>
      <c r="N632" s="17" t="str">
        <f>IFERROR(__xludf.DUMMYFUNCTION("""COMPUTED_VALUE"""),"Y")</f>
        <v>Y</v>
      </c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>
      <c r="A633" s="13" t="str">
        <f>IFERROR(__xludf.DUMMYFUNCTION("""COMPUTED_VALUE"""),"7018")</f>
        <v>7018</v>
      </c>
      <c r="B633" s="13" t="str">
        <f>IFERROR(__xludf.DUMMYFUNCTION("""COMPUTED_VALUE"""),"Weld Food Bank")</f>
        <v>Weld Food Bank</v>
      </c>
      <c r="C633" s="13" t="str">
        <f>IFERROR(__xludf.DUMMYFUNCTION("""COMPUTED_VALUE"""),"11064")</f>
        <v>11064</v>
      </c>
      <c r="D633" s="13" t="str">
        <f>IFERROR(__xludf.DUMMYFUNCTION("""COMPUTED_VALUE"""),"Monfort Youth Development Center")</f>
        <v>Monfort Youth Development Center</v>
      </c>
      <c r="E633" s="13" t="str">
        <f>IFERROR(__xludf.DUMMYFUNCTION("""COMPUTED_VALUE"""),"Closed - Enrolled")</f>
        <v>Closed - Enrolled</v>
      </c>
      <c r="F633" s="13"/>
      <c r="G633" s="13" t="str">
        <f>IFERROR(__xludf.DUMMYFUNCTION("""COMPUTED_VALUE"""),"2400 W 4TH ST")</f>
        <v>2400 W 4TH ST</v>
      </c>
      <c r="H633" s="13" t="str">
        <f>IFERROR(__xludf.DUMMYFUNCTION("""COMPUTED_VALUE"""),"GREELEY")</f>
        <v>GREELEY</v>
      </c>
      <c r="I633" s="13" t="str">
        <f>IFERROR(__xludf.DUMMYFUNCTION("""COMPUTED_VALUE"""),"CO")</f>
        <v>CO</v>
      </c>
      <c r="J633" s="13" t="str">
        <f>IFERROR(__xludf.DUMMYFUNCTION("""COMPUTED_VALUE"""),"80631-2637")</f>
        <v>80631-2637</v>
      </c>
      <c r="K633" s="13" t="str">
        <f>IFERROR(__xludf.DUMMYFUNCTION("""COMPUTED_VALUE"""),"Weld")</f>
        <v>Weld</v>
      </c>
      <c r="L633" s="17" t="str">
        <f>IFERROR(__xludf.DUMMYFUNCTION("""COMPUTED_VALUE"""),"Y")</f>
        <v>Y</v>
      </c>
      <c r="M633" s="17"/>
      <c r="N633" s="17" t="str">
        <f>IFERROR(__xludf.DUMMYFUNCTION("""COMPUTED_VALUE"""),"Y")</f>
        <v>Y</v>
      </c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>
      <c r="A634" s="13" t="str">
        <f>IFERROR(__xludf.DUMMYFUNCTION("""COMPUTED_VALUE"""),"7018")</f>
        <v>7018</v>
      </c>
      <c r="B634" s="13" t="str">
        <f>IFERROR(__xludf.DUMMYFUNCTION("""COMPUTED_VALUE"""),"Weld Food Bank")</f>
        <v>Weld Food Bank</v>
      </c>
      <c r="C634" s="13" t="str">
        <f>IFERROR(__xludf.DUMMYFUNCTION("""COMPUTED_VALUE"""),"11303")</f>
        <v>11303</v>
      </c>
      <c r="D634" s="13" t="str">
        <f>IFERROR(__xludf.DUMMYFUNCTION("""COMPUTED_VALUE"""),"Art &amp; Martie Barker Clubhouse")</f>
        <v>Art &amp; Martie Barker Clubhouse</v>
      </c>
      <c r="E634" s="13" t="str">
        <f>IFERROR(__xludf.DUMMYFUNCTION("""COMPUTED_VALUE"""),"Closed - Enrolled")</f>
        <v>Closed - Enrolled</v>
      </c>
      <c r="F634" s="13"/>
      <c r="G634" s="13" t="str">
        <f>IFERROR(__xludf.DUMMYFUNCTION("""COMPUTED_VALUE"""),"320 CENTENNIAL DR")</f>
        <v>320 CENTENNIAL DR</v>
      </c>
      <c r="H634" s="13" t="str">
        <f>IFERROR(__xludf.DUMMYFUNCTION("""COMPUTED_VALUE"""),"MILLIKEN")</f>
        <v>MILLIKEN</v>
      </c>
      <c r="I634" s="13" t="str">
        <f>IFERROR(__xludf.DUMMYFUNCTION("""COMPUTED_VALUE"""),"CO")</f>
        <v>CO</v>
      </c>
      <c r="J634" s="13" t="str">
        <f>IFERROR(__xludf.DUMMYFUNCTION("""COMPUTED_VALUE"""),"80543-3219")</f>
        <v>80543-3219</v>
      </c>
      <c r="K634" s="13" t="str">
        <f>IFERROR(__xludf.DUMMYFUNCTION("""COMPUTED_VALUE"""),"Weld")</f>
        <v>Weld</v>
      </c>
      <c r="L634" s="17" t="str">
        <f>IFERROR(__xludf.DUMMYFUNCTION("""COMPUTED_VALUE"""),"Y")</f>
        <v>Y</v>
      </c>
      <c r="M634" s="17"/>
      <c r="N634" s="17" t="str">
        <f>IFERROR(__xludf.DUMMYFUNCTION("""COMPUTED_VALUE"""),"Y")</f>
        <v>Y</v>
      </c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>
      <c r="A635" s="13" t="str">
        <f>IFERROR(__xludf.DUMMYFUNCTION("""COMPUTED_VALUE"""),"7018")</f>
        <v>7018</v>
      </c>
      <c r="B635" s="13" t="str">
        <f>IFERROR(__xludf.DUMMYFUNCTION("""COMPUTED_VALUE"""),"Weld Food Bank")</f>
        <v>Weld Food Bank</v>
      </c>
      <c r="C635" s="13" t="str">
        <f>IFERROR(__xludf.DUMMYFUNCTION("""COMPUTED_VALUE"""),"11304")</f>
        <v>11304</v>
      </c>
      <c r="D635" s="13" t="str">
        <f>IFERROR(__xludf.DUMMYFUNCTION("""COMPUTED_VALUE"""),"Jerry Pawl Unit")</f>
        <v>Jerry Pawl Unit</v>
      </c>
      <c r="E635" s="13" t="str">
        <f>IFERROR(__xludf.DUMMYFUNCTION("""COMPUTED_VALUE"""),"Closed - Enrolled")</f>
        <v>Closed - Enrolled</v>
      </c>
      <c r="F635" s="13"/>
      <c r="G635" s="13" t="str">
        <f>IFERROR(__xludf.DUMMYFUNCTION("""COMPUTED_VALUE"""),"2400 1ST AVE")</f>
        <v>2400 1ST AVE</v>
      </c>
      <c r="H635" s="13" t="str">
        <f>IFERROR(__xludf.DUMMYFUNCTION("""COMPUTED_VALUE"""),"GREELEY")</f>
        <v>GREELEY</v>
      </c>
      <c r="I635" s="13" t="str">
        <f>IFERROR(__xludf.DUMMYFUNCTION("""COMPUTED_VALUE"""),"CO")</f>
        <v>CO</v>
      </c>
      <c r="J635" s="13" t="str">
        <f>IFERROR(__xludf.DUMMYFUNCTION("""COMPUTED_VALUE"""),"80631-7440")</f>
        <v>80631-7440</v>
      </c>
      <c r="K635" s="13" t="str">
        <f>IFERROR(__xludf.DUMMYFUNCTION("""COMPUTED_VALUE"""),"Weld")</f>
        <v>Weld</v>
      </c>
      <c r="L635" s="17" t="str">
        <f>IFERROR(__xludf.DUMMYFUNCTION("""COMPUTED_VALUE"""),"Y")</f>
        <v>Y</v>
      </c>
      <c r="M635" s="17"/>
      <c r="N635" s="17" t="str">
        <f>IFERROR(__xludf.DUMMYFUNCTION("""COMPUTED_VALUE"""),"Y")</f>
        <v>Y</v>
      </c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>
      <c r="A636" s="13" t="str">
        <f>IFERROR(__xludf.DUMMYFUNCTION("""COMPUTED_VALUE"""),"7018")</f>
        <v>7018</v>
      </c>
      <c r="B636" s="13" t="str">
        <f>IFERROR(__xludf.DUMMYFUNCTION("""COMPUTED_VALUE"""),"Weld Food Bank")</f>
        <v>Weld Food Bank</v>
      </c>
      <c r="C636" s="13" t="str">
        <f>IFERROR(__xludf.DUMMYFUNCTION("""COMPUTED_VALUE"""),"11307")</f>
        <v>11307</v>
      </c>
      <c r="D636" s="13" t="str">
        <f>IFERROR(__xludf.DUMMYFUNCTION("""COMPUTED_VALUE"""),"Jesus Rodarte Center")</f>
        <v>Jesus Rodarte Center</v>
      </c>
      <c r="E636" s="13" t="str">
        <f>IFERROR(__xludf.DUMMYFUNCTION("""COMPUTED_VALUE"""),"Closed - Enrolled")</f>
        <v>Closed - Enrolled</v>
      </c>
      <c r="F636" s="13"/>
      <c r="G636" s="13" t="str">
        <f>IFERROR(__xludf.DUMMYFUNCTION("""COMPUTED_VALUE"""),"920 A ST")</f>
        <v>920 A ST</v>
      </c>
      <c r="H636" s="13" t="str">
        <f>IFERROR(__xludf.DUMMYFUNCTION("""COMPUTED_VALUE"""),"GREELEY")</f>
        <v>GREELEY</v>
      </c>
      <c r="I636" s="13" t="str">
        <f>IFERROR(__xludf.DUMMYFUNCTION("""COMPUTED_VALUE"""),"CO")</f>
        <v>CO</v>
      </c>
      <c r="J636" s="13" t="str">
        <f>IFERROR(__xludf.DUMMYFUNCTION("""COMPUTED_VALUE"""),"80631-2079")</f>
        <v>80631-2079</v>
      </c>
      <c r="K636" s="13" t="str">
        <f>IFERROR(__xludf.DUMMYFUNCTION("""COMPUTED_VALUE"""),"Weld")</f>
        <v>Weld</v>
      </c>
      <c r="L636" s="17" t="str">
        <f>IFERROR(__xludf.DUMMYFUNCTION("""COMPUTED_VALUE"""),"Y")</f>
        <v>Y</v>
      </c>
      <c r="M636" s="17"/>
      <c r="N636" s="17" t="str">
        <f>IFERROR(__xludf.DUMMYFUNCTION("""COMPUTED_VALUE"""),"Y")</f>
        <v>Y</v>
      </c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>
      <c r="A637" s="13" t="str">
        <f>IFERROR(__xludf.DUMMYFUNCTION("""COMPUTED_VALUE"""),"7018")</f>
        <v>7018</v>
      </c>
      <c r="B637" s="13" t="str">
        <f>IFERROR(__xludf.DUMMYFUNCTION("""COMPUTED_VALUE"""),"Weld Food Bank")</f>
        <v>Weld Food Bank</v>
      </c>
      <c r="C637" s="13" t="str">
        <f>IFERROR(__xludf.DUMMYFUNCTION("""COMPUTED_VALUE"""),"11308")</f>
        <v>11308</v>
      </c>
      <c r="D637" s="13" t="str">
        <f>IFERROR(__xludf.DUMMYFUNCTION("""COMPUTED_VALUE"""),"New Horizon's Christian Church")</f>
        <v>New Horizon's Christian Church</v>
      </c>
      <c r="E637" s="13" t="str">
        <f>IFERROR(__xludf.DUMMYFUNCTION("""COMPUTED_VALUE"""),"Open")</f>
        <v>Open</v>
      </c>
      <c r="F637" s="13"/>
      <c r="G637" s="13" t="str">
        <f>IFERROR(__xludf.DUMMYFUNCTION("""COMPUTED_VALUE"""),"701 CARBONDALE DR")</f>
        <v>701 CARBONDALE DR</v>
      </c>
      <c r="H637" s="13" t="str">
        <f>IFERROR(__xludf.DUMMYFUNCTION("""COMPUTED_VALUE"""),"DACONO")</f>
        <v>DACONO</v>
      </c>
      <c r="I637" s="13" t="str">
        <f>IFERROR(__xludf.DUMMYFUNCTION("""COMPUTED_VALUE"""),"CO")</f>
        <v>CO</v>
      </c>
      <c r="J637" s="13" t="str">
        <f>IFERROR(__xludf.DUMMYFUNCTION("""COMPUTED_VALUE"""),"80514-9549")</f>
        <v>80514-9549</v>
      </c>
      <c r="K637" s="13" t="str">
        <f>IFERROR(__xludf.DUMMYFUNCTION("""COMPUTED_VALUE"""),"Weld")</f>
        <v>Weld</v>
      </c>
      <c r="L637" s="17"/>
      <c r="M637" s="17"/>
      <c r="N637" s="17" t="str">
        <f>IFERROR(__xludf.DUMMYFUNCTION("""COMPUTED_VALUE"""),"Y")</f>
        <v>Y</v>
      </c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>
      <c r="A638" s="13" t="str">
        <f>IFERROR(__xludf.DUMMYFUNCTION("""COMPUTED_VALUE"""),"7018")</f>
        <v>7018</v>
      </c>
      <c r="B638" s="13" t="str">
        <f>IFERROR(__xludf.DUMMYFUNCTION("""COMPUTED_VALUE"""),"Weld Food Bank")</f>
        <v>Weld Food Bank</v>
      </c>
      <c r="C638" s="13" t="str">
        <f>IFERROR(__xludf.DUMMYFUNCTION("""COMPUTED_VALUE"""),"12585")</f>
        <v>12585</v>
      </c>
      <c r="D638" s="13" t="str">
        <f>IFERROR(__xludf.DUMMYFUNCTION("""COMPUTED_VALUE"""),"Platte Valley Middle")</f>
        <v>Platte Valley Middle</v>
      </c>
      <c r="E638" s="13" t="str">
        <f>IFERROR(__xludf.DUMMYFUNCTION("""COMPUTED_VALUE"""),"Closed - Enrolled")</f>
        <v>Closed - Enrolled</v>
      </c>
      <c r="F638" s="13"/>
      <c r="G638" s="13" t="str">
        <f>IFERROR(__xludf.DUMMYFUNCTION("""COMPUTED_VALUE"""),"601 CLARK")</f>
        <v>601 CLARK</v>
      </c>
      <c r="H638" s="13" t="str">
        <f>IFERROR(__xludf.DUMMYFUNCTION("""COMPUTED_VALUE"""),"KERSEY")</f>
        <v>KERSEY</v>
      </c>
      <c r="I638" s="13" t="str">
        <f>IFERROR(__xludf.DUMMYFUNCTION("""COMPUTED_VALUE"""),"CO")</f>
        <v>CO</v>
      </c>
      <c r="J638" s="13" t="str">
        <f>IFERROR(__xludf.DUMMYFUNCTION("""COMPUTED_VALUE"""),"80644-9792")</f>
        <v>80644-9792</v>
      </c>
      <c r="K638" s="13" t="str">
        <f>IFERROR(__xludf.DUMMYFUNCTION("""COMPUTED_VALUE"""),"Weld")</f>
        <v>Weld</v>
      </c>
      <c r="L638" s="17"/>
      <c r="M638" s="17"/>
      <c r="N638" s="17" t="str">
        <f>IFERROR(__xludf.DUMMYFUNCTION("""COMPUTED_VALUE"""),"Y")</f>
        <v>Y</v>
      </c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>
      <c r="A639" s="13" t="str">
        <f>IFERROR(__xludf.DUMMYFUNCTION("""COMPUTED_VALUE"""),"7018")</f>
        <v>7018</v>
      </c>
      <c r="B639" s="13" t="str">
        <f>IFERROR(__xludf.DUMMYFUNCTION("""COMPUTED_VALUE"""),"Weld Food Bank")</f>
        <v>Weld Food Bank</v>
      </c>
      <c r="C639" s="13" t="str">
        <f>IFERROR(__xludf.DUMMYFUNCTION("""COMPUTED_VALUE"""),"12798")</f>
        <v>12798</v>
      </c>
      <c r="D639" s="13" t="str">
        <f>IFERROR(__xludf.DUMMYFUNCTION("""COMPUTED_VALUE"""),"Galeton Boys and Girls Club")</f>
        <v>Galeton Boys and Girls Club</v>
      </c>
      <c r="E639" s="13" t="str">
        <f>IFERROR(__xludf.DUMMYFUNCTION("""COMPUTED_VALUE"""),"Closed - Enrolled")</f>
        <v>Closed - Enrolled</v>
      </c>
      <c r="F639" s="13"/>
      <c r="G639" s="13" t="str">
        <f>IFERROR(__xludf.DUMMYFUNCTION("""COMPUTED_VALUE"""),"24750 3RD ST")</f>
        <v>24750 3RD ST</v>
      </c>
      <c r="H639" s="13" t="str">
        <f>IFERROR(__xludf.DUMMYFUNCTION("""COMPUTED_VALUE"""),"GALETON")</f>
        <v>GALETON</v>
      </c>
      <c r="I639" s="13" t="str">
        <f>IFERROR(__xludf.DUMMYFUNCTION("""COMPUTED_VALUE"""),"CO")</f>
        <v>CO</v>
      </c>
      <c r="J639" s="13">
        <f>IFERROR(__xludf.DUMMYFUNCTION("""COMPUTED_VALUE"""),80622.0)</f>
        <v>80622</v>
      </c>
      <c r="K639" s="13" t="str">
        <f>IFERROR(__xludf.DUMMYFUNCTION("""COMPUTED_VALUE"""),"Weld")</f>
        <v>Weld</v>
      </c>
      <c r="L639" s="17" t="str">
        <f>IFERROR(__xludf.DUMMYFUNCTION("""COMPUTED_VALUE"""),"Y")</f>
        <v>Y</v>
      </c>
      <c r="M639" s="17"/>
      <c r="N639" s="17" t="str">
        <f>IFERROR(__xludf.DUMMYFUNCTION("""COMPUTED_VALUE"""),"Y")</f>
        <v>Y</v>
      </c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>
      <c r="A640" s="13" t="str">
        <f>IFERROR(__xludf.DUMMYFUNCTION("""COMPUTED_VALUE"""),"7018")</f>
        <v>7018</v>
      </c>
      <c r="B640" s="13" t="str">
        <f>IFERROR(__xludf.DUMMYFUNCTION("""COMPUTED_VALUE"""),"Weld Food Bank")</f>
        <v>Weld Food Bank</v>
      </c>
      <c r="C640" s="13" t="str">
        <f>IFERROR(__xludf.DUMMYFUNCTION("""COMPUTED_VALUE"""),"12966")</f>
        <v>12966</v>
      </c>
      <c r="D640" s="13" t="str">
        <f>IFERROR(__xludf.DUMMYFUNCTION("""COMPUTED_VALUE"""),"Anna Gimmestad Memorial Park")</f>
        <v>Anna Gimmestad Memorial Park</v>
      </c>
      <c r="E640" s="13" t="str">
        <f>IFERROR(__xludf.DUMMYFUNCTION("""COMPUTED_VALUE"""),"Closed - Enrolled")</f>
        <v>Closed - Enrolled</v>
      </c>
      <c r="F640" s="13"/>
      <c r="G640" s="13" t="str">
        <f>IFERROR(__xludf.DUMMYFUNCTION("""COMPUTED_VALUE"""),"1710 31st St. Rd.")</f>
        <v>1710 31st St. Rd.</v>
      </c>
      <c r="H640" s="13" t="str">
        <f>IFERROR(__xludf.DUMMYFUNCTION("""COMPUTED_VALUE"""),"GREELEY")</f>
        <v>GREELEY</v>
      </c>
      <c r="I640" s="13" t="str">
        <f>IFERROR(__xludf.DUMMYFUNCTION("""COMPUTED_VALUE"""),"CO")</f>
        <v>CO</v>
      </c>
      <c r="J640" s="13">
        <f>IFERROR(__xludf.DUMMYFUNCTION("""COMPUTED_VALUE"""),80631.0)</f>
        <v>80631</v>
      </c>
      <c r="K640" s="13" t="str">
        <f>IFERROR(__xludf.DUMMYFUNCTION("""COMPUTED_VALUE"""),"Weld")</f>
        <v>Weld</v>
      </c>
      <c r="L640" s="17"/>
      <c r="M640" s="17"/>
      <c r="N640" s="17" t="str">
        <f>IFERROR(__xludf.DUMMYFUNCTION("""COMPUTED_VALUE"""),"Y")</f>
        <v>Y</v>
      </c>
      <c r="O640" s="17" t="str">
        <f>IFERROR(__xludf.DUMMYFUNCTION("""COMPUTED_VALUE"""),"Y")</f>
        <v>Y</v>
      </c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>
      <c r="A641" s="13" t="str">
        <f>IFERROR(__xludf.DUMMYFUNCTION("""COMPUTED_VALUE"""),"7018")</f>
        <v>7018</v>
      </c>
      <c r="B641" s="13" t="str">
        <f>IFERROR(__xludf.DUMMYFUNCTION("""COMPUTED_VALUE"""),"Weld Food Bank")</f>
        <v>Weld Food Bank</v>
      </c>
      <c r="C641" s="13" t="str">
        <f>IFERROR(__xludf.DUMMYFUNCTION("""COMPUTED_VALUE"""),"15240")</f>
        <v>15240</v>
      </c>
      <c r="D641" s="13" t="str">
        <f>IFERROR(__xludf.DUMMYFUNCTION("""COMPUTED_VALUE"""),"High Plains Library District")</f>
        <v>High Plains Library District</v>
      </c>
      <c r="E641" s="13" t="str">
        <f>IFERROR(__xludf.DUMMYFUNCTION("""COMPUTED_VALUE"""),"Open")</f>
        <v>Open</v>
      </c>
      <c r="F641" s="13" t="str">
        <f>IFERROR(__xludf.DUMMYFUNCTION("""COMPUTED_VALUE"""),"Non-congregate")</f>
        <v>Non-congregate</v>
      </c>
      <c r="G641" s="13" t="str">
        <f>IFERROR(__xludf.DUMMYFUNCTION("""COMPUTED_VALUE"""),"205 Pershing St, Grover, CO 80729")</f>
        <v>205 Pershing St, Grover, CO 80729</v>
      </c>
      <c r="H641" s="13" t="str">
        <f>IFERROR(__xludf.DUMMYFUNCTION("""COMPUTED_VALUE"""),"GROVER")</f>
        <v>GROVER</v>
      </c>
      <c r="I641" s="13" t="str">
        <f>IFERROR(__xludf.DUMMYFUNCTION("""COMPUTED_VALUE"""),"CO")</f>
        <v>CO</v>
      </c>
      <c r="J641" s="13">
        <f>IFERROR(__xludf.DUMMYFUNCTION("""COMPUTED_VALUE"""),80729.0)</f>
        <v>80729</v>
      </c>
      <c r="K641" s="13" t="str">
        <f>IFERROR(__xludf.DUMMYFUNCTION("""COMPUTED_VALUE"""),"Weld")</f>
        <v>Weld</v>
      </c>
      <c r="L641" s="17" t="str">
        <f>IFERROR(__xludf.DUMMYFUNCTION("""COMPUTED_VALUE"""),"Y")</f>
        <v>Y</v>
      </c>
      <c r="M641" s="17"/>
      <c r="N641" s="17" t="str">
        <f>IFERROR(__xludf.DUMMYFUNCTION("""COMPUTED_VALUE"""),"Y")</f>
        <v>Y</v>
      </c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>
      <c r="A642" s="13" t="str">
        <f>IFERROR(__xludf.DUMMYFUNCTION("""COMPUTED_VALUE"""),"7018")</f>
        <v>7018</v>
      </c>
      <c r="B642" s="13" t="str">
        <f>IFERROR(__xludf.DUMMYFUNCTION("""COMPUTED_VALUE"""),"Weld Food Bank")</f>
        <v>Weld Food Bank</v>
      </c>
      <c r="C642" s="13" t="str">
        <f>IFERROR(__xludf.DUMMYFUNCTION("""COMPUTED_VALUE"""),"15242")</f>
        <v>15242</v>
      </c>
      <c r="D642" s="13" t="str">
        <f>IFERROR(__xludf.DUMMYFUNCTION("""COMPUTED_VALUE"""),"Platteville Community Center")</f>
        <v>Platteville Community Center</v>
      </c>
      <c r="E642" s="13" t="str">
        <f>IFERROR(__xludf.DUMMYFUNCTION("""COMPUTED_VALUE"""),"Open")</f>
        <v>Open</v>
      </c>
      <c r="F642" s="13" t="str">
        <f>IFERROR(__xludf.DUMMYFUNCTION("""COMPUTED_VALUE"""),"Non-congregate")</f>
        <v>Non-congregate</v>
      </c>
      <c r="G642" s="13" t="str">
        <f>IFERROR(__xludf.DUMMYFUNCTION("""COMPUTED_VALUE"""),"508 REYNOLDS AVE")</f>
        <v>508 REYNOLDS AVE</v>
      </c>
      <c r="H642" s="13" t="str">
        <f>IFERROR(__xludf.DUMMYFUNCTION("""COMPUTED_VALUE"""),"PLATTEVILLE")</f>
        <v>PLATTEVILLE</v>
      </c>
      <c r="I642" s="13" t="str">
        <f>IFERROR(__xludf.DUMMYFUNCTION("""COMPUTED_VALUE"""),"CO")</f>
        <v>CO</v>
      </c>
      <c r="J642" s="13">
        <f>IFERROR(__xludf.DUMMYFUNCTION("""COMPUTED_VALUE"""),80651.0)</f>
        <v>80651</v>
      </c>
      <c r="K642" s="13" t="str">
        <f>IFERROR(__xludf.DUMMYFUNCTION("""COMPUTED_VALUE"""),"Weld")</f>
        <v>Weld</v>
      </c>
      <c r="L642" s="17" t="str">
        <f>IFERROR(__xludf.DUMMYFUNCTION("""COMPUTED_VALUE"""),"Y")</f>
        <v>Y</v>
      </c>
      <c r="M642" s="17"/>
      <c r="N642" s="17" t="str">
        <f>IFERROR(__xludf.DUMMYFUNCTION("""COMPUTED_VALUE"""),"Y")</f>
        <v>Y</v>
      </c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>
      <c r="A643" s="13" t="str">
        <f>IFERROR(__xludf.DUMMYFUNCTION("""COMPUTED_VALUE"""),"7018")</f>
        <v>7018</v>
      </c>
      <c r="B643" s="13" t="str">
        <f>IFERROR(__xludf.DUMMYFUNCTION("""COMPUTED_VALUE"""),"Weld Food Bank")</f>
        <v>Weld Food Bank</v>
      </c>
      <c r="C643" s="13" t="str">
        <f>IFERROR(__xludf.DUMMYFUNCTION("""COMPUTED_VALUE"""),"15259")</f>
        <v>15259</v>
      </c>
      <c r="D643" s="13" t="str">
        <f>IFERROR(__xludf.DUMMYFUNCTION("""COMPUTED_VALUE"""),"Valley High School - NCHA")</f>
        <v>Valley High School - NCHA</v>
      </c>
      <c r="E643" s="13" t="str">
        <f>IFERROR(__xludf.DUMMYFUNCTION("""COMPUTED_VALUE"""),"Open")</f>
        <v>Open</v>
      </c>
      <c r="F643" s="13" t="str">
        <f>IFERROR(__xludf.DUMMYFUNCTION("""COMPUTED_VALUE"""),"Non-congregate")</f>
        <v>Non-congregate</v>
      </c>
      <c r="G643" s="13" t="str">
        <f>IFERROR(__xludf.DUMMYFUNCTION("""COMPUTED_VALUE"""),"1001 BIRCH ST")</f>
        <v>1001 BIRCH ST</v>
      </c>
      <c r="H643" s="13" t="str">
        <f>IFERROR(__xludf.DUMMYFUNCTION("""COMPUTED_VALUE"""),"GILCREST")</f>
        <v>GILCREST</v>
      </c>
      <c r="I643" s="13" t="str">
        <f>IFERROR(__xludf.DUMMYFUNCTION("""COMPUTED_VALUE"""),"CO")</f>
        <v>CO</v>
      </c>
      <c r="J643" s="13">
        <f>IFERROR(__xludf.DUMMYFUNCTION("""COMPUTED_VALUE"""),80623.0)</f>
        <v>80623</v>
      </c>
      <c r="K643" s="13" t="str">
        <f>IFERROR(__xludf.DUMMYFUNCTION("""COMPUTED_VALUE"""),"Weld")</f>
        <v>Weld</v>
      </c>
      <c r="L643" s="17" t="str">
        <f>IFERROR(__xludf.DUMMYFUNCTION("""COMPUTED_VALUE"""),"Y")</f>
        <v>Y</v>
      </c>
      <c r="M643" s="17"/>
      <c r="N643" s="17" t="str">
        <f>IFERROR(__xludf.DUMMYFUNCTION("""COMPUTED_VALUE"""),"Y")</f>
        <v>Y</v>
      </c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>
      <c r="A644" s="13" t="str">
        <f>IFERROR(__xludf.DUMMYFUNCTION("""COMPUTED_VALUE"""),"7018")</f>
        <v>7018</v>
      </c>
      <c r="B644" s="13" t="str">
        <f>IFERROR(__xludf.DUMMYFUNCTION("""COMPUTED_VALUE"""),"Weld Food Bank")</f>
        <v>Weld Food Bank</v>
      </c>
      <c r="C644" s="13" t="str">
        <f>IFERROR(__xludf.DUMMYFUNCTION("""COMPUTED_VALUE"""),"23267")</f>
        <v>23267</v>
      </c>
      <c r="D644" s="13" t="str">
        <f>IFERROR(__xludf.DUMMYFUNCTION("""COMPUTED_VALUE"""),"Milliken Police Department - NCHA")</f>
        <v>Milliken Police Department - NCHA</v>
      </c>
      <c r="E644" s="13" t="str">
        <f>IFERROR(__xludf.DUMMYFUNCTION("""COMPUTED_VALUE"""),"Open")</f>
        <v>Open</v>
      </c>
      <c r="F644" s="13" t="str">
        <f>IFERROR(__xludf.DUMMYFUNCTION("""COMPUTED_VALUE"""),"Non-congregate")</f>
        <v>Non-congregate</v>
      </c>
      <c r="G644" s="13" t="str">
        <f>IFERROR(__xludf.DUMMYFUNCTION("""COMPUTED_VALUE"""),"1201 BROAD ST")</f>
        <v>1201 BROAD ST</v>
      </c>
      <c r="H644" s="13" t="str">
        <f>IFERROR(__xludf.DUMMYFUNCTION("""COMPUTED_VALUE"""),"MILLIKEN")</f>
        <v>MILLIKEN</v>
      </c>
      <c r="I644" s="13" t="str">
        <f>IFERROR(__xludf.DUMMYFUNCTION("""COMPUTED_VALUE"""),"CO")</f>
        <v>CO</v>
      </c>
      <c r="J644" s="13" t="str">
        <f>IFERROR(__xludf.DUMMYFUNCTION("""COMPUTED_VALUE"""),"80543-8336")</f>
        <v>80543-8336</v>
      </c>
      <c r="K644" s="13" t="str">
        <f>IFERROR(__xludf.DUMMYFUNCTION("""COMPUTED_VALUE"""),"Weld")</f>
        <v>Weld</v>
      </c>
      <c r="L644" s="17" t="str">
        <f>IFERROR(__xludf.DUMMYFUNCTION("""COMPUTED_VALUE"""),"Y")</f>
        <v>Y</v>
      </c>
      <c r="M644" s="17"/>
      <c r="N644" s="17" t="str">
        <f>IFERROR(__xludf.DUMMYFUNCTION("""COMPUTED_VALUE"""),"Y")</f>
        <v>Y</v>
      </c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>
      <c r="A645" s="13" t="str">
        <f>IFERROR(__xludf.DUMMYFUNCTION("""COMPUTED_VALUE"""),"7018")</f>
        <v>7018</v>
      </c>
      <c r="B645" s="13" t="str">
        <f>IFERROR(__xludf.DUMMYFUNCTION("""COMPUTED_VALUE"""),"Weld Food Bank")</f>
        <v>Weld Food Bank</v>
      </c>
      <c r="C645" s="13" t="str">
        <f>IFERROR(__xludf.DUMMYFUNCTION("""COMPUTED_VALUE"""),"91313")</f>
        <v>91313</v>
      </c>
      <c r="D645" s="13" t="str">
        <f>IFERROR(__xludf.DUMMYFUNCTION("""COMPUTED_VALUE"""),"Eaton Public Library")</f>
        <v>Eaton Public Library</v>
      </c>
      <c r="E645" s="13" t="str">
        <f>IFERROR(__xludf.DUMMYFUNCTION("""COMPUTED_VALUE"""),"Open")</f>
        <v>Open</v>
      </c>
      <c r="F645" s="13"/>
      <c r="G645" s="13" t="str">
        <f>IFERROR(__xludf.DUMMYFUNCTION("""COMPUTED_VALUE"""),"132 MAPLE AVE")</f>
        <v>132 MAPLE AVE</v>
      </c>
      <c r="H645" s="13" t="str">
        <f>IFERROR(__xludf.DUMMYFUNCTION("""COMPUTED_VALUE"""),"EATON")</f>
        <v>EATON</v>
      </c>
      <c r="I645" s="13" t="str">
        <f>IFERROR(__xludf.DUMMYFUNCTION("""COMPUTED_VALUE"""),"CO")</f>
        <v>CO</v>
      </c>
      <c r="J645" s="13" t="str">
        <f>IFERROR(__xludf.DUMMYFUNCTION("""COMPUTED_VALUE"""),"80615-3441")</f>
        <v>80615-3441</v>
      </c>
      <c r="K645" s="13" t="str">
        <f>IFERROR(__xludf.DUMMYFUNCTION("""COMPUTED_VALUE"""),"Weld")</f>
        <v>Weld</v>
      </c>
      <c r="L645" s="17"/>
      <c r="M645" s="17"/>
      <c r="N645" s="17" t="str">
        <f>IFERROR(__xludf.DUMMYFUNCTION("""COMPUTED_VALUE"""),"Y")</f>
        <v>Y</v>
      </c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>
      <c r="A646" s="13" t="str">
        <f>IFERROR(__xludf.DUMMYFUNCTION("""COMPUTED_VALUE"""),"7018")</f>
        <v>7018</v>
      </c>
      <c r="B646" s="13" t="str">
        <f>IFERROR(__xludf.DUMMYFUNCTION("""COMPUTED_VALUE"""),"Weld Food Bank")</f>
        <v>Weld Food Bank</v>
      </c>
      <c r="C646" s="13" t="str">
        <f>IFERROR(__xludf.DUMMYFUNCTION("""COMPUTED_VALUE"""),"91508")</f>
        <v>91508</v>
      </c>
      <c r="D646" s="13" t="str">
        <f>IFERROR(__xludf.DUMMYFUNCTION("""COMPUTED_VALUE"""),"Youth for Christ")</f>
        <v>Youth for Christ</v>
      </c>
      <c r="E646" s="13" t="str">
        <f>IFERROR(__xludf.DUMMYFUNCTION("""COMPUTED_VALUE"""),"Closed - Enrolled")</f>
        <v>Closed - Enrolled</v>
      </c>
      <c r="F646" s="13"/>
      <c r="G646" s="13" t="str">
        <f>IFERROR(__xludf.DUMMYFUNCTION("""COMPUTED_VALUE"""),"134 11TH AVE")</f>
        <v>134 11TH AVE</v>
      </c>
      <c r="H646" s="13" t="str">
        <f>IFERROR(__xludf.DUMMYFUNCTION("""COMPUTED_VALUE"""),"GREELEY")</f>
        <v>GREELEY</v>
      </c>
      <c r="I646" s="13" t="str">
        <f>IFERROR(__xludf.DUMMYFUNCTION("""COMPUTED_VALUE"""),"CO")</f>
        <v>CO</v>
      </c>
      <c r="J646" s="13" t="str">
        <f>IFERROR(__xludf.DUMMYFUNCTION("""COMPUTED_VALUE"""),"80631-2009")</f>
        <v>80631-2009</v>
      </c>
      <c r="K646" s="13" t="str">
        <f>IFERROR(__xludf.DUMMYFUNCTION("""COMPUTED_VALUE"""),"Weld")</f>
        <v>Weld</v>
      </c>
      <c r="L646" s="17"/>
      <c r="M646" s="17" t="str">
        <f>IFERROR(__xludf.DUMMYFUNCTION("""COMPUTED_VALUE"""),"Y")</f>
        <v>Y</v>
      </c>
      <c r="N646" s="17" t="str">
        <f>IFERROR(__xludf.DUMMYFUNCTION("""COMPUTED_VALUE"""),"Y")</f>
        <v>Y</v>
      </c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>
      <c r="A647" s="13" t="str">
        <f>IFERROR(__xludf.DUMMYFUNCTION("""COMPUTED_VALUE"""),"7018")</f>
        <v>7018</v>
      </c>
      <c r="B647" s="13" t="str">
        <f>IFERROR(__xludf.DUMMYFUNCTION("""COMPUTED_VALUE"""),"Weld Food Bank")</f>
        <v>Weld Food Bank</v>
      </c>
      <c r="C647" s="13" t="str">
        <f>IFERROR(__xludf.DUMMYFUNCTION("""COMPUTED_VALUE"""),"91631")</f>
        <v>91631</v>
      </c>
      <c r="D647" s="13" t="str">
        <f>IFERROR(__xludf.DUMMYFUNCTION("""COMPUTED_VALUE"""),"Greeley Vineyard Church")</f>
        <v>Greeley Vineyard Church</v>
      </c>
      <c r="E647" s="13" t="str">
        <f>IFERROR(__xludf.DUMMYFUNCTION("""COMPUTED_VALUE"""),"Open")</f>
        <v>Open</v>
      </c>
      <c r="F647" s="13"/>
      <c r="G647" s="13" t="str">
        <f>IFERROR(__xludf.DUMMYFUNCTION("""COMPUTED_VALUE"""),"1015 9TH AVE")</f>
        <v>1015 9TH AVE</v>
      </c>
      <c r="H647" s="13" t="str">
        <f>IFERROR(__xludf.DUMMYFUNCTION("""COMPUTED_VALUE"""),"GREELEY")</f>
        <v>GREELEY</v>
      </c>
      <c r="I647" s="13" t="str">
        <f>IFERROR(__xludf.DUMMYFUNCTION("""COMPUTED_VALUE"""),"CO")</f>
        <v>CO</v>
      </c>
      <c r="J647" s="13" t="str">
        <f>IFERROR(__xludf.DUMMYFUNCTION("""COMPUTED_VALUE"""),"80631-4013")</f>
        <v>80631-4013</v>
      </c>
      <c r="K647" s="13" t="str">
        <f>IFERROR(__xludf.DUMMYFUNCTION("""COMPUTED_VALUE"""),"Weld")</f>
        <v>Weld</v>
      </c>
      <c r="L647" s="17"/>
      <c r="M647" s="17"/>
      <c r="N647" s="17" t="str">
        <f>IFERROR(__xludf.DUMMYFUNCTION("""COMPUTED_VALUE"""),"Y")</f>
        <v>Y</v>
      </c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>
      <c r="A648" s="13" t="str">
        <f>IFERROR(__xludf.DUMMYFUNCTION("""COMPUTED_VALUE"""),"7018")</f>
        <v>7018</v>
      </c>
      <c r="B648" s="13" t="str">
        <f>IFERROR(__xludf.DUMMYFUNCTION("""COMPUTED_VALUE"""),"Weld Food Bank")</f>
        <v>Weld Food Bank</v>
      </c>
      <c r="C648" s="13" t="str">
        <f>IFERROR(__xludf.DUMMYFUNCTION("""COMPUTED_VALUE"""),"91680")</f>
        <v>91680</v>
      </c>
      <c r="D648" s="13" t="str">
        <f>IFERROR(__xludf.DUMMYFUNCTION("""COMPUTED_VALUE"""),"Hudson Public Library")</f>
        <v>Hudson Public Library</v>
      </c>
      <c r="E648" s="13" t="str">
        <f>IFERROR(__xludf.DUMMYFUNCTION("""COMPUTED_VALUE"""),"Open")</f>
        <v>Open</v>
      </c>
      <c r="F648" s="13"/>
      <c r="G648" s="13" t="str">
        <f>IFERROR(__xludf.DUMMYFUNCTION("""COMPUTED_VALUE"""),"100 BEECH ST")</f>
        <v>100 BEECH ST</v>
      </c>
      <c r="H648" s="13" t="str">
        <f>IFERROR(__xludf.DUMMYFUNCTION("""COMPUTED_VALUE"""),"HUDSON")</f>
        <v>HUDSON</v>
      </c>
      <c r="I648" s="13" t="str">
        <f>IFERROR(__xludf.DUMMYFUNCTION("""COMPUTED_VALUE"""),"CO")</f>
        <v>CO</v>
      </c>
      <c r="J648" s="13">
        <f>IFERROR(__xludf.DUMMYFUNCTION("""COMPUTED_VALUE"""),80642.0)</f>
        <v>80642</v>
      </c>
      <c r="K648" s="13" t="str">
        <f>IFERROR(__xludf.DUMMYFUNCTION("""COMPUTED_VALUE"""),"Weld")</f>
        <v>Weld</v>
      </c>
      <c r="L648" s="17"/>
      <c r="M648" s="17"/>
      <c r="N648" s="17"/>
      <c r="O648" s="17" t="str">
        <f>IFERROR(__xludf.DUMMYFUNCTION("""COMPUTED_VALUE"""),"Y")</f>
        <v>Y</v>
      </c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>
      <c r="A649" s="13" t="str">
        <f>IFERROR(__xludf.DUMMYFUNCTION("""COMPUTED_VALUE"""),"7018")</f>
        <v>7018</v>
      </c>
      <c r="B649" s="13" t="str">
        <f>IFERROR(__xludf.DUMMYFUNCTION("""COMPUTED_VALUE"""),"Weld Food Bank")</f>
        <v>Weld Food Bank</v>
      </c>
      <c r="C649" s="13" t="str">
        <f>IFERROR(__xludf.DUMMYFUNCTION("""COMPUTED_VALUE"""),"91832")</f>
        <v>91832</v>
      </c>
      <c r="D649" s="13" t="str">
        <f>IFERROR(__xludf.DUMMYFUNCTION("""COMPUTED_VALUE"""),"Kersey Library")</f>
        <v>Kersey Library</v>
      </c>
      <c r="E649" s="13" t="str">
        <f>IFERROR(__xludf.DUMMYFUNCTION("""COMPUTED_VALUE"""),"Open")</f>
        <v>Open</v>
      </c>
      <c r="F649" s="13"/>
      <c r="G649" s="13" t="str">
        <f>IFERROR(__xludf.DUMMYFUNCTION("""COMPUTED_VALUE"""),"332 3RD ST")</f>
        <v>332 3RD ST</v>
      </c>
      <c r="H649" s="13" t="str">
        <f>IFERROR(__xludf.DUMMYFUNCTION("""COMPUTED_VALUE"""),"KERSEY")</f>
        <v>KERSEY</v>
      </c>
      <c r="I649" s="13" t="str">
        <f>IFERROR(__xludf.DUMMYFUNCTION("""COMPUTED_VALUE"""),"CO")</f>
        <v>CO</v>
      </c>
      <c r="J649" s="13">
        <f>IFERROR(__xludf.DUMMYFUNCTION("""COMPUTED_VALUE"""),80644.0)</f>
        <v>80644</v>
      </c>
      <c r="K649" s="13" t="str">
        <f>IFERROR(__xludf.DUMMYFUNCTION("""COMPUTED_VALUE"""),"Weld")</f>
        <v>Weld</v>
      </c>
      <c r="L649" s="17"/>
      <c r="M649" s="17"/>
      <c r="N649" s="17" t="str">
        <f>IFERROR(__xludf.DUMMYFUNCTION("""COMPUTED_VALUE"""),"Y")</f>
        <v>Y</v>
      </c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>
      <c r="A650" s="13" t="str">
        <f>IFERROR(__xludf.DUMMYFUNCTION("""COMPUTED_VALUE"""),"7018")</f>
        <v>7018</v>
      </c>
      <c r="B650" s="13" t="str">
        <f>IFERROR(__xludf.DUMMYFUNCTION("""COMPUTED_VALUE"""),"Weld Food Bank")</f>
        <v>Weld Food Bank</v>
      </c>
      <c r="C650" s="13" t="str">
        <f>IFERROR(__xludf.DUMMYFUNCTION("""COMPUTED_VALUE"""),"91833")</f>
        <v>91833</v>
      </c>
      <c r="D650" s="13" t="str">
        <f>IFERROR(__xludf.DUMMYFUNCTION("""COMPUTED_VALUE"""),"Northern Plains Public Library")</f>
        <v>Northern Plains Public Library</v>
      </c>
      <c r="E650" s="13" t="str">
        <f>IFERROR(__xludf.DUMMYFUNCTION("""COMPUTED_VALUE"""),"Open")</f>
        <v>Open</v>
      </c>
      <c r="F650" s="13" t="str">
        <f>IFERROR(__xludf.DUMMYFUNCTION("""COMPUTED_VALUE"""),"Non-congregate")</f>
        <v>Non-congregate</v>
      </c>
      <c r="G650" s="13" t="str">
        <f>IFERROR(__xludf.DUMMYFUNCTION("""COMPUTED_VALUE"""),"216 2ND ST")</f>
        <v>216 2ND ST</v>
      </c>
      <c r="H650" s="13" t="str">
        <f>IFERROR(__xludf.DUMMYFUNCTION("""COMPUTED_VALUE"""),"AULT")</f>
        <v>AULT</v>
      </c>
      <c r="I650" s="13" t="str">
        <f>IFERROR(__xludf.DUMMYFUNCTION("""COMPUTED_VALUE"""),"CO")</f>
        <v>CO</v>
      </c>
      <c r="J650" s="13">
        <f>IFERROR(__xludf.DUMMYFUNCTION("""COMPUTED_VALUE"""),80610.0)</f>
        <v>80610</v>
      </c>
      <c r="K650" s="13" t="str">
        <f>IFERROR(__xludf.DUMMYFUNCTION("""COMPUTED_VALUE"""),"Weld")</f>
        <v>Weld</v>
      </c>
      <c r="L650" s="17" t="str">
        <f>IFERROR(__xludf.DUMMYFUNCTION("""COMPUTED_VALUE"""),"Y")</f>
        <v>Y</v>
      </c>
      <c r="M650" s="17"/>
      <c r="N650" s="17" t="str">
        <f>IFERROR(__xludf.DUMMYFUNCTION("""COMPUTED_VALUE"""),"Y")</f>
        <v>Y</v>
      </c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>
      <c r="A651" s="13" t="str">
        <f>IFERROR(__xludf.DUMMYFUNCTION("""COMPUTED_VALUE"""),"7018")</f>
        <v>7018</v>
      </c>
      <c r="B651" s="13" t="str">
        <f>IFERROR(__xludf.DUMMYFUNCTION("""COMPUTED_VALUE"""),"Weld Food Bank")</f>
        <v>Weld Food Bank</v>
      </c>
      <c r="C651" s="13" t="str">
        <f>IFERROR(__xludf.DUMMYFUNCTION("""COMPUTED_VALUE"""),"91840")</f>
        <v>91840</v>
      </c>
      <c r="D651" s="13" t="str">
        <f>IFERROR(__xludf.DUMMYFUNCTION("""COMPUTED_VALUE"""),"Teen Center Boys &amp; Girls Clubs of Weld County")</f>
        <v>Teen Center Boys &amp; Girls Clubs of Weld County</v>
      </c>
      <c r="E651" s="13" t="str">
        <f>IFERROR(__xludf.DUMMYFUNCTION("""COMPUTED_VALUE"""),"Closed - Enrolled")</f>
        <v>Closed - Enrolled</v>
      </c>
      <c r="F651" s="13"/>
      <c r="G651" s="13" t="str">
        <f>IFERROR(__xludf.DUMMYFUNCTION("""COMPUTED_VALUE"""),"1407 2ND ST")</f>
        <v>1407 2ND ST</v>
      </c>
      <c r="H651" s="13" t="str">
        <f>IFERROR(__xludf.DUMMYFUNCTION("""COMPUTED_VALUE"""),"GREELEY")</f>
        <v>GREELEY</v>
      </c>
      <c r="I651" s="13" t="str">
        <f>IFERROR(__xludf.DUMMYFUNCTION("""COMPUTED_VALUE"""),"CO")</f>
        <v>CO</v>
      </c>
      <c r="J651" s="13">
        <f>IFERROR(__xludf.DUMMYFUNCTION("""COMPUTED_VALUE"""),80631.0)</f>
        <v>80631</v>
      </c>
      <c r="K651" s="13" t="str">
        <f>IFERROR(__xludf.DUMMYFUNCTION("""COMPUTED_VALUE"""),"Weld")</f>
        <v>Weld</v>
      </c>
      <c r="L651" s="17" t="str">
        <f>IFERROR(__xludf.DUMMYFUNCTION("""COMPUTED_VALUE"""),"Y")</f>
        <v>Y</v>
      </c>
      <c r="M651" s="17"/>
      <c r="N651" s="17" t="str">
        <f>IFERROR(__xludf.DUMMYFUNCTION("""COMPUTED_VALUE"""),"Y")</f>
        <v>Y</v>
      </c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>
      <c r="A652" s="13" t="str">
        <f>IFERROR(__xludf.DUMMYFUNCTION("""COMPUTED_VALUE"""),"7038")</f>
        <v>7038</v>
      </c>
      <c r="B652" s="13" t="str">
        <f>IFERROR(__xludf.DUMMYFUNCTION("""COMPUTED_VALUE"""),"Breakthrough Kent Denver")</f>
        <v>Breakthrough Kent Denver</v>
      </c>
      <c r="C652" s="13" t="str">
        <f>IFERROR(__xludf.DUMMYFUNCTION("""COMPUTED_VALUE"""),"12582")</f>
        <v>12582</v>
      </c>
      <c r="D652" s="13" t="str">
        <f>IFERROR(__xludf.DUMMYFUNCTION("""COMPUTED_VALUE"""),"Breakthrough Kent Denver")</f>
        <v>Breakthrough Kent Denver</v>
      </c>
      <c r="E652" s="13" t="str">
        <f>IFERROR(__xludf.DUMMYFUNCTION("""COMPUTED_VALUE"""),"Closed - Enrolled")</f>
        <v>Closed - Enrolled</v>
      </c>
      <c r="F652" s="13"/>
      <c r="G652" s="13" t="str">
        <f>IFERROR(__xludf.DUMMYFUNCTION("""COMPUTED_VALUE"""),"4000 E QUINCY AVE")</f>
        <v>4000 E QUINCY AVE</v>
      </c>
      <c r="H652" s="13" t="str">
        <f>IFERROR(__xludf.DUMMYFUNCTION("""COMPUTED_VALUE"""),"ENGLEWOOD")</f>
        <v>ENGLEWOOD</v>
      </c>
      <c r="I652" s="13" t="str">
        <f>IFERROR(__xludf.DUMMYFUNCTION("""COMPUTED_VALUE"""),"CO")</f>
        <v>CO</v>
      </c>
      <c r="J652" s="13" t="str">
        <f>IFERROR(__xludf.DUMMYFUNCTION("""COMPUTED_VALUE"""),"80113-4916")</f>
        <v>80113-4916</v>
      </c>
      <c r="K652" s="13" t="str">
        <f>IFERROR(__xludf.DUMMYFUNCTION("""COMPUTED_VALUE"""),"Arapahoe")</f>
        <v>Arapahoe</v>
      </c>
      <c r="L652" s="17" t="str">
        <f>IFERROR(__xludf.DUMMYFUNCTION("""COMPUTED_VALUE"""),"Y")</f>
        <v>Y</v>
      </c>
      <c r="M652" s="17"/>
      <c r="N652" s="17" t="str">
        <f>IFERROR(__xludf.DUMMYFUNCTION("""COMPUTED_VALUE"""),"Y")</f>
        <v>Y</v>
      </c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>
      <c r="A653" s="13" t="str">
        <f>IFERROR(__xludf.DUMMYFUNCTION("""COMPUTED_VALUE"""),"7043")</f>
        <v>7043</v>
      </c>
      <c r="B653" s="13" t="str">
        <f>IFERROR(__xludf.DUMMYFUNCTION("""COMPUTED_VALUE"""),"High Valley Community Center, Inc.")</f>
        <v>High Valley Community Center, Inc.</v>
      </c>
      <c r="C653" s="13" t="str">
        <f>IFERROR(__xludf.DUMMYFUNCTION("""COMPUTED_VALUE"""),"12705")</f>
        <v>12705</v>
      </c>
      <c r="D653" s="13" t="str">
        <f>IFERROR(__xludf.DUMMYFUNCTION("""COMPUTED_VALUE"""),"High Valley")</f>
        <v>High Valley</v>
      </c>
      <c r="E653" s="13" t="str">
        <f>IFERROR(__xludf.DUMMYFUNCTION("""COMPUTED_VALUE"""),"Closed - Enrolled")</f>
        <v>Closed - Enrolled</v>
      </c>
      <c r="F653" s="13"/>
      <c r="G653" s="13" t="str">
        <f>IFERROR(__xludf.DUMMYFUNCTION("""COMPUTED_VALUE"""),"595 GRAND AVE")</f>
        <v>595 GRAND AVE</v>
      </c>
      <c r="H653" s="13" t="str">
        <f>IFERROR(__xludf.DUMMYFUNCTION("""COMPUTED_VALUE"""),"DEL NORTE")</f>
        <v>DEL NORTE</v>
      </c>
      <c r="I653" s="13" t="str">
        <f>IFERROR(__xludf.DUMMYFUNCTION("""COMPUTED_VALUE"""),"CO")</f>
        <v>CO</v>
      </c>
      <c r="J653" s="13" t="str">
        <f>IFERROR(__xludf.DUMMYFUNCTION("""COMPUTED_VALUE"""),"81132-2202")</f>
        <v>81132-2202</v>
      </c>
      <c r="K653" s="13" t="str">
        <f>IFERROR(__xludf.DUMMYFUNCTION("""COMPUTED_VALUE"""),"Rio Grande")</f>
        <v>Rio Grande</v>
      </c>
      <c r="L653" s="17" t="str">
        <f>IFERROR(__xludf.DUMMYFUNCTION("""COMPUTED_VALUE"""),"Y")</f>
        <v>Y</v>
      </c>
      <c r="M653" s="17"/>
      <c r="N653" s="17" t="str">
        <f>IFERROR(__xludf.DUMMYFUNCTION("""COMPUTED_VALUE"""),"Y")</f>
        <v>Y</v>
      </c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>
      <c r="A654" s="13" t="str">
        <f>IFERROR(__xludf.DUMMYFUNCTION("""COMPUTED_VALUE"""),"7585")</f>
        <v>7585</v>
      </c>
      <c r="B654" s="13" t="str">
        <f>IFERROR(__xludf.DUMMYFUNCTION("""COMPUTED_VALUE"""),"Denver Inner City Parish")</f>
        <v>Denver Inner City Parish</v>
      </c>
      <c r="C654" s="13" t="str">
        <f>IFERROR(__xludf.DUMMYFUNCTION("""COMPUTED_VALUE"""),"91493")</f>
        <v>91493</v>
      </c>
      <c r="D654" s="13" t="str">
        <f>IFERROR(__xludf.DUMMYFUNCTION("""COMPUTED_VALUE"""),"Joshua Station")</f>
        <v>Joshua Station</v>
      </c>
      <c r="E654" s="13" t="str">
        <f>IFERROR(__xludf.DUMMYFUNCTION("""COMPUTED_VALUE"""),"Closed - Enrolled")</f>
        <v>Closed - Enrolled</v>
      </c>
      <c r="F654" s="13"/>
      <c r="G654" s="13" t="str">
        <f>IFERROR(__xludf.DUMMYFUNCTION("""COMPUTED_VALUE"""),"2330 W MULBERRY PL")</f>
        <v>2330 W MULBERRY PL</v>
      </c>
      <c r="H654" s="13" t="str">
        <f>IFERROR(__xludf.DUMMYFUNCTION("""COMPUTED_VALUE"""),"DENVER")</f>
        <v>DENVER</v>
      </c>
      <c r="I654" s="13" t="str">
        <f>IFERROR(__xludf.DUMMYFUNCTION("""COMPUTED_VALUE"""),"CO")</f>
        <v>CO</v>
      </c>
      <c r="J654" s="13" t="str">
        <f>IFERROR(__xludf.DUMMYFUNCTION("""COMPUTED_VALUE"""),"80204-3817")</f>
        <v>80204-3817</v>
      </c>
      <c r="K654" s="13" t="str">
        <f>IFERROR(__xludf.DUMMYFUNCTION("""COMPUTED_VALUE"""),"Denver")</f>
        <v>Denver</v>
      </c>
      <c r="L654" s="17"/>
      <c r="M654" s="17"/>
      <c r="N654" s="17" t="str">
        <f>IFERROR(__xludf.DUMMYFUNCTION("""COMPUTED_VALUE"""),"Y")</f>
        <v>Y</v>
      </c>
      <c r="O654" s="17" t="str">
        <f>IFERROR(__xludf.DUMMYFUNCTION("""COMPUTED_VALUE"""),"Y")</f>
        <v>Y</v>
      </c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>
      <c r="A655" s="13" t="str">
        <f>IFERROR(__xludf.DUMMYFUNCTION("""COMPUTED_VALUE"""),"7585")</f>
        <v>7585</v>
      </c>
      <c r="B655" s="13" t="str">
        <f>IFERROR(__xludf.DUMMYFUNCTION("""COMPUTED_VALUE"""),"Denver Inner City Parish")</f>
        <v>Denver Inner City Parish</v>
      </c>
      <c r="C655" s="13" t="str">
        <f>IFERROR(__xludf.DUMMYFUNCTION("""COMPUTED_VALUE"""),"91494")</f>
        <v>91494</v>
      </c>
      <c r="D655" s="13" t="str">
        <f>IFERROR(__xludf.DUMMYFUNCTION("""COMPUTED_VALUE"""),"Eureka Girl's Camp of Metro Denver")</f>
        <v>Eureka Girl's Camp of Metro Denver</v>
      </c>
      <c r="E655" s="13" t="str">
        <f>IFERROR(__xludf.DUMMYFUNCTION("""COMPUTED_VALUE"""),"Closed - Enrolled")</f>
        <v>Closed - Enrolled</v>
      </c>
      <c r="F655" s="13"/>
      <c r="G655" s="13" t="str">
        <f>IFERROR(__xludf.DUMMYFUNCTION("""COMPUTED_VALUE"""),"890 AURARIA PKWY")</f>
        <v>890 AURARIA PKWY</v>
      </c>
      <c r="H655" s="13" t="str">
        <f>IFERROR(__xludf.DUMMYFUNCTION("""COMPUTED_VALUE"""),"DENVER")</f>
        <v>DENVER</v>
      </c>
      <c r="I655" s="13" t="str">
        <f>IFERROR(__xludf.DUMMYFUNCTION("""COMPUTED_VALUE"""),"CO")</f>
        <v>CO</v>
      </c>
      <c r="J655" s="13" t="str">
        <f>IFERROR(__xludf.DUMMYFUNCTION("""COMPUTED_VALUE"""),"80204-1806")</f>
        <v>80204-1806</v>
      </c>
      <c r="K655" s="13" t="str">
        <f>IFERROR(__xludf.DUMMYFUNCTION("""COMPUTED_VALUE"""),"Denver")</f>
        <v>Denver</v>
      </c>
      <c r="L655" s="17"/>
      <c r="M655" s="17"/>
      <c r="N655" s="17" t="str">
        <f>IFERROR(__xludf.DUMMYFUNCTION("""COMPUTED_VALUE"""),"Y")</f>
        <v>Y</v>
      </c>
      <c r="O655" s="17" t="str">
        <f>IFERROR(__xludf.DUMMYFUNCTION("""COMPUTED_VALUE"""),"Y")</f>
        <v>Y</v>
      </c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>
      <c r="A656" s="13" t="str">
        <f>IFERROR(__xludf.DUMMYFUNCTION("""COMPUTED_VALUE"""),"7585")</f>
        <v>7585</v>
      </c>
      <c r="B656" s="13" t="str">
        <f>IFERROR(__xludf.DUMMYFUNCTION("""COMPUTED_VALUE"""),"Denver Inner City Parish")</f>
        <v>Denver Inner City Parish</v>
      </c>
      <c r="C656" s="13" t="str">
        <f>IFERROR(__xludf.DUMMYFUNCTION("""COMPUTED_VALUE"""),"91614")</f>
        <v>91614</v>
      </c>
      <c r="D656" s="13" t="str">
        <f>IFERROR(__xludf.DUMMYFUNCTION("""COMPUTED_VALUE"""),"Girls Inc.")</f>
        <v>Girls Inc.</v>
      </c>
      <c r="E656" s="13" t="str">
        <f>IFERROR(__xludf.DUMMYFUNCTION("""COMPUTED_VALUE"""),"Closed - Enrolled")</f>
        <v>Closed - Enrolled</v>
      </c>
      <c r="F656" s="13"/>
      <c r="G656" s="13" t="str">
        <f>IFERROR(__xludf.DUMMYFUNCTION("""COMPUTED_VALUE"""),"1449 JULIAN ST")</f>
        <v>1449 JULIAN ST</v>
      </c>
      <c r="H656" s="13" t="str">
        <f>IFERROR(__xludf.DUMMYFUNCTION("""COMPUTED_VALUE"""),"DENVER")</f>
        <v>DENVER</v>
      </c>
      <c r="I656" s="13" t="str">
        <f>IFERROR(__xludf.DUMMYFUNCTION("""COMPUTED_VALUE"""),"CO")</f>
        <v>CO</v>
      </c>
      <c r="J656" s="13">
        <f>IFERROR(__xludf.DUMMYFUNCTION("""COMPUTED_VALUE"""),80204.0)</f>
        <v>80204</v>
      </c>
      <c r="K656" s="13" t="str">
        <f>IFERROR(__xludf.DUMMYFUNCTION("""COMPUTED_VALUE"""),"Denver")</f>
        <v>Denver</v>
      </c>
      <c r="L656" s="17" t="str">
        <f>IFERROR(__xludf.DUMMYFUNCTION("""COMPUTED_VALUE"""),"Y")</f>
        <v>Y</v>
      </c>
      <c r="M656" s="17"/>
      <c r="N656" s="17" t="str">
        <f>IFERROR(__xludf.DUMMYFUNCTION("""COMPUTED_VALUE"""),"Y")</f>
        <v>Y</v>
      </c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>
      <c r="A657" s="13" t="str">
        <f>IFERROR(__xludf.DUMMYFUNCTION("""COMPUTED_VALUE"""),"7585")</f>
        <v>7585</v>
      </c>
      <c r="B657" s="13" t="str">
        <f>IFERROR(__xludf.DUMMYFUNCTION("""COMPUTED_VALUE"""),"Denver Inner City Parish")</f>
        <v>Denver Inner City Parish</v>
      </c>
      <c r="C657" s="13" t="str">
        <f>IFERROR(__xludf.DUMMYFUNCTION("""COMPUTED_VALUE"""),"91805")</f>
        <v>91805</v>
      </c>
      <c r="D657" s="13" t="str">
        <f>IFERROR(__xludf.DUMMYFUNCTION("""COMPUTED_VALUE"""),"Metro Summer Camp")</f>
        <v>Metro Summer Camp</v>
      </c>
      <c r="E657" s="13" t="str">
        <f>IFERROR(__xludf.DUMMYFUNCTION("""COMPUTED_VALUE"""),"Closed - Enrolled")</f>
        <v>Closed - Enrolled</v>
      </c>
      <c r="F657" s="13"/>
      <c r="G657" s="13" t="str">
        <f>IFERROR(__xludf.DUMMYFUNCTION("""COMPUTED_VALUE"""),"890 AURARIA PKWY")</f>
        <v>890 AURARIA PKWY</v>
      </c>
      <c r="H657" s="13" t="str">
        <f>IFERROR(__xludf.DUMMYFUNCTION("""COMPUTED_VALUE"""),"DENVER")</f>
        <v>DENVER</v>
      </c>
      <c r="I657" s="13" t="str">
        <f>IFERROR(__xludf.DUMMYFUNCTION("""COMPUTED_VALUE"""),"CO")</f>
        <v>CO</v>
      </c>
      <c r="J657" s="13" t="str">
        <f>IFERROR(__xludf.DUMMYFUNCTION("""COMPUTED_VALUE"""),"80204-1806")</f>
        <v>80204-1806</v>
      </c>
      <c r="K657" s="13" t="str">
        <f>IFERROR(__xludf.DUMMYFUNCTION("""COMPUTED_VALUE"""),"Denver")</f>
        <v>Denver</v>
      </c>
      <c r="L657" s="17" t="str">
        <f>IFERROR(__xludf.DUMMYFUNCTION("""COMPUTED_VALUE"""),"Y")</f>
        <v>Y</v>
      </c>
      <c r="M657" s="17"/>
      <c r="N657" s="17" t="str">
        <f>IFERROR(__xludf.DUMMYFUNCTION("""COMPUTED_VALUE"""),"Y")</f>
        <v>Y</v>
      </c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>
      <c r="A658" s="13" t="str">
        <f>IFERROR(__xludf.DUMMYFUNCTION("""COMPUTED_VALUE"""),"7585")</f>
        <v>7585</v>
      </c>
      <c r="B658" s="13" t="str">
        <f>IFERROR(__xludf.DUMMYFUNCTION("""COMPUTED_VALUE"""),"Denver Inner City Parish")</f>
        <v>Denver Inner City Parish</v>
      </c>
      <c r="C658" s="13" t="str">
        <f>IFERROR(__xludf.DUMMYFUNCTION("""COMPUTED_VALUE"""),"91806")</f>
        <v>91806</v>
      </c>
      <c r="D658" s="13" t="str">
        <f>IFERROR(__xludf.DUMMYFUNCTION("""COMPUTED_VALUE"""),"Viva Wellness at La Alma")</f>
        <v>Viva Wellness at La Alma</v>
      </c>
      <c r="E658" s="13" t="str">
        <f>IFERROR(__xludf.DUMMYFUNCTION("""COMPUTED_VALUE"""),"Open")</f>
        <v>Open</v>
      </c>
      <c r="F658" s="13"/>
      <c r="G658" s="13" t="str">
        <f>IFERROR(__xludf.DUMMYFUNCTION("""COMPUTED_VALUE"""),"1325 W 11TH AVE")</f>
        <v>1325 W 11TH AVE</v>
      </c>
      <c r="H658" s="13" t="str">
        <f>IFERROR(__xludf.DUMMYFUNCTION("""COMPUTED_VALUE"""),"DENVER")</f>
        <v>DENVER</v>
      </c>
      <c r="I658" s="13" t="str">
        <f>IFERROR(__xludf.DUMMYFUNCTION("""COMPUTED_VALUE"""),"CO")</f>
        <v>CO</v>
      </c>
      <c r="J658" s="13" t="str">
        <f>IFERROR(__xludf.DUMMYFUNCTION("""COMPUTED_VALUE"""),"80204-3432")</f>
        <v>80204-3432</v>
      </c>
      <c r="K658" s="13" t="str">
        <f>IFERROR(__xludf.DUMMYFUNCTION("""COMPUTED_VALUE"""),"Denver")</f>
        <v>Denver</v>
      </c>
      <c r="L658" s="17" t="str">
        <f>IFERROR(__xludf.DUMMYFUNCTION("""COMPUTED_VALUE"""),"Y")</f>
        <v>Y</v>
      </c>
      <c r="M658" s="17"/>
      <c r="N658" s="17" t="str">
        <f>IFERROR(__xludf.DUMMYFUNCTION("""COMPUTED_VALUE"""),"Y")</f>
        <v>Y</v>
      </c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>
      <c r="A659" s="13" t="str">
        <f>IFERROR(__xludf.DUMMYFUNCTION("""COMPUTED_VALUE"""),"7585")</f>
        <v>7585</v>
      </c>
      <c r="B659" s="13" t="str">
        <f>IFERROR(__xludf.DUMMYFUNCTION("""COMPUTED_VALUE"""),"Denver Inner City Parish")</f>
        <v>Denver Inner City Parish</v>
      </c>
      <c r="C659" s="13" t="str">
        <f>IFERROR(__xludf.DUMMYFUNCTION("""COMPUTED_VALUE"""),"91807")</f>
        <v>91807</v>
      </c>
      <c r="D659" s="13" t="str">
        <f>IFERROR(__xludf.DUMMYFUNCTION("""COMPUTED_VALUE"""),"Youth on Records")</f>
        <v>Youth on Records</v>
      </c>
      <c r="E659" s="13" t="str">
        <f>IFERROR(__xludf.DUMMYFUNCTION("""COMPUTED_VALUE"""),"Closed - Enrolled")</f>
        <v>Closed - Enrolled</v>
      </c>
      <c r="F659" s="13"/>
      <c r="G659" s="13" t="str">
        <f>IFERROR(__xludf.DUMMYFUNCTION("""COMPUTED_VALUE"""),"1301 W 10TH AVE")</f>
        <v>1301 W 10TH AVE</v>
      </c>
      <c r="H659" s="13" t="str">
        <f>IFERROR(__xludf.DUMMYFUNCTION("""COMPUTED_VALUE"""),"DENVER")</f>
        <v>DENVER</v>
      </c>
      <c r="I659" s="13" t="str">
        <f>IFERROR(__xludf.DUMMYFUNCTION("""COMPUTED_VALUE"""),"CO")</f>
        <v>CO</v>
      </c>
      <c r="J659" s="13" t="str">
        <f>IFERROR(__xludf.DUMMYFUNCTION("""COMPUTED_VALUE"""),"80204-3907")</f>
        <v>80204-3907</v>
      </c>
      <c r="K659" s="13" t="str">
        <f>IFERROR(__xludf.DUMMYFUNCTION("""COMPUTED_VALUE"""),"Denver")</f>
        <v>Denver</v>
      </c>
      <c r="L659" s="17"/>
      <c r="M659" s="17"/>
      <c r="N659" s="17" t="str">
        <f>IFERROR(__xludf.DUMMYFUNCTION("""COMPUTED_VALUE"""),"Y")</f>
        <v>Y</v>
      </c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>
      <c r="A660" s="13" t="str">
        <f>IFERROR(__xludf.DUMMYFUNCTION("""COMPUTED_VALUE"""),"7586")</f>
        <v>7586</v>
      </c>
      <c r="B660" s="13" t="str">
        <f>IFERROR(__xludf.DUMMYFUNCTION("""COMPUTED_VALUE"""),"Debbie's Toy Closet")</f>
        <v>Debbie's Toy Closet</v>
      </c>
      <c r="C660" s="13" t="str">
        <f>IFERROR(__xludf.DUMMYFUNCTION("""COMPUTED_VALUE"""),"91575")</f>
        <v>91575</v>
      </c>
      <c r="D660" s="13" t="str">
        <f>IFERROR(__xludf.DUMMYFUNCTION("""COMPUTED_VALUE"""),"Evans Early Childhood Center")</f>
        <v>Evans Early Childhood Center</v>
      </c>
      <c r="E660" s="13" t="str">
        <f>IFERROR(__xludf.DUMMYFUNCTION("""COMPUTED_VALUE"""),"Open")</f>
        <v>Open</v>
      </c>
      <c r="F660" s="13"/>
      <c r="G660" s="13" t="str">
        <f>IFERROR(__xludf.DUMMYFUNCTION("""COMPUTED_VALUE"""),"313 LINDA ST")</f>
        <v>313 LINDA ST</v>
      </c>
      <c r="H660" s="13" t="str">
        <f>IFERROR(__xludf.DUMMYFUNCTION("""COMPUTED_VALUE"""),"FORT MORGAN")</f>
        <v>FORT MORGAN</v>
      </c>
      <c r="I660" s="13" t="str">
        <f>IFERROR(__xludf.DUMMYFUNCTION("""COMPUTED_VALUE"""),"CO")</f>
        <v>CO</v>
      </c>
      <c r="J660" s="13" t="str">
        <f>IFERROR(__xludf.DUMMYFUNCTION("""COMPUTED_VALUE"""),"80701-3530")</f>
        <v>80701-3530</v>
      </c>
      <c r="K660" s="13" t="str">
        <f>IFERROR(__xludf.DUMMYFUNCTION("""COMPUTED_VALUE"""),"Morgan")</f>
        <v>Morgan</v>
      </c>
      <c r="L660" s="17" t="str">
        <f>IFERROR(__xludf.DUMMYFUNCTION("""COMPUTED_VALUE"""),"Y")</f>
        <v>Y</v>
      </c>
      <c r="M660" s="17"/>
      <c r="N660" s="17" t="str">
        <f>IFERROR(__xludf.DUMMYFUNCTION("""COMPUTED_VALUE"""),"Y")</f>
        <v>Y</v>
      </c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>
      <c r="A661" s="13" t="str">
        <f>IFERROR(__xludf.DUMMYFUNCTION("""COMPUTED_VALUE"""),"7586")</f>
        <v>7586</v>
      </c>
      <c r="B661" s="13" t="str">
        <f>IFERROR(__xludf.DUMMYFUNCTION("""COMPUTED_VALUE"""),"Debbie's Toy Closet")</f>
        <v>Debbie's Toy Closet</v>
      </c>
      <c r="C661" s="13" t="str">
        <f>IFERROR(__xludf.DUMMYFUNCTION("""COMPUTED_VALUE"""),"91822")</f>
        <v>91822</v>
      </c>
      <c r="D661" s="13" t="str">
        <f>IFERROR(__xludf.DUMMYFUNCTION("""COMPUTED_VALUE"""),"Sarah Neal, The Caterpillar Clubhouse")</f>
        <v>Sarah Neal, The Caterpillar Clubhouse</v>
      </c>
      <c r="E661" s="13" t="str">
        <f>IFERROR(__xludf.DUMMYFUNCTION("""COMPUTED_VALUE"""),"Open")</f>
        <v>Open</v>
      </c>
      <c r="F661" s="13"/>
      <c r="G661" s="13" t="str">
        <f>IFERROR(__xludf.DUMMYFUNCTION("""COMPUTED_VALUE"""),"130 DEXTER PL")</f>
        <v>130 DEXTER PL</v>
      </c>
      <c r="H661" s="13" t="str">
        <f>IFERROR(__xludf.DUMMYFUNCTION("""COMPUTED_VALUE"""),"FORT MORGAN")</f>
        <v>FORT MORGAN</v>
      </c>
      <c r="I661" s="13" t="str">
        <f>IFERROR(__xludf.DUMMYFUNCTION("""COMPUTED_VALUE"""),"CO")</f>
        <v>CO</v>
      </c>
      <c r="J661" s="13" t="str">
        <f>IFERROR(__xludf.DUMMYFUNCTION("""COMPUTED_VALUE"""),"80701-3844")</f>
        <v>80701-3844</v>
      </c>
      <c r="K661" s="13" t="str">
        <f>IFERROR(__xludf.DUMMYFUNCTION("""COMPUTED_VALUE"""),"Morgan")</f>
        <v>Morgan</v>
      </c>
      <c r="L661" s="17" t="str">
        <f>IFERROR(__xludf.DUMMYFUNCTION("""COMPUTED_VALUE"""),"Y")</f>
        <v>Y</v>
      </c>
      <c r="M661" s="17"/>
      <c r="N661" s="17" t="str">
        <f>IFERROR(__xludf.DUMMYFUNCTION("""COMPUTED_VALUE"""),"Y")</f>
        <v>Y</v>
      </c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>
      <c r="A662" s="13" t="str">
        <f>IFERROR(__xludf.DUMMYFUNCTION("""COMPUTED_VALUE"""),"7586")</f>
        <v>7586</v>
      </c>
      <c r="B662" s="13" t="str">
        <f>IFERROR(__xludf.DUMMYFUNCTION("""COMPUTED_VALUE"""),"Debbie's Toy Closet")</f>
        <v>Debbie's Toy Closet</v>
      </c>
      <c r="C662" s="13" t="str">
        <f>IFERROR(__xludf.DUMMYFUNCTION("""COMPUTED_VALUE"""),"91823")</f>
        <v>91823</v>
      </c>
      <c r="D662" s="13" t="str">
        <f>IFERROR(__xludf.DUMMYFUNCTION("""COMPUTED_VALUE"""),"Trinity Lutheran School")</f>
        <v>Trinity Lutheran School</v>
      </c>
      <c r="E662" s="13" t="str">
        <f>IFERROR(__xludf.DUMMYFUNCTION("""COMPUTED_VALUE"""),"Open")</f>
        <v>Open</v>
      </c>
      <c r="F662" s="13"/>
      <c r="G662" s="13" t="str">
        <f>IFERROR(__xludf.DUMMYFUNCTION("""COMPUTED_VALUE"""),"1215 W 7TH AVE")</f>
        <v>1215 W 7TH AVE</v>
      </c>
      <c r="H662" s="13" t="str">
        <f>IFERROR(__xludf.DUMMYFUNCTION("""COMPUTED_VALUE"""),"FORT MORGAN")</f>
        <v>FORT MORGAN</v>
      </c>
      <c r="I662" s="13" t="str">
        <f>IFERROR(__xludf.DUMMYFUNCTION("""COMPUTED_VALUE"""),"CO")</f>
        <v>CO</v>
      </c>
      <c r="J662" s="13" t="str">
        <f>IFERROR(__xludf.DUMMYFUNCTION("""COMPUTED_VALUE"""),"80701-2842")</f>
        <v>80701-2842</v>
      </c>
      <c r="K662" s="13" t="str">
        <f>IFERROR(__xludf.DUMMYFUNCTION("""COMPUTED_VALUE"""),"Morgan")</f>
        <v>Morgan</v>
      </c>
      <c r="L662" s="17" t="str">
        <f>IFERROR(__xludf.DUMMYFUNCTION("""COMPUTED_VALUE"""),"Y")</f>
        <v>Y</v>
      </c>
      <c r="M662" s="17"/>
      <c r="N662" s="17" t="str">
        <f>IFERROR(__xludf.DUMMYFUNCTION("""COMPUTED_VALUE"""),"Y")</f>
        <v>Y</v>
      </c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>
      <c r="A663" s="13" t="str">
        <f>IFERROR(__xludf.DUMMYFUNCTION("""COMPUTED_VALUE"""),"7586")</f>
        <v>7586</v>
      </c>
      <c r="B663" s="13" t="str">
        <f>IFERROR(__xludf.DUMMYFUNCTION("""COMPUTED_VALUE"""),"Debbie's Toy Closet")</f>
        <v>Debbie's Toy Closet</v>
      </c>
      <c r="C663" s="13" t="str">
        <f>IFERROR(__xludf.DUMMYFUNCTION("""COMPUTED_VALUE"""),"91825")</f>
        <v>91825</v>
      </c>
      <c r="D663" s="13" t="str">
        <f>IFERROR(__xludf.DUMMYFUNCTION("""COMPUTED_VALUE"""),"Tammy Hilzer Home Child Care Center")</f>
        <v>Tammy Hilzer Home Child Care Center</v>
      </c>
      <c r="E663" s="13" t="str">
        <f>IFERROR(__xludf.DUMMYFUNCTION("""COMPUTED_VALUE"""),"Open")</f>
        <v>Open</v>
      </c>
      <c r="F663" s="13"/>
      <c r="G663" s="13" t="str">
        <f>IFERROR(__xludf.DUMMYFUNCTION("""COMPUTED_VALUE"""),"217 SHERMAN ST")</f>
        <v>217 SHERMAN ST</v>
      </c>
      <c r="H663" s="13" t="str">
        <f>IFERROR(__xludf.DUMMYFUNCTION("""COMPUTED_VALUE"""),"FORT MORGAN")</f>
        <v>FORT MORGAN</v>
      </c>
      <c r="I663" s="13" t="str">
        <f>IFERROR(__xludf.DUMMYFUNCTION("""COMPUTED_VALUE"""),"CO")</f>
        <v>CO</v>
      </c>
      <c r="J663" s="13" t="str">
        <f>IFERROR(__xludf.DUMMYFUNCTION("""COMPUTED_VALUE"""),"80701-3627")</f>
        <v>80701-3627</v>
      </c>
      <c r="K663" s="13" t="str">
        <f>IFERROR(__xludf.DUMMYFUNCTION("""COMPUTED_VALUE"""),"Morgan")</f>
        <v>Morgan</v>
      </c>
      <c r="L663" s="17" t="str">
        <f>IFERROR(__xludf.DUMMYFUNCTION("""COMPUTED_VALUE"""),"Y")</f>
        <v>Y</v>
      </c>
      <c r="M663" s="17"/>
      <c r="N663" s="17" t="str">
        <f>IFERROR(__xludf.DUMMYFUNCTION("""COMPUTED_VALUE"""),"Y")</f>
        <v>Y</v>
      </c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>
      <c r="A664" s="13" t="str">
        <f>IFERROR(__xludf.DUMMYFUNCTION("""COMPUTED_VALUE"""),"7586")</f>
        <v>7586</v>
      </c>
      <c r="B664" s="13" t="str">
        <f>IFERROR(__xludf.DUMMYFUNCTION("""COMPUTED_VALUE"""),"Debbie's Toy Closet")</f>
        <v>Debbie's Toy Closet</v>
      </c>
      <c r="C664" s="13" t="str">
        <f>IFERROR(__xludf.DUMMYFUNCTION("""COMPUTED_VALUE"""),"91826")</f>
        <v>91826</v>
      </c>
      <c r="D664" s="13" t="str">
        <f>IFERROR(__xludf.DUMMYFUNCTION("""COMPUTED_VALUE"""),"Lesley Linton Home Child Care Center")</f>
        <v>Lesley Linton Home Child Care Center</v>
      </c>
      <c r="E664" s="13" t="str">
        <f>IFERROR(__xludf.DUMMYFUNCTION("""COMPUTED_VALUE"""),"Open")</f>
        <v>Open</v>
      </c>
      <c r="F664" s="13"/>
      <c r="G664" s="13" t="str">
        <f>IFERROR(__xludf.DUMMYFUNCTION("""COMPUTED_VALUE"""),"16531 COUNTY ROAD 16")</f>
        <v>16531 COUNTY ROAD 16</v>
      </c>
      <c r="H664" s="13" t="str">
        <f>IFERROR(__xludf.DUMMYFUNCTION("""COMPUTED_VALUE"""),"FORT MORGAN")</f>
        <v>FORT MORGAN</v>
      </c>
      <c r="I664" s="13" t="str">
        <f>IFERROR(__xludf.DUMMYFUNCTION("""COMPUTED_VALUE"""),"CO")</f>
        <v>CO</v>
      </c>
      <c r="J664" s="13" t="str">
        <f>IFERROR(__xludf.DUMMYFUNCTION("""COMPUTED_VALUE"""),"80701-8313")</f>
        <v>80701-8313</v>
      </c>
      <c r="K664" s="13" t="str">
        <f>IFERROR(__xludf.DUMMYFUNCTION("""COMPUTED_VALUE"""),"Morgan")</f>
        <v>Morgan</v>
      </c>
      <c r="L664" s="17" t="str">
        <f>IFERROR(__xludf.DUMMYFUNCTION("""COMPUTED_VALUE"""),"Y")</f>
        <v>Y</v>
      </c>
      <c r="M664" s="17"/>
      <c r="N664" s="17" t="str">
        <f>IFERROR(__xludf.DUMMYFUNCTION("""COMPUTED_VALUE"""),"Y")</f>
        <v>Y</v>
      </c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>
      <c r="A665" s="13" t="str">
        <f>IFERROR(__xludf.DUMMYFUNCTION("""COMPUTED_VALUE"""),"7586")</f>
        <v>7586</v>
      </c>
      <c r="B665" s="13" t="str">
        <f>IFERROR(__xludf.DUMMYFUNCTION("""COMPUTED_VALUE"""),"Debbie's Toy Closet")</f>
        <v>Debbie's Toy Closet</v>
      </c>
      <c r="C665" s="13" t="str">
        <f>IFERROR(__xludf.DUMMYFUNCTION("""COMPUTED_VALUE"""),"91827")</f>
        <v>91827</v>
      </c>
      <c r="D665" s="13" t="str">
        <f>IFERROR(__xludf.DUMMYFUNCTION("""COMPUTED_VALUE"""),"Linda Marrufo Home Child Care Center")</f>
        <v>Linda Marrufo Home Child Care Center</v>
      </c>
      <c r="E665" s="13" t="str">
        <f>IFERROR(__xludf.DUMMYFUNCTION("""COMPUTED_VALUE"""),"Open")</f>
        <v>Open</v>
      </c>
      <c r="F665" s="13"/>
      <c r="G665" s="13" t="str">
        <f>IFERROR(__xludf.DUMMYFUNCTION("""COMPUTED_VALUE"""),"809 MENG DR")</f>
        <v>809 MENG DR</v>
      </c>
      <c r="H665" s="13" t="str">
        <f>IFERROR(__xludf.DUMMYFUNCTION("""COMPUTED_VALUE"""),"FORT MORGAN")</f>
        <v>FORT MORGAN</v>
      </c>
      <c r="I665" s="13" t="str">
        <f>IFERROR(__xludf.DUMMYFUNCTION("""COMPUTED_VALUE"""),"CO")</f>
        <v>CO</v>
      </c>
      <c r="J665" s="13" t="str">
        <f>IFERROR(__xludf.DUMMYFUNCTION("""COMPUTED_VALUE"""),"80701-3855")</f>
        <v>80701-3855</v>
      </c>
      <c r="K665" s="13" t="str">
        <f>IFERROR(__xludf.DUMMYFUNCTION("""COMPUTED_VALUE"""),"Morgan")</f>
        <v>Morgan</v>
      </c>
      <c r="L665" s="17" t="str">
        <f>IFERROR(__xludf.DUMMYFUNCTION("""COMPUTED_VALUE"""),"Y")</f>
        <v>Y</v>
      </c>
      <c r="M665" s="17"/>
      <c r="N665" s="17" t="str">
        <f>IFERROR(__xludf.DUMMYFUNCTION("""COMPUTED_VALUE"""),"Y")</f>
        <v>Y</v>
      </c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>
      <c r="A666" s="13" t="str">
        <f>IFERROR(__xludf.DUMMYFUNCTION("""COMPUTED_VALUE"""),"7586")</f>
        <v>7586</v>
      </c>
      <c r="B666" s="13" t="str">
        <f>IFERROR(__xludf.DUMMYFUNCTION("""COMPUTED_VALUE"""),"Debbie's Toy Closet")</f>
        <v>Debbie's Toy Closet</v>
      </c>
      <c r="C666" s="13" t="str">
        <f>IFERROR(__xludf.DUMMYFUNCTION("""COMPUTED_VALUE"""),"91828")</f>
        <v>91828</v>
      </c>
      <c r="D666" s="13" t="str">
        <f>IFERROR(__xludf.DUMMYFUNCTION("""COMPUTED_VALUE"""),"Debra Bain Home Child Care Center")</f>
        <v>Debra Bain Home Child Care Center</v>
      </c>
      <c r="E666" s="13" t="str">
        <f>IFERROR(__xludf.DUMMYFUNCTION("""COMPUTED_VALUE"""),"Open")</f>
        <v>Open</v>
      </c>
      <c r="F666" s="13"/>
      <c r="G666" s="13" t="str">
        <f>IFERROR(__xludf.DUMMYFUNCTION("""COMPUTED_VALUE"""),"15456 COUNTY ROAD 14")</f>
        <v>15456 COUNTY ROAD 14</v>
      </c>
      <c r="H666" s="13" t="str">
        <f>IFERROR(__xludf.DUMMYFUNCTION("""COMPUTED_VALUE"""),"FORT MORGAN")</f>
        <v>FORT MORGAN</v>
      </c>
      <c r="I666" s="13" t="str">
        <f>IFERROR(__xludf.DUMMYFUNCTION("""COMPUTED_VALUE"""),"CO")</f>
        <v>CO</v>
      </c>
      <c r="J666" s="13" t="str">
        <f>IFERROR(__xludf.DUMMYFUNCTION("""COMPUTED_VALUE"""),"80701-8208")</f>
        <v>80701-8208</v>
      </c>
      <c r="K666" s="13" t="str">
        <f>IFERROR(__xludf.DUMMYFUNCTION("""COMPUTED_VALUE"""),"Morgan")</f>
        <v>Morgan</v>
      </c>
      <c r="L666" s="17" t="str">
        <f>IFERROR(__xludf.DUMMYFUNCTION("""COMPUTED_VALUE"""),"Y")</f>
        <v>Y</v>
      </c>
      <c r="M666" s="17"/>
      <c r="N666" s="17" t="str">
        <f>IFERROR(__xludf.DUMMYFUNCTION("""COMPUTED_VALUE"""),"Y")</f>
        <v>Y</v>
      </c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>
      <c r="A667" s="18" t="str">
        <f>IFERROR(__xludf.DUMMYFUNCTION("""COMPUTED_VALUE"""),"7586")</f>
        <v>7586</v>
      </c>
      <c r="B667" s="18" t="str">
        <f>IFERROR(__xludf.DUMMYFUNCTION("""COMPUTED_VALUE"""),"Debbie's Toy Closet")</f>
        <v>Debbie's Toy Closet</v>
      </c>
      <c r="C667" s="18" t="str">
        <f>IFERROR(__xludf.DUMMYFUNCTION("""COMPUTED_VALUE"""),"91829")</f>
        <v>91829</v>
      </c>
      <c r="D667" s="18" t="str">
        <f>IFERROR(__xludf.DUMMYFUNCTION("""COMPUTED_VALUE"""),"Fawn Martinez Home Child Care Center")</f>
        <v>Fawn Martinez Home Child Care Center</v>
      </c>
      <c r="E667" s="18" t="str">
        <f>IFERROR(__xludf.DUMMYFUNCTION("""COMPUTED_VALUE"""),"Open")</f>
        <v>Open</v>
      </c>
      <c r="F667" s="18" t="str">
        <f>IFERROR(__xludf.DUMMYFUNCTION("""COMPUTED_VALUE""")," ")</f>
        <v> </v>
      </c>
      <c r="G667" s="18" t="str">
        <f>IFERROR(__xludf.DUMMYFUNCTION("""COMPUTED_VALUE"""),"315 BELMONT PL")</f>
        <v>315 BELMONT PL</v>
      </c>
      <c r="H667" s="18" t="str">
        <f>IFERROR(__xludf.DUMMYFUNCTION("""COMPUTED_VALUE"""),"FORT MORGAN")</f>
        <v>FORT MORGAN</v>
      </c>
      <c r="I667" s="18" t="str">
        <f>IFERROR(__xludf.DUMMYFUNCTION("""COMPUTED_VALUE"""),"CO")</f>
        <v>CO</v>
      </c>
      <c r="J667" s="18" t="str">
        <f>IFERROR(__xludf.DUMMYFUNCTION("""COMPUTED_VALUE"""),"80701-3831")</f>
        <v>80701-3831</v>
      </c>
      <c r="K667" s="18" t="str">
        <f>IFERROR(__xludf.DUMMYFUNCTION("""COMPUTED_VALUE"""),"Morgan")</f>
        <v>Morgan</v>
      </c>
      <c r="L667" s="19" t="str">
        <f>IFERROR(__xludf.DUMMYFUNCTION("""COMPUTED_VALUE"""),"Y")</f>
        <v>Y</v>
      </c>
      <c r="M667" s="19"/>
      <c r="N667" s="19" t="str">
        <f>IFERROR(__xludf.DUMMYFUNCTION("""COMPUTED_VALUE"""),"Y")</f>
        <v>Y</v>
      </c>
      <c r="O667" s="19"/>
      <c r="P667" s="19"/>
      <c r="Q667" s="19" t="str">
        <f>IFERROR(__xludf.DUMMYFUNCTION("""COMPUTED_VALUE"""),"No Claims as of 11.24")</f>
        <v>No Claims as of 11.24</v>
      </c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>
      <c r="A668" s="13" t="str">
        <f>IFERROR(__xludf.DUMMYFUNCTION("""COMPUTED_VALUE"""),"7586")</f>
        <v>7586</v>
      </c>
      <c r="B668" s="13" t="str">
        <f>IFERROR(__xludf.DUMMYFUNCTION("""COMPUTED_VALUE"""),"Debbie's Toy Closet")</f>
        <v>Debbie's Toy Closet</v>
      </c>
      <c r="C668" s="13" t="str">
        <f>IFERROR(__xludf.DUMMYFUNCTION("""COMPUTED_VALUE"""),"91830")</f>
        <v>91830</v>
      </c>
      <c r="D668" s="13" t="str">
        <f>IFERROR(__xludf.DUMMYFUNCTION("""COMPUTED_VALUE"""),"Sol Naciente Home Child Care Center")</f>
        <v>Sol Naciente Home Child Care Center</v>
      </c>
      <c r="E668" s="13" t="str">
        <f>IFERROR(__xludf.DUMMYFUNCTION("""COMPUTED_VALUE"""),"Open")</f>
        <v>Open</v>
      </c>
      <c r="F668" s="13"/>
      <c r="G668" s="13" t="str">
        <f>IFERROR(__xludf.DUMMYFUNCTION("""COMPUTED_VALUE"""),"322 LINDA ST")</f>
        <v>322 LINDA ST</v>
      </c>
      <c r="H668" s="13" t="str">
        <f>IFERROR(__xludf.DUMMYFUNCTION("""COMPUTED_VALUE"""),"FORT MORGAN")</f>
        <v>FORT MORGAN</v>
      </c>
      <c r="I668" s="13" t="str">
        <f>IFERROR(__xludf.DUMMYFUNCTION("""COMPUTED_VALUE"""),"CO")</f>
        <v>CO</v>
      </c>
      <c r="J668" s="13" t="str">
        <f>IFERROR(__xludf.DUMMYFUNCTION("""COMPUTED_VALUE"""),"80701-3536")</f>
        <v>80701-3536</v>
      </c>
      <c r="K668" s="13" t="str">
        <f>IFERROR(__xludf.DUMMYFUNCTION("""COMPUTED_VALUE"""),"Morgan")</f>
        <v>Morgan</v>
      </c>
      <c r="L668" s="17" t="str">
        <f>IFERROR(__xludf.DUMMYFUNCTION("""COMPUTED_VALUE"""),"Y")</f>
        <v>Y</v>
      </c>
      <c r="M668" s="17"/>
      <c r="N668" s="17" t="str">
        <f>IFERROR(__xludf.DUMMYFUNCTION("""COMPUTED_VALUE"""),"Y")</f>
        <v>Y</v>
      </c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>
      <c r="A669" s="13" t="str">
        <f>IFERROR(__xludf.DUMMYFUNCTION("""COMPUTED_VALUE"""),"7588")</f>
        <v>7588</v>
      </c>
      <c r="B669" s="13" t="str">
        <f>IFERROR(__xludf.DUMMYFUNCTION("""COMPUTED_VALUE"""),"Colorado Food Cluster")</f>
        <v>Colorado Food Cluster</v>
      </c>
      <c r="C669" s="13" t="str">
        <f>IFERROR(__xludf.DUMMYFUNCTION("""COMPUTED_VALUE"""),"91621")</f>
        <v>91621</v>
      </c>
      <c r="D669" s="13" t="str">
        <f>IFERROR(__xludf.DUMMYFUNCTION("""COMPUTED_VALUE"""),"Colorado Food Cluster Summer Meal Delivery")</f>
        <v>Colorado Food Cluster Summer Meal Delivery</v>
      </c>
      <c r="E669" s="13" t="str">
        <f>IFERROR(__xludf.DUMMYFUNCTION("""COMPUTED_VALUE"""),"Closed - Enrolled")</f>
        <v>Closed - Enrolled</v>
      </c>
      <c r="F669" s="13" t="str">
        <f>IFERROR(__xludf.DUMMYFUNCTION("""COMPUTED_VALUE"""),"Non-congregate")</f>
        <v>Non-congregate</v>
      </c>
      <c r="G669" s="13" t="str">
        <f>IFERROR(__xludf.DUMMYFUNCTION("""COMPUTED_VALUE"""),"441 PINON ST")</f>
        <v>441 PINON ST</v>
      </c>
      <c r="H669" s="13" t="str">
        <f>IFERROR(__xludf.DUMMYFUNCTION("""COMPUTED_VALUE"""),"SPRINGFIELD")</f>
        <v>SPRINGFIELD</v>
      </c>
      <c r="I669" s="13" t="str">
        <f>IFERROR(__xludf.DUMMYFUNCTION("""COMPUTED_VALUE"""),"CO")</f>
        <v>CO</v>
      </c>
      <c r="J669" s="13" t="str">
        <f>IFERROR(__xludf.DUMMYFUNCTION("""COMPUTED_VALUE"""),"81073-1029")</f>
        <v>81073-1029</v>
      </c>
      <c r="K669" s="13" t="str">
        <f>IFERROR(__xludf.DUMMYFUNCTION("""COMPUTED_VALUE"""),"Otero")</f>
        <v>Otero</v>
      </c>
      <c r="L669" s="17" t="str">
        <f>IFERROR(__xludf.DUMMYFUNCTION("""COMPUTED_VALUE"""),"Y")</f>
        <v>Y</v>
      </c>
      <c r="M669" s="17"/>
      <c r="N669" s="17" t="str">
        <f>IFERROR(__xludf.DUMMYFUNCTION("""COMPUTED_VALUE"""),"Y")</f>
        <v>Y</v>
      </c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>
      <c r="A670" s="13" t="str">
        <f>IFERROR(__xludf.DUMMYFUNCTION("""COMPUTED_VALUE"""),"8001")</f>
        <v>8001</v>
      </c>
      <c r="B670" s="13" t="str">
        <f>IFERROR(__xludf.DUMMYFUNCTION("""COMPUTED_VALUE"""),"State of Colorado, Charter School Institute")</f>
        <v>State of Colorado, Charter School Institute</v>
      </c>
      <c r="C670" s="13" t="str">
        <f>IFERROR(__xludf.DUMMYFUNCTION("""COMPUTED_VALUE"""),"00657")</f>
        <v>00657</v>
      </c>
      <c r="D670" s="13" t="str">
        <f>IFERROR(__xludf.DUMMYFUNCTION("""COMPUTED_VALUE"""),"ACADEMY OF ARTS AND KNOWLEDGE")</f>
        <v>ACADEMY OF ARTS AND KNOWLEDGE</v>
      </c>
      <c r="E670" s="13" t="str">
        <f>IFERROR(__xludf.DUMMYFUNCTION("""COMPUTED_VALUE"""),"Open")</f>
        <v>Open</v>
      </c>
      <c r="F670" s="13"/>
      <c r="G670" s="13" t="str">
        <f>IFERROR(__xludf.DUMMYFUNCTION("""COMPUTED_VALUE"""),"4800 WHEATON DR")</f>
        <v>4800 WHEATON DR</v>
      </c>
      <c r="H670" s="13" t="str">
        <f>IFERROR(__xludf.DUMMYFUNCTION("""COMPUTED_VALUE"""),"FORT COLLINS")</f>
        <v>FORT COLLINS</v>
      </c>
      <c r="I670" s="13" t="str">
        <f>IFERROR(__xludf.DUMMYFUNCTION("""COMPUTED_VALUE"""),"CO")</f>
        <v>CO</v>
      </c>
      <c r="J670" s="13" t="str">
        <f>IFERROR(__xludf.DUMMYFUNCTION("""COMPUTED_VALUE"""),"80525-9483")</f>
        <v>80525-9483</v>
      </c>
      <c r="K670" s="13" t="str">
        <f>IFERROR(__xludf.DUMMYFUNCTION("""COMPUTED_VALUE"""),"Larimer")</f>
        <v>Larimer</v>
      </c>
      <c r="L670" s="17" t="str">
        <f>IFERROR(__xludf.DUMMYFUNCTION("""COMPUTED_VALUE"""),"Y")</f>
        <v>Y</v>
      </c>
      <c r="M670" s="17"/>
      <c r="N670" s="17" t="str">
        <f>IFERROR(__xludf.DUMMYFUNCTION("""COMPUTED_VALUE"""),"Y")</f>
        <v>Y</v>
      </c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>
      <c r="A671" s="13" t="str">
        <f>IFERROR(__xludf.DUMMYFUNCTION("""COMPUTED_VALUE"""),"8001")</f>
        <v>8001</v>
      </c>
      <c r="B671" s="13" t="str">
        <f>IFERROR(__xludf.DUMMYFUNCTION("""COMPUTED_VALUE"""),"State of Colorado, Charter School Institute")</f>
        <v>State of Colorado, Charter School Institute</v>
      </c>
      <c r="C671" s="13" t="str">
        <f>IFERROR(__xludf.DUMMYFUNCTION("""COMPUTED_VALUE"""),"06914")</f>
        <v>06914</v>
      </c>
      <c r="D671" s="13" t="str">
        <f>IFERROR(__xludf.DUMMYFUNCTION("""COMPUTED_VALUE"""),"THE PINNACLE CHARTER SCHOOL")</f>
        <v>THE PINNACLE CHARTER SCHOOL</v>
      </c>
      <c r="E671" s="13" t="str">
        <f>IFERROR(__xludf.DUMMYFUNCTION("""COMPUTED_VALUE"""),"Open")</f>
        <v>Open</v>
      </c>
      <c r="F671" s="13"/>
      <c r="G671" s="13" t="str">
        <f>IFERROR(__xludf.DUMMYFUNCTION("""COMPUTED_VALUE"""),"1001 W 84TH AVE")</f>
        <v>1001 W 84TH AVE</v>
      </c>
      <c r="H671" s="13" t="str">
        <f>IFERROR(__xludf.DUMMYFUNCTION("""COMPUTED_VALUE"""),"FEDERAL HGTS")</f>
        <v>FEDERAL HGTS</v>
      </c>
      <c r="I671" s="13" t="str">
        <f>IFERROR(__xludf.DUMMYFUNCTION("""COMPUTED_VALUE"""),"CO")</f>
        <v>CO</v>
      </c>
      <c r="J671" s="13" t="str">
        <f>IFERROR(__xludf.DUMMYFUNCTION("""COMPUTED_VALUE"""),"80260-4717")</f>
        <v>80260-4717</v>
      </c>
      <c r="K671" s="13" t="str">
        <f>IFERROR(__xludf.DUMMYFUNCTION("""COMPUTED_VALUE"""),"Adams")</f>
        <v>Adams</v>
      </c>
      <c r="L671" s="17" t="str">
        <f>IFERROR(__xludf.DUMMYFUNCTION("""COMPUTED_VALUE"""),"Y")</f>
        <v>Y</v>
      </c>
      <c r="M671" s="17"/>
      <c r="N671" s="17" t="str">
        <f>IFERROR(__xludf.DUMMYFUNCTION("""COMPUTED_VALUE"""),"Y")</f>
        <v>Y</v>
      </c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>
      <c r="A672" s="13" t="str">
        <f>IFERROR(__xludf.DUMMYFUNCTION("""COMPUTED_VALUE"""),"8001")</f>
        <v>8001</v>
      </c>
      <c r="B672" s="13" t="str">
        <f>IFERROR(__xludf.DUMMYFUNCTION("""COMPUTED_VALUE"""),"State of Colorado, Charter School Institute")</f>
        <v>State of Colorado, Charter School Institute</v>
      </c>
      <c r="C672" s="13" t="str">
        <f>IFERROR(__xludf.DUMMYFUNCTION("""COMPUTED_VALUE"""),"07278")</f>
        <v>07278</v>
      </c>
      <c r="D672" s="13" t="str">
        <f>IFERROR(__xludf.DUMMYFUNCTION("""COMPUTED_VALUE"""),"RICARDO FLORES MAGON ACADEMY")</f>
        <v>RICARDO FLORES MAGON ACADEMY</v>
      </c>
      <c r="E672" s="13" t="str">
        <f>IFERROR(__xludf.DUMMYFUNCTION("""COMPUTED_VALUE"""),"Open")</f>
        <v>Open</v>
      </c>
      <c r="F672" s="13"/>
      <c r="G672" s="13" t="str">
        <f>IFERROR(__xludf.DUMMYFUNCTION("""COMPUTED_VALUE"""),"5330 Meade Street")</f>
        <v>5330 Meade Street</v>
      </c>
      <c r="H672" s="13" t="str">
        <f>IFERROR(__xludf.DUMMYFUNCTION("""COMPUTED_VALUE"""),"DENVER")</f>
        <v>DENVER</v>
      </c>
      <c r="I672" s="13" t="str">
        <f>IFERROR(__xludf.DUMMYFUNCTION("""COMPUTED_VALUE"""),"CO")</f>
        <v>CO</v>
      </c>
      <c r="J672" s="13">
        <f>IFERROR(__xludf.DUMMYFUNCTION("""COMPUTED_VALUE"""),80221.0)</f>
        <v>80221</v>
      </c>
      <c r="K672" s="13" t="str">
        <f>IFERROR(__xludf.DUMMYFUNCTION("""COMPUTED_VALUE"""),"Denver")</f>
        <v>Denver</v>
      </c>
      <c r="L672" s="17" t="str">
        <f>IFERROR(__xludf.DUMMYFUNCTION("""COMPUTED_VALUE"""),"Y")</f>
        <v>Y</v>
      </c>
      <c r="M672" s="17"/>
      <c r="N672" s="17" t="str">
        <f>IFERROR(__xludf.DUMMYFUNCTION("""COMPUTED_VALUE"""),"Y")</f>
        <v>Y</v>
      </c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>
      <c r="A673" s="13" t="str">
        <f>IFERROR(__xludf.DUMMYFUNCTION("""COMPUTED_VALUE"""),"8042")</f>
        <v>8042</v>
      </c>
      <c r="B673" s="13" t="str">
        <f>IFERROR(__xludf.DUMMYFUNCTION("""COMPUTED_VALUE"""),"CharterChoice Collaborative")</f>
        <v>CharterChoice Collaborative</v>
      </c>
      <c r="C673" s="13" t="str">
        <f>IFERROR(__xludf.DUMMYFUNCTION("""COMPUTED_VALUE"""),"01371")</f>
        <v>01371</v>
      </c>
      <c r="D673" s="13" t="str">
        <f>IFERROR(__xludf.DUMMYFUNCTION("""COMPUTED_VALUE"""),"COPERNI 3")</f>
        <v>COPERNI 3</v>
      </c>
      <c r="E673" s="13" t="str">
        <f>IFERROR(__xludf.DUMMYFUNCTION("""COMPUTED_VALUE"""),"Open")</f>
        <v>Open</v>
      </c>
      <c r="F673" s="13"/>
      <c r="G673" s="13" t="str">
        <f>IFERROR(__xludf.DUMMYFUNCTION("""COMPUTED_VALUE"""),"755 CITADEL DR W")</f>
        <v>755 CITADEL DR W</v>
      </c>
      <c r="H673" s="13" t="str">
        <f>IFERROR(__xludf.DUMMYFUNCTION("""COMPUTED_VALUE"""),"COLORADO SPGS")</f>
        <v>COLORADO SPGS</v>
      </c>
      <c r="I673" s="13" t="str">
        <f>IFERROR(__xludf.DUMMYFUNCTION("""COMPUTED_VALUE"""),"CO")</f>
        <v>CO</v>
      </c>
      <c r="J673" s="13" t="str">
        <f>IFERROR(__xludf.DUMMYFUNCTION("""COMPUTED_VALUE"""),"80909-5350")</f>
        <v>80909-5350</v>
      </c>
      <c r="K673" s="13" t="str">
        <f>IFERROR(__xludf.DUMMYFUNCTION("""COMPUTED_VALUE"""),"El Paso")</f>
        <v>El Paso</v>
      </c>
      <c r="L673" s="17" t="str">
        <f>IFERROR(__xludf.DUMMYFUNCTION("""COMPUTED_VALUE"""),"Y")</f>
        <v>Y</v>
      </c>
      <c r="M673" s="17"/>
      <c r="N673" s="17" t="str">
        <f>IFERROR(__xludf.DUMMYFUNCTION("""COMPUTED_VALUE"""),"Y")</f>
        <v>Y</v>
      </c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>
      <c r="A674" s="13" t="str">
        <f>IFERROR(__xludf.DUMMYFUNCTION("""COMPUTED_VALUE"""),"8042")</f>
        <v>8042</v>
      </c>
      <c r="B674" s="13" t="str">
        <f>IFERROR(__xludf.DUMMYFUNCTION("""COMPUTED_VALUE"""),"CharterChoice Collaborative")</f>
        <v>CharterChoice Collaborative</v>
      </c>
      <c r="C674" s="13" t="str">
        <f>IFERROR(__xludf.DUMMYFUNCTION("""COMPUTED_VALUE"""),"02026")</f>
        <v>02026</v>
      </c>
      <c r="D674" s="13" t="str">
        <f>IFERROR(__xludf.DUMMYFUNCTION("""COMPUTED_VALUE"""),"DSST: Elevate Northeast High School")</f>
        <v>DSST: Elevate Northeast High School</v>
      </c>
      <c r="E674" s="13" t="str">
        <f>IFERROR(__xludf.DUMMYFUNCTION("""COMPUTED_VALUE"""),"Closed - Enrolled")</f>
        <v>Closed - Enrolled</v>
      </c>
      <c r="F674" s="13"/>
      <c r="G674" s="13" t="str">
        <f>IFERROR(__xludf.DUMMYFUNCTION("""COMPUTED_VALUE"""),"10825 E 47TH AVE")</f>
        <v>10825 E 47TH AVE</v>
      </c>
      <c r="H674" s="13" t="str">
        <f>IFERROR(__xludf.DUMMYFUNCTION("""COMPUTED_VALUE"""),"DENVER")</f>
        <v>DENVER</v>
      </c>
      <c r="I674" s="13" t="str">
        <f>IFERROR(__xludf.DUMMYFUNCTION("""COMPUTED_VALUE"""),"CO")</f>
        <v>CO</v>
      </c>
      <c r="J674" s="13" t="str">
        <f>IFERROR(__xludf.DUMMYFUNCTION("""COMPUTED_VALUE"""),"80239-2913")</f>
        <v>80239-2913</v>
      </c>
      <c r="K674" s="13" t="str">
        <f>IFERROR(__xludf.DUMMYFUNCTION("""COMPUTED_VALUE"""),"Denver")</f>
        <v>Denver</v>
      </c>
      <c r="L674" s="17" t="str">
        <f>IFERROR(__xludf.DUMMYFUNCTION("""COMPUTED_VALUE"""),"Y")</f>
        <v>Y</v>
      </c>
      <c r="M674" s="17"/>
      <c r="N674" s="17" t="str">
        <f>IFERROR(__xludf.DUMMYFUNCTION("""COMPUTED_VALUE"""),"Y")</f>
        <v>Y</v>
      </c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>
      <c r="A675" s="18" t="str">
        <f>IFERROR(__xludf.DUMMYFUNCTION("""COMPUTED_VALUE"""),"8042")</f>
        <v>8042</v>
      </c>
      <c r="B675" s="18" t="str">
        <f>IFERROR(__xludf.DUMMYFUNCTION("""COMPUTED_VALUE"""),"CharterChoice Collaborative")</f>
        <v>CharterChoice Collaborative</v>
      </c>
      <c r="C675" s="18" t="str">
        <f>IFERROR(__xludf.DUMMYFUNCTION("""COMPUTED_VALUE"""),"07973")</f>
        <v>07973</v>
      </c>
      <c r="D675" s="18" t="str">
        <f>IFERROR(__xludf.DUMMYFUNCTION("""COMPUTED_VALUE"""),"STRIVE PREP- RISE")</f>
        <v>STRIVE PREP- RISE</v>
      </c>
      <c r="E675" s="18" t="str">
        <f>IFERROR(__xludf.DUMMYFUNCTION("""COMPUTED_VALUE"""),"Open")</f>
        <v>Open</v>
      </c>
      <c r="F675" s="18" t="str">
        <f>IFERROR(__xludf.DUMMYFUNCTION("""COMPUTED_VALUE""")," ")</f>
        <v> </v>
      </c>
      <c r="G675" s="18" t="str">
        <f>IFERROR(__xludf.DUMMYFUNCTION("""COMPUTED_VALUE"""),"18250 E 51ST AVE")</f>
        <v>18250 E 51ST AVE</v>
      </c>
      <c r="H675" s="18" t="str">
        <f>IFERROR(__xludf.DUMMYFUNCTION("""COMPUTED_VALUE"""),"DENVER")</f>
        <v>DENVER</v>
      </c>
      <c r="I675" s="18" t="str">
        <f>IFERROR(__xludf.DUMMYFUNCTION("""COMPUTED_VALUE"""),"CO")</f>
        <v>CO</v>
      </c>
      <c r="J675" s="18" t="str">
        <f>IFERROR(__xludf.DUMMYFUNCTION("""COMPUTED_VALUE"""),"80249-8735")</f>
        <v>80249-8735</v>
      </c>
      <c r="K675" s="18" t="str">
        <f>IFERROR(__xludf.DUMMYFUNCTION("""COMPUTED_VALUE"""),"Denver")</f>
        <v>Denver</v>
      </c>
      <c r="L675" s="19" t="str">
        <f>IFERROR(__xludf.DUMMYFUNCTION("""COMPUTED_VALUE"""),"Y")</f>
        <v>Y</v>
      </c>
      <c r="M675" s="19"/>
      <c r="N675" s="19" t="str">
        <f>IFERROR(__xludf.DUMMYFUNCTION("""COMPUTED_VALUE"""),"Y")</f>
        <v>Y</v>
      </c>
      <c r="O675" s="19"/>
      <c r="P675" s="19"/>
      <c r="Q675" s="19" t="str">
        <f>IFERROR(__xludf.DUMMYFUNCTION("""COMPUTED_VALUE"""),"No Claims as of 11.24")</f>
        <v>No Claims as of 11.24</v>
      </c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>
      <c r="A676" s="18" t="str">
        <f>IFERROR(__xludf.DUMMYFUNCTION("""COMPUTED_VALUE"""),"8042")</f>
        <v>8042</v>
      </c>
      <c r="B676" s="18" t="str">
        <f>IFERROR(__xludf.DUMMYFUNCTION("""COMPUTED_VALUE"""),"CharterChoice Collaborative")</f>
        <v>CharterChoice Collaborative</v>
      </c>
      <c r="C676" s="18" t="str">
        <f>IFERROR(__xludf.DUMMYFUNCTION("""COMPUTED_VALUE"""),"09639")</f>
        <v>09639</v>
      </c>
      <c r="D676" s="18" t="str">
        <f>IFERROR(__xludf.DUMMYFUNCTION("""COMPUTED_VALUE"""),"STRIVE PREP- SMART ACADEMY")</f>
        <v>STRIVE PREP- SMART ACADEMY</v>
      </c>
      <c r="E676" s="18" t="str">
        <f>IFERROR(__xludf.DUMMYFUNCTION("""COMPUTED_VALUE"""),"Open")</f>
        <v>Open</v>
      </c>
      <c r="F676" s="18" t="str">
        <f>IFERROR(__xludf.DUMMYFUNCTION("""COMPUTED_VALUE""")," ")</f>
        <v> </v>
      </c>
      <c r="G676" s="18" t="str">
        <f>IFERROR(__xludf.DUMMYFUNCTION("""COMPUTED_VALUE"""),"3201 W ARIZONA AVE")</f>
        <v>3201 W ARIZONA AVE</v>
      </c>
      <c r="H676" s="18" t="str">
        <f>IFERROR(__xludf.DUMMYFUNCTION("""COMPUTED_VALUE"""),"DENVER")</f>
        <v>DENVER</v>
      </c>
      <c r="I676" s="18" t="str">
        <f>IFERROR(__xludf.DUMMYFUNCTION("""COMPUTED_VALUE"""),"CO")</f>
        <v>CO</v>
      </c>
      <c r="J676" s="18" t="str">
        <f>IFERROR(__xludf.DUMMYFUNCTION("""COMPUTED_VALUE"""),"80219-3941")</f>
        <v>80219-3941</v>
      </c>
      <c r="K676" s="18" t="str">
        <f>IFERROR(__xludf.DUMMYFUNCTION("""COMPUTED_VALUE"""),"Denver")</f>
        <v>Denver</v>
      </c>
      <c r="L676" s="19" t="str">
        <f>IFERROR(__xludf.DUMMYFUNCTION("""COMPUTED_VALUE"""),"Y")</f>
        <v>Y</v>
      </c>
      <c r="M676" s="19"/>
      <c r="N676" s="19" t="str">
        <f>IFERROR(__xludf.DUMMYFUNCTION("""COMPUTED_VALUE"""),"Y")</f>
        <v>Y</v>
      </c>
      <c r="O676" s="19"/>
      <c r="P676" s="19"/>
      <c r="Q676" s="19" t="str">
        <f>IFERROR(__xludf.DUMMYFUNCTION("""COMPUTED_VALUE"""),"No Claims as of 11.24")</f>
        <v>No Claims as of 11.24</v>
      </c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>
      <c r="A677" s="13" t="str">
        <f>IFERROR(__xludf.DUMMYFUNCTION("""COMPUTED_VALUE"""),"0140")</f>
        <v>0140</v>
      </c>
      <c r="B677" s="13" t="str">
        <f>IFERROR(__xludf.DUMMYFUNCTION("""COMPUTED_VALUE"""),"Littleton School District 6")</f>
        <v>Littleton School District 6</v>
      </c>
      <c r="C677" s="13" t="str">
        <f>IFERROR(__xludf.DUMMYFUNCTION("""COMPUTED_VALUE"""),"02926")</f>
        <v>02926</v>
      </c>
      <c r="D677" s="13" t="str">
        <f>IFERROR(__xludf.DUMMYFUNCTION("""COMPUTED_VALUE"""),"FIELD ELEMENTARY SCHOOL")</f>
        <v>FIELD ELEMENTARY SCHOOL</v>
      </c>
      <c r="E677" s="13" t="str">
        <f>IFERROR(__xludf.DUMMYFUNCTION("""COMPUTED_VALUE"""),"Open")</f>
        <v>Open</v>
      </c>
      <c r="F677" s="13"/>
      <c r="G677" s="13" t="str">
        <f>IFERROR(__xludf.DUMMYFUNCTION("""COMPUTED_VALUE"""),"5402 S SHERMAN WAY")</f>
        <v>5402 S SHERMAN WAY</v>
      </c>
      <c r="H677" s="13" t="str">
        <f>IFERROR(__xludf.DUMMYFUNCTION("""COMPUTED_VALUE"""),"CENTENNIAL")</f>
        <v>CENTENNIAL</v>
      </c>
      <c r="I677" s="13" t="str">
        <f>IFERROR(__xludf.DUMMYFUNCTION("""COMPUTED_VALUE"""),"CO")</f>
        <v>CO</v>
      </c>
      <c r="J677" s="13" t="str">
        <f>IFERROR(__xludf.DUMMYFUNCTION("""COMPUTED_VALUE"""),"80121-1000")</f>
        <v>80121-1000</v>
      </c>
      <c r="K677" s="13" t="str">
        <f>IFERROR(__xludf.DUMMYFUNCTION("""COMPUTED_VALUE"""),"Arapahoe")</f>
        <v>Arapahoe</v>
      </c>
      <c r="L677" s="17" t="str">
        <f>IFERROR(__xludf.DUMMYFUNCTION("""COMPUTED_VALUE"""),"Y")</f>
        <v>Y</v>
      </c>
      <c r="M677" s="17"/>
      <c r="N677" s="17" t="str">
        <f>IFERROR(__xludf.DUMMYFUNCTION("""COMPUTED_VALUE"""),"Y")</f>
        <v>Y</v>
      </c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</sheetData>
  <drawing r:id="rId1"/>
</worksheet>
</file>