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IDEA Distributions\"/>
    </mc:Choice>
  </mc:AlternateContent>
  <bookViews>
    <workbookView xWindow="-3192" yWindow="1008" windowWidth="23892" windowHeight="11760"/>
  </bookViews>
  <sheets>
    <sheet name="Part B 1617" sheetId="1" r:id="rId1"/>
    <sheet name="Recon" sheetId="3" r:id="rId2"/>
  </sheets>
  <calcPr calcId="152511"/>
</workbook>
</file>

<file path=xl/calcChain.xml><?xml version="1.0" encoding="utf-8"?>
<calcChain xmlns="http://schemas.openxmlformats.org/spreadsheetml/2006/main">
  <c r="R64" i="1" l="1"/>
  <c r="AG67" i="1" l="1"/>
  <c r="W64" i="1" l="1"/>
  <c r="W61" i="1" l="1"/>
  <c r="W15" i="1"/>
  <c r="V61" i="1" l="1"/>
  <c r="V53" i="1" l="1"/>
  <c r="U53" i="1" l="1"/>
  <c r="U52" i="1"/>
  <c r="U48" i="1"/>
  <c r="U34" i="1"/>
  <c r="U31" i="1"/>
  <c r="U9" i="1"/>
  <c r="D4" i="1" l="1"/>
  <c r="D8" i="1"/>
  <c r="D12" i="1"/>
  <c r="D13" i="1"/>
  <c r="D14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9" i="1"/>
  <c r="D40" i="1"/>
  <c r="D41" i="1"/>
  <c r="D43" i="1"/>
  <c r="D44" i="1"/>
  <c r="D45" i="1"/>
  <c r="D46" i="1"/>
  <c r="D47" i="1"/>
  <c r="D48" i="1"/>
  <c r="D49" i="1"/>
  <c r="D50" i="1"/>
  <c r="D51" i="1"/>
  <c r="D52" i="1"/>
  <c r="D54" i="1"/>
  <c r="D57" i="1"/>
  <c r="D59" i="1"/>
  <c r="D60" i="1"/>
  <c r="D61" i="1"/>
  <c r="D62" i="1"/>
  <c r="D63" i="1"/>
  <c r="T58" i="1" l="1"/>
  <c r="C63" i="3"/>
  <c r="T11" i="1" l="1"/>
  <c r="D11" i="1" s="1"/>
  <c r="T3" i="1"/>
  <c r="T32" i="1"/>
  <c r="D32" i="1" s="1"/>
  <c r="T2" i="1"/>
  <c r="S58" i="1" l="1"/>
  <c r="D58" i="1" s="1"/>
  <c r="S53" i="1"/>
  <c r="D53" i="1" s="1"/>
  <c r="S7" i="1"/>
  <c r="D7" i="1" s="1"/>
  <c r="S2" i="1"/>
  <c r="D2" i="1" s="1"/>
  <c r="D64" i="1" l="1"/>
  <c r="R65" i="1" l="1"/>
  <c r="R42" i="1" l="1"/>
  <c r="D42" i="1" s="1"/>
  <c r="R38" i="1"/>
  <c r="Q65" i="1" l="1"/>
  <c r="D65" i="1" s="1"/>
  <c r="Q10" i="1" l="1"/>
  <c r="D10" i="1" s="1"/>
  <c r="Q5" i="1"/>
  <c r="D5" i="1" s="1"/>
  <c r="P6" i="1" l="1"/>
  <c r="D6" i="1" s="1"/>
  <c r="P56" i="1" l="1"/>
  <c r="D56" i="1" s="1"/>
  <c r="P22" i="1"/>
  <c r="P9" i="1"/>
  <c r="D9" i="1" s="1"/>
  <c r="N38" i="1" l="1"/>
  <c r="D38" i="1" s="1"/>
  <c r="N3" i="1"/>
  <c r="M15" i="1" l="1"/>
  <c r="D15" i="1" s="1"/>
  <c r="L22" i="1" l="1"/>
  <c r="D22" i="1" s="1"/>
  <c r="K55" i="1" l="1"/>
  <c r="D55" i="1" s="1"/>
  <c r="K16" i="1"/>
  <c r="D16" i="1" s="1"/>
  <c r="J3" i="1" l="1"/>
  <c r="D3" i="1" s="1"/>
  <c r="F67" i="1" l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C67" i="1"/>
  <c r="E65" i="1" l="1"/>
  <c r="E62" i="3"/>
  <c r="F62" i="3" s="1"/>
  <c r="E64" i="1"/>
  <c r="E61" i="3"/>
  <c r="F61" i="3" s="1"/>
  <c r="E37" i="1"/>
  <c r="E61" i="1"/>
  <c r="E63" i="1"/>
  <c r="E2" i="3"/>
  <c r="F2" i="3" s="1"/>
  <c r="E59" i="1" l="1"/>
  <c r="E58" i="3"/>
  <c r="F58" i="3" s="1"/>
  <c r="E51" i="1"/>
  <c r="E50" i="3"/>
  <c r="F50" i="3" s="1"/>
  <c r="E43" i="1"/>
  <c r="E42" i="3"/>
  <c r="F42" i="3" s="1"/>
  <c r="E39" i="1"/>
  <c r="E38" i="3"/>
  <c r="F38" i="3" s="1"/>
  <c r="E31" i="1"/>
  <c r="E31" i="3"/>
  <c r="F31" i="3" s="1"/>
  <c r="E27" i="1"/>
  <c r="E27" i="3"/>
  <c r="F27" i="3" s="1"/>
  <c r="E19" i="1"/>
  <c r="E19" i="3"/>
  <c r="F19" i="3" s="1"/>
  <c r="E15" i="1"/>
  <c r="E15" i="3"/>
  <c r="F15" i="3" s="1"/>
  <c r="E7" i="1"/>
  <c r="E7" i="3"/>
  <c r="F7" i="3" s="1"/>
  <c r="E3" i="1"/>
  <c r="E3" i="3"/>
  <c r="F3" i="3" s="1"/>
  <c r="E62" i="1"/>
  <c r="E60" i="3"/>
  <c r="F60" i="3" s="1"/>
  <c r="E54" i="1"/>
  <c r="E53" i="3"/>
  <c r="F53" i="3" s="1"/>
  <c r="E50" i="1"/>
  <c r="E49" i="3"/>
  <c r="F49" i="3" s="1"/>
  <c r="E46" i="1"/>
  <c r="E45" i="3"/>
  <c r="F45" i="3" s="1"/>
  <c r="E42" i="1"/>
  <c r="E41" i="3"/>
  <c r="F41" i="3" s="1"/>
  <c r="E38" i="1"/>
  <c r="E37" i="3"/>
  <c r="F37" i="3" s="1"/>
  <c r="E34" i="1"/>
  <c r="E34" i="3"/>
  <c r="F34" i="3" s="1"/>
  <c r="E30" i="1"/>
  <c r="E30" i="3"/>
  <c r="F30" i="3" s="1"/>
  <c r="E26" i="1"/>
  <c r="E26" i="3"/>
  <c r="F26" i="3" s="1"/>
  <c r="E22" i="1"/>
  <c r="E22" i="3"/>
  <c r="F22" i="3" s="1"/>
  <c r="E18" i="1"/>
  <c r="E18" i="3"/>
  <c r="F18" i="3" s="1"/>
  <c r="E14" i="1"/>
  <c r="E14" i="3"/>
  <c r="F14" i="3" s="1"/>
  <c r="E10" i="1"/>
  <c r="E10" i="3"/>
  <c r="F10" i="3" s="1"/>
  <c r="E6" i="1"/>
  <c r="E6" i="3"/>
  <c r="F6" i="3" s="1"/>
  <c r="E57" i="1"/>
  <c r="E56" i="3"/>
  <c r="F56" i="3" s="1"/>
  <c r="E49" i="1"/>
  <c r="E48" i="3"/>
  <c r="F48" i="3" s="1"/>
  <c r="E45" i="1"/>
  <c r="E44" i="3"/>
  <c r="F44" i="3" s="1"/>
  <c r="E33" i="1"/>
  <c r="E33" i="3"/>
  <c r="F33" i="3" s="1"/>
  <c r="E29" i="1"/>
  <c r="E29" i="3"/>
  <c r="F29" i="3" s="1"/>
  <c r="E25" i="1"/>
  <c r="E25" i="3"/>
  <c r="F25" i="3" s="1"/>
  <c r="E21" i="1"/>
  <c r="E21" i="3"/>
  <c r="F21" i="3" s="1"/>
  <c r="E17" i="1"/>
  <c r="E17" i="3"/>
  <c r="F17" i="3" s="1"/>
  <c r="E13" i="1"/>
  <c r="E13" i="3"/>
  <c r="F13" i="3" s="1"/>
  <c r="E9" i="1"/>
  <c r="E9" i="3"/>
  <c r="F9" i="3" s="1"/>
  <c r="E5" i="1"/>
  <c r="E5" i="3"/>
  <c r="F5" i="3" s="1"/>
  <c r="E55" i="1"/>
  <c r="E54" i="3"/>
  <c r="F54" i="3" s="1"/>
  <c r="E47" i="1"/>
  <c r="E46" i="3"/>
  <c r="F46" i="3" s="1"/>
  <c r="E35" i="1"/>
  <c r="E35" i="3"/>
  <c r="F35" i="3" s="1"/>
  <c r="E23" i="1"/>
  <c r="E23" i="3"/>
  <c r="F23" i="3" s="1"/>
  <c r="E11" i="1"/>
  <c r="E11" i="3"/>
  <c r="F11" i="3" s="1"/>
  <c r="E60" i="1"/>
  <c r="E59" i="3"/>
  <c r="F59" i="3" s="1"/>
  <c r="E56" i="1"/>
  <c r="E55" i="3"/>
  <c r="F55" i="3" s="1"/>
  <c r="E52" i="1"/>
  <c r="E51" i="3"/>
  <c r="F51" i="3" s="1"/>
  <c r="E48" i="1"/>
  <c r="E47" i="3"/>
  <c r="F47" i="3" s="1"/>
  <c r="E44" i="1"/>
  <c r="E43" i="3"/>
  <c r="F43" i="3" s="1"/>
  <c r="E40" i="1"/>
  <c r="E39" i="3"/>
  <c r="F39" i="3" s="1"/>
  <c r="E36" i="1"/>
  <c r="E36" i="3"/>
  <c r="F36" i="3" s="1"/>
  <c r="E32" i="1"/>
  <c r="E32" i="3"/>
  <c r="F32" i="3" s="1"/>
  <c r="E28" i="1"/>
  <c r="E28" i="3"/>
  <c r="F28" i="3" s="1"/>
  <c r="E24" i="1"/>
  <c r="E24" i="3"/>
  <c r="F24" i="3" s="1"/>
  <c r="E20" i="1"/>
  <c r="E20" i="3"/>
  <c r="F20" i="3" s="1"/>
  <c r="E16" i="1"/>
  <c r="E16" i="3"/>
  <c r="F16" i="3" s="1"/>
  <c r="E12" i="1"/>
  <c r="E12" i="3"/>
  <c r="F12" i="3" s="1"/>
  <c r="E8" i="1"/>
  <c r="E8" i="3"/>
  <c r="F8" i="3" s="1"/>
  <c r="E4" i="1"/>
  <c r="E4" i="3"/>
  <c r="F4" i="3" s="1"/>
  <c r="E58" i="1"/>
  <c r="E57" i="3"/>
  <c r="F57" i="3" s="1"/>
  <c r="E53" i="1"/>
  <c r="E52" i="3"/>
  <c r="F52" i="3" s="1"/>
  <c r="E41" i="1"/>
  <c r="E40" i="3"/>
  <c r="E2" i="1"/>
  <c r="D67" i="1"/>
  <c r="D69" i="1" s="1"/>
  <c r="E67" i="1" l="1"/>
  <c r="F40" i="3"/>
  <c r="E63" i="3"/>
  <c r="F63" i="3" s="1"/>
</calcChain>
</file>

<file path=xl/sharedStrings.xml><?xml version="1.0" encoding="utf-8"?>
<sst xmlns="http://schemas.openxmlformats.org/spreadsheetml/2006/main" count="381" uniqueCount="170">
  <si>
    <t>AU #</t>
  </si>
  <si>
    <t>AU Name</t>
  </si>
  <si>
    <t>Allocation</t>
  </si>
  <si>
    <t>Payments to Date</t>
  </si>
  <si>
    <t>Balance of Allocation</t>
  </si>
  <si>
    <t>Totals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</si>
  <si>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</si>
  <si>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</si>
  <si>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</si>
  <si>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</si>
  <si>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</si>
  <si>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</si>
  <si>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</si>
  <si>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</si>
  <si>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</si>
  <si>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</si>
  <si>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</si>
  <si>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</si>
  <si>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</si>
  <si>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</si>
  <si>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</si>
  <si>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19010</t>
  </si>
  <si>
    <t>19205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</si>
  <si>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</si>
  <si>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</si>
  <si>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</si>
  <si>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</si>
  <si>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</si>
  <si>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</si>
  <si>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</si>
  <si>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</si>
  <si>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</si>
  <si>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</si>
  <si>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</si>
  <si>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</si>
  <si>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</si>
  <si>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</si>
  <si>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</si>
  <si>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</si>
  <si>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</si>
  <si>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</si>
  <si>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</si>
  <si>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</si>
  <si>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49010</t>
  </si>
  <si>
    <t>51010</t>
  </si>
  <si>
    <t>51020</t>
  </si>
  <si>
    <t>59010</t>
  </si>
  <si>
    <t>62040</t>
  </si>
  <si>
    <t>62050</t>
  </si>
  <si>
    <t>62060</t>
  </si>
  <si>
    <t>64043</t>
  </si>
  <si>
    <t>64053</t>
  </si>
  <si>
    <t>64093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</si>
  <si>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</si>
  <si>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</si>
  <si>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</si>
  <si>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</si>
  <si>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</si>
  <si>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</si>
  <si>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</si>
  <si>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</si>
  <si>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</si>
  <si>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</si>
  <si>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</si>
  <si>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</si>
  <si>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66050</t>
  </si>
  <si>
    <t>66060</t>
  </si>
  <si>
    <t>66070</t>
  </si>
  <si>
    <t>66080</t>
  </si>
  <si>
    <t>80010</t>
  </si>
  <si>
    <t>Adams 1, Mapleton</t>
  </si>
  <si>
    <t>Adams 12 Five Star Schools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</si>
  <si>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</si>
  <si>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</si>
  <si>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</si>
  <si>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</si>
  <si>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</si>
  <si>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</si>
  <si>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</si>
  <si>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Adams/Arapahoe 28J, Aurora</t>
  </si>
  <si>
    <t>Boulder RE-1J</t>
  </si>
  <si>
    <t>Boulder RE-2, Boulder</t>
  </si>
  <si>
    <t>Delta 50J, Delta</t>
  </si>
  <si>
    <t>Denver 1, Denver</t>
  </si>
  <si>
    <t>Douglas RE-1, Castle Rock</t>
  </si>
  <si>
    <t>Eagle 50</t>
  </si>
  <si>
    <t>Elbert C-1, Elizabeth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</si>
  <si>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</si>
  <si>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</si>
  <si>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</si>
  <si>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</si>
  <si>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</si>
  <si>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</si>
  <si>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</si>
  <si>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</si>
  <si>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Lupton/Keenesburg, Fort Lupton</t>
  </si>
  <si>
    <t>Fremont RE-1, Canon City</t>
  </si>
  <si>
    <t>Gunnison RE-1J, Gunnison</t>
  </si>
  <si>
    <t>Jefferson District R-1, Golden</t>
  </si>
  <si>
    <t>Larimer R-1, Fort Collins</t>
  </si>
  <si>
    <t>Larimer R-2J, Loveland</t>
  </si>
  <si>
    <t>Larimer R-3, Estes Park</t>
  </si>
  <si>
    <t>Logan RE-1, Sterling</t>
  </si>
  <si>
    <t>Mesa 51, Grand Junction</t>
  </si>
  <si>
    <t>Moffat RE-1, Craig</t>
  </si>
  <si>
    <t>Montrose RE-1J, Montrose</t>
  </si>
  <si>
    <t>Morgan Re-3, Fort Morgan</t>
  </si>
  <si>
    <t>Pueblo 60, Urban</t>
  </si>
  <si>
    <t>Pueblo 70, Rural</t>
  </si>
  <si>
    <t>Weld RE-4, Windsor</t>
  </si>
  <si>
    <t>Johnstown-Milliken Re5J</t>
  </si>
  <si>
    <t>Weld 6, Greeley</t>
  </si>
  <si>
    <t>East Central BOCES, Limon</t>
  </si>
  <si>
    <t>Mount Evans BOCS, Idaho Springs</t>
  </si>
  <si>
    <t>Mountain BOCES, Leadville</t>
  </si>
  <si>
    <t>Northeast BOCES</t>
  </si>
  <si>
    <t>Northwest BOCES, Steamboat Springs</t>
  </si>
  <si>
    <t>Pikes Peak BOCS, Colorado Springs</t>
  </si>
  <si>
    <t>San Juan BOCS</t>
  </si>
  <si>
    <t>San Luis Valley BOCS</t>
  </si>
  <si>
    <t>Santa Fe Trail BOCES</t>
  </si>
  <si>
    <t>South Central BOCS, Pueblo</t>
  </si>
  <si>
    <t>Southeastern BOCES, Lamar</t>
  </si>
  <si>
    <t>Uncompahgre BOCS</t>
  </si>
  <si>
    <t>Centennial BOCES</t>
  </si>
  <si>
    <t>Ute Pass BOCES</t>
  </si>
  <si>
    <t>Rio Blanco BOCES, Rangely</t>
  </si>
  <si>
    <t>Colorado School for the Deaf and the Blind</t>
  </si>
  <si>
    <t>CO Mental Health Institute at Pueblo</t>
  </si>
  <si>
    <t>Department of Corrections</t>
  </si>
  <si>
    <t>Division of Youth Corrections</t>
  </si>
  <si>
    <t>Charter School Institute</t>
  </si>
  <si>
    <t>Pitkin, Aspen  1</t>
  </si>
  <si>
    <t>Summit RE-1</t>
  </si>
  <si>
    <t>July
2016</t>
  </si>
  <si>
    <t>August
2016</t>
  </si>
  <si>
    <t>September
2016</t>
  </si>
  <si>
    <t>October
2016</t>
  </si>
  <si>
    <t>November
2016</t>
  </si>
  <si>
    <t>December
2016</t>
  </si>
  <si>
    <t>January
2017</t>
  </si>
  <si>
    <t>February
2017</t>
  </si>
  <si>
    <t>March
2017</t>
  </si>
  <si>
    <t>April
2017</t>
  </si>
  <si>
    <t>May
2017</t>
  </si>
  <si>
    <t>June
2017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</si>
  <si>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</si>
  <si>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</si>
  <si>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</si>
  <si>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</si>
  <si>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</si>
  <si>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</si>
  <si>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</si>
  <si>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</si>
  <si>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</si>
  <si>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</si>
  <si>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</si>
  <si>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</si>
  <si>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</si>
  <si>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</si>
  <si>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</si>
  <si>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/>
  </si>
  <si>
    <t>FY</t>
  </si>
  <si>
    <t>DistNo</t>
  </si>
  <si>
    <t>SumOfPayment</t>
  </si>
  <si>
    <t>Short_Grant_Name</t>
  </si>
  <si>
    <t>FY1617</t>
  </si>
  <si>
    <t>Part B</t>
  </si>
  <si>
    <t>November 2018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</si>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</sst>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\(\$#,##0.00\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4" fillId="2" borderId="0"/>
    <xf numFmtId="0" fontId="7" fillId="2" borderId="0"/>
    <xf numFmtId="43" fontId="7" fillId="2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2" borderId="0"/>
  </cellStyleXfs>
  <cellXfs count="26">
    <xf numFmtId="0" fontId="0" fillId="0" borderId="0" xfId="0"/>
    <xf numFmtId="164" fontId="1" fillId="2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164" fontId="2" fillId="4" borderId="3" xfId="0" applyNumberFormat="1" applyFont="1" applyFill="1" applyBorder="1"/>
    <xf numFmtId="0" fontId="5" fillId="2" borderId="4" xfId="1" applyFont="1" applyFill="1" applyBorder="1" applyAlignment="1">
      <alignment horizontal="center" wrapText="1"/>
    </xf>
    <xf numFmtId="0" fontId="6" fillId="2" borderId="2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49" fontId="2" fillId="4" borderId="5" xfId="2" quotePrefix="1" applyNumberFormat="1" applyFont="1" applyFill="1" applyBorder="1" applyAlignment="1">
      <alignment horizontal="center" vertical="center" wrapText="1"/>
    </xf>
    <xf numFmtId="165" fontId="2" fillId="4" borderId="5" xfId="3" quotePrefix="1" applyNumberFormat="1" applyFont="1" applyFill="1" applyBorder="1" applyAlignment="1">
      <alignment horizontal="center" vertical="center" wrapText="1"/>
    </xf>
    <xf numFmtId="39" fontId="0" fillId="0" borderId="0" xfId="0" applyNumberFormat="1"/>
    <xf numFmtId="164" fontId="0" fillId="0" borderId="0" xfId="0" applyNumberFormat="1"/>
    <xf numFmtId="43" fontId="0" fillId="0" borderId="0" xfId="4" applyFont="1"/>
    <xf numFmtId="0" fontId="5" fillId="5" borderId="6" xfId="5" applyFont="1" applyFill="1" applyBorder="1" applyAlignment="1">
      <alignment horizontal="center"/>
    </xf>
    <xf numFmtId="0" fontId="5" fillId="2" borderId="4" xfId="5" applyFont="1" applyFill="1" applyBorder="1" applyAlignment="1">
      <alignment wrapText="1"/>
    </xf>
    <xf numFmtId="43" fontId="0" fillId="0" borderId="0" xfId="0" applyNumberFormat="1"/>
    <xf numFmtId="164" fontId="1" fillId="0" borderId="2" xfId="0" applyNumberFormat="1" applyFont="1" applyFill="1" applyBorder="1" applyAlignment="1" applyProtection="1">
      <alignment horizontal="right" vertical="center" wrapText="1"/>
    </xf>
    <xf numFmtId="165" fontId="5" fillId="5" borderId="6" xfId="4" applyNumberFormat="1" applyFont="1" applyFill="1" applyBorder="1" applyAlignment="1">
      <alignment horizontal="center"/>
    </xf>
    <xf numFmtId="165" fontId="5" fillId="2" borderId="4" xfId="4" applyNumberFormat="1" applyFont="1" applyFill="1" applyBorder="1" applyAlignment="1">
      <alignment horizontal="right" wrapText="1"/>
    </xf>
    <xf numFmtId="165" fontId="5" fillId="2" borderId="4" xfId="4" applyNumberFormat="1" applyFont="1" applyFill="1" applyBorder="1" applyAlignment="1">
      <alignment wrapText="1"/>
    </xf>
    <xf numFmtId="165" fontId="0" fillId="0" borderId="0" xfId="4" applyNumberFormat="1" applyFont="1"/>
    <xf numFmtId="44" fontId="2" fillId="4" borderId="7" xfId="2" quotePrefix="1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2" fillId="4" borderId="3" xfId="0" applyNumberFormat="1" applyFont="1" applyFill="1" applyBorder="1"/>
    <xf numFmtId="49" fontId="2" fillId="4" borderId="7" xfId="2" quotePrefix="1" applyNumberFormat="1" applyFont="1" applyFill="1" applyBorder="1" applyAlignment="1">
      <alignment horizontal="center" vertical="center" wrapText="1"/>
    </xf>
  </cellXfs>
  <cellStyles count="6">
    <cellStyle name="Comma" xfId="4" builtinId="3"/>
    <cellStyle name="Comma 6" xfId="3"/>
    <cellStyle name="Normal" xfId="0" builtinId="0"/>
    <cellStyle name="Normal 15" xfId="2"/>
    <cellStyle name="Normal_Recon" xfId="5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69"/>
  <sheetViews>
    <sheetView tabSelected="1" workbookViewId="0">
      <pane xSplit="5" ySplit="1" topLeftCell="AB54" activePane="bottomRight" state="frozen"/>
      <selection pane="topRight" activeCell="F1" sqref="F1"/>
      <selection pane="bottomLeft" activeCell="A2" sqref="A2"/>
      <selection pane="bottomRight" activeCell="AH64" sqref="AH64"/>
    </sheetView>
  </sheetViews>
  <sheetFormatPr defaultRowHeight="14.4" x14ac:dyDescent="0.3"/>
  <cols>
    <col min="1" max="1" width="14.109375" style="2" customWidth="1"/>
    <col min="2" max="2" width="24.33203125" customWidth="1"/>
    <col min="3" max="3" width="23.33203125" customWidth="1"/>
    <col min="4" max="4" width="19.44140625" customWidth="1"/>
    <col min="5" max="5" width="18.88671875" bestFit="1" customWidth="1"/>
    <col min="6" max="20" width="14.109375" customWidth="1"/>
    <col min="21" max="21" width="14.44140625" customWidth="1"/>
    <col min="22" max="22" width="13.33203125" customWidth="1"/>
    <col min="23" max="24" width="12.44140625" customWidth="1"/>
    <col min="25" max="25" width="14.5546875" customWidth="1"/>
    <col min="26" max="26" width="14.6640625" customWidth="1"/>
    <col min="27" max="27" width="14.33203125" customWidth="1"/>
    <col min="28" max="28" width="16.44140625" customWidth="1"/>
    <col min="29" max="29" width="11.109375" bestFit="1" customWidth="1"/>
    <col min="30" max="30" width="13.33203125" customWidth="1"/>
    <col min="31" max="31" width="13.77734375" customWidth="1"/>
    <col min="32" max="32" width="15.5546875" customWidth="1"/>
    <col min="33" max="33" width="11.6640625" style="23" customWidth="1"/>
    <col min="34" max="34" width="13.77734375" customWidth="1"/>
  </cols>
  <sheetData>
    <row r="1" spans="1:34" ht="29.4" thickBot="1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134</v>
      </c>
      <c r="G1" s="9" t="s">
        <v>135</v>
      </c>
      <c r="H1" s="9" t="s">
        <v>136</v>
      </c>
      <c r="I1" s="9" t="s">
        <v>137</v>
      </c>
      <c r="J1" s="9" t="s">
        <v>138</v>
      </c>
      <c r="K1" s="9" t="s">
        <v>139</v>
      </c>
      <c r="L1" s="9" t="s">
        <v>140</v>
      </c>
      <c r="M1" s="9" t="s">
        <v>141</v>
      </c>
      <c r="N1" s="9" t="s">
        <v>142</v>
      </c>
      <c r="O1" s="10" t="s">
        <v>143</v>
      </c>
      <c r="P1" s="9" t="s">
        <v>144</v>
      </c>
      <c r="Q1" s="9" t="s">
        <v>145</v>
      </c>
      <c r="R1" s="9" t="s">
        <v>146</v>
      </c>
      <c r="S1" s="9" t="s">
        <v>147</v>
      </c>
      <c r="T1" s="9" t="s">
        <v>148</v>
      </c>
      <c r="U1" s="9" t="s">
        <v>149</v>
      </c>
      <c r="V1" s="9" t="s">
        <v>150</v>
      </c>
      <c r="W1" s="9" t="s">
        <v>151</v>
      </c>
      <c r="X1" s="9" t="s">
        <v>152</v>
      </c>
      <c r="Y1" s="9" t="s">
        <v>153</v>
      </c>
      <c r="Z1" s="9" t="s">
        <v>154</v>
      </c>
      <c r="AA1" s="9" t="s">
        <v>155</v>
      </c>
      <c r="AB1" s="9" t="s">
        <v>156</v>
      </c>
      <c r="AC1" s="9" t="s">
        <v>157</v>
      </c>
      <c r="AD1" s="9" t="s">
        <v>158</v>
      </c>
      <c r="AE1" s="9" t="s">
        <v>159</v>
      </c>
      <c r="AF1" s="9" t="s">
        <v>160</v>
      </c>
      <c r="AG1" s="22" t="s">
        <v>168</v>
      </c>
      <c r="AH1" s="25" t="s">
        <v>169</v>
      </c>
    </row>
    <row r="2" spans="1:34" ht="15" x14ac:dyDescent="0.25">
      <c r="A2" s="6" t="s">
        <v>6</v>
      </c>
      <c r="B2" s="7" t="s">
        <v>70</v>
      </c>
      <c r="C2" s="1">
        <v>1351967</v>
      </c>
      <c r="D2" s="1">
        <f>SUM(F2:AZ2)</f>
        <v>1351967</v>
      </c>
      <c r="E2" s="1">
        <f>C2-D2</f>
        <v>0</v>
      </c>
      <c r="F2" s="1"/>
      <c r="G2" s="1"/>
      <c r="H2" s="1"/>
      <c r="I2" s="1">
        <v>65913</v>
      </c>
      <c r="J2" s="1">
        <v>93162</v>
      </c>
      <c r="K2" s="1">
        <v>123014</v>
      </c>
      <c r="L2" s="1">
        <v>138235</v>
      </c>
      <c r="M2" s="1">
        <v>100854</v>
      </c>
      <c r="N2" s="1">
        <v>134620</v>
      </c>
      <c r="O2" s="1">
        <v>132522</v>
      </c>
      <c r="P2" s="1">
        <v>89118</v>
      </c>
      <c r="Q2" s="1"/>
      <c r="R2" s="1"/>
      <c r="S2" s="1">
        <f>157434+110806</f>
        <v>268240</v>
      </c>
      <c r="T2" s="1">
        <f>124242+36882</f>
        <v>161124</v>
      </c>
      <c r="U2" s="1">
        <v>45165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ht="30" x14ac:dyDescent="0.25">
      <c r="A3" s="6" t="s">
        <v>7</v>
      </c>
      <c r="B3" s="7" t="s">
        <v>71</v>
      </c>
      <c r="C3" s="1">
        <v>6150597</v>
      </c>
      <c r="D3" s="1">
        <f t="shared" ref="D3:D65" si="0">SUM(F3:AZ3)</f>
        <v>6150597</v>
      </c>
      <c r="E3" s="1">
        <f t="shared" ref="E3:E65" si="1">C3-D3</f>
        <v>0</v>
      </c>
      <c r="F3" s="1"/>
      <c r="G3" s="1"/>
      <c r="H3" s="1"/>
      <c r="I3" s="1"/>
      <c r="J3" s="1">
        <f>492137+357630</f>
        <v>849767</v>
      </c>
      <c r="K3" s="1">
        <v>490911</v>
      </c>
      <c r="L3" s="1">
        <v>476901</v>
      </c>
      <c r="M3" s="1"/>
      <c r="N3" s="1">
        <f>487883+487877</f>
        <v>975760</v>
      </c>
      <c r="O3" s="1"/>
      <c r="P3" s="1">
        <v>546248</v>
      </c>
      <c r="Q3" s="1">
        <v>482594</v>
      </c>
      <c r="R3" s="1"/>
      <c r="S3" s="1">
        <v>1560496</v>
      </c>
      <c r="T3" s="1">
        <f>497520+5077</f>
        <v>502597</v>
      </c>
      <c r="U3" s="1">
        <v>265323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4" ht="15" x14ac:dyDescent="0.25">
      <c r="A4" s="6" t="s">
        <v>8</v>
      </c>
      <c r="B4" s="7" t="s">
        <v>72</v>
      </c>
      <c r="C4" s="1">
        <v>1372450</v>
      </c>
      <c r="D4" s="1">
        <f t="shared" si="0"/>
        <v>1372450</v>
      </c>
      <c r="E4" s="1">
        <f t="shared" si="1"/>
        <v>0</v>
      </c>
      <c r="F4" s="1"/>
      <c r="G4" s="1"/>
      <c r="H4" s="1"/>
      <c r="I4" s="1"/>
      <c r="J4" s="1"/>
      <c r="K4" s="1">
        <v>446952</v>
      </c>
      <c r="L4" s="1" t="s">
        <v>161</v>
      </c>
      <c r="M4" s="1">
        <v>199943</v>
      </c>
      <c r="N4" s="1">
        <v>84418</v>
      </c>
      <c r="O4" s="1">
        <v>5536</v>
      </c>
      <c r="P4" s="1">
        <v>53546</v>
      </c>
      <c r="Q4" s="1">
        <v>73740</v>
      </c>
      <c r="R4" s="1">
        <v>64550</v>
      </c>
      <c r="S4" s="1">
        <v>22038</v>
      </c>
      <c r="T4" s="1">
        <v>45035</v>
      </c>
      <c r="U4" s="1">
        <v>295250</v>
      </c>
      <c r="V4" s="1">
        <v>81442</v>
      </c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ht="15" x14ac:dyDescent="0.25">
      <c r="A5" s="6" t="s">
        <v>9</v>
      </c>
      <c r="B5" s="7" t="s">
        <v>73</v>
      </c>
      <c r="C5" s="1">
        <v>2187436</v>
      </c>
      <c r="D5" s="1">
        <f t="shared" si="0"/>
        <v>2187436</v>
      </c>
      <c r="E5" s="1">
        <f t="shared" si="1"/>
        <v>0</v>
      </c>
      <c r="F5" s="1"/>
      <c r="G5" s="1"/>
      <c r="H5" s="1"/>
      <c r="I5" s="1"/>
      <c r="J5" s="1"/>
      <c r="K5" s="1"/>
      <c r="L5" s="1" t="s">
        <v>161</v>
      </c>
      <c r="M5" s="1">
        <v>68578</v>
      </c>
      <c r="N5" s="1"/>
      <c r="O5" s="1"/>
      <c r="P5" s="1">
        <v>502932</v>
      </c>
      <c r="Q5" s="1">
        <f>197325+211248</f>
        <v>408573</v>
      </c>
      <c r="R5" s="1">
        <v>108977</v>
      </c>
      <c r="S5" s="1"/>
      <c r="T5" s="1"/>
      <c r="U5" s="1"/>
      <c r="V5" s="1">
        <v>479818</v>
      </c>
      <c r="W5" s="1">
        <v>368289</v>
      </c>
      <c r="X5" s="1">
        <v>198186</v>
      </c>
      <c r="Y5" s="1">
        <v>52083</v>
      </c>
      <c r="Z5" s="1"/>
      <c r="AA5" s="1"/>
      <c r="AB5" s="1"/>
      <c r="AC5" s="1"/>
      <c r="AD5" s="1"/>
      <c r="AE5" s="1"/>
      <c r="AF5" s="1"/>
    </row>
    <row r="6" spans="1:34" ht="15" x14ac:dyDescent="0.25">
      <c r="A6" s="6" t="s">
        <v>10</v>
      </c>
      <c r="B6" s="7" t="s">
        <v>74</v>
      </c>
      <c r="C6" s="1">
        <v>1910691</v>
      </c>
      <c r="D6" s="1">
        <f t="shared" si="0"/>
        <v>1910691</v>
      </c>
      <c r="E6" s="1">
        <f t="shared" si="1"/>
        <v>0</v>
      </c>
      <c r="F6" s="1"/>
      <c r="G6" s="1"/>
      <c r="H6" s="1"/>
      <c r="I6" s="1">
        <v>160794</v>
      </c>
      <c r="J6" s="1">
        <v>168417</v>
      </c>
      <c r="K6" s="1">
        <v>143525</v>
      </c>
      <c r="L6" s="1">
        <v>186169</v>
      </c>
      <c r="M6" s="1">
        <v>176510</v>
      </c>
      <c r="N6" s="1"/>
      <c r="O6" s="1">
        <v>217110</v>
      </c>
      <c r="P6" s="1">
        <f>140807+138912</f>
        <v>279719</v>
      </c>
      <c r="Q6" s="1">
        <v>140516</v>
      </c>
      <c r="R6" s="1">
        <v>232371</v>
      </c>
      <c r="S6" s="1">
        <v>140938</v>
      </c>
      <c r="T6" s="1">
        <v>64622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4" ht="15" x14ac:dyDescent="0.25">
      <c r="A7" s="6" t="s">
        <v>11</v>
      </c>
      <c r="B7" s="7" t="s">
        <v>75</v>
      </c>
      <c r="C7" s="1">
        <v>695348</v>
      </c>
      <c r="D7" s="1">
        <f t="shared" si="0"/>
        <v>695348</v>
      </c>
      <c r="E7" s="1">
        <f t="shared" si="1"/>
        <v>0</v>
      </c>
      <c r="F7" s="1"/>
      <c r="G7" s="1"/>
      <c r="H7" s="1"/>
      <c r="I7" s="1">
        <v>33708</v>
      </c>
      <c r="J7" s="1">
        <v>43993</v>
      </c>
      <c r="K7" s="1"/>
      <c r="L7" s="1">
        <v>119556</v>
      </c>
      <c r="M7" s="1">
        <v>48190</v>
      </c>
      <c r="N7" s="1">
        <v>47820</v>
      </c>
      <c r="O7" s="1">
        <v>65221</v>
      </c>
      <c r="P7" s="1">
        <v>52118</v>
      </c>
      <c r="Q7" s="1">
        <v>52018</v>
      </c>
      <c r="R7" s="1">
        <v>54461</v>
      </c>
      <c r="S7" s="1">
        <f>80077+276</f>
        <v>80353</v>
      </c>
      <c r="T7" s="1">
        <v>50868</v>
      </c>
      <c r="U7" s="1">
        <v>47042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4" ht="15" x14ac:dyDescent="0.25">
      <c r="A8" s="6" t="s">
        <v>12</v>
      </c>
      <c r="B8" s="7" t="s">
        <v>76</v>
      </c>
      <c r="C8" s="1">
        <v>334766</v>
      </c>
      <c r="D8" s="1">
        <f t="shared" si="0"/>
        <v>334766</v>
      </c>
      <c r="E8" s="1">
        <f t="shared" si="1"/>
        <v>0</v>
      </c>
      <c r="F8" s="1"/>
      <c r="G8" s="1"/>
      <c r="H8" s="1"/>
      <c r="I8" s="1"/>
      <c r="J8" s="1">
        <v>40892</v>
      </c>
      <c r="K8" s="1"/>
      <c r="L8" s="1">
        <v>48992</v>
      </c>
      <c r="M8" s="1"/>
      <c r="N8" s="1">
        <v>48179</v>
      </c>
      <c r="O8" s="1"/>
      <c r="P8" s="1">
        <v>27229</v>
      </c>
      <c r="Q8" s="1">
        <v>69772</v>
      </c>
      <c r="R8" s="1"/>
      <c r="S8" s="1">
        <v>56809</v>
      </c>
      <c r="T8" s="1"/>
      <c r="U8" s="1"/>
      <c r="V8" s="1">
        <v>42893</v>
      </c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4" ht="15" x14ac:dyDescent="0.25">
      <c r="A9" s="6" t="s">
        <v>13</v>
      </c>
      <c r="B9" s="7" t="s">
        <v>77</v>
      </c>
      <c r="C9" s="1">
        <v>8770749</v>
      </c>
      <c r="D9" s="1">
        <f t="shared" si="0"/>
        <v>8770749</v>
      </c>
      <c r="E9" s="1">
        <f t="shared" si="1"/>
        <v>0</v>
      </c>
      <c r="F9" s="1"/>
      <c r="G9" s="1"/>
      <c r="H9" s="1"/>
      <c r="I9" s="1"/>
      <c r="J9" s="1">
        <v>1423486</v>
      </c>
      <c r="K9" s="1">
        <v>637803</v>
      </c>
      <c r="L9" s="1">
        <v>624964</v>
      </c>
      <c r="M9" s="1">
        <v>644389</v>
      </c>
      <c r="N9" s="1">
        <v>792071</v>
      </c>
      <c r="O9" s="1"/>
      <c r="P9" s="1">
        <f>1653100+759782</f>
        <v>2412882</v>
      </c>
      <c r="Q9" s="1">
        <v>713591</v>
      </c>
      <c r="R9" s="1"/>
      <c r="S9" s="1"/>
      <c r="T9" s="1">
        <v>1222053</v>
      </c>
      <c r="U9" s="1">
        <f>27443+272067</f>
        <v>299510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4" ht="15" x14ac:dyDescent="0.25">
      <c r="A10" s="6" t="s">
        <v>14</v>
      </c>
      <c r="B10" s="7" t="s">
        <v>78</v>
      </c>
      <c r="C10" s="1">
        <v>2601463</v>
      </c>
      <c r="D10" s="1">
        <f t="shared" si="0"/>
        <v>2601463</v>
      </c>
      <c r="E10" s="1">
        <f t="shared" si="1"/>
        <v>0</v>
      </c>
      <c r="F10" s="1"/>
      <c r="G10" s="1"/>
      <c r="H10" s="1">
        <v>333274</v>
      </c>
      <c r="I10" s="1">
        <v>133059</v>
      </c>
      <c r="J10" s="1"/>
      <c r="K10" s="1">
        <v>457199</v>
      </c>
      <c r="L10" s="1" t="s">
        <v>161</v>
      </c>
      <c r="M10" s="1">
        <v>428056</v>
      </c>
      <c r="N10" s="1"/>
      <c r="O10" s="1">
        <v>434585</v>
      </c>
      <c r="P10" s="1"/>
      <c r="Q10" s="1">
        <f>461311+1759</f>
        <v>463070</v>
      </c>
      <c r="R10" s="1"/>
      <c r="S10" s="1"/>
      <c r="T10" s="1">
        <v>262266</v>
      </c>
      <c r="U10" s="1">
        <v>89954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4" ht="30" x14ac:dyDescent="0.25">
      <c r="A11" s="6" t="s">
        <v>15</v>
      </c>
      <c r="B11" s="7" t="s">
        <v>79</v>
      </c>
      <c r="C11" s="1">
        <v>7155392</v>
      </c>
      <c r="D11" s="1">
        <f t="shared" si="0"/>
        <v>7155392</v>
      </c>
      <c r="E11" s="1">
        <f t="shared" si="1"/>
        <v>0</v>
      </c>
      <c r="F11" s="1"/>
      <c r="G11" s="1"/>
      <c r="H11" s="1">
        <v>241041</v>
      </c>
      <c r="I11" s="1">
        <v>630107</v>
      </c>
      <c r="J11" s="1">
        <v>541586</v>
      </c>
      <c r="K11" s="1">
        <v>586291</v>
      </c>
      <c r="L11" s="1">
        <v>585393</v>
      </c>
      <c r="M11" s="1">
        <v>593856</v>
      </c>
      <c r="N11" s="1">
        <v>616324</v>
      </c>
      <c r="O11" s="1">
        <v>585239</v>
      </c>
      <c r="P11" s="1">
        <v>579351</v>
      </c>
      <c r="Q11" s="1">
        <v>537355</v>
      </c>
      <c r="R11" s="1"/>
      <c r="S11" s="1"/>
      <c r="T11" s="1">
        <f>1244765+414084</f>
        <v>1658849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4" ht="15" x14ac:dyDescent="0.25">
      <c r="A12" s="6" t="s">
        <v>16</v>
      </c>
      <c r="B12" s="7" t="s">
        <v>80</v>
      </c>
      <c r="C12" s="1">
        <v>4319588</v>
      </c>
      <c r="D12" s="1">
        <f t="shared" si="0"/>
        <v>4319588</v>
      </c>
      <c r="E12" s="1">
        <f t="shared" si="1"/>
        <v>0</v>
      </c>
      <c r="F12" s="1"/>
      <c r="G12" s="1"/>
      <c r="H12" s="1"/>
      <c r="I12" s="1"/>
      <c r="J12" s="1"/>
      <c r="K12" s="1"/>
      <c r="L12" s="1" t="s">
        <v>161</v>
      </c>
      <c r="M12" s="1"/>
      <c r="N12" s="1"/>
      <c r="O12" s="1"/>
      <c r="P12" s="1">
        <v>1716352</v>
      </c>
      <c r="Q12" s="1"/>
      <c r="R12" s="1"/>
      <c r="S12" s="1"/>
      <c r="T12" s="1"/>
      <c r="U12" s="1">
        <v>1295427</v>
      </c>
      <c r="V12" s="1"/>
      <c r="W12" s="1"/>
      <c r="X12" s="1"/>
      <c r="Y12" s="1">
        <v>1307809</v>
      </c>
      <c r="Z12" s="1"/>
      <c r="AA12" s="1"/>
      <c r="AB12" s="1"/>
      <c r="AC12" s="1"/>
      <c r="AD12" s="1"/>
      <c r="AE12" s="1"/>
      <c r="AF12" s="1"/>
    </row>
    <row r="13" spans="1:34" ht="15" x14ac:dyDescent="0.25">
      <c r="A13" s="6" t="s">
        <v>17</v>
      </c>
      <c r="B13" s="7" t="s">
        <v>81</v>
      </c>
      <c r="C13" s="1">
        <v>5256049</v>
      </c>
      <c r="D13" s="1">
        <f t="shared" si="0"/>
        <v>5256049</v>
      </c>
      <c r="E13" s="1">
        <f t="shared" si="1"/>
        <v>0</v>
      </c>
      <c r="F13" s="1"/>
      <c r="G13" s="1"/>
      <c r="H13" s="1"/>
      <c r="I13" s="1">
        <v>168476</v>
      </c>
      <c r="J13" s="1">
        <v>582108</v>
      </c>
      <c r="K13" s="1">
        <v>505583</v>
      </c>
      <c r="L13" s="1">
        <v>410452</v>
      </c>
      <c r="M13" s="1">
        <v>591189</v>
      </c>
      <c r="N13" s="1">
        <v>551951</v>
      </c>
      <c r="O13" s="1">
        <v>510869</v>
      </c>
      <c r="P13" s="1">
        <v>558526</v>
      </c>
      <c r="Q13" s="1">
        <v>578853</v>
      </c>
      <c r="R13" s="1">
        <v>143160</v>
      </c>
      <c r="S13" s="1"/>
      <c r="T13" s="1">
        <v>36339</v>
      </c>
      <c r="U13" s="1">
        <v>618543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4" ht="15" x14ac:dyDescent="0.25">
      <c r="A14" s="6" t="s">
        <v>18</v>
      </c>
      <c r="B14" s="7" t="s">
        <v>82</v>
      </c>
      <c r="C14" s="1">
        <v>887778</v>
      </c>
      <c r="D14" s="1">
        <f t="shared" si="0"/>
        <v>887778</v>
      </c>
      <c r="E14" s="1">
        <f t="shared" si="1"/>
        <v>0</v>
      </c>
      <c r="F14" s="1"/>
      <c r="G14" s="1"/>
      <c r="H14" s="1"/>
      <c r="I14" s="1"/>
      <c r="J14" s="1"/>
      <c r="K14" s="1"/>
      <c r="L14" s="1" t="s">
        <v>161</v>
      </c>
      <c r="M14" s="1">
        <v>57780</v>
      </c>
      <c r="N14" s="1">
        <v>72412</v>
      </c>
      <c r="O14" s="1"/>
      <c r="P14" s="1"/>
      <c r="Q14" s="1"/>
      <c r="R14" s="1"/>
      <c r="S14" s="1"/>
      <c r="T14" s="1"/>
      <c r="U14" s="1">
        <v>379466</v>
      </c>
      <c r="V14" s="1"/>
      <c r="W14" s="1"/>
      <c r="X14" s="1"/>
      <c r="Y14" s="1"/>
      <c r="Z14" s="1">
        <v>378120</v>
      </c>
      <c r="AA14" s="1"/>
      <c r="AB14" s="1"/>
      <c r="AC14" s="1"/>
      <c r="AD14" s="1"/>
      <c r="AE14" s="1"/>
      <c r="AF14" s="1"/>
    </row>
    <row r="15" spans="1:34" ht="15" x14ac:dyDescent="0.25">
      <c r="A15" s="6" t="s">
        <v>19</v>
      </c>
      <c r="B15" s="7" t="s">
        <v>83</v>
      </c>
      <c r="C15" s="1">
        <v>16125575</v>
      </c>
      <c r="D15" s="1">
        <f t="shared" si="0"/>
        <v>16125575</v>
      </c>
      <c r="E15" s="1">
        <f t="shared" si="1"/>
        <v>0</v>
      </c>
      <c r="F15" s="1"/>
      <c r="G15" s="1"/>
      <c r="H15" s="1"/>
      <c r="I15" s="1"/>
      <c r="J15" s="1">
        <v>861810</v>
      </c>
      <c r="K15" s="1"/>
      <c r="L15" s="1">
        <v>3224984</v>
      </c>
      <c r="M15" s="1">
        <f>1580625+1356653</f>
        <v>2937278</v>
      </c>
      <c r="N15" s="1">
        <v>1523563</v>
      </c>
      <c r="O15" s="1"/>
      <c r="P15" s="1"/>
      <c r="Q15" s="1">
        <v>3125901</v>
      </c>
      <c r="R15" s="1">
        <v>1631884</v>
      </c>
      <c r="S15" s="1"/>
      <c r="T15" s="1"/>
      <c r="U15" s="1"/>
      <c r="V15" s="1">
        <v>301904</v>
      </c>
      <c r="W15" s="1">
        <f>390+2517861</f>
        <v>2518251</v>
      </c>
      <c r="X15" s="1"/>
      <c r="Y15" s="1"/>
      <c r="Z15" s="1"/>
      <c r="AA15" s="1"/>
      <c r="AB15" s="1"/>
      <c r="AC15" s="1"/>
      <c r="AD15" s="1"/>
      <c r="AE15" s="1"/>
      <c r="AF15" s="1"/>
    </row>
    <row r="16" spans="1:34" ht="15" x14ac:dyDescent="0.25">
      <c r="A16" s="6" t="s">
        <v>20</v>
      </c>
      <c r="B16" s="7" t="s">
        <v>84</v>
      </c>
      <c r="C16" s="1">
        <v>8400961</v>
      </c>
      <c r="D16" s="1">
        <f t="shared" si="0"/>
        <v>8400961</v>
      </c>
      <c r="E16" s="1">
        <f t="shared" si="1"/>
        <v>0</v>
      </c>
      <c r="F16" s="1"/>
      <c r="G16" s="1"/>
      <c r="H16" s="1"/>
      <c r="I16" s="1">
        <v>1375431</v>
      </c>
      <c r="J16" s="1"/>
      <c r="K16" s="1">
        <f>662044+689574</f>
        <v>1351618</v>
      </c>
      <c r="L16" s="1">
        <v>668325</v>
      </c>
      <c r="M16" s="1">
        <v>664658</v>
      </c>
      <c r="N16" s="1">
        <v>832058</v>
      </c>
      <c r="O16" s="1">
        <v>797864</v>
      </c>
      <c r="P16" s="1">
        <v>693310</v>
      </c>
      <c r="Q16" s="1">
        <v>698801</v>
      </c>
      <c r="R16" s="1"/>
      <c r="S16" s="1">
        <v>695112</v>
      </c>
      <c r="T16" s="1">
        <v>550292</v>
      </c>
      <c r="U16" s="1"/>
      <c r="V16" s="1">
        <v>73492</v>
      </c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 x14ac:dyDescent="0.25">
      <c r="A17" s="6" t="s">
        <v>21</v>
      </c>
      <c r="B17" s="7" t="s">
        <v>85</v>
      </c>
      <c r="C17" s="1">
        <v>1103549</v>
      </c>
      <c r="D17" s="1">
        <f t="shared" si="0"/>
        <v>1103549</v>
      </c>
      <c r="E17" s="1">
        <f t="shared" si="1"/>
        <v>0</v>
      </c>
      <c r="F17" s="1"/>
      <c r="G17" s="1"/>
      <c r="H17" s="1"/>
      <c r="I17" s="1">
        <v>32537</v>
      </c>
      <c r="J17" s="1">
        <v>159692</v>
      </c>
      <c r="K17" s="1"/>
      <c r="L17" s="1" t="s">
        <v>161</v>
      </c>
      <c r="M17" s="1">
        <v>251870</v>
      </c>
      <c r="N17" s="1">
        <v>145843</v>
      </c>
      <c r="O17" s="1">
        <v>88566</v>
      </c>
      <c r="P17" s="1"/>
      <c r="Q17" s="1">
        <v>336011</v>
      </c>
      <c r="R17" s="1"/>
      <c r="S17" s="1"/>
      <c r="T17" s="1"/>
      <c r="U17" s="1"/>
      <c r="V17" s="1">
        <v>89030</v>
      </c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 x14ac:dyDescent="0.25">
      <c r="A18" s="6" t="s">
        <v>22</v>
      </c>
      <c r="B18" s="7" t="s">
        <v>86</v>
      </c>
      <c r="C18" s="1">
        <v>401989</v>
      </c>
      <c r="D18" s="1">
        <f t="shared" si="0"/>
        <v>401989</v>
      </c>
      <c r="E18" s="1">
        <f t="shared" si="1"/>
        <v>0</v>
      </c>
      <c r="F18" s="1"/>
      <c r="G18" s="1"/>
      <c r="H18" s="1"/>
      <c r="I18" s="1"/>
      <c r="J18" s="1"/>
      <c r="K18" s="1"/>
      <c r="L18" s="1">
        <v>155267</v>
      </c>
      <c r="M18" s="1"/>
      <c r="N18" s="1"/>
      <c r="O18" s="1">
        <v>100645</v>
      </c>
      <c r="P18" s="1"/>
      <c r="Q18" s="1">
        <v>137945</v>
      </c>
      <c r="R18" s="1"/>
      <c r="S18" s="1"/>
      <c r="T18" s="1"/>
      <c r="U18" s="1"/>
      <c r="V18" s="1"/>
      <c r="W18" s="1"/>
      <c r="X18" s="1">
        <v>8132</v>
      </c>
      <c r="Y18" s="1"/>
      <c r="Z18" s="1"/>
      <c r="AA18" s="1"/>
      <c r="AB18" s="1"/>
      <c r="AC18" s="1"/>
      <c r="AD18" s="1"/>
      <c r="AE18" s="1"/>
      <c r="AF18" s="1"/>
    </row>
    <row r="19" spans="1:32" ht="15" x14ac:dyDescent="0.25">
      <c r="A19" s="6" t="s">
        <v>23</v>
      </c>
      <c r="B19" s="7" t="s">
        <v>87</v>
      </c>
      <c r="C19" s="1">
        <v>2189555</v>
      </c>
      <c r="D19" s="1">
        <f t="shared" si="0"/>
        <v>2189555</v>
      </c>
      <c r="E19" s="1">
        <f t="shared" si="1"/>
        <v>0</v>
      </c>
      <c r="F19" s="1"/>
      <c r="G19" s="1"/>
      <c r="H19" s="1"/>
      <c r="I19" s="1"/>
      <c r="J19" s="1">
        <v>52179</v>
      </c>
      <c r="K19" s="1">
        <v>161105</v>
      </c>
      <c r="L19" s="1">
        <v>126384</v>
      </c>
      <c r="M19" s="1">
        <v>151887</v>
      </c>
      <c r="N19" s="1">
        <v>146586</v>
      </c>
      <c r="O19" s="1">
        <v>148478</v>
      </c>
      <c r="P19" s="1">
        <v>149232</v>
      </c>
      <c r="Q19" s="1">
        <v>159164</v>
      </c>
      <c r="R19" s="1">
        <v>143705</v>
      </c>
      <c r="S19" s="1"/>
      <c r="T19" s="1"/>
      <c r="U19" s="1"/>
      <c r="V19" s="1"/>
      <c r="W19" s="1">
        <v>395510</v>
      </c>
      <c r="X19" s="1"/>
      <c r="Y19" s="1"/>
      <c r="Z19" s="1"/>
      <c r="AA19" s="1">
        <v>555325</v>
      </c>
      <c r="AB19" s="1"/>
      <c r="AC19" s="1"/>
      <c r="AD19" s="1"/>
      <c r="AE19" s="1"/>
      <c r="AF19" s="1"/>
    </row>
    <row r="20" spans="1:32" ht="15" x14ac:dyDescent="0.25">
      <c r="A20" s="6" t="s">
        <v>24</v>
      </c>
      <c r="B20" s="7" t="s">
        <v>88</v>
      </c>
      <c r="C20" s="1">
        <v>1631987</v>
      </c>
      <c r="D20" s="1">
        <f t="shared" si="0"/>
        <v>1631987</v>
      </c>
      <c r="E20" s="1">
        <f t="shared" si="1"/>
        <v>0</v>
      </c>
      <c r="F20" s="1"/>
      <c r="G20" s="1"/>
      <c r="H20" s="1"/>
      <c r="I20" s="1"/>
      <c r="J20" s="1"/>
      <c r="K20" s="1">
        <v>9025</v>
      </c>
      <c r="L20" s="1">
        <v>129158</v>
      </c>
      <c r="M20" s="1">
        <v>131983</v>
      </c>
      <c r="N20" s="1">
        <v>130054</v>
      </c>
      <c r="O20" s="1">
        <v>131289</v>
      </c>
      <c r="P20" s="1">
        <v>131560</v>
      </c>
      <c r="Q20" s="1">
        <v>128934</v>
      </c>
      <c r="R20" s="1">
        <v>129267</v>
      </c>
      <c r="S20" s="1">
        <v>332480</v>
      </c>
      <c r="T20" s="1"/>
      <c r="U20" s="1"/>
      <c r="V20" s="1">
        <v>283859</v>
      </c>
      <c r="W20" s="1">
        <v>94378</v>
      </c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x14ac:dyDescent="0.25">
      <c r="A21" s="6" t="s">
        <v>25</v>
      </c>
      <c r="B21" s="7" t="s">
        <v>89</v>
      </c>
      <c r="C21" s="1">
        <v>1198356</v>
      </c>
      <c r="D21" s="1">
        <f t="shared" si="0"/>
        <v>1198356</v>
      </c>
      <c r="E21" s="1">
        <f t="shared" si="1"/>
        <v>0</v>
      </c>
      <c r="F21" s="1"/>
      <c r="G21" s="1"/>
      <c r="H21" s="1"/>
      <c r="I21" s="1">
        <v>199397</v>
      </c>
      <c r="J21" s="1">
        <v>101372</v>
      </c>
      <c r="K21" s="1">
        <v>101531</v>
      </c>
      <c r="L21" s="1">
        <v>96789</v>
      </c>
      <c r="M21" s="1">
        <v>101729</v>
      </c>
      <c r="N21" s="1">
        <v>101729</v>
      </c>
      <c r="O21" s="1">
        <v>102309</v>
      </c>
      <c r="P21" s="1">
        <v>102163</v>
      </c>
      <c r="Q21" s="1">
        <v>291337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30" x14ac:dyDescent="0.25">
      <c r="A22" s="6" t="s">
        <v>26</v>
      </c>
      <c r="B22" s="7" t="s">
        <v>90</v>
      </c>
      <c r="C22" s="1">
        <v>5241170</v>
      </c>
      <c r="D22" s="1">
        <f t="shared" si="0"/>
        <v>5241170</v>
      </c>
      <c r="E22" s="1">
        <f t="shared" si="1"/>
        <v>0</v>
      </c>
      <c r="F22" s="1"/>
      <c r="G22" s="1"/>
      <c r="H22" s="1"/>
      <c r="I22" s="1"/>
      <c r="J22" s="1">
        <v>426747</v>
      </c>
      <c r="K22" s="1"/>
      <c r="L22" s="1">
        <f>564484+433803</f>
        <v>998287</v>
      </c>
      <c r="M22" s="1">
        <v>702406</v>
      </c>
      <c r="N22" s="1"/>
      <c r="O22" s="1">
        <v>541215</v>
      </c>
      <c r="P22" s="1">
        <f>505103+549776</f>
        <v>1054879</v>
      </c>
      <c r="Q22" s="1"/>
      <c r="R22" s="1"/>
      <c r="S22" s="1">
        <v>1037167</v>
      </c>
      <c r="T22" s="1">
        <v>480469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30" x14ac:dyDescent="0.25">
      <c r="A23" s="6" t="s">
        <v>27</v>
      </c>
      <c r="B23" s="7" t="s">
        <v>91</v>
      </c>
      <c r="C23" s="1">
        <v>665439</v>
      </c>
      <c r="D23" s="1">
        <f t="shared" si="0"/>
        <v>665439</v>
      </c>
      <c r="E23" s="1">
        <f t="shared" si="1"/>
        <v>0</v>
      </c>
      <c r="F23" s="1"/>
      <c r="G23" s="1"/>
      <c r="H23" s="1"/>
      <c r="I23" s="1"/>
      <c r="J23" s="1"/>
      <c r="K23" s="1"/>
      <c r="L23" s="1" t="s">
        <v>161</v>
      </c>
      <c r="M23" s="1"/>
      <c r="N23" s="1"/>
      <c r="O23" s="1"/>
      <c r="P23" s="1"/>
      <c r="Q23" s="1">
        <v>389023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>
        <v>276416</v>
      </c>
      <c r="AD23" s="1"/>
      <c r="AE23" s="1"/>
      <c r="AF23" s="1"/>
    </row>
    <row r="24" spans="1:32" ht="15" x14ac:dyDescent="0.25">
      <c r="A24" s="6" t="s">
        <v>28</v>
      </c>
      <c r="B24" s="7" t="s">
        <v>92</v>
      </c>
      <c r="C24" s="1">
        <v>3178375</v>
      </c>
      <c r="D24" s="1">
        <f t="shared" si="0"/>
        <v>3178375</v>
      </c>
      <c r="E24" s="1">
        <f t="shared" si="1"/>
        <v>0</v>
      </c>
      <c r="F24" s="1"/>
      <c r="G24" s="1"/>
      <c r="H24" s="1"/>
      <c r="I24" s="1"/>
      <c r="J24" s="1">
        <v>186356</v>
      </c>
      <c r="K24" s="1">
        <v>244948</v>
      </c>
      <c r="L24" s="1">
        <v>328270</v>
      </c>
      <c r="M24" s="1">
        <v>266541</v>
      </c>
      <c r="N24" s="1">
        <v>230877</v>
      </c>
      <c r="O24" s="1">
        <v>233305</v>
      </c>
      <c r="P24" s="1">
        <v>232958</v>
      </c>
      <c r="Q24" s="1">
        <v>234441</v>
      </c>
      <c r="R24" s="1">
        <v>230245</v>
      </c>
      <c r="S24" s="1">
        <v>186529</v>
      </c>
      <c r="T24" s="1">
        <v>186060</v>
      </c>
      <c r="U24" s="1">
        <v>307190</v>
      </c>
      <c r="V24" s="1">
        <v>267127</v>
      </c>
      <c r="W24" s="1">
        <v>43528</v>
      </c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 x14ac:dyDescent="0.25">
      <c r="A25" s="6" t="s">
        <v>29</v>
      </c>
      <c r="B25" s="7" t="s">
        <v>93</v>
      </c>
      <c r="C25" s="1">
        <v>876333</v>
      </c>
      <c r="D25" s="1">
        <f t="shared" si="0"/>
        <v>876333</v>
      </c>
      <c r="E25" s="1">
        <f t="shared" si="1"/>
        <v>0</v>
      </c>
      <c r="F25" s="1"/>
      <c r="G25" s="1"/>
      <c r="H25" s="1"/>
      <c r="I25" s="1"/>
      <c r="J25" s="1"/>
      <c r="K25" s="1">
        <v>125083</v>
      </c>
      <c r="L25" s="1" t="s">
        <v>161</v>
      </c>
      <c r="M25" s="1">
        <v>56637</v>
      </c>
      <c r="N25" s="1">
        <v>71183</v>
      </c>
      <c r="O25" s="1">
        <v>96978</v>
      </c>
      <c r="P25" s="1"/>
      <c r="Q25" s="1">
        <v>150210</v>
      </c>
      <c r="R25" s="1">
        <v>75729</v>
      </c>
      <c r="S25" s="1"/>
      <c r="T25" s="1"/>
      <c r="U25" s="1"/>
      <c r="V25" s="1"/>
      <c r="W25" s="1">
        <v>234594</v>
      </c>
      <c r="X25" s="1">
        <v>46322</v>
      </c>
      <c r="Y25" s="1">
        <v>19597</v>
      </c>
      <c r="Z25" s="1"/>
      <c r="AA25" s="1"/>
      <c r="AB25" s="1"/>
      <c r="AC25" s="1"/>
      <c r="AD25" s="1"/>
      <c r="AE25" s="1"/>
      <c r="AF25" s="1"/>
    </row>
    <row r="26" spans="1:32" ht="15" x14ac:dyDescent="0.25">
      <c r="A26" s="6" t="s">
        <v>30</v>
      </c>
      <c r="B26" s="7" t="s">
        <v>94</v>
      </c>
      <c r="C26" s="1">
        <v>2877243</v>
      </c>
      <c r="D26" s="1">
        <f t="shared" si="0"/>
        <v>2877243</v>
      </c>
      <c r="E26" s="1">
        <f t="shared" si="1"/>
        <v>0</v>
      </c>
      <c r="F26" s="1"/>
      <c r="G26" s="1"/>
      <c r="H26" s="1"/>
      <c r="I26" s="1"/>
      <c r="J26" s="1">
        <v>154905</v>
      </c>
      <c r="K26" s="1">
        <v>222714</v>
      </c>
      <c r="L26" s="1">
        <v>214908</v>
      </c>
      <c r="M26" s="1">
        <v>318260</v>
      </c>
      <c r="N26" s="1">
        <v>141763</v>
      </c>
      <c r="O26" s="1">
        <v>484930</v>
      </c>
      <c r="P26" s="1">
        <v>356398</v>
      </c>
      <c r="Q26" s="1">
        <v>219661</v>
      </c>
      <c r="R26" s="1"/>
      <c r="S26" s="1">
        <v>509980</v>
      </c>
      <c r="T26" s="1">
        <v>47460</v>
      </c>
      <c r="U26" s="1"/>
      <c r="V26" s="1"/>
      <c r="W26" s="1">
        <v>206264</v>
      </c>
      <c r="X26" s="1"/>
      <c r="Y26" s="1"/>
      <c r="Z26" s="1"/>
      <c r="AA26" s="1"/>
      <c r="AB26" s="1"/>
      <c r="AC26" s="1"/>
      <c r="AD26" s="1"/>
      <c r="AE26" s="1"/>
      <c r="AF26" s="1"/>
    </row>
    <row r="27" spans="1:32" ht="30" x14ac:dyDescent="0.25">
      <c r="A27" s="6" t="s">
        <v>31</v>
      </c>
      <c r="B27" s="7" t="s">
        <v>95</v>
      </c>
      <c r="C27" s="1">
        <v>806564</v>
      </c>
      <c r="D27" s="1">
        <f t="shared" si="0"/>
        <v>806564</v>
      </c>
      <c r="E27" s="1">
        <f t="shared" si="1"/>
        <v>0</v>
      </c>
      <c r="F27" s="1"/>
      <c r="G27" s="1"/>
      <c r="H27" s="1"/>
      <c r="I27" s="1"/>
      <c r="J27" s="1"/>
      <c r="K27" s="1">
        <v>137601</v>
      </c>
      <c r="L27" s="1" t="s">
        <v>161</v>
      </c>
      <c r="M27" s="1">
        <v>32189</v>
      </c>
      <c r="N27" s="1">
        <v>34476</v>
      </c>
      <c r="O27" s="1">
        <v>34475</v>
      </c>
      <c r="P27" s="1">
        <v>34476</v>
      </c>
      <c r="Q27" s="1">
        <v>369014</v>
      </c>
      <c r="R27" s="1"/>
      <c r="S27" s="1">
        <v>71423</v>
      </c>
      <c r="T27" s="1"/>
      <c r="U27" s="1">
        <v>92910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 x14ac:dyDescent="0.25">
      <c r="A28" s="6" t="s">
        <v>32</v>
      </c>
      <c r="B28" s="7" t="s">
        <v>96</v>
      </c>
      <c r="C28" s="1">
        <v>724347</v>
      </c>
      <c r="D28" s="1">
        <f t="shared" si="0"/>
        <v>724347</v>
      </c>
      <c r="E28" s="1">
        <f t="shared" si="1"/>
        <v>0</v>
      </c>
      <c r="F28" s="1"/>
      <c r="G28" s="1"/>
      <c r="H28" s="1"/>
      <c r="I28" s="1"/>
      <c r="J28" s="1"/>
      <c r="K28" s="1">
        <v>290728</v>
      </c>
      <c r="L28" s="1" t="s">
        <v>161</v>
      </c>
      <c r="M28" s="1">
        <v>126180</v>
      </c>
      <c r="N28" s="1"/>
      <c r="O28" s="1"/>
      <c r="P28" s="1"/>
      <c r="Q28" s="1"/>
      <c r="R28" s="1"/>
      <c r="S28" s="1">
        <v>300825</v>
      </c>
      <c r="T28" s="1"/>
      <c r="U28" s="1"/>
      <c r="V28" s="1"/>
      <c r="W28" s="1"/>
      <c r="X28" s="1">
        <v>6614</v>
      </c>
      <c r="Y28" s="1"/>
      <c r="Z28" s="1"/>
      <c r="AA28" s="1"/>
      <c r="AB28" s="1"/>
      <c r="AC28" s="1"/>
      <c r="AD28" s="1"/>
      <c r="AE28" s="1"/>
      <c r="AF28" s="1"/>
    </row>
    <row r="29" spans="1:32" ht="15" x14ac:dyDescent="0.25">
      <c r="A29" s="6" t="s">
        <v>33</v>
      </c>
      <c r="B29" s="7" t="s">
        <v>97</v>
      </c>
      <c r="C29" s="1">
        <v>299518</v>
      </c>
      <c r="D29" s="1">
        <f t="shared" si="0"/>
        <v>299518</v>
      </c>
      <c r="E29" s="1">
        <f t="shared" si="1"/>
        <v>0</v>
      </c>
      <c r="F29" s="1"/>
      <c r="G29" s="1"/>
      <c r="H29" s="1"/>
      <c r="I29" s="1"/>
      <c r="J29" s="1"/>
      <c r="K29" s="1">
        <v>83575</v>
      </c>
      <c r="L29" s="1" t="s">
        <v>161</v>
      </c>
      <c r="M29" s="1"/>
      <c r="N29" s="1">
        <v>70334</v>
      </c>
      <c r="O29" s="1"/>
      <c r="P29" s="1"/>
      <c r="Q29" s="1">
        <v>70464</v>
      </c>
      <c r="R29" s="1"/>
      <c r="S29" s="1">
        <v>75145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30" x14ac:dyDescent="0.25">
      <c r="A30" s="6" t="s">
        <v>34</v>
      </c>
      <c r="B30" s="7" t="s">
        <v>98</v>
      </c>
      <c r="C30" s="1">
        <v>14149897</v>
      </c>
      <c r="D30" s="1">
        <f t="shared" si="0"/>
        <v>14149897</v>
      </c>
      <c r="E30" s="1">
        <f t="shared" si="1"/>
        <v>0</v>
      </c>
      <c r="F30" s="1"/>
      <c r="G30" s="1"/>
      <c r="H30" s="1">
        <v>137145</v>
      </c>
      <c r="I30" s="1">
        <v>1221061</v>
      </c>
      <c r="J30" s="1">
        <v>1460779</v>
      </c>
      <c r="K30" s="1">
        <v>1262067</v>
      </c>
      <c r="L30" s="1">
        <v>1222615</v>
      </c>
      <c r="M30" s="1">
        <v>1239936</v>
      </c>
      <c r="N30" s="1">
        <v>1267633</v>
      </c>
      <c r="O30" s="1">
        <v>1250296</v>
      </c>
      <c r="P30" s="1">
        <v>1224908</v>
      </c>
      <c r="Q30" s="1">
        <v>1232921</v>
      </c>
      <c r="R30" s="1"/>
      <c r="S30" s="1"/>
      <c r="T30" s="1">
        <v>2379081</v>
      </c>
      <c r="U30" s="1"/>
      <c r="V30" s="1">
        <v>251455</v>
      </c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x14ac:dyDescent="0.25">
      <c r="A31" s="6" t="s">
        <v>35</v>
      </c>
      <c r="B31" s="7" t="s">
        <v>99</v>
      </c>
      <c r="C31" s="1">
        <v>4496459</v>
      </c>
      <c r="D31" s="1">
        <f t="shared" si="0"/>
        <v>4496459</v>
      </c>
      <c r="E31" s="1">
        <f t="shared" si="1"/>
        <v>0</v>
      </c>
      <c r="F31" s="1"/>
      <c r="G31" s="1"/>
      <c r="H31" s="1"/>
      <c r="I31" s="1">
        <v>306917</v>
      </c>
      <c r="J31" s="1"/>
      <c r="K31" s="1"/>
      <c r="L31" s="1">
        <v>1078165</v>
      </c>
      <c r="M31" s="1"/>
      <c r="N31" s="1"/>
      <c r="O31" s="1">
        <v>1121574</v>
      </c>
      <c r="P31" s="1"/>
      <c r="Q31" s="1"/>
      <c r="R31" s="1">
        <v>1118883</v>
      </c>
      <c r="S31" s="1"/>
      <c r="T31" s="1"/>
      <c r="U31" s="1">
        <f>576389+294531</f>
        <v>870920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 x14ac:dyDescent="0.25">
      <c r="A32" s="6" t="s">
        <v>36</v>
      </c>
      <c r="B32" s="7" t="s">
        <v>100</v>
      </c>
      <c r="C32" s="1">
        <v>2805557</v>
      </c>
      <c r="D32" s="1">
        <f t="shared" si="0"/>
        <v>2805557</v>
      </c>
      <c r="E32" s="1">
        <f t="shared" si="1"/>
        <v>0</v>
      </c>
      <c r="F32" s="1"/>
      <c r="G32" s="1"/>
      <c r="H32" s="1"/>
      <c r="I32" s="1"/>
      <c r="J32" s="1"/>
      <c r="K32" s="1">
        <v>105799</v>
      </c>
      <c r="L32" s="1">
        <v>207358</v>
      </c>
      <c r="M32" s="1">
        <v>238169</v>
      </c>
      <c r="N32" s="1">
        <v>210312</v>
      </c>
      <c r="O32" s="1">
        <v>237073</v>
      </c>
      <c r="P32" s="1">
        <v>239509</v>
      </c>
      <c r="Q32" s="1">
        <v>217710</v>
      </c>
      <c r="R32" s="1">
        <v>218841</v>
      </c>
      <c r="S32" s="1">
        <v>30190</v>
      </c>
      <c r="T32" s="1">
        <f>414098+425656</f>
        <v>839754</v>
      </c>
      <c r="U32" s="1"/>
      <c r="V32" s="1"/>
      <c r="W32" s="1">
        <v>257234</v>
      </c>
      <c r="X32" s="1">
        <v>3608</v>
      </c>
      <c r="Y32" s="1"/>
      <c r="Z32" s="1"/>
      <c r="AA32" s="1"/>
      <c r="AB32" s="1"/>
      <c r="AC32" s="1"/>
      <c r="AD32" s="1"/>
      <c r="AE32" s="1"/>
      <c r="AF32" s="1"/>
    </row>
    <row r="33" spans="1:32" ht="15" x14ac:dyDescent="0.25">
      <c r="A33" s="6" t="s">
        <v>37</v>
      </c>
      <c r="B33" s="7" t="s">
        <v>101</v>
      </c>
      <c r="C33" s="1">
        <v>227521</v>
      </c>
      <c r="D33" s="1">
        <f t="shared" si="0"/>
        <v>227521</v>
      </c>
      <c r="E33" s="1">
        <f t="shared" si="1"/>
        <v>0</v>
      </c>
      <c r="F33" s="1"/>
      <c r="G33" s="1"/>
      <c r="H33" s="1"/>
      <c r="I33" s="1"/>
      <c r="J33" s="1"/>
      <c r="K33" s="1"/>
      <c r="L33" s="1" t="s">
        <v>161</v>
      </c>
      <c r="M33" s="1"/>
      <c r="N33" s="1"/>
      <c r="O33" s="1">
        <v>29080</v>
      </c>
      <c r="P33" s="1"/>
      <c r="Q33" s="1"/>
      <c r="R33" s="1">
        <v>47149</v>
      </c>
      <c r="S33" s="1">
        <v>18503</v>
      </c>
      <c r="T33" s="1"/>
      <c r="U33" s="1"/>
      <c r="V33" s="1"/>
      <c r="W33" s="1">
        <v>57441</v>
      </c>
      <c r="X33" s="1">
        <v>38486</v>
      </c>
      <c r="Y33" s="1">
        <v>15937</v>
      </c>
      <c r="Z33" s="1"/>
      <c r="AA33" s="1">
        <v>20925</v>
      </c>
      <c r="AB33" s="1"/>
      <c r="AC33" s="1"/>
      <c r="AD33" s="1"/>
      <c r="AE33" s="1"/>
      <c r="AF33" s="1"/>
    </row>
    <row r="34" spans="1:32" ht="15" x14ac:dyDescent="0.25">
      <c r="A34" s="6" t="s">
        <v>38</v>
      </c>
      <c r="B34" s="7" t="s">
        <v>102</v>
      </c>
      <c r="C34" s="1">
        <v>498555</v>
      </c>
      <c r="D34" s="1">
        <f t="shared" si="0"/>
        <v>498555</v>
      </c>
      <c r="E34" s="1">
        <f t="shared" si="1"/>
        <v>0</v>
      </c>
      <c r="F34" s="1"/>
      <c r="G34" s="1"/>
      <c r="H34" s="1"/>
      <c r="I34" s="1">
        <v>40843</v>
      </c>
      <c r="J34" s="1">
        <v>44912</v>
      </c>
      <c r="K34" s="1">
        <v>26581</v>
      </c>
      <c r="L34" s="1">
        <v>27607</v>
      </c>
      <c r="M34" s="1">
        <v>26489</v>
      </c>
      <c r="N34" s="1">
        <v>33485</v>
      </c>
      <c r="O34" s="1">
        <v>34903</v>
      </c>
      <c r="P34" s="1">
        <v>35721</v>
      </c>
      <c r="Q34" s="1">
        <v>39809</v>
      </c>
      <c r="R34" s="1"/>
      <c r="S34" s="1">
        <v>97779</v>
      </c>
      <c r="T34" s="1"/>
      <c r="U34" s="1">
        <f>55409+35017</f>
        <v>90426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 x14ac:dyDescent="0.25">
      <c r="A35" s="6" t="s">
        <v>39</v>
      </c>
      <c r="B35" s="7" t="s">
        <v>103</v>
      </c>
      <c r="C35" s="1">
        <v>4017073</v>
      </c>
      <c r="D35" s="1">
        <f t="shared" si="0"/>
        <v>4017073</v>
      </c>
      <c r="E35" s="1">
        <f t="shared" si="1"/>
        <v>0</v>
      </c>
      <c r="F35" s="1"/>
      <c r="G35" s="1"/>
      <c r="H35" s="1"/>
      <c r="I35" s="1">
        <v>22786</v>
      </c>
      <c r="J35" s="1">
        <v>258640</v>
      </c>
      <c r="K35" s="1">
        <v>333855</v>
      </c>
      <c r="L35" s="1" t="s">
        <v>161</v>
      </c>
      <c r="M35" s="1">
        <v>375395</v>
      </c>
      <c r="N35" s="1">
        <v>292264</v>
      </c>
      <c r="O35" s="1">
        <v>281787</v>
      </c>
      <c r="P35" s="1">
        <v>277668</v>
      </c>
      <c r="Q35" s="1">
        <v>551088</v>
      </c>
      <c r="R35" s="1"/>
      <c r="S35" s="1">
        <v>732131</v>
      </c>
      <c r="T35" s="1"/>
      <c r="U35" s="1">
        <v>507669</v>
      </c>
      <c r="V35" s="1">
        <v>256564</v>
      </c>
      <c r="W35" s="1">
        <v>127226</v>
      </c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 x14ac:dyDescent="0.25">
      <c r="A36" s="6" t="s">
        <v>40</v>
      </c>
      <c r="B36" s="7" t="s">
        <v>104</v>
      </c>
      <c r="C36" s="1">
        <v>447517</v>
      </c>
      <c r="D36" s="1">
        <f t="shared" si="0"/>
        <v>447517</v>
      </c>
      <c r="E36" s="1">
        <f t="shared" si="1"/>
        <v>0</v>
      </c>
      <c r="F36" s="1"/>
      <c r="G36" s="1"/>
      <c r="H36" s="1"/>
      <c r="I36" s="1"/>
      <c r="J36" s="1"/>
      <c r="K36" s="1"/>
      <c r="L36" s="1" t="s">
        <v>161</v>
      </c>
      <c r="M36" s="1"/>
      <c r="N36" s="1"/>
      <c r="O36" s="1"/>
      <c r="P36" s="1"/>
      <c r="Q36" s="1">
        <v>335044</v>
      </c>
      <c r="R36" s="1"/>
      <c r="S36" s="1">
        <v>112473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30" x14ac:dyDescent="0.25">
      <c r="A37" s="6" t="s">
        <v>41</v>
      </c>
      <c r="B37" s="7" t="s">
        <v>105</v>
      </c>
      <c r="C37" s="1">
        <v>1069334</v>
      </c>
      <c r="D37" s="1">
        <f t="shared" si="0"/>
        <v>1069334</v>
      </c>
      <c r="E37" s="1">
        <f t="shared" si="1"/>
        <v>0</v>
      </c>
      <c r="F37" s="1"/>
      <c r="G37" s="1"/>
      <c r="H37" s="1"/>
      <c r="I37" s="1"/>
      <c r="J37" s="1"/>
      <c r="K37" s="1"/>
      <c r="L37" s="1" t="s">
        <v>161</v>
      </c>
      <c r="M37" s="1"/>
      <c r="N37" s="1"/>
      <c r="O37" s="1"/>
      <c r="P37" s="1"/>
      <c r="Q37" s="1"/>
      <c r="R37" s="1"/>
      <c r="S37" s="1"/>
      <c r="T37" s="1"/>
      <c r="U37" s="1">
        <v>426539</v>
      </c>
      <c r="V37" s="1"/>
      <c r="W37" s="1"/>
      <c r="X37" s="1"/>
      <c r="Y37" s="1">
        <v>642795</v>
      </c>
      <c r="Z37" s="1"/>
      <c r="AA37" s="1"/>
      <c r="AB37" s="1"/>
      <c r="AC37" s="1"/>
      <c r="AD37" s="1"/>
      <c r="AE37" s="1"/>
      <c r="AF37" s="1"/>
    </row>
    <row r="38" spans="1:32" ht="15" x14ac:dyDescent="0.25">
      <c r="A38" s="6" t="s">
        <v>42</v>
      </c>
      <c r="B38" s="7" t="s">
        <v>106</v>
      </c>
      <c r="C38" s="1">
        <v>588105</v>
      </c>
      <c r="D38" s="1">
        <f t="shared" si="0"/>
        <v>588105</v>
      </c>
      <c r="E38" s="1">
        <f t="shared" si="1"/>
        <v>0</v>
      </c>
      <c r="F38" s="1"/>
      <c r="G38" s="1"/>
      <c r="H38" s="1"/>
      <c r="I38" s="1"/>
      <c r="J38" s="1"/>
      <c r="K38" s="1">
        <v>109998</v>
      </c>
      <c r="L38" s="1">
        <v>49647</v>
      </c>
      <c r="M38" s="1"/>
      <c r="N38" s="1">
        <f>49654+49802</f>
        <v>99456</v>
      </c>
      <c r="O38" s="1"/>
      <c r="P38" s="1"/>
      <c r="Q38" s="1"/>
      <c r="R38" s="1">
        <f>49757+157859</f>
        <v>207616</v>
      </c>
      <c r="S38" s="1"/>
      <c r="T38" s="1"/>
      <c r="U38" s="1"/>
      <c r="V38" s="1">
        <v>121388</v>
      </c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 x14ac:dyDescent="0.25">
      <c r="A39" s="6" t="s">
        <v>43</v>
      </c>
      <c r="B39" s="7" t="s">
        <v>132</v>
      </c>
      <c r="C39" s="1">
        <v>242026</v>
      </c>
      <c r="D39" s="1">
        <f t="shared" si="0"/>
        <v>242026</v>
      </c>
      <c r="E39" s="1">
        <f t="shared" si="1"/>
        <v>0</v>
      </c>
      <c r="F39" s="1"/>
      <c r="G39" s="1"/>
      <c r="H39" s="1"/>
      <c r="I39" s="1"/>
      <c r="J39" s="1"/>
      <c r="K39" s="1"/>
      <c r="L39" s="1" t="s">
        <v>161</v>
      </c>
      <c r="M39" s="1"/>
      <c r="N39" s="1"/>
      <c r="O39" s="1"/>
      <c r="P39" s="1"/>
      <c r="Q39" s="1">
        <v>242026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 x14ac:dyDescent="0.25">
      <c r="A40" s="6" t="s">
        <v>44</v>
      </c>
      <c r="B40" s="7" t="s">
        <v>107</v>
      </c>
      <c r="C40" s="1">
        <v>3217046</v>
      </c>
      <c r="D40" s="1">
        <f t="shared" si="0"/>
        <v>3217046</v>
      </c>
      <c r="E40" s="1">
        <f t="shared" si="1"/>
        <v>0</v>
      </c>
      <c r="F40" s="1"/>
      <c r="G40" s="1"/>
      <c r="H40" s="1"/>
      <c r="I40" s="1">
        <v>200837</v>
      </c>
      <c r="J40" s="1">
        <v>252418</v>
      </c>
      <c r="K40" s="1">
        <v>260454</v>
      </c>
      <c r="L40" s="1">
        <v>275718</v>
      </c>
      <c r="M40" s="1">
        <v>390986</v>
      </c>
      <c r="N40" s="1">
        <v>239715</v>
      </c>
      <c r="O40" s="1">
        <v>300924</v>
      </c>
      <c r="P40" s="1"/>
      <c r="Q40" s="1">
        <v>485952</v>
      </c>
      <c r="R40" s="1">
        <v>644237</v>
      </c>
      <c r="S40" s="1">
        <v>60470</v>
      </c>
      <c r="T40" s="1"/>
      <c r="U40" s="1">
        <v>105335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 x14ac:dyDescent="0.25">
      <c r="A41" s="6" t="s">
        <v>45</v>
      </c>
      <c r="B41" s="7" t="s">
        <v>108</v>
      </c>
      <c r="C41" s="1">
        <v>1414457</v>
      </c>
      <c r="D41" s="1">
        <f t="shared" si="0"/>
        <v>1414457</v>
      </c>
      <c r="E41" s="1">
        <f t="shared" si="1"/>
        <v>0</v>
      </c>
      <c r="F41" s="1"/>
      <c r="G41" s="1"/>
      <c r="H41" s="17">
        <v>84338</v>
      </c>
      <c r="I41" s="17">
        <v>232518</v>
      </c>
      <c r="J41" s="17">
        <v>115510</v>
      </c>
      <c r="K41" s="17">
        <v>130778</v>
      </c>
      <c r="L41" s="17">
        <v>118266</v>
      </c>
      <c r="M41" s="17">
        <v>129938</v>
      </c>
      <c r="N41" s="17">
        <v>120820</v>
      </c>
      <c r="O41" s="17">
        <v>116567</v>
      </c>
      <c r="P41" s="17">
        <v>117187</v>
      </c>
      <c r="Q41" s="17">
        <v>116468</v>
      </c>
      <c r="R41" s="17">
        <v>118861</v>
      </c>
      <c r="S41" s="1"/>
      <c r="T41" s="1"/>
      <c r="U41" s="1"/>
      <c r="V41" s="1">
        <v>13206</v>
      </c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 x14ac:dyDescent="0.25">
      <c r="A42" s="6" t="s">
        <v>46</v>
      </c>
      <c r="B42" s="7" t="s">
        <v>133</v>
      </c>
      <c r="C42" s="1">
        <v>518682</v>
      </c>
      <c r="D42" s="1">
        <f t="shared" si="0"/>
        <v>518682</v>
      </c>
      <c r="E42" s="1">
        <f t="shared" si="1"/>
        <v>0</v>
      </c>
      <c r="F42" s="1"/>
      <c r="G42" s="1"/>
      <c r="H42" s="1"/>
      <c r="I42" s="1">
        <v>30328</v>
      </c>
      <c r="J42" s="1">
        <v>30344</v>
      </c>
      <c r="K42" s="1">
        <v>30337</v>
      </c>
      <c r="L42" s="1">
        <v>30346</v>
      </c>
      <c r="M42" s="1">
        <v>30464</v>
      </c>
      <c r="N42" s="1">
        <v>104336</v>
      </c>
      <c r="O42" s="1">
        <v>42815</v>
      </c>
      <c r="P42" s="1">
        <v>42815</v>
      </c>
      <c r="Q42" s="1">
        <v>53627</v>
      </c>
      <c r="R42" s="1">
        <f>30464+42815</f>
        <v>73279</v>
      </c>
      <c r="S42" s="1"/>
      <c r="T42" s="1">
        <v>49991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 x14ac:dyDescent="0.25">
      <c r="A43" s="6" t="s">
        <v>47</v>
      </c>
      <c r="B43" s="7" t="s">
        <v>109</v>
      </c>
      <c r="C43" s="1">
        <v>672287</v>
      </c>
      <c r="D43" s="1">
        <f t="shared" si="0"/>
        <v>672287</v>
      </c>
      <c r="E43" s="1">
        <f t="shared" si="1"/>
        <v>0</v>
      </c>
      <c r="F43" s="1"/>
      <c r="G43" s="1"/>
      <c r="H43" s="1"/>
      <c r="I43" s="1"/>
      <c r="J43" s="1">
        <v>100003</v>
      </c>
      <c r="K43" s="1">
        <v>62879</v>
      </c>
      <c r="L43" s="1" t="s">
        <v>161</v>
      </c>
      <c r="M43" s="1">
        <v>108609</v>
      </c>
      <c r="N43" s="1">
        <v>57533</v>
      </c>
      <c r="O43" s="1"/>
      <c r="P43" s="1">
        <v>111760</v>
      </c>
      <c r="Q43" s="1">
        <v>57178</v>
      </c>
      <c r="R43" s="1">
        <v>54309</v>
      </c>
      <c r="S43" s="1"/>
      <c r="T43" s="1">
        <v>108126</v>
      </c>
      <c r="U43" s="1">
        <v>11890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 x14ac:dyDescent="0.25">
      <c r="A44" s="6" t="s">
        <v>48</v>
      </c>
      <c r="B44" s="7" t="s">
        <v>110</v>
      </c>
      <c r="C44" s="1">
        <v>557131</v>
      </c>
      <c r="D44" s="1">
        <f t="shared" si="0"/>
        <v>557131</v>
      </c>
      <c r="E44" s="1">
        <f t="shared" si="1"/>
        <v>0</v>
      </c>
      <c r="F44" s="1"/>
      <c r="G44" s="1"/>
      <c r="H44" s="1"/>
      <c r="I44" s="1"/>
      <c r="J44" s="1"/>
      <c r="K44" s="1"/>
      <c r="L44" s="1">
        <v>325077</v>
      </c>
      <c r="M44" s="1"/>
      <c r="N44" s="1"/>
      <c r="O44" s="1">
        <v>146558</v>
      </c>
      <c r="P44" s="1"/>
      <c r="Q44" s="1">
        <v>85496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 x14ac:dyDescent="0.25">
      <c r="A45" s="6" t="s">
        <v>49</v>
      </c>
      <c r="B45" s="7" t="s">
        <v>111</v>
      </c>
      <c r="C45" s="1">
        <v>3638470</v>
      </c>
      <c r="D45" s="1">
        <f t="shared" si="0"/>
        <v>3638470</v>
      </c>
      <c r="E45" s="1">
        <f t="shared" si="1"/>
        <v>0</v>
      </c>
      <c r="F45" s="1"/>
      <c r="G45" s="1"/>
      <c r="H45" s="1"/>
      <c r="I45" s="1">
        <v>356485</v>
      </c>
      <c r="J45" s="1">
        <v>286308</v>
      </c>
      <c r="K45" s="1">
        <v>293034</v>
      </c>
      <c r="L45" s="1">
        <v>293084</v>
      </c>
      <c r="M45" s="1">
        <v>282606</v>
      </c>
      <c r="N45" s="1">
        <v>295039</v>
      </c>
      <c r="O45" s="1">
        <v>246979</v>
      </c>
      <c r="P45" s="1">
        <v>287050</v>
      </c>
      <c r="Q45" s="1">
        <v>285634</v>
      </c>
      <c r="R45" s="1"/>
      <c r="S45" s="1"/>
      <c r="T45" s="1">
        <v>1007784</v>
      </c>
      <c r="U45" s="1">
        <v>4467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30" x14ac:dyDescent="0.25">
      <c r="A46" s="6" t="s">
        <v>50</v>
      </c>
      <c r="B46" s="7" t="s">
        <v>112</v>
      </c>
      <c r="C46" s="1">
        <v>1332418</v>
      </c>
      <c r="D46" s="1">
        <f t="shared" si="0"/>
        <v>1332418</v>
      </c>
      <c r="E46" s="1">
        <f t="shared" si="1"/>
        <v>0</v>
      </c>
      <c r="F46" s="1"/>
      <c r="G46" s="1"/>
      <c r="H46" s="1"/>
      <c r="I46" s="1"/>
      <c r="J46" s="1"/>
      <c r="K46" s="1">
        <v>323063</v>
      </c>
      <c r="L46" s="1">
        <v>151163</v>
      </c>
      <c r="M46" s="1">
        <v>146626</v>
      </c>
      <c r="N46" s="1">
        <v>127071</v>
      </c>
      <c r="O46" s="1">
        <v>123964</v>
      </c>
      <c r="P46" s="1">
        <v>123821</v>
      </c>
      <c r="Q46" s="1">
        <v>123241</v>
      </c>
      <c r="R46" s="1">
        <v>83627</v>
      </c>
      <c r="S46" s="1">
        <v>120075</v>
      </c>
      <c r="T46" s="1"/>
      <c r="U46" s="1">
        <v>9767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30" x14ac:dyDescent="0.25">
      <c r="A47" s="6" t="s">
        <v>51</v>
      </c>
      <c r="B47" s="7" t="s">
        <v>113</v>
      </c>
      <c r="C47" s="1">
        <v>453904</v>
      </c>
      <c r="D47" s="1">
        <f t="shared" si="0"/>
        <v>453904</v>
      </c>
      <c r="E47" s="1">
        <f t="shared" si="1"/>
        <v>0</v>
      </c>
      <c r="F47" s="1"/>
      <c r="G47" s="1"/>
      <c r="H47" s="1"/>
      <c r="I47" s="1"/>
      <c r="J47" s="1"/>
      <c r="K47" s="1"/>
      <c r="L47" s="1">
        <v>33676</v>
      </c>
      <c r="M47" s="1"/>
      <c r="N47" s="1"/>
      <c r="O47" s="1"/>
      <c r="P47" s="1">
        <v>150124</v>
      </c>
      <c r="Q47" s="1"/>
      <c r="R47" s="1">
        <v>108146</v>
      </c>
      <c r="S47" s="1"/>
      <c r="T47" s="1">
        <v>35338</v>
      </c>
      <c r="U47" s="1"/>
      <c r="V47" s="1">
        <v>99160</v>
      </c>
      <c r="W47" s="1"/>
      <c r="X47" s="1"/>
      <c r="Y47" s="1">
        <v>27460</v>
      </c>
      <c r="Z47" s="1"/>
      <c r="AA47" s="1"/>
      <c r="AB47" s="1"/>
      <c r="AC47" s="1"/>
      <c r="AD47" s="1"/>
      <c r="AE47" s="1"/>
      <c r="AF47" s="1"/>
    </row>
    <row r="48" spans="1:32" ht="30" x14ac:dyDescent="0.25">
      <c r="A48" s="6" t="s">
        <v>52</v>
      </c>
      <c r="B48" s="7" t="s">
        <v>114</v>
      </c>
      <c r="C48" s="1">
        <v>2396504</v>
      </c>
      <c r="D48" s="1">
        <f t="shared" si="0"/>
        <v>2396504</v>
      </c>
      <c r="E48" s="1">
        <f t="shared" si="1"/>
        <v>0</v>
      </c>
      <c r="F48" s="1"/>
      <c r="G48" s="1"/>
      <c r="H48" s="1"/>
      <c r="I48" s="1"/>
      <c r="J48" s="1"/>
      <c r="K48" s="1">
        <v>10279</v>
      </c>
      <c r="L48" s="1">
        <v>291306</v>
      </c>
      <c r="M48" s="1">
        <v>202968</v>
      </c>
      <c r="N48" s="1">
        <v>438625</v>
      </c>
      <c r="O48" s="1">
        <v>427605</v>
      </c>
      <c r="P48" s="1">
        <v>187627</v>
      </c>
      <c r="Q48" s="1">
        <v>225212</v>
      </c>
      <c r="R48" s="1">
        <v>280073</v>
      </c>
      <c r="S48" s="1">
        <v>7099</v>
      </c>
      <c r="T48" s="1">
        <v>173430</v>
      </c>
      <c r="U48" s="1">
        <f>876+23769</f>
        <v>24645</v>
      </c>
      <c r="V48" s="1">
        <v>9827</v>
      </c>
      <c r="W48" s="1">
        <v>117808</v>
      </c>
      <c r="X48" s="1"/>
      <c r="Y48" s="1"/>
      <c r="Z48" s="1"/>
      <c r="AA48" s="1"/>
      <c r="AB48" s="1"/>
      <c r="AC48" s="1"/>
      <c r="AD48" s="1"/>
      <c r="AE48" s="1"/>
      <c r="AF48" s="1"/>
    </row>
    <row r="49" spans="1:33" ht="15" x14ac:dyDescent="0.25">
      <c r="A49" s="6" t="s">
        <v>53</v>
      </c>
      <c r="B49" s="7" t="s">
        <v>115</v>
      </c>
      <c r="C49" s="1">
        <v>878266</v>
      </c>
      <c r="D49" s="1">
        <f t="shared" si="0"/>
        <v>878266</v>
      </c>
      <c r="E49" s="1">
        <f t="shared" si="1"/>
        <v>0</v>
      </c>
      <c r="F49" s="1"/>
      <c r="G49" s="1"/>
      <c r="H49" s="1"/>
      <c r="I49" s="1"/>
      <c r="J49" s="1">
        <v>158363</v>
      </c>
      <c r="K49" s="1">
        <v>69377</v>
      </c>
      <c r="L49" s="1">
        <v>69375</v>
      </c>
      <c r="M49" s="1">
        <v>69608</v>
      </c>
      <c r="N49" s="1">
        <v>69606</v>
      </c>
      <c r="O49" s="1">
        <v>69598</v>
      </c>
      <c r="P49" s="1">
        <v>65954</v>
      </c>
      <c r="Q49" s="1">
        <v>142754</v>
      </c>
      <c r="R49" s="1">
        <v>54462</v>
      </c>
      <c r="S49" s="1">
        <v>48181</v>
      </c>
      <c r="T49" s="1">
        <v>60988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3" ht="30" x14ac:dyDescent="0.25">
      <c r="A50" s="6" t="s">
        <v>54</v>
      </c>
      <c r="B50" s="7" t="s">
        <v>116</v>
      </c>
      <c r="C50" s="1">
        <v>918864</v>
      </c>
      <c r="D50" s="1">
        <f t="shared" si="0"/>
        <v>918864</v>
      </c>
      <c r="E50" s="1">
        <f t="shared" si="1"/>
        <v>0</v>
      </c>
      <c r="F50" s="1"/>
      <c r="G50" s="1"/>
      <c r="H50" s="1"/>
      <c r="I50" s="1">
        <v>109332</v>
      </c>
      <c r="J50" s="1"/>
      <c r="K50" s="1"/>
      <c r="L50" s="1" t="s">
        <v>161</v>
      </c>
      <c r="M50" s="1">
        <v>144428</v>
      </c>
      <c r="N50" s="1">
        <v>217371</v>
      </c>
      <c r="O50" s="1"/>
      <c r="P50" s="1"/>
      <c r="Q50" s="1">
        <v>218004</v>
      </c>
      <c r="R50" s="1">
        <v>204729</v>
      </c>
      <c r="S50" s="1"/>
      <c r="T50" s="1"/>
      <c r="U50" s="1"/>
      <c r="V50" s="1"/>
      <c r="W50" s="1"/>
      <c r="X50" s="1"/>
      <c r="Y50" s="1">
        <v>25000</v>
      </c>
      <c r="Z50" s="1"/>
      <c r="AA50" s="1"/>
      <c r="AB50" s="1"/>
      <c r="AC50" s="1"/>
      <c r="AD50" s="1"/>
      <c r="AE50" s="1"/>
      <c r="AF50" s="1"/>
    </row>
    <row r="51" spans="1:33" ht="30" x14ac:dyDescent="0.25">
      <c r="A51" s="6" t="s">
        <v>55</v>
      </c>
      <c r="B51" s="7" t="s">
        <v>117</v>
      </c>
      <c r="C51" s="1">
        <v>881506</v>
      </c>
      <c r="D51" s="1">
        <f t="shared" si="0"/>
        <v>881506</v>
      </c>
      <c r="E51" s="1">
        <f t="shared" si="1"/>
        <v>0</v>
      </c>
      <c r="F51" s="1"/>
      <c r="G51" s="1"/>
      <c r="H51" s="1"/>
      <c r="I51" s="1">
        <v>220307</v>
      </c>
      <c r="J51" s="1">
        <v>146918</v>
      </c>
      <c r="K51" s="1"/>
      <c r="L51" s="1" t="s">
        <v>161</v>
      </c>
      <c r="M51" s="1">
        <v>146918</v>
      </c>
      <c r="N51" s="1">
        <v>146918</v>
      </c>
      <c r="O51" s="1"/>
      <c r="P51" s="1">
        <v>146918</v>
      </c>
      <c r="Q51" s="1"/>
      <c r="R51" s="1">
        <v>73446</v>
      </c>
      <c r="S51" s="1"/>
      <c r="T51" s="1"/>
      <c r="U51" s="1"/>
      <c r="V51" s="1">
        <v>81</v>
      </c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15" x14ac:dyDescent="0.25">
      <c r="A52" s="6" t="s">
        <v>56</v>
      </c>
      <c r="B52" s="7" t="s">
        <v>118</v>
      </c>
      <c r="C52" s="1">
        <v>2204517</v>
      </c>
      <c r="D52" s="1">
        <f t="shared" si="0"/>
        <v>2204517</v>
      </c>
      <c r="E52" s="1">
        <f t="shared" si="1"/>
        <v>0</v>
      </c>
      <c r="F52" s="1"/>
      <c r="G52" s="1"/>
      <c r="H52" s="1"/>
      <c r="I52" s="1">
        <v>114624</v>
      </c>
      <c r="J52" s="1">
        <v>168715</v>
      </c>
      <c r="K52" s="1">
        <v>191469</v>
      </c>
      <c r="L52" s="1">
        <v>170280</v>
      </c>
      <c r="M52" s="1">
        <v>151268</v>
      </c>
      <c r="N52" s="1">
        <v>134910</v>
      </c>
      <c r="O52" s="1">
        <v>294994</v>
      </c>
      <c r="P52" s="1">
        <v>145121</v>
      </c>
      <c r="Q52" s="1">
        <v>181072</v>
      </c>
      <c r="R52" s="1">
        <v>277173</v>
      </c>
      <c r="S52" s="1"/>
      <c r="T52" s="1"/>
      <c r="U52" s="1">
        <f>195261+138672</f>
        <v>333933</v>
      </c>
      <c r="V52" s="1">
        <v>40958</v>
      </c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x14ac:dyDescent="0.25">
      <c r="A53" s="6" t="s">
        <v>57</v>
      </c>
      <c r="B53" s="7" t="s">
        <v>119</v>
      </c>
      <c r="C53" s="1">
        <v>1429632</v>
      </c>
      <c r="D53" s="1">
        <f t="shared" si="0"/>
        <v>1429632</v>
      </c>
      <c r="E53" s="1">
        <f t="shared" si="1"/>
        <v>0</v>
      </c>
      <c r="F53" s="1"/>
      <c r="G53" s="1"/>
      <c r="H53" s="1"/>
      <c r="I53" s="1"/>
      <c r="J53" s="1"/>
      <c r="K53" s="1"/>
      <c r="L53" s="1">
        <v>1227</v>
      </c>
      <c r="M53" s="1">
        <v>180577</v>
      </c>
      <c r="N53" s="1">
        <v>128358</v>
      </c>
      <c r="O53" s="1">
        <v>174176</v>
      </c>
      <c r="P53" s="1">
        <v>137005</v>
      </c>
      <c r="Q53" s="1">
        <v>136553</v>
      </c>
      <c r="R53" s="1">
        <v>105591</v>
      </c>
      <c r="S53" s="1">
        <f>95949+16359</f>
        <v>112308</v>
      </c>
      <c r="T53" s="1">
        <v>23912</v>
      </c>
      <c r="U53" s="1">
        <f>107667+145470</f>
        <v>253137</v>
      </c>
      <c r="V53" s="1">
        <f>575+124874</f>
        <v>125449</v>
      </c>
      <c r="W53" s="1">
        <v>51339</v>
      </c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x14ac:dyDescent="0.25">
      <c r="A54" s="6" t="s">
        <v>58</v>
      </c>
      <c r="B54" s="7" t="s">
        <v>120</v>
      </c>
      <c r="C54" s="1">
        <v>715125</v>
      </c>
      <c r="D54" s="1">
        <f t="shared" si="0"/>
        <v>715125</v>
      </c>
      <c r="E54" s="1">
        <f t="shared" si="1"/>
        <v>0</v>
      </c>
      <c r="F54" s="1"/>
      <c r="G54" s="1"/>
      <c r="H54" s="1"/>
      <c r="I54" s="1"/>
      <c r="J54" s="1"/>
      <c r="K54" s="1"/>
      <c r="L54" s="1" t="s">
        <v>161</v>
      </c>
      <c r="M54" s="1"/>
      <c r="N54" s="1"/>
      <c r="O54" s="1"/>
      <c r="P54" s="1">
        <v>164365</v>
      </c>
      <c r="Q54" s="1">
        <v>267222</v>
      </c>
      <c r="R54" s="1">
        <v>283538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30" x14ac:dyDescent="0.25">
      <c r="A55" s="6" t="s">
        <v>59</v>
      </c>
      <c r="B55" s="7" t="s">
        <v>121</v>
      </c>
      <c r="C55" s="1">
        <v>886805</v>
      </c>
      <c r="D55" s="1">
        <f t="shared" si="0"/>
        <v>886805</v>
      </c>
      <c r="E55" s="1">
        <f t="shared" si="1"/>
        <v>0</v>
      </c>
      <c r="F55" s="1"/>
      <c r="G55" s="1"/>
      <c r="H55" s="1"/>
      <c r="I55" s="1"/>
      <c r="J55" s="1">
        <v>101864</v>
      </c>
      <c r="K55" s="1">
        <f>69150+69161</f>
        <v>138311</v>
      </c>
      <c r="L55" s="1" t="s">
        <v>161</v>
      </c>
      <c r="M55" s="1">
        <v>69316</v>
      </c>
      <c r="N55" s="1">
        <v>69729</v>
      </c>
      <c r="O55" s="1"/>
      <c r="P55" s="1"/>
      <c r="Q55" s="1">
        <v>258931</v>
      </c>
      <c r="R55" s="1"/>
      <c r="S55" s="1"/>
      <c r="T55" s="1"/>
      <c r="U55" s="1">
        <v>179249</v>
      </c>
      <c r="V55" s="1">
        <v>69405</v>
      </c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30" x14ac:dyDescent="0.25">
      <c r="A56" s="6" t="s">
        <v>60</v>
      </c>
      <c r="B56" s="7" t="s">
        <v>122</v>
      </c>
      <c r="C56" s="1">
        <v>689792</v>
      </c>
      <c r="D56" s="1">
        <f t="shared" si="0"/>
        <v>689792</v>
      </c>
      <c r="E56" s="1">
        <f t="shared" si="1"/>
        <v>0</v>
      </c>
      <c r="F56" s="1"/>
      <c r="G56" s="1"/>
      <c r="H56" s="1"/>
      <c r="I56" s="1"/>
      <c r="J56" s="1"/>
      <c r="K56" s="1"/>
      <c r="L56" s="1">
        <v>38752</v>
      </c>
      <c r="M56" s="1">
        <v>109947</v>
      </c>
      <c r="N56" s="1"/>
      <c r="O56" s="1"/>
      <c r="P56" s="1">
        <f>169891+119722</f>
        <v>289613</v>
      </c>
      <c r="Q56" s="1"/>
      <c r="R56" s="1"/>
      <c r="S56" s="1"/>
      <c r="T56" s="1"/>
      <c r="U56" s="1">
        <v>114853</v>
      </c>
      <c r="V56" s="1">
        <v>120447</v>
      </c>
      <c r="W56" s="1">
        <v>16180</v>
      </c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x14ac:dyDescent="0.25">
      <c r="A57" s="6" t="s">
        <v>61</v>
      </c>
      <c r="B57" s="7" t="s">
        <v>123</v>
      </c>
      <c r="C57" s="1">
        <v>316994</v>
      </c>
      <c r="D57" s="1">
        <f t="shared" si="0"/>
        <v>316994</v>
      </c>
      <c r="E57" s="1">
        <f t="shared" si="1"/>
        <v>0</v>
      </c>
      <c r="F57" s="1"/>
      <c r="G57" s="1"/>
      <c r="H57" s="1"/>
      <c r="I57" s="1"/>
      <c r="J57" s="1">
        <v>62537</v>
      </c>
      <c r="K57" s="1"/>
      <c r="L57" s="1" t="s">
        <v>161</v>
      </c>
      <c r="M57" s="1">
        <v>86086</v>
      </c>
      <c r="N57" s="1"/>
      <c r="O57" s="1">
        <v>51191</v>
      </c>
      <c r="P57" s="1">
        <v>37406</v>
      </c>
      <c r="Q57" s="1">
        <v>43610</v>
      </c>
      <c r="R57" s="1"/>
      <c r="S57" s="1"/>
      <c r="T57" s="1"/>
      <c r="U57" s="1">
        <v>36164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x14ac:dyDescent="0.25">
      <c r="A58" s="6" t="s">
        <v>62</v>
      </c>
      <c r="B58" s="7" t="s">
        <v>124</v>
      </c>
      <c r="C58" s="1">
        <v>1403286</v>
      </c>
      <c r="D58" s="1">
        <f t="shared" si="0"/>
        <v>1403286</v>
      </c>
      <c r="E58" s="1">
        <f t="shared" si="1"/>
        <v>0</v>
      </c>
      <c r="F58" s="1"/>
      <c r="G58" s="1"/>
      <c r="H58" s="1"/>
      <c r="I58" s="1">
        <v>30332</v>
      </c>
      <c r="J58" s="1">
        <v>110232</v>
      </c>
      <c r="K58" s="1">
        <v>109564</v>
      </c>
      <c r="L58" s="1">
        <v>118375</v>
      </c>
      <c r="M58" s="1">
        <v>104201</v>
      </c>
      <c r="N58" s="1">
        <v>109975</v>
      </c>
      <c r="O58" s="1">
        <v>134118</v>
      </c>
      <c r="P58" s="1">
        <v>110508</v>
      </c>
      <c r="Q58" s="1">
        <v>126578</v>
      </c>
      <c r="R58" s="1">
        <v>103425</v>
      </c>
      <c r="S58" s="1">
        <f>108010+19806</f>
        <v>127816</v>
      </c>
      <c r="T58" s="1">
        <f>66652+37596</f>
        <v>104248</v>
      </c>
      <c r="U58" s="1">
        <v>76318</v>
      </c>
      <c r="V58" s="1">
        <v>37596</v>
      </c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x14ac:dyDescent="0.25">
      <c r="A59" s="6" t="s">
        <v>63</v>
      </c>
      <c r="B59" s="7" t="s">
        <v>125</v>
      </c>
      <c r="C59" s="1">
        <v>758272</v>
      </c>
      <c r="D59" s="1">
        <f t="shared" si="0"/>
        <v>758272</v>
      </c>
      <c r="E59" s="1">
        <f t="shared" si="1"/>
        <v>0</v>
      </c>
      <c r="F59" s="1"/>
      <c r="G59" s="1"/>
      <c r="H59" s="1"/>
      <c r="I59" s="1"/>
      <c r="J59" s="1"/>
      <c r="K59" s="1"/>
      <c r="L59" s="1" t="s">
        <v>161</v>
      </c>
      <c r="M59" s="1">
        <v>463884</v>
      </c>
      <c r="N59" s="1"/>
      <c r="O59" s="1"/>
      <c r="P59" s="1">
        <v>254244</v>
      </c>
      <c r="Q59" s="1">
        <v>40144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30" x14ac:dyDescent="0.25">
      <c r="A60" s="6" t="s">
        <v>64</v>
      </c>
      <c r="B60" s="7" t="s">
        <v>126</v>
      </c>
      <c r="C60" s="1">
        <v>224453</v>
      </c>
      <c r="D60" s="1">
        <f t="shared" si="0"/>
        <v>224453</v>
      </c>
      <c r="E60" s="1">
        <f t="shared" si="1"/>
        <v>0</v>
      </c>
      <c r="F60" s="1"/>
      <c r="G60" s="1"/>
      <c r="H60" s="1"/>
      <c r="I60" s="1"/>
      <c r="J60" s="1"/>
      <c r="K60" s="1"/>
      <c r="L60" s="1" t="s">
        <v>161</v>
      </c>
      <c r="M60" s="1"/>
      <c r="N60" s="1"/>
      <c r="O60" s="1"/>
      <c r="P60" s="1">
        <v>24993</v>
      </c>
      <c r="Q60" s="1"/>
      <c r="R60" s="1"/>
      <c r="S60" s="1"/>
      <c r="T60" s="1"/>
      <c r="U60" s="1">
        <v>88145</v>
      </c>
      <c r="V60" s="1"/>
      <c r="W60" s="1"/>
      <c r="X60" s="1"/>
      <c r="Y60" s="1"/>
      <c r="Z60" s="1"/>
      <c r="AA60" s="1"/>
      <c r="AB60" s="1">
        <v>111315</v>
      </c>
      <c r="AC60" s="1"/>
      <c r="AD60" s="1"/>
      <c r="AE60" s="1"/>
      <c r="AF60" s="1"/>
    </row>
    <row r="61" spans="1:33" ht="30" x14ac:dyDescent="0.25">
      <c r="A61" s="6" t="s">
        <v>65</v>
      </c>
      <c r="B61" s="7" t="s">
        <v>127</v>
      </c>
      <c r="C61" s="1">
        <v>141296</v>
      </c>
      <c r="D61" s="1">
        <f t="shared" si="0"/>
        <v>141296</v>
      </c>
      <c r="E61" s="1">
        <f t="shared" si="1"/>
        <v>0</v>
      </c>
      <c r="F61" s="1"/>
      <c r="G61" s="1"/>
      <c r="H61" s="1"/>
      <c r="I61" s="1"/>
      <c r="J61" s="1"/>
      <c r="K61" s="1"/>
      <c r="L61" s="1" t="s">
        <v>161</v>
      </c>
      <c r="M61" s="1"/>
      <c r="N61" s="1"/>
      <c r="O61" s="1"/>
      <c r="P61" s="1"/>
      <c r="Q61" s="1"/>
      <c r="R61" s="1"/>
      <c r="S61" s="1"/>
      <c r="T61" s="1"/>
      <c r="U61" s="1"/>
      <c r="V61" s="1">
        <f>53906+31714</f>
        <v>85620</v>
      </c>
      <c r="W61" s="1">
        <f>5723</f>
        <v>5723</v>
      </c>
      <c r="X61" s="1"/>
      <c r="Y61" s="1"/>
      <c r="Z61" s="1"/>
      <c r="AA61" s="1"/>
      <c r="AB61" s="1"/>
      <c r="AC61" s="1"/>
      <c r="AD61" s="1"/>
      <c r="AE61" s="1"/>
      <c r="AF61" s="1"/>
      <c r="AG61" s="23">
        <v>49953</v>
      </c>
    </row>
    <row r="62" spans="1:33" ht="30" x14ac:dyDescent="0.25">
      <c r="A62" s="6" t="s">
        <v>66</v>
      </c>
      <c r="B62" s="7" t="s">
        <v>128</v>
      </c>
      <c r="C62" s="1">
        <v>15004</v>
      </c>
      <c r="D62" s="1">
        <f t="shared" si="0"/>
        <v>15004</v>
      </c>
      <c r="E62" s="1">
        <f t="shared" si="1"/>
        <v>0</v>
      </c>
      <c r="F62" s="1"/>
      <c r="G62" s="1"/>
      <c r="H62" s="1"/>
      <c r="I62" s="1"/>
      <c r="J62" s="1"/>
      <c r="K62" s="1"/>
      <c r="L62" s="1" t="s">
        <v>161</v>
      </c>
      <c r="M62" s="1">
        <v>15004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x14ac:dyDescent="0.3">
      <c r="A63" s="6" t="s">
        <v>67</v>
      </c>
      <c r="B63" s="7" t="s">
        <v>129</v>
      </c>
      <c r="C63" s="1">
        <v>36236</v>
      </c>
      <c r="D63" s="1">
        <f t="shared" si="0"/>
        <v>24936.98</v>
      </c>
      <c r="E63" s="1">
        <f t="shared" si="1"/>
        <v>11299.02</v>
      </c>
      <c r="F63" s="1"/>
      <c r="G63" s="1"/>
      <c r="H63" s="1"/>
      <c r="I63" s="1"/>
      <c r="J63" s="1"/>
      <c r="K63" s="1"/>
      <c r="L63" s="1" t="s">
        <v>161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>
        <v>15770</v>
      </c>
      <c r="AC63" s="1"/>
      <c r="AD63" s="1">
        <v>1318.94</v>
      </c>
      <c r="AE63" s="1"/>
      <c r="AF63" s="1"/>
      <c r="AG63" s="23">
        <v>7848.04</v>
      </c>
    </row>
    <row r="64" spans="1:33" ht="28.8" x14ac:dyDescent="0.3">
      <c r="A64" s="6" t="s">
        <v>68</v>
      </c>
      <c r="B64" s="7" t="s">
        <v>130</v>
      </c>
      <c r="C64" s="1">
        <v>136101</v>
      </c>
      <c r="D64" s="1">
        <f>SUM(F64:AZ64)</f>
        <v>136100.85</v>
      </c>
      <c r="E64" s="1">
        <f t="shared" si="1"/>
        <v>0.14999999999417923</v>
      </c>
      <c r="F64" s="1"/>
      <c r="G64" s="1"/>
      <c r="H64" s="1"/>
      <c r="I64" s="1"/>
      <c r="J64" s="1"/>
      <c r="K64" s="1"/>
      <c r="L64" s="1" t="s">
        <v>161</v>
      </c>
      <c r="M64" s="1"/>
      <c r="N64" s="1"/>
      <c r="O64" s="1"/>
      <c r="P64" s="1">
        <v>22813</v>
      </c>
      <c r="Q64" s="1">
        <v>23676</v>
      </c>
      <c r="R64" s="1">
        <f>11172+24761.55</f>
        <v>35933.550000000003</v>
      </c>
      <c r="S64" s="1"/>
      <c r="T64" s="1"/>
      <c r="U64" s="1"/>
      <c r="V64" s="1">
        <v>3465.3</v>
      </c>
      <c r="W64" s="1">
        <f>16680-24474</f>
        <v>-7794</v>
      </c>
      <c r="X64" s="1"/>
      <c r="Y64" s="1">
        <v>22765</v>
      </c>
      <c r="Z64" s="1">
        <v>10768</v>
      </c>
      <c r="AA64" s="1"/>
      <c r="AB64" s="1">
        <v>22440</v>
      </c>
      <c r="AC64" s="1">
        <v>2034</v>
      </c>
      <c r="AD64" s="1"/>
      <c r="AE64" s="1"/>
      <c r="AF64" s="1"/>
    </row>
    <row r="65" spans="1:33" ht="15" x14ac:dyDescent="0.25">
      <c r="A65" s="6" t="s">
        <v>69</v>
      </c>
      <c r="B65" s="7" t="s">
        <v>131</v>
      </c>
      <c r="C65" s="1">
        <v>1796735</v>
      </c>
      <c r="D65" s="1">
        <f t="shared" si="0"/>
        <v>1796735</v>
      </c>
      <c r="E65" s="1">
        <f t="shared" si="1"/>
        <v>0</v>
      </c>
      <c r="F65" s="1"/>
      <c r="G65" s="1"/>
      <c r="H65" s="1"/>
      <c r="I65" s="1">
        <v>56377</v>
      </c>
      <c r="J65" s="1">
        <v>137896</v>
      </c>
      <c r="K65" s="1">
        <v>44953</v>
      </c>
      <c r="L65" s="1">
        <v>114556</v>
      </c>
      <c r="M65" s="1">
        <v>271139</v>
      </c>
      <c r="N65" s="1">
        <v>217253</v>
      </c>
      <c r="O65" s="1">
        <v>283991</v>
      </c>
      <c r="P65" s="1">
        <v>197519</v>
      </c>
      <c r="Q65" s="1">
        <f>171764+74435</f>
        <v>246199</v>
      </c>
      <c r="R65" s="1">
        <f>132852+14951</f>
        <v>147803</v>
      </c>
      <c r="S65" s="1"/>
      <c r="T65" s="1">
        <v>28035</v>
      </c>
      <c r="U65" s="1">
        <v>51014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7" spans="1:33" ht="15" thickBot="1" x14ac:dyDescent="0.35">
      <c r="A67" s="3" t="s">
        <v>5</v>
      </c>
      <c r="B67" s="4"/>
      <c r="C67" s="5">
        <f t="shared" ref="C67:AG67" si="2">SUM(C2:C65)</f>
        <v>144891062</v>
      </c>
      <c r="D67" s="5">
        <f t="shared" si="2"/>
        <v>144879762.82999998</v>
      </c>
      <c r="E67" s="5">
        <f t="shared" si="2"/>
        <v>11299.169999999995</v>
      </c>
      <c r="F67" s="5">
        <f t="shared" si="2"/>
        <v>0</v>
      </c>
      <c r="G67" s="5">
        <f t="shared" si="2"/>
        <v>0</v>
      </c>
      <c r="H67" s="5">
        <f t="shared" si="2"/>
        <v>795798</v>
      </c>
      <c r="I67" s="5">
        <f t="shared" si="2"/>
        <v>5742169</v>
      </c>
      <c r="J67" s="5">
        <f t="shared" si="2"/>
        <v>9121911</v>
      </c>
      <c r="K67" s="5">
        <f t="shared" si="2"/>
        <v>9622004</v>
      </c>
      <c r="L67" s="5">
        <f t="shared" si="2"/>
        <v>13149627</v>
      </c>
      <c r="M67" s="5">
        <f t="shared" si="2"/>
        <v>13635525</v>
      </c>
      <c r="N67" s="5">
        <f t="shared" si="2"/>
        <v>11132430</v>
      </c>
      <c r="O67" s="5">
        <f t="shared" si="2"/>
        <v>10079329</v>
      </c>
      <c r="P67" s="5">
        <f t="shared" si="2"/>
        <v>13967646</v>
      </c>
      <c r="Q67" s="5">
        <f t="shared" si="2"/>
        <v>15567137</v>
      </c>
      <c r="R67" s="5">
        <f t="shared" si="2"/>
        <v>7055470.5499999998</v>
      </c>
      <c r="S67" s="5">
        <f t="shared" si="2"/>
        <v>6804560</v>
      </c>
      <c r="T67" s="5">
        <f t="shared" si="2"/>
        <v>10078721</v>
      </c>
      <c r="U67" s="5">
        <f t="shared" si="2"/>
        <v>6920251</v>
      </c>
      <c r="V67" s="5">
        <f t="shared" si="2"/>
        <v>2854186.3</v>
      </c>
      <c r="W67" s="5">
        <f t="shared" si="2"/>
        <v>4485971</v>
      </c>
      <c r="X67" s="5">
        <f t="shared" si="2"/>
        <v>301348</v>
      </c>
      <c r="Y67" s="5">
        <f t="shared" si="2"/>
        <v>2113446</v>
      </c>
      <c r="Z67" s="5">
        <f t="shared" si="2"/>
        <v>388888</v>
      </c>
      <c r="AA67" s="5">
        <f t="shared" si="2"/>
        <v>576250</v>
      </c>
      <c r="AB67" s="5">
        <f t="shared" si="2"/>
        <v>149525</v>
      </c>
      <c r="AC67" s="5">
        <f t="shared" si="2"/>
        <v>278450</v>
      </c>
      <c r="AD67" s="5">
        <f t="shared" si="2"/>
        <v>1318.94</v>
      </c>
      <c r="AE67" s="5">
        <f t="shared" si="2"/>
        <v>0</v>
      </c>
      <c r="AF67" s="5">
        <f t="shared" si="2"/>
        <v>0</v>
      </c>
      <c r="AG67" s="24">
        <f t="shared" si="2"/>
        <v>57801.04</v>
      </c>
    </row>
    <row r="68" spans="1:33" x14ac:dyDescent="0.3">
      <c r="D68" s="13"/>
      <c r="I68" s="11"/>
      <c r="J68" s="12"/>
    </row>
    <row r="69" spans="1:33" x14ac:dyDescent="0.3">
      <c r="D69" s="16">
        <f>D67-144879762.83</f>
        <v>0</v>
      </c>
      <c r="I69" s="11"/>
      <c r="L69" s="12"/>
    </row>
  </sheetData>
  <sheetProtection algorithmName="SHA-512" hashValue="0TnFoDVqdJLEjXxrLX/nr733nZfQSBH5Hu7eR1zyRT7ON3u90OCrxRKzTQfkYjoeqhvF7LGzFXonxJyP0V6C7Q==" saltValue="tElHdsUhFd+LMAtgGwe/1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B61" sqref="B61"/>
    </sheetView>
  </sheetViews>
  <sheetFormatPr defaultRowHeight="14.4" x14ac:dyDescent="0.3"/>
  <cols>
    <col min="3" max="3" width="15.33203125" style="21" bestFit="1" customWidth="1"/>
    <col min="4" max="4" width="18.109375" bestFit="1" customWidth="1"/>
    <col min="5" max="5" width="15.33203125" bestFit="1" customWidth="1"/>
    <col min="6" max="6" width="12.33203125" bestFit="1" customWidth="1"/>
  </cols>
  <sheetData>
    <row r="1" spans="1:6" ht="15" x14ac:dyDescent="0.25">
      <c r="A1" s="14" t="s">
        <v>162</v>
      </c>
      <c r="B1" s="14" t="s">
        <v>163</v>
      </c>
      <c r="C1" s="18" t="s">
        <v>164</v>
      </c>
      <c r="D1" s="14" t="s">
        <v>165</v>
      </c>
    </row>
    <row r="2" spans="1:6" ht="15" x14ac:dyDescent="0.25">
      <c r="A2" s="15" t="s">
        <v>166</v>
      </c>
      <c r="B2" s="15" t="s">
        <v>6</v>
      </c>
      <c r="C2" s="19">
        <v>1306802</v>
      </c>
      <c r="D2" s="15" t="s">
        <v>167</v>
      </c>
      <c r="E2" s="13">
        <f>VLOOKUP(B2,'Part B 1617'!A:D,4,0)</f>
        <v>1351967</v>
      </c>
      <c r="F2" s="16">
        <f>+E2-C2</f>
        <v>45165</v>
      </c>
    </row>
    <row r="3" spans="1:6" ht="15" x14ac:dyDescent="0.25">
      <c r="A3" s="15" t="s">
        <v>166</v>
      </c>
      <c r="B3" s="15" t="s">
        <v>7</v>
      </c>
      <c r="C3" s="19">
        <v>5885274</v>
      </c>
      <c r="D3" s="15" t="s">
        <v>167</v>
      </c>
      <c r="E3" s="13">
        <f>VLOOKUP(B3,'Part B 1617'!A:D,4,0)</f>
        <v>6150597</v>
      </c>
      <c r="F3" s="16">
        <f t="shared" ref="F3:F63" si="0">+E3-C3</f>
        <v>265323</v>
      </c>
    </row>
    <row r="4" spans="1:6" ht="15" x14ac:dyDescent="0.25">
      <c r="A4" s="15" t="s">
        <v>166</v>
      </c>
      <c r="B4" s="15" t="s">
        <v>8</v>
      </c>
      <c r="C4" s="19">
        <v>995758</v>
      </c>
      <c r="D4" s="15" t="s">
        <v>167</v>
      </c>
      <c r="E4" s="13">
        <f>VLOOKUP(B4,'Part B 1617'!A:D,4,0)</f>
        <v>1372450</v>
      </c>
      <c r="F4" s="16">
        <f t="shared" si="0"/>
        <v>376692</v>
      </c>
    </row>
    <row r="5" spans="1:6" ht="15" x14ac:dyDescent="0.25">
      <c r="A5" s="15" t="s">
        <v>166</v>
      </c>
      <c r="B5" s="15" t="s">
        <v>9</v>
      </c>
      <c r="C5" s="19">
        <v>1089060</v>
      </c>
      <c r="D5" s="15" t="s">
        <v>167</v>
      </c>
      <c r="E5" s="13">
        <f>VLOOKUP(B5,'Part B 1617'!A:D,4,0)</f>
        <v>2187436</v>
      </c>
      <c r="F5" s="16">
        <f t="shared" si="0"/>
        <v>1098376</v>
      </c>
    </row>
    <row r="6" spans="1:6" ht="15" x14ac:dyDescent="0.25">
      <c r="A6" s="15" t="s">
        <v>166</v>
      </c>
      <c r="B6" s="15" t="s">
        <v>10</v>
      </c>
      <c r="C6" s="19">
        <v>1910691</v>
      </c>
      <c r="D6" s="15" t="s">
        <v>167</v>
      </c>
      <c r="E6" s="13">
        <f>VLOOKUP(B6,'Part B 1617'!A:D,4,0)</f>
        <v>1910691</v>
      </c>
      <c r="F6" s="16">
        <f t="shared" si="0"/>
        <v>0</v>
      </c>
    </row>
    <row r="7" spans="1:6" ht="15" x14ac:dyDescent="0.25">
      <c r="A7" s="15" t="s">
        <v>166</v>
      </c>
      <c r="B7" s="15" t="s">
        <v>11</v>
      </c>
      <c r="C7" s="19">
        <v>648306</v>
      </c>
      <c r="D7" s="15" t="s">
        <v>167</v>
      </c>
      <c r="E7" s="13">
        <f>VLOOKUP(B7,'Part B 1617'!A:D,4,0)</f>
        <v>695348</v>
      </c>
      <c r="F7" s="16">
        <f t="shared" si="0"/>
        <v>47042</v>
      </c>
    </row>
    <row r="8" spans="1:6" ht="15" x14ac:dyDescent="0.25">
      <c r="A8" s="15" t="s">
        <v>166</v>
      </c>
      <c r="B8" s="15" t="s">
        <v>12</v>
      </c>
      <c r="C8" s="19">
        <v>291873</v>
      </c>
      <c r="D8" s="15" t="s">
        <v>167</v>
      </c>
      <c r="E8" s="13">
        <f>VLOOKUP(B8,'Part B 1617'!A:D,4,0)</f>
        <v>334766</v>
      </c>
      <c r="F8" s="16">
        <f t="shared" si="0"/>
        <v>42893</v>
      </c>
    </row>
    <row r="9" spans="1:6" ht="15" x14ac:dyDescent="0.25">
      <c r="A9" s="15" t="s">
        <v>166</v>
      </c>
      <c r="B9" s="15" t="s">
        <v>13</v>
      </c>
      <c r="C9" s="19">
        <v>8471239</v>
      </c>
      <c r="D9" s="15" t="s">
        <v>167</v>
      </c>
      <c r="E9" s="13">
        <f>VLOOKUP(B9,'Part B 1617'!A:D,4,0)</f>
        <v>8770749</v>
      </c>
      <c r="F9" s="16">
        <f t="shared" si="0"/>
        <v>299510</v>
      </c>
    </row>
    <row r="10" spans="1:6" ht="15" x14ac:dyDescent="0.25">
      <c r="A10" s="15" t="s">
        <v>166</v>
      </c>
      <c r="B10" s="15" t="s">
        <v>14</v>
      </c>
      <c r="C10" s="19">
        <v>2511509</v>
      </c>
      <c r="D10" s="15" t="s">
        <v>167</v>
      </c>
      <c r="E10" s="13">
        <f>VLOOKUP(B10,'Part B 1617'!A:D,4,0)</f>
        <v>2601463</v>
      </c>
      <c r="F10" s="16">
        <f t="shared" si="0"/>
        <v>89954</v>
      </c>
    </row>
    <row r="11" spans="1:6" ht="15" x14ac:dyDescent="0.25">
      <c r="A11" s="15" t="s">
        <v>166</v>
      </c>
      <c r="B11" s="15" t="s">
        <v>15</v>
      </c>
      <c r="C11" s="19">
        <v>7155392</v>
      </c>
      <c r="D11" s="15" t="s">
        <v>167</v>
      </c>
      <c r="E11" s="13">
        <f>VLOOKUP(B11,'Part B 1617'!A:D,4,0)</f>
        <v>7155392</v>
      </c>
      <c r="F11" s="16">
        <f t="shared" si="0"/>
        <v>0</v>
      </c>
    </row>
    <row r="12" spans="1:6" ht="15" x14ac:dyDescent="0.25">
      <c r="A12" s="15" t="s">
        <v>166</v>
      </c>
      <c r="B12" s="15" t="s">
        <v>16</v>
      </c>
      <c r="C12" s="19">
        <v>1716352</v>
      </c>
      <c r="D12" s="15" t="s">
        <v>167</v>
      </c>
      <c r="E12" s="13">
        <f>VLOOKUP(B12,'Part B 1617'!A:D,4,0)</f>
        <v>4319588</v>
      </c>
      <c r="F12" s="16">
        <f t="shared" si="0"/>
        <v>2603236</v>
      </c>
    </row>
    <row r="13" spans="1:6" ht="15" x14ac:dyDescent="0.25">
      <c r="A13" s="15" t="s">
        <v>166</v>
      </c>
      <c r="B13" s="15" t="s">
        <v>17</v>
      </c>
      <c r="C13" s="19">
        <v>4637506</v>
      </c>
      <c r="D13" s="15" t="s">
        <v>167</v>
      </c>
      <c r="E13" s="13">
        <f>VLOOKUP(B13,'Part B 1617'!A:D,4,0)</f>
        <v>5256049</v>
      </c>
      <c r="F13" s="16">
        <f t="shared" si="0"/>
        <v>618543</v>
      </c>
    </row>
    <row r="14" spans="1:6" ht="15" x14ac:dyDescent="0.25">
      <c r="A14" s="15" t="s">
        <v>166</v>
      </c>
      <c r="B14" s="15" t="s">
        <v>18</v>
      </c>
      <c r="C14" s="19">
        <v>130192</v>
      </c>
      <c r="D14" s="15" t="s">
        <v>167</v>
      </c>
      <c r="E14" s="13">
        <f>VLOOKUP(B14,'Part B 1617'!A:D,4,0)</f>
        <v>887778</v>
      </c>
      <c r="F14" s="16">
        <f t="shared" si="0"/>
        <v>757586</v>
      </c>
    </row>
    <row r="15" spans="1:6" ht="15" x14ac:dyDescent="0.25">
      <c r="A15" s="15" t="s">
        <v>166</v>
      </c>
      <c r="B15" s="15" t="s">
        <v>19</v>
      </c>
      <c r="C15" s="19">
        <v>13305420</v>
      </c>
      <c r="D15" s="15" t="s">
        <v>167</v>
      </c>
      <c r="E15" s="13">
        <f>VLOOKUP(B15,'Part B 1617'!A:D,4,0)</f>
        <v>16125575</v>
      </c>
      <c r="F15" s="16">
        <f t="shared" si="0"/>
        <v>2820155</v>
      </c>
    </row>
    <row r="16" spans="1:6" ht="15" x14ac:dyDescent="0.25">
      <c r="A16" s="15" t="s">
        <v>166</v>
      </c>
      <c r="B16" s="15" t="s">
        <v>20</v>
      </c>
      <c r="C16" s="19">
        <v>8327469</v>
      </c>
      <c r="D16" s="15" t="s">
        <v>167</v>
      </c>
      <c r="E16" s="13">
        <f>VLOOKUP(B16,'Part B 1617'!A:D,4,0)</f>
        <v>8400961</v>
      </c>
      <c r="F16" s="16">
        <f t="shared" si="0"/>
        <v>73492</v>
      </c>
    </row>
    <row r="17" spans="1:6" x14ac:dyDescent="0.3">
      <c r="A17" s="15" t="s">
        <v>166</v>
      </c>
      <c r="B17" s="15" t="s">
        <v>21</v>
      </c>
      <c r="C17" s="19">
        <v>1014519</v>
      </c>
      <c r="D17" s="15" t="s">
        <v>167</v>
      </c>
      <c r="E17" s="13">
        <f>VLOOKUP(B17,'Part B 1617'!A:D,4,0)</f>
        <v>1103549</v>
      </c>
      <c r="F17" s="16">
        <f t="shared" si="0"/>
        <v>89030</v>
      </c>
    </row>
    <row r="18" spans="1:6" x14ac:dyDescent="0.3">
      <c r="A18" s="15" t="s">
        <v>166</v>
      </c>
      <c r="B18" s="15" t="s">
        <v>22</v>
      </c>
      <c r="C18" s="19">
        <v>393857</v>
      </c>
      <c r="D18" s="15" t="s">
        <v>167</v>
      </c>
      <c r="E18" s="13">
        <f>VLOOKUP(B18,'Part B 1617'!A:D,4,0)</f>
        <v>401989</v>
      </c>
      <c r="F18" s="16">
        <f t="shared" si="0"/>
        <v>8132</v>
      </c>
    </row>
    <row r="19" spans="1:6" x14ac:dyDescent="0.3">
      <c r="A19" s="15" t="s">
        <v>166</v>
      </c>
      <c r="B19" s="15" t="s">
        <v>23</v>
      </c>
      <c r="C19" s="19">
        <v>1238720</v>
      </c>
      <c r="D19" s="15" t="s">
        <v>167</v>
      </c>
      <c r="E19" s="13">
        <f>VLOOKUP(B19,'Part B 1617'!A:D,4,0)</f>
        <v>2189555</v>
      </c>
      <c r="F19" s="16">
        <f t="shared" si="0"/>
        <v>950835</v>
      </c>
    </row>
    <row r="20" spans="1:6" x14ac:dyDescent="0.3">
      <c r="A20" s="15" t="s">
        <v>166</v>
      </c>
      <c r="B20" s="15" t="s">
        <v>24</v>
      </c>
      <c r="C20" s="19">
        <v>1253750</v>
      </c>
      <c r="D20" s="15" t="s">
        <v>167</v>
      </c>
      <c r="E20" s="13">
        <f>VLOOKUP(B20,'Part B 1617'!A:D,4,0)</f>
        <v>1631987</v>
      </c>
      <c r="F20" s="16">
        <f t="shared" si="0"/>
        <v>378237</v>
      </c>
    </row>
    <row r="21" spans="1:6" x14ac:dyDescent="0.3">
      <c r="A21" s="15" t="s">
        <v>166</v>
      </c>
      <c r="B21" s="15" t="s">
        <v>25</v>
      </c>
      <c r="C21" s="19">
        <v>1198356</v>
      </c>
      <c r="D21" s="15" t="s">
        <v>167</v>
      </c>
      <c r="E21" s="13">
        <f>VLOOKUP(B21,'Part B 1617'!A:D,4,0)</f>
        <v>1198356</v>
      </c>
      <c r="F21" s="16">
        <f t="shared" si="0"/>
        <v>0</v>
      </c>
    </row>
    <row r="22" spans="1:6" x14ac:dyDescent="0.3">
      <c r="A22" s="15" t="s">
        <v>166</v>
      </c>
      <c r="B22" s="15" t="s">
        <v>26</v>
      </c>
      <c r="C22" s="19">
        <v>5241170</v>
      </c>
      <c r="D22" s="15" t="s">
        <v>167</v>
      </c>
      <c r="E22" s="13">
        <f>VLOOKUP(B22,'Part B 1617'!A:D,4,0)</f>
        <v>5241170</v>
      </c>
      <c r="F22" s="16">
        <f t="shared" si="0"/>
        <v>0</v>
      </c>
    </row>
    <row r="23" spans="1:6" x14ac:dyDescent="0.3">
      <c r="A23" s="15" t="s">
        <v>166</v>
      </c>
      <c r="B23" s="15" t="s">
        <v>27</v>
      </c>
      <c r="C23" s="19">
        <v>389023</v>
      </c>
      <c r="D23" s="15" t="s">
        <v>167</v>
      </c>
      <c r="E23" s="13">
        <f>VLOOKUP(B23,'Part B 1617'!A:D,4,0)</f>
        <v>665439</v>
      </c>
      <c r="F23" s="16">
        <f t="shared" si="0"/>
        <v>276416</v>
      </c>
    </row>
    <row r="24" spans="1:6" x14ac:dyDescent="0.3">
      <c r="A24" s="15" t="s">
        <v>166</v>
      </c>
      <c r="B24" s="15" t="s">
        <v>28</v>
      </c>
      <c r="C24" s="19">
        <v>2560530</v>
      </c>
      <c r="D24" s="15" t="s">
        <v>167</v>
      </c>
      <c r="E24" s="13">
        <f>VLOOKUP(B24,'Part B 1617'!A:D,4,0)</f>
        <v>3178375</v>
      </c>
      <c r="F24" s="16">
        <f t="shared" si="0"/>
        <v>617845</v>
      </c>
    </row>
    <row r="25" spans="1:6" x14ac:dyDescent="0.3">
      <c r="A25" s="15" t="s">
        <v>166</v>
      </c>
      <c r="B25" s="15" t="s">
        <v>29</v>
      </c>
      <c r="C25" s="19">
        <v>575820</v>
      </c>
      <c r="D25" s="15" t="s">
        <v>167</v>
      </c>
      <c r="E25" s="13">
        <f>VLOOKUP(B25,'Part B 1617'!A:D,4,0)</f>
        <v>876333</v>
      </c>
      <c r="F25" s="16">
        <f t="shared" si="0"/>
        <v>300513</v>
      </c>
    </row>
    <row r="26" spans="1:6" x14ac:dyDescent="0.3">
      <c r="A26" s="15" t="s">
        <v>166</v>
      </c>
      <c r="B26" s="15" t="s">
        <v>30</v>
      </c>
      <c r="C26" s="19">
        <v>2670979</v>
      </c>
      <c r="D26" s="15" t="s">
        <v>167</v>
      </c>
      <c r="E26" s="13">
        <f>VLOOKUP(B26,'Part B 1617'!A:D,4,0)</f>
        <v>2877243</v>
      </c>
      <c r="F26" s="16">
        <f t="shared" si="0"/>
        <v>206264</v>
      </c>
    </row>
    <row r="27" spans="1:6" x14ac:dyDescent="0.3">
      <c r="A27" s="15" t="s">
        <v>166</v>
      </c>
      <c r="B27" s="15" t="s">
        <v>31</v>
      </c>
      <c r="C27" s="19">
        <v>713654</v>
      </c>
      <c r="D27" s="15" t="s">
        <v>167</v>
      </c>
      <c r="E27" s="13">
        <f>VLOOKUP(B27,'Part B 1617'!A:D,4,0)</f>
        <v>806564</v>
      </c>
      <c r="F27" s="16">
        <f t="shared" si="0"/>
        <v>92910</v>
      </c>
    </row>
    <row r="28" spans="1:6" x14ac:dyDescent="0.3">
      <c r="A28" s="15" t="s">
        <v>166</v>
      </c>
      <c r="B28" s="15" t="s">
        <v>32</v>
      </c>
      <c r="C28" s="19">
        <v>717733</v>
      </c>
      <c r="D28" s="15" t="s">
        <v>167</v>
      </c>
      <c r="E28" s="13">
        <f>VLOOKUP(B28,'Part B 1617'!A:D,4,0)</f>
        <v>724347</v>
      </c>
      <c r="F28" s="16">
        <f t="shared" si="0"/>
        <v>6614</v>
      </c>
    </row>
    <row r="29" spans="1:6" x14ac:dyDescent="0.3">
      <c r="A29" s="15" t="s">
        <v>166</v>
      </c>
      <c r="B29" s="15" t="s">
        <v>33</v>
      </c>
      <c r="C29" s="19">
        <v>299518</v>
      </c>
      <c r="D29" s="15" t="s">
        <v>167</v>
      </c>
      <c r="E29" s="13">
        <f>VLOOKUP(B29,'Part B 1617'!A:D,4,0)</f>
        <v>299518</v>
      </c>
      <c r="F29" s="16">
        <f t="shared" si="0"/>
        <v>0</v>
      </c>
    </row>
    <row r="30" spans="1:6" x14ac:dyDescent="0.3">
      <c r="A30" s="15" t="s">
        <v>166</v>
      </c>
      <c r="B30" s="15" t="s">
        <v>34</v>
      </c>
      <c r="C30" s="19">
        <v>13898442</v>
      </c>
      <c r="D30" s="15" t="s">
        <v>167</v>
      </c>
      <c r="E30" s="13">
        <f>VLOOKUP(B30,'Part B 1617'!A:D,4,0)</f>
        <v>14149897</v>
      </c>
      <c r="F30" s="16">
        <f t="shared" si="0"/>
        <v>251455</v>
      </c>
    </row>
    <row r="31" spans="1:6" x14ac:dyDescent="0.3">
      <c r="A31" s="15" t="s">
        <v>166</v>
      </c>
      <c r="B31" s="15" t="s">
        <v>35</v>
      </c>
      <c r="C31" s="19">
        <v>3625539</v>
      </c>
      <c r="D31" s="15" t="s">
        <v>167</v>
      </c>
      <c r="E31" s="13">
        <f>VLOOKUP(B31,'Part B 1617'!A:D,4,0)</f>
        <v>4496459</v>
      </c>
      <c r="F31" s="16">
        <f t="shared" si="0"/>
        <v>870920</v>
      </c>
    </row>
    <row r="32" spans="1:6" x14ac:dyDescent="0.3">
      <c r="A32" s="15" t="s">
        <v>166</v>
      </c>
      <c r="B32" s="15" t="s">
        <v>36</v>
      </c>
      <c r="C32" s="19">
        <v>2544715</v>
      </c>
      <c r="D32" s="15" t="s">
        <v>167</v>
      </c>
      <c r="E32" s="13">
        <f>VLOOKUP(B32,'Part B 1617'!A:D,4,0)</f>
        <v>2805557</v>
      </c>
      <c r="F32" s="16">
        <f t="shared" si="0"/>
        <v>260842</v>
      </c>
    </row>
    <row r="33" spans="1:6" x14ac:dyDescent="0.3">
      <c r="A33" s="15" t="s">
        <v>166</v>
      </c>
      <c r="B33" s="15" t="s">
        <v>37</v>
      </c>
      <c r="C33" s="19">
        <v>94732</v>
      </c>
      <c r="D33" s="15" t="s">
        <v>167</v>
      </c>
      <c r="E33" s="13">
        <f>VLOOKUP(B33,'Part B 1617'!A:D,4,0)</f>
        <v>227521</v>
      </c>
      <c r="F33" s="16">
        <f t="shared" si="0"/>
        <v>132789</v>
      </c>
    </row>
    <row r="34" spans="1:6" x14ac:dyDescent="0.3">
      <c r="A34" s="15" t="s">
        <v>166</v>
      </c>
      <c r="B34" s="15" t="s">
        <v>38</v>
      </c>
      <c r="C34" s="19">
        <v>408129</v>
      </c>
      <c r="D34" s="15" t="s">
        <v>167</v>
      </c>
      <c r="E34" s="13">
        <f>VLOOKUP(B34,'Part B 1617'!A:D,4,0)</f>
        <v>498555</v>
      </c>
      <c r="F34" s="16">
        <f t="shared" si="0"/>
        <v>90426</v>
      </c>
    </row>
    <row r="35" spans="1:6" x14ac:dyDescent="0.3">
      <c r="A35" s="15" t="s">
        <v>166</v>
      </c>
      <c r="B35" s="15" t="s">
        <v>39</v>
      </c>
      <c r="C35" s="19">
        <v>3125614</v>
      </c>
      <c r="D35" s="15" t="s">
        <v>167</v>
      </c>
      <c r="E35" s="13">
        <f>VLOOKUP(B35,'Part B 1617'!A:D,4,0)</f>
        <v>4017073</v>
      </c>
      <c r="F35" s="16">
        <f t="shared" si="0"/>
        <v>891459</v>
      </c>
    </row>
    <row r="36" spans="1:6" x14ac:dyDescent="0.3">
      <c r="A36" s="15" t="s">
        <v>166</v>
      </c>
      <c r="B36" s="15" t="s">
        <v>40</v>
      </c>
      <c r="C36" s="19">
        <v>447517</v>
      </c>
      <c r="D36" s="15" t="s">
        <v>167</v>
      </c>
      <c r="E36" s="13">
        <f>VLOOKUP(B36,'Part B 1617'!A:D,4,0)</f>
        <v>447517</v>
      </c>
      <c r="F36" s="16">
        <f t="shared" si="0"/>
        <v>0</v>
      </c>
    </row>
    <row r="37" spans="1:6" x14ac:dyDescent="0.3">
      <c r="A37" s="15" t="s">
        <v>166</v>
      </c>
      <c r="B37" s="15" t="s">
        <v>42</v>
      </c>
      <c r="C37" s="19">
        <v>466717</v>
      </c>
      <c r="D37" s="15" t="s">
        <v>167</v>
      </c>
      <c r="E37" s="13">
        <f>VLOOKUP(B37,'Part B 1617'!A:D,4,0)</f>
        <v>588105</v>
      </c>
      <c r="F37" s="16">
        <f t="shared" si="0"/>
        <v>121388</v>
      </c>
    </row>
    <row r="38" spans="1:6" x14ac:dyDescent="0.3">
      <c r="A38" s="15" t="s">
        <v>166</v>
      </c>
      <c r="B38" s="15" t="s">
        <v>43</v>
      </c>
      <c r="C38" s="19">
        <v>242026</v>
      </c>
      <c r="D38" s="15" t="s">
        <v>167</v>
      </c>
      <c r="E38" s="13">
        <f>VLOOKUP(B38,'Part B 1617'!A:D,4,0)</f>
        <v>242026</v>
      </c>
      <c r="F38" s="16">
        <f t="shared" si="0"/>
        <v>0</v>
      </c>
    </row>
    <row r="39" spans="1:6" x14ac:dyDescent="0.3">
      <c r="A39" s="15" t="s">
        <v>166</v>
      </c>
      <c r="B39" s="15" t="s">
        <v>44</v>
      </c>
      <c r="C39" s="19">
        <v>3111711</v>
      </c>
      <c r="D39" s="15" t="s">
        <v>167</v>
      </c>
      <c r="E39" s="13">
        <f>VLOOKUP(B39,'Part B 1617'!A:D,4,0)</f>
        <v>3217046</v>
      </c>
      <c r="F39" s="16">
        <f t="shared" si="0"/>
        <v>105335</v>
      </c>
    </row>
    <row r="40" spans="1:6" x14ac:dyDescent="0.3">
      <c r="A40" s="15" t="s">
        <v>166</v>
      </c>
      <c r="B40" s="15" t="s">
        <v>45</v>
      </c>
      <c r="C40" s="19">
        <v>1401251</v>
      </c>
      <c r="D40" s="15" t="s">
        <v>167</v>
      </c>
      <c r="E40" s="13">
        <f>VLOOKUP(B40,'Part B 1617'!A:D,4,0)</f>
        <v>1414457</v>
      </c>
      <c r="F40" s="16">
        <f t="shared" si="0"/>
        <v>13206</v>
      </c>
    </row>
    <row r="41" spans="1:6" x14ac:dyDescent="0.3">
      <c r="A41" s="15" t="s">
        <v>166</v>
      </c>
      <c r="B41" s="15" t="s">
        <v>46</v>
      </c>
      <c r="C41" s="19">
        <v>518682</v>
      </c>
      <c r="D41" s="15" t="s">
        <v>167</v>
      </c>
      <c r="E41" s="13">
        <f>VLOOKUP(B41,'Part B 1617'!A:D,4,0)</f>
        <v>518682</v>
      </c>
      <c r="F41" s="16">
        <f t="shared" si="0"/>
        <v>0</v>
      </c>
    </row>
    <row r="42" spans="1:6" x14ac:dyDescent="0.3">
      <c r="A42" s="15" t="s">
        <v>166</v>
      </c>
      <c r="B42" s="15" t="s">
        <v>47</v>
      </c>
      <c r="C42" s="19">
        <v>660397</v>
      </c>
      <c r="D42" s="15" t="s">
        <v>167</v>
      </c>
      <c r="E42" s="13">
        <f>VLOOKUP(B42,'Part B 1617'!A:D,4,0)</f>
        <v>672287</v>
      </c>
      <c r="F42" s="16">
        <f t="shared" si="0"/>
        <v>11890</v>
      </c>
    </row>
    <row r="43" spans="1:6" x14ac:dyDescent="0.3">
      <c r="A43" s="15" t="s">
        <v>166</v>
      </c>
      <c r="B43" s="15" t="s">
        <v>48</v>
      </c>
      <c r="C43" s="19">
        <v>557131</v>
      </c>
      <c r="D43" s="15" t="s">
        <v>167</v>
      </c>
      <c r="E43" s="13">
        <f>VLOOKUP(B43,'Part B 1617'!A:D,4,0)</f>
        <v>557131</v>
      </c>
      <c r="F43" s="16">
        <f t="shared" si="0"/>
        <v>0</v>
      </c>
    </row>
    <row r="44" spans="1:6" x14ac:dyDescent="0.3">
      <c r="A44" s="15" t="s">
        <v>166</v>
      </c>
      <c r="B44" s="15" t="s">
        <v>49</v>
      </c>
      <c r="C44" s="19">
        <v>3634003</v>
      </c>
      <c r="D44" s="15" t="s">
        <v>167</v>
      </c>
      <c r="E44" s="13">
        <f>VLOOKUP(B44,'Part B 1617'!A:D,4,0)</f>
        <v>3638470</v>
      </c>
      <c r="F44" s="16">
        <f t="shared" si="0"/>
        <v>4467</v>
      </c>
    </row>
    <row r="45" spans="1:6" x14ac:dyDescent="0.3">
      <c r="A45" s="15" t="s">
        <v>166</v>
      </c>
      <c r="B45" s="15" t="s">
        <v>50</v>
      </c>
      <c r="C45" s="19">
        <v>1322651</v>
      </c>
      <c r="D45" s="15" t="s">
        <v>167</v>
      </c>
      <c r="E45" s="13">
        <f>VLOOKUP(B45,'Part B 1617'!A:D,4,0)</f>
        <v>1332418</v>
      </c>
      <c r="F45" s="16">
        <f t="shared" si="0"/>
        <v>9767</v>
      </c>
    </row>
    <row r="46" spans="1:6" x14ac:dyDescent="0.3">
      <c r="A46" s="15" t="s">
        <v>166</v>
      </c>
      <c r="B46" s="15" t="s">
        <v>51</v>
      </c>
      <c r="C46" s="19">
        <v>327284</v>
      </c>
      <c r="D46" s="15" t="s">
        <v>167</v>
      </c>
      <c r="E46" s="13">
        <f>VLOOKUP(B46,'Part B 1617'!A:D,4,0)</f>
        <v>453904</v>
      </c>
      <c r="F46" s="16">
        <f t="shared" si="0"/>
        <v>126620</v>
      </c>
    </row>
    <row r="47" spans="1:6" x14ac:dyDescent="0.3">
      <c r="A47" s="15" t="s">
        <v>166</v>
      </c>
      <c r="B47" s="15" t="s">
        <v>52</v>
      </c>
      <c r="C47" s="19">
        <v>2244224</v>
      </c>
      <c r="D47" s="15" t="s">
        <v>167</v>
      </c>
      <c r="E47" s="13">
        <f>VLOOKUP(B47,'Part B 1617'!A:D,4,0)</f>
        <v>2396504</v>
      </c>
      <c r="F47" s="16">
        <f t="shared" si="0"/>
        <v>152280</v>
      </c>
    </row>
    <row r="48" spans="1:6" x14ac:dyDescent="0.3">
      <c r="A48" s="15" t="s">
        <v>166</v>
      </c>
      <c r="B48" s="15" t="s">
        <v>53</v>
      </c>
      <c r="C48" s="19">
        <v>878266</v>
      </c>
      <c r="D48" s="15" t="s">
        <v>167</v>
      </c>
      <c r="E48" s="13">
        <f>VLOOKUP(B48,'Part B 1617'!A:D,4,0)</f>
        <v>878266</v>
      </c>
      <c r="F48" s="16">
        <f t="shared" si="0"/>
        <v>0</v>
      </c>
    </row>
    <row r="49" spans="1:6" x14ac:dyDescent="0.3">
      <c r="A49" s="15" t="s">
        <v>166</v>
      </c>
      <c r="B49" s="15" t="s">
        <v>54</v>
      </c>
      <c r="C49" s="19">
        <v>893864</v>
      </c>
      <c r="D49" s="15" t="s">
        <v>167</v>
      </c>
      <c r="E49" s="13">
        <f>VLOOKUP(B49,'Part B 1617'!A:D,4,0)</f>
        <v>918864</v>
      </c>
      <c r="F49" s="16">
        <f t="shared" si="0"/>
        <v>25000</v>
      </c>
    </row>
    <row r="50" spans="1:6" x14ac:dyDescent="0.3">
      <c r="A50" s="15" t="s">
        <v>166</v>
      </c>
      <c r="B50" s="15" t="s">
        <v>55</v>
      </c>
      <c r="C50" s="19">
        <v>881425</v>
      </c>
      <c r="D50" s="15" t="s">
        <v>167</v>
      </c>
      <c r="E50" s="13">
        <f>VLOOKUP(B50,'Part B 1617'!A:D,4,0)</f>
        <v>881506</v>
      </c>
      <c r="F50" s="16">
        <f t="shared" si="0"/>
        <v>81</v>
      </c>
    </row>
    <row r="51" spans="1:6" x14ac:dyDescent="0.3">
      <c r="A51" s="15" t="s">
        <v>166</v>
      </c>
      <c r="B51" s="15" t="s">
        <v>56</v>
      </c>
      <c r="C51" s="19">
        <v>1829626</v>
      </c>
      <c r="D51" s="15" t="s">
        <v>167</v>
      </c>
      <c r="E51" s="13">
        <f>VLOOKUP(B51,'Part B 1617'!A:D,4,0)</f>
        <v>2204517</v>
      </c>
      <c r="F51" s="16">
        <f t="shared" si="0"/>
        <v>374891</v>
      </c>
    </row>
    <row r="52" spans="1:6" x14ac:dyDescent="0.3">
      <c r="A52" s="15" t="s">
        <v>166</v>
      </c>
      <c r="B52" s="15" t="s">
        <v>57</v>
      </c>
      <c r="C52" s="19">
        <v>999707</v>
      </c>
      <c r="D52" s="15" t="s">
        <v>167</v>
      </c>
      <c r="E52" s="13">
        <f>VLOOKUP(B52,'Part B 1617'!A:D,4,0)</f>
        <v>1429632</v>
      </c>
      <c r="F52" s="16">
        <f t="shared" si="0"/>
        <v>429925</v>
      </c>
    </row>
    <row r="53" spans="1:6" x14ac:dyDescent="0.3">
      <c r="A53" s="15" t="s">
        <v>166</v>
      </c>
      <c r="B53" s="15" t="s">
        <v>58</v>
      </c>
      <c r="C53" s="19">
        <v>715125</v>
      </c>
      <c r="D53" s="15" t="s">
        <v>167</v>
      </c>
      <c r="E53" s="13">
        <f>VLOOKUP(B53,'Part B 1617'!A:D,4,0)</f>
        <v>715125</v>
      </c>
      <c r="F53" s="16">
        <f t="shared" si="0"/>
        <v>0</v>
      </c>
    </row>
    <row r="54" spans="1:6" x14ac:dyDescent="0.3">
      <c r="A54" s="15" t="s">
        <v>166</v>
      </c>
      <c r="B54" s="15" t="s">
        <v>59</v>
      </c>
      <c r="C54" s="19">
        <v>638151</v>
      </c>
      <c r="D54" s="15" t="s">
        <v>167</v>
      </c>
      <c r="E54" s="13">
        <f>VLOOKUP(B54,'Part B 1617'!A:D,4,0)</f>
        <v>886805</v>
      </c>
      <c r="F54" s="16">
        <f t="shared" si="0"/>
        <v>248654</v>
      </c>
    </row>
    <row r="55" spans="1:6" x14ac:dyDescent="0.3">
      <c r="A55" s="15" t="s">
        <v>166</v>
      </c>
      <c r="B55" s="15" t="s">
        <v>60</v>
      </c>
      <c r="C55" s="19">
        <v>438312</v>
      </c>
      <c r="D55" s="15" t="s">
        <v>167</v>
      </c>
      <c r="E55" s="13">
        <f>VLOOKUP(B55,'Part B 1617'!A:D,4,0)</f>
        <v>689792</v>
      </c>
      <c r="F55" s="16">
        <f t="shared" si="0"/>
        <v>251480</v>
      </c>
    </row>
    <row r="56" spans="1:6" x14ac:dyDescent="0.3">
      <c r="A56" s="15" t="s">
        <v>166</v>
      </c>
      <c r="B56" s="15" t="s">
        <v>61</v>
      </c>
      <c r="C56" s="19">
        <v>280830</v>
      </c>
      <c r="D56" s="15" t="s">
        <v>167</v>
      </c>
      <c r="E56" s="13">
        <f>VLOOKUP(B56,'Part B 1617'!A:D,4,0)</f>
        <v>316994</v>
      </c>
      <c r="F56" s="16">
        <f t="shared" si="0"/>
        <v>36164</v>
      </c>
    </row>
    <row r="57" spans="1:6" x14ac:dyDescent="0.3">
      <c r="A57" s="15" t="s">
        <v>166</v>
      </c>
      <c r="B57" s="15" t="s">
        <v>62</v>
      </c>
      <c r="C57" s="19">
        <v>1289372</v>
      </c>
      <c r="D57" s="15" t="s">
        <v>167</v>
      </c>
      <c r="E57" s="13">
        <f>VLOOKUP(B57,'Part B 1617'!A:D,4,0)</f>
        <v>1403286</v>
      </c>
      <c r="F57" s="16">
        <f t="shared" si="0"/>
        <v>113914</v>
      </c>
    </row>
    <row r="58" spans="1:6" x14ac:dyDescent="0.3">
      <c r="A58" s="15" t="s">
        <v>166</v>
      </c>
      <c r="B58" s="15" t="s">
        <v>63</v>
      </c>
      <c r="C58" s="19">
        <v>758272</v>
      </c>
      <c r="D58" s="15" t="s">
        <v>167</v>
      </c>
      <c r="E58" s="13">
        <f>VLOOKUP(B58,'Part B 1617'!A:D,4,0)</f>
        <v>758272</v>
      </c>
      <c r="F58" s="16">
        <f t="shared" si="0"/>
        <v>0</v>
      </c>
    </row>
    <row r="59" spans="1:6" x14ac:dyDescent="0.3">
      <c r="A59" s="15" t="s">
        <v>166</v>
      </c>
      <c r="B59" s="15" t="s">
        <v>64</v>
      </c>
      <c r="C59" s="19">
        <v>24993</v>
      </c>
      <c r="D59" s="15" t="s">
        <v>167</v>
      </c>
      <c r="E59" s="13">
        <f>VLOOKUP(B59,'Part B 1617'!A:D,4,0)</f>
        <v>224453</v>
      </c>
      <c r="F59" s="16">
        <f t="shared" si="0"/>
        <v>199460</v>
      </c>
    </row>
    <row r="60" spans="1:6" x14ac:dyDescent="0.3">
      <c r="A60" s="15" t="s">
        <v>166</v>
      </c>
      <c r="B60" s="15" t="s">
        <v>66</v>
      </c>
      <c r="C60" s="19">
        <v>15004</v>
      </c>
      <c r="D60" s="15" t="s">
        <v>167</v>
      </c>
      <c r="E60" s="13">
        <f>VLOOKUP(B60,'Part B 1617'!A:D,4,0)</f>
        <v>15004</v>
      </c>
      <c r="F60" s="16">
        <f t="shared" si="0"/>
        <v>0</v>
      </c>
    </row>
    <row r="61" spans="1:6" x14ac:dyDescent="0.3">
      <c r="A61" s="15" t="s">
        <v>166</v>
      </c>
      <c r="B61" s="15" t="s">
        <v>68</v>
      </c>
      <c r="C61" s="19">
        <v>96896</v>
      </c>
      <c r="D61" s="15" t="s">
        <v>167</v>
      </c>
      <c r="E61" s="13">
        <f>VLOOKUP(B61,'Part B 1617'!A:D,4,0)</f>
        <v>136100.85</v>
      </c>
      <c r="F61" s="16">
        <f t="shared" si="0"/>
        <v>39204.850000000006</v>
      </c>
    </row>
    <row r="62" spans="1:6" x14ac:dyDescent="0.3">
      <c r="A62" s="15" t="s">
        <v>166</v>
      </c>
      <c r="B62" s="15" t="s">
        <v>69</v>
      </c>
      <c r="C62" s="19">
        <v>1745721</v>
      </c>
      <c r="D62" s="15" t="s">
        <v>167</v>
      </c>
      <c r="E62" s="13">
        <f>VLOOKUP(B62,'Part B 1617'!A:D,4,0)</f>
        <v>1796735</v>
      </c>
      <c r="F62" s="16">
        <f t="shared" si="0"/>
        <v>51014</v>
      </c>
    </row>
    <row r="63" spans="1:6" x14ac:dyDescent="0.3">
      <c r="A63" s="15" t="s">
        <v>161</v>
      </c>
      <c r="B63" s="15" t="s">
        <v>161</v>
      </c>
      <c r="C63" s="20">
        <f>SUM(C2:C62)</f>
        <v>126766801</v>
      </c>
      <c r="D63" s="15" t="s">
        <v>161</v>
      </c>
      <c r="E63" s="16">
        <f>SUM(E2:E62)</f>
        <v>143644195.84999999</v>
      </c>
      <c r="F63" s="16">
        <f t="shared" si="0"/>
        <v>16877394.849999994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B 1617</vt:lpstr>
      <vt:lpstr>Recon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Gines, Kristen</dc:creator>
  <cp:lastModifiedBy>Mueller, Pam</cp:lastModifiedBy>
  <dcterms:created xsi:type="dcterms:W3CDTF">2016-05-13T20:46:27Z</dcterms:created>
  <dcterms:modified xsi:type="dcterms:W3CDTF">2019-01-10T15:55:49Z</dcterms:modified>
</cp:coreProperties>
</file>