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814"/>
  <workbookPr autoCompressPictures="0" defaultThemeVersion="124226"/>
  <mc:AlternateContent xmlns:mc="http://schemas.openxmlformats.org/markup-compatibility/2006">
    <mc:Choice Requires="x15">
      <x15ac:absPath xmlns:x15ac="http://schemas.microsoft.com/office/spreadsheetml/2010/11/ac" url="/Users/jweingast/Library/Containers/com.microsoft.Excel/Data/Desktop/"/>
    </mc:Choice>
  </mc:AlternateContent>
  <xr:revisionPtr revIDLastSave="0" documentId="13_ncr:1_{A53C42B8-4BF2-084F-9415-3A7FAB7430CE}" xr6:coauthVersionLast="36" xr6:coauthVersionMax="36" xr10:uidLastSave="{00000000-0000-0000-0000-000000000000}"/>
  <bookViews>
    <workbookView xWindow="720" yWindow="460" windowWidth="28080" windowHeight="16580" tabRatio="1000" xr2:uid="{00000000-000D-0000-FFFF-FFFF00000000}"/>
  </bookViews>
  <sheets>
    <sheet name="Progress Planning Tool" sheetId="21" r:id="rId1"/>
    <sheet name="1819_K1" sheetId="47" state="hidden" r:id="rId2"/>
    <sheet name="1819_K3" sheetId="49" state="hidden" r:id="rId3"/>
    <sheet name="1718_K2" sheetId="38" state="hidden" r:id="rId4"/>
    <sheet name="1718_K3" sheetId="22" state="hidden" r:id="rId5"/>
    <sheet name="1819_5" sheetId="62" state="hidden" r:id="rId6"/>
    <sheet name="1718_5" sheetId="43" state="hidden" r:id="rId7"/>
    <sheet name="1819_4" sheetId="61" state="hidden" r:id="rId8"/>
    <sheet name="1718_4" sheetId="42" state="hidden" r:id="rId9"/>
    <sheet name="1819_3" sheetId="60" state="hidden" r:id="rId10"/>
    <sheet name="1718_3" sheetId="36" state="hidden" r:id="rId11"/>
    <sheet name="1819_K" sheetId="50" state="hidden" r:id="rId12"/>
    <sheet name="1819_2" sheetId="59" state="hidden" r:id="rId13"/>
    <sheet name="1718_2" sheetId="35" state="hidden" r:id="rId14"/>
    <sheet name="Progress Ranges" sheetId="44" r:id="rId15"/>
    <sheet name="Data validation" sheetId="37" state="hidden" r:id="rId16"/>
    <sheet name="1819_1" sheetId="51" state="hidden" r:id="rId17"/>
    <sheet name="1718_1" sheetId="34" state="hidden" r:id="rId18"/>
    <sheet name="1819_K2" sheetId="48" state="hidden" r:id="rId19"/>
    <sheet name="tabs lookup" sheetId="56" state="hidden" r:id="rId20"/>
    <sheet name="1718_K1" sheetId="39" state="hidden" r:id="rId21"/>
    <sheet name="1819_13" sheetId="46" state="hidden" r:id="rId22"/>
    <sheet name="1718_13" sheetId="40" state="hidden" r:id="rId23"/>
    <sheet name="1718_K" sheetId="33" state="hidden" r:id="rId24"/>
  </sheets>
  <definedNames>
    <definedName name="BOY_1" localSheetId="14">'Progress Ranges'!$E$18</definedName>
    <definedName name="BOY_1">'Progress Planning Tool'!$D$22</definedName>
    <definedName name="BOY_2" localSheetId="14">'Progress Ranges'!$E$19</definedName>
    <definedName name="BOY_2">'Progress Planning Tool'!$D$23</definedName>
    <definedName name="BOY_3" localSheetId="14">'Progress Ranges'!$E$20</definedName>
    <definedName name="BOY_3">'Progress Planning Tool'!$D$24</definedName>
    <definedName name="BOY_4" localSheetId="14">'Progress Ranges'!$E$21</definedName>
    <definedName name="BOY_4">'Progress Planning Tool'!$D$25</definedName>
    <definedName name="BOY_5" localSheetId="14">'Progress Ranges'!$E$22</definedName>
    <definedName name="BOY_5">'Progress Planning Tool'!$D$26</definedName>
    <definedName name="BOY_6" localSheetId="12">'Progress Planning Tool'!#REF!</definedName>
    <definedName name="BOY_6" localSheetId="9">'Progress Planning Tool'!#REF!</definedName>
    <definedName name="BOY_6" localSheetId="7">'Progress Planning Tool'!#REF!</definedName>
    <definedName name="BOY_6" localSheetId="5">'Progress Planning Tool'!#REF!</definedName>
    <definedName name="BOY_6" localSheetId="14">'Progress Ranges'!#REF!</definedName>
    <definedName name="BOY_6">'Progress Planning Tool'!#REF!</definedName>
    <definedName name="BOY_agg" localSheetId="14">'Progress Ranges'!$E$16</definedName>
    <definedName name="BOY_agg">'Progress Planning Tool'!$D$17</definedName>
    <definedName name="BOY_K" localSheetId="14">'Progress Ranges'!$E$17</definedName>
    <definedName name="BOY_K">'Progress Planning Tool'!$D$21</definedName>
    <definedName name="EOY_1" localSheetId="14">'Progress Ranges'!$J$18</definedName>
    <definedName name="EOY_1">'Progress Planning Tool'!$E$22</definedName>
    <definedName name="EOY_2" localSheetId="14">'Progress Ranges'!$J$19</definedName>
    <definedName name="EOY_2">'Progress Planning Tool'!$E$23</definedName>
    <definedName name="EOY_3" localSheetId="14">'Progress Ranges'!$J$20</definedName>
    <definedName name="EOY_3">'Progress Planning Tool'!$E$24</definedName>
    <definedName name="EOY_4" localSheetId="14">'Progress Ranges'!$J$21</definedName>
    <definedName name="EOY_4">'Progress Planning Tool'!$E$25</definedName>
    <definedName name="EOY_5" localSheetId="14">'Progress Ranges'!$J$22</definedName>
    <definedName name="EOY_5">'Progress Planning Tool'!$E$26</definedName>
    <definedName name="EOY_6" localSheetId="12">'Progress Planning Tool'!#REF!</definedName>
    <definedName name="EOY_6" localSheetId="9">'Progress Planning Tool'!#REF!</definedName>
    <definedName name="EOY_6" localSheetId="7">'Progress Planning Tool'!#REF!</definedName>
    <definedName name="EOY_6" localSheetId="5">'Progress Planning Tool'!#REF!</definedName>
    <definedName name="EOY_6" localSheetId="14">'Progress Ranges'!#REF!</definedName>
    <definedName name="EOY_6">'Progress Planning Tool'!#REF!</definedName>
    <definedName name="EOY_agg" localSheetId="14">'Progress Ranges'!$J$16</definedName>
    <definedName name="EOY_agg">'Progress Planning Tool'!$E$17</definedName>
    <definedName name="EOY_K" localSheetId="14">'Progress Ranges'!$J$17</definedName>
    <definedName name="EOY_K">'Progress Planning Tool'!$E$21</definedName>
    <definedName name="goal_1" localSheetId="14">'Progress Ranges'!#REF!</definedName>
    <definedName name="goal_1">'Progress Planning Tool'!$D$38</definedName>
    <definedName name="goal_2" localSheetId="14">'Progress Ranges'!#REF!</definedName>
    <definedName name="goal_2">'Progress Planning Tool'!$D$39</definedName>
    <definedName name="goal_3" localSheetId="14">'Progress Ranges'!#REF!</definedName>
    <definedName name="goal_3">'Progress Planning Tool'!$D$40</definedName>
    <definedName name="goal_4" localSheetId="14">'Progress Ranges'!#REF!</definedName>
    <definedName name="goal_4">'Progress Planning Tool'!$D$41</definedName>
    <definedName name="goal_5" localSheetId="14">'Progress Ranges'!#REF!</definedName>
    <definedName name="goal_5">'Progress Planning Tool'!$D$42</definedName>
    <definedName name="goal_6" localSheetId="12">'Progress Planning Tool'!#REF!</definedName>
    <definedName name="goal_6" localSheetId="9">'Progress Planning Tool'!#REF!</definedName>
    <definedName name="goal_6" localSheetId="7">'Progress Planning Tool'!#REF!</definedName>
    <definedName name="goal_6" localSheetId="5">'Progress Planning Tool'!#REF!</definedName>
    <definedName name="goal_6" localSheetId="14">'Progress Ranges'!#REF!</definedName>
    <definedName name="goal_6">'Progress Planning Tool'!#REF!</definedName>
    <definedName name="goal_agg" localSheetId="14">'Progress Ranges'!#REF!</definedName>
    <definedName name="goal_agg">'Progress Planning Tool'!$D$33</definedName>
    <definedName name="goal_BOY_1" localSheetId="14">'Progress Ranges'!#REF!</definedName>
    <definedName name="goal_BOY_1">'Progress Planning Tool'!$E$38</definedName>
    <definedName name="goal_BOY_2" localSheetId="14">'Progress Ranges'!#REF!</definedName>
    <definedName name="goal_BOY_2">'Progress Planning Tool'!$E$39</definedName>
    <definedName name="goal_BOY_3" localSheetId="14">'Progress Ranges'!#REF!</definedName>
    <definedName name="goal_BOY_3">'Progress Planning Tool'!$E$40</definedName>
    <definedName name="goal_BOY_4" localSheetId="14">'Progress Ranges'!#REF!</definedName>
    <definedName name="goal_BOY_4">'Progress Planning Tool'!$E$41</definedName>
    <definedName name="goal_BOY_5" localSheetId="14">'Progress Ranges'!#REF!</definedName>
    <definedName name="goal_BOY_5">'Progress Planning Tool'!$E$42</definedName>
    <definedName name="goal_BOY_6" localSheetId="12">'Progress Planning Tool'!#REF!</definedName>
    <definedName name="goal_BOY_6" localSheetId="9">'Progress Planning Tool'!#REF!</definedName>
    <definedName name="goal_BOY_6" localSheetId="7">'Progress Planning Tool'!#REF!</definedName>
    <definedName name="goal_BOY_6" localSheetId="5">'Progress Planning Tool'!#REF!</definedName>
    <definedName name="goal_BOY_6" localSheetId="14">'Progress Ranges'!#REF!</definedName>
    <definedName name="goal_BOY_6">'Progress Planning Tool'!#REF!</definedName>
    <definedName name="goal_BOY_agg" localSheetId="14">'Progress Ranges'!#REF!</definedName>
    <definedName name="goal_BOY_agg">'Progress Planning Tool'!$E$33</definedName>
    <definedName name="goal_BOY_K" localSheetId="14">'Progress Ranges'!#REF!</definedName>
    <definedName name="goal_BOY_K">'Progress Planning Tool'!$E$37</definedName>
    <definedName name="goal_K" localSheetId="14">'Progress Ranges'!#REF!</definedName>
    <definedName name="goal_K">'Progress Planning Tool'!$D$37</definedName>
    <definedName name="_xlnm.Print_Area" localSheetId="0">'Progress Planning Tool'!$B$1:$H$45</definedName>
    <definedName name="_xlnm.Print_Area" localSheetId="14">'Progress Ranges'!$B$1:$N$29</definedName>
    <definedName name="ranges_tab">VLOOKUP(CONCATENATE('Progress Ranges'!$G$12,'Progress Ranges'!$D$12),'tabs lookup'!$A$1:$B$20,2,FALSE)</definedName>
  </definedNames>
  <calcPr calcId="162913"/>
  <extLst>
    <ext xmlns:mx="http://schemas.microsoft.com/office/mac/excel/2008/main" uri="{7523E5D3-25F3-A5E0-1632-64F254C22452}">
      <mx:ArchID Flags="2"/>
    </ext>
  </extLst>
</workbook>
</file>

<file path=xl/calcChain.xml><?xml version="1.0" encoding="utf-8"?>
<calcChain xmlns="http://schemas.openxmlformats.org/spreadsheetml/2006/main">
  <c r="B19" i="62" l="1"/>
  <c r="C19" i="62" s="1"/>
  <c r="B26" i="62" s="1"/>
  <c r="B18" i="62"/>
  <c r="C18" i="62" s="1"/>
  <c r="B17" i="62"/>
  <c r="C17" i="62" s="1"/>
  <c r="B22" i="62" s="1"/>
  <c r="B19" i="61"/>
  <c r="C19" i="61" s="1"/>
  <c r="B26" i="61" s="1"/>
  <c r="B18" i="61"/>
  <c r="C18" i="61" s="1"/>
  <c r="B17" i="61"/>
  <c r="C17" i="61" s="1"/>
  <c r="B22" i="61" s="1"/>
  <c r="B19" i="60"/>
  <c r="C19" i="60" s="1"/>
  <c r="B26" i="60" s="1"/>
  <c r="B18" i="60"/>
  <c r="C18" i="60" s="1"/>
  <c r="B17" i="60"/>
  <c r="C17" i="60" s="1"/>
  <c r="B22" i="60" s="1"/>
  <c r="B19" i="59"/>
  <c r="C19" i="59" s="1"/>
  <c r="B26" i="59" s="1"/>
  <c r="B18" i="59"/>
  <c r="C18" i="59" s="1"/>
  <c r="B17" i="59"/>
  <c r="C17" i="59" s="1"/>
  <c r="B22" i="59" s="1"/>
  <c r="F27" i="62" l="1"/>
  <c r="H26" i="62"/>
  <c r="D26" i="62"/>
  <c r="H27" i="62"/>
  <c r="D27" i="62"/>
  <c r="F26" i="62"/>
  <c r="C28" i="62" s="1"/>
  <c r="G27" i="62"/>
  <c r="C27" i="62"/>
  <c r="E26" i="62"/>
  <c r="E27" i="62"/>
  <c r="G26" i="62"/>
  <c r="C26" i="62"/>
  <c r="H22" i="62"/>
  <c r="D22" i="62"/>
  <c r="F22" i="62"/>
  <c r="G22" i="62"/>
  <c r="C22" i="62"/>
  <c r="E22" i="62"/>
  <c r="F27" i="61"/>
  <c r="C29" i="61" s="1"/>
  <c r="H26" i="61"/>
  <c r="D26" i="61"/>
  <c r="H27" i="61"/>
  <c r="F26" i="61"/>
  <c r="C28" i="61" s="1"/>
  <c r="E27" i="61"/>
  <c r="B29" i="61" s="1"/>
  <c r="G26" i="61"/>
  <c r="C26" i="61"/>
  <c r="D27" i="61"/>
  <c r="G27" i="61"/>
  <c r="C27" i="61"/>
  <c r="E26" i="61"/>
  <c r="B28" i="61" s="1"/>
  <c r="H22" i="61"/>
  <c r="D22" i="61"/>
  <c r="F22" i="61"/>
  <c r="E22" i="61"/>
  <c r="G22" i="61"/>
  <c r="C22" i="61"/>
  <c r="B23" i="61" s="1"/>
  <c r="F27" i="60"/>
  <c r="H26" i="60"/>
  <c r="D26" i="60"/>
  <c r="H27" i="60"/>
  <c r="D27" i="60"/>
  <c r="F26" i="60"/>
  <c r="G27" i="60"/>
  <c r="C27" i="60"/>
  <c r="E26" i="60"/>
  <c r="E27" i="60"/>
  <c r="B29" i="60" s="1"/>
  <c r="G26" i="60"/>
  <c r="C26" i="60"/>
  <c r="H22" i="60"/>
  <c r="D22" i="60"/>
  <c r="E22" i="60"/>
  <c r="G22" i="60"/>
  <c r="C22" i="60"/>
  <c r="F22" i="60"/>
  <c r="H22" i="59"/>
  <c r="D22" i="59"/>
  <c r="E22" i="59"/>
  <c r="G22" i="59"/>
  <c r="C22" i="59"/>
  <c r="F22" i="59"/>
  <c r="F27" i="59"/>
  <c r="H26" i="59"/>
  <c r="D26" i="59"/>
  <c r="E27" i="59"/>
  <c r="G26" i="59"/>
  <c r="C26" i="59"/>
  <c r="H27" i="59"/>
  <c r="D27" i="59"/>
  <c r="F26" i="59"/>
  <c r="C28" i="59" s="1"/>
  <c r="G27" i="59"/>
  <c r="C27" i="59"/>
  <c r="E26" i="59"/>
  <c r="B29" i="62" l="1"/>
  <c r="B28" i="62"/>
  <c r="D28" i="62" s="1"/>
  <c r="G42" i="21" s="1"/>
  <c r="C29" i="62"/>
  <c r="B23" i="62"/>
  <c r="D28" i="61"/>
  <c r="G41" i="21" s="1"/>
  <c r="D29" i="61"/>
  <c r="F41" i="21" s="1"/>
  <c r="C28" i="60"/>
  <c r="B28" i="60"/>
  <c r="C29" i="60"/>
  <c r="D29" i="60" s="1"/>
  <c r="F40" i="21" s="1"/>
  <c r="B23" i="60"/>
  <c r="B23" i="59"/>
  <c r="C29" i="59"/>
  <c r="B28" i="59"/>
  <c r="D28" i="59" s="1"/>
  <c r="G39" i="21" s="1"/>
  <c r="B29" i="59"/>
  <c r="D29" i="62" l="1"/>
  <c r="F42" i="21" s="1"/>
  <c r="D28" i="60"/>
  <c r="G40" i="21" s="1"/>
  <c r="D29" i="59"/>
  <c r="F39" i="21" s="1"/>
  <c r="B19" i="46"/>
  <c r="B17" i="50"/>
  <c r="C17" i="50" s="1"/>
  <c r="B17" i="51" l="1"/>
  <c r="C17" i="51" s="1"/>
  <c r="B22" i="51" s="1"/>
  <c r="H22" i="51" s="1"/>
  <c r="B18" i="51"/>
  <c r="C18" i="51" s="1"/>
  <c r="B19" i="51"/>
  <c r="C19" i="51" s="1"/>
  <c r="B26" i="51" s="1"/>
  <c r="H26" i="51" s="1"/>
  <c r="B22" i="50"/>
  <c r="D22" i="50" s="1"/>
  <c r="B18" i="50"/>
  <c r="C18" i="50" s="1"/>
  <c r="B19" i="50"/>
  <c r="C19" i="50" s="1"/>
  <c r="B26" i="50" s="1"/>
  <c r="D26" i="50" s="1"/>
  <c r="B17" i="49"/>
  <c r="C17" i="49" s="1"/>
  <c r="B22" i="49" s="1"/>
  <c r="F22" i="49" s="1"/>
  <c r="B18" i="49"/>
  <c r="C18" i="49" s="1"/>
  <c r="B19" i="49"/>
  <c r="C19" i="49" s="1"/>
  <c r="B26" i="49" s="1"/>
  <c r="B17" i="48"/>
  <c r="C17" i="48" s="1"/>
  <c r="B22" i="48" s="1"/>
  <c r="E22" i="48" s="1"/>
  <c r="B18" i="48"/>
  <c r="C18" i="48" s="1"/>
  <c r="B19" i="48"/>
  <c r="C19" i="48" s="1"/>
  <c r="B26" i="48" s="1"/>
  <c r="B17" i="47"/>
  <c r="C17" i="47" s="1"/>
  <c r="B22" i="47" s="1"/>
  <c r="H22" i="47" s="1"/>
  <c r="B18" i="47"/>
  <c r="C18" i="47" s="1"/>
  <c r="B19" i="47"/>
  <c r="C19" i="47" s="1"/>
  <c r="B26" i="47" s="1"/>
  <c r="H26" i="47" s="1"/>
  <c r="B17" i="46"/>
  <c r="C17" i="46" s="1"/>
  <c r="B22" i="46" s="1"/>
  <c r="B18" i="46"/>
  <c r="C18" i="46" s="1"/>
  <c r="C19" i="46"/>
  <c r="B26" i="46" s="1"/>
  <c r="K16" i="44"/>
  <c r="L18" i="44"/>
  <c r="L25" i="44"/>
  <c r="D26" i="44"/>
  <c r="E19" i="44"/>
  <c r="I22" i="44"/>
  <c r="J17" i="44"/>
  <c r="M25" i="44"/>
  <c r="H21" i="44"/>
  <c r="G25" i="44"/>
  <c r="J22" i="44"/>
  <c r="M20" i="44"/>
  <c r="I16" i="44"/>
  <c r="G26" i="44"/>
  <c r="M24" i="44"/>
  <c r="E23" i="44"/>
  <c r="F22" i="44"/>
  <c r="F19" i="44"/>
  <c r="C19" i="44"/>
  <c r="C24" i="44"/>
  <c r="I23" i="44"/>
  <c r="M26" i="44"/>
  <c r="D17" i="44"/>
  <c r="K23" i="44"/>
  <c r="E16" i="44"/>
  <c r="G21" i="44"/>
  <c r="D18" i="44"/>
  <c r="F26" i="44"/>
  <c r="C16" i="44"/>
  <c r="L21" i="44"/>
  <c r="L19" i="44"/>
  <c r="M23" i="44"/>
  <c r="J23" i="44"/>
  <c r="H16" i="44"/>
  <c r="H24" i="44"/>
  <c r="H17" i="44"/>
  <c r="K21" i="44"/>
  <c r="I24" i="44"/>
  <c r="F21" i="44"/>
  <c r="F17" i="44"/>
  <c r="D24" i="44"/>
  <c r="J26" i="44"/>
  <c r="M19" i="44"/>
  <c r="D23" i="44"/>
  <c r="J19" i="44"/>
  <c r="K20" i="44"/>
  <c r="H20" i="44"/>
  <c r="M21" i="44"/>
  <c r="J16" i="44"/>
  <c r="J18" i="44"/>
  <c r="F16" i="44"/>
  <c r="G18" i="44"/>
  <c r="E26" i="44"/>
  <c r="L20" i="44"/>
  <c r="K25" i="44"/>
  <c r="F18" i="44"/>
  <c r="K18" i="44"/>
  <c r="M16" i="44"/>
  <c r="K24" i="44"/>
  <c r="D25" i="44"/>
  <c r="G23" i="44"/>
  <c r="G24" i="44"/>
  <c r="I20" i="44"/>
  <c r="F23" i="44"/>
  <c r="J21" i="44"/>
  <c r="H18" i="44"/>
  <c r="C20" i="44"/>
  <c r="L17" i="44"/>
  <c r="K19" i="44"/>
  <c r="F20" i="44"/>
  <c r="M22" i="44"/>
  <c r="D21" i="44"/>
  <c r="D19" i="44"/>
  <c r="H22" i="44"/>
  <c r="L16" i="44"/>
  <c r="C26" i="44"/>
  <c r="K22" i="44"/>
  <c r="I21" i="44"/>
  <c r="H26" i="44"/>
  <c r="L22" i="44"/>
  <c r="E21" i="44"/>
  <c r="I25" i="44"/>
  <c r="E25" i="44"/>
  <c r="M18" i="44"/>
  <c r="D16" i="44"/>
  <c r="D20" i="44"/>
  <c r="C17" i="44"/>
  <c r="F25" i="44"/>
  <c r="K17" i="44"/>
  <c r="E22" i="44"/>
  <c r="L24" i="44"/>
  <c r="C21" i="44"/>
  <c r="I19" i="44"/>
  <c r="E20" i="44"/>
  <c r="M17" i="44"/>
  <c r="I26" i="44"/>
  <c r="G19" i="44"/>
  <c r="G22" i="44"/>
  <c r="K26" i="44"/>
  <c r="F24" i="44"/>
  <c r="C22" i="44"/>
  <c r="J25" i="44"/>
  <c r="I17" i="44"/>
  <c r="I18" i="44"/>
  <c r="L23" i="44"/>
  <c r="J24" i="44"/>
  <c r="E24" i="44"/>
  <c r="E18" i="44"/>
  <c r="H25" i="44"/>
  <c r="C23" i="44"/>
  <c r="H23" i="44"/>
  <c r="J20" i="44"/>
  <c r="C25" i="44"/>
  <c r="D22" i="44"/>
  <c r="L26" i="44"/>
  <c r="H19" i="44"/>
  <c r="G16" i="44"/>
  <c r="G17" i="44"/>
  <c r="C18" i="44"/>
  <c r="G20" i="44"/>
  <c r="E17" i="44"/>
  <c r="F27" i="51" l="1"/>
  <c r="G26" i="50"/>
  <c r="E27" i="50"/>
  <c r="C26" i="50"/>
  <c r="G27" i="48"/>
  <c r="C27" i="48"/>
  <c r="F26" i="49"/>
  <c r="D27" i="49"/>
  <c r="H27" i="49"/>
  <c r="F26" i="46"/>
  <c r="E27" i="46"/>
  <c r="D27" i="46"/>
  <c r="C26" i="46"/>
  <c r="H27" i="46"/>
  <c r="F27" i="47"/>
  <c r="G22" i="50"/>
  <c r="C22" i="50"/>
  <c r="D22" i="46"/>
  <c r="C22" i="46"/>
  <c r="G22" i="46"/>
  <c r="E22" i="47"/>
  <c r="C22" i="47"/>
  <c r="F22" i="47"/>
  <c r="G22" i="47"/>
  <c r="F26" i="48"/>
  <c r="D27" i="48"/>
  <c r="H27" i="48"/>
  <c r="F27" i="48"/>
  <c r="C26" i="48"/>
  <c r="G26" i="48"/>
  <c r="E27" i="48"/>
  <c r="D26" i="48"/>
  <c r="H26" i="48"/>
  <c r="E22" i="51"/>
  <c r="F22" i="51"/>
  <c r="C22" i="51"/>
  <c r="G22" i="51"/>
  <c r="D26" i="46"/>
  <c r="H26" i="46"/>
  <c r="F27" i="46"/>
  <c r="E26" i="46"/>
  <c r="C27" i="46"/>
  <c r="G27" i="46"/>
  <c r="E26" i="47"/>
  <c r="C27" i="47"/>
  <c r="G27" i="47"/>
  <c r="C26" i="47"/>
  <c r="E27" i="47"/>
  <c r="F26" i="47"/>
  <c r="D27" i="47"/>
  <c r="H27" i="47"/>
  <c r="G26" i="47"/>
  <c r="E26" i="48"/>
  <c r="E26" i="51"/>
  <c r="C27" i="51"/>
  <c r="G27" i="51"/>
  <c r="F26" i="51"/>
  <c r="D27" i="51"/>
  <c r="H27" i="51"/>
  <c r="C26" i="51"/>
  <c r="G26" i="51"/>
  <c r="C28" i="51" s="1"/>
  <c r="E27" i="51"/>
  <c r="D22" i="47"/>
  <c r="F22" i="48"/>
  <c r="C22" i="48"/>
  <c r="G22" i="48"/>
  <c r="D22" i="48"/>
  <c r="H22" i="48"/>
  <c r="C22" i="49"/>
  <c r="G22" i="49"/>
  <c r="D22" i="49"/>
  <c r="H22" i="49"/>
  <c r="E22" i="49"/>
  <c r="D22" i="51"/>
  <c r="G26" i="46"/>
  <c r="D26" i="47"/>
  <c r="C26" i="49"/>
  <c r="G26" i="49"/>
  <c r="E27" i="49"/>
  <c r="E26" i="49"/>
  <c r="G27" i="49"/>
  <c r="D26" i="49"/>
  <c r="H26" i="49"/>
  <c r="F27" i="49"/>
  <c r="C27" i="49"/>
  <c r="D26" i="51"/>
  <c r="F22" i="46"/>
  <c r="F22" i="50"/>
  <c r="G27" i="50"/>
  <c r="C27" i="50"/>
  <c r="E26" i="50"/>
  <c r="E22" i="50"/>
  <c r="H27" i="50"/>
  <c r="D27" i="50"/>
  <c r="F26" i="50"/>
  <c r="B28" i="50" s="1"/>
  <c r="E22" i="46"/>
  <c r="H22" i="46"/>
  <c r="F27" i="50"/>
  <c r="H26" i="50"/>
  <c r="H22" i="50"/>
  <c r="C29" i="51" l="1"/>
  <c r="B23" i="50"/>
  <c r="B28" i="51"/>
  <c r="D28" i="51" s="1"/>
  <c r="G38" i="21" s="1"/>
  <c r="B29" i="51"/>
  <c r="C29" i="47"/>
  <c r="C28" i="50"/>
  <c r="D28" i="50" s="1"/>
  <c r="G37" i="21" s="1"/>
  <c r="B29" i="50"/>
  <c r="B29" i="48"/>
  <c r="C28" i="47"/>
  <c r="C29" i="46"/>
  <c r="C29" i="49"/>
  <c r="C29" i="50"/>
  <c r="C28" i="49"/>
  <c r="B28" i="48"/>
  <c r="B28" i="46"/>
  <c r="B29" i="46"/>
  <c r="C29" i="48"/>
  <c r="B29" i="49"/>
  <c r="B28" i="47"/>
  <c r="C28" i="46"/>
  <c r="C28" i="48"/>
  <c r="B29" i="47"/>
  <c r="B28" i="49"/>
  <c r="B23" i="51"/>
  <c r="B23" i="46"/>
  <c r="B23" i="49"/>
  <c r="B23" i="48"/>
  <c r="B23" i="47"/>
  <c r="D29" i="51" l="1"/>
  <c r="F38" i="21" s="1"/>
  <c r="D28" i="49"/>
  <c r="D29" i="47"/>
  <c r="D29" i="50"/>
  <c r="F37" i="21" s="1"/>
  <c r="D29" i="48"/>
  <c r="D28" i="47"/>
  <c r="D29" i="46"/>
  <c r="D29" i="49"/>
  <c r="D28" i="48"/>
  <c r="D28" i="46"/>
  <c r="B19" i="43"/>
  <c r="C19" i="43" s="1"/>
  <c r="B26" i="43" s="1"/>
  <c r="B18" i="43"/>
  <c r="C18" i="43" s="1"/>
  <c r="B17" i="43"/>
  <c r="C17" i="43" s="1"/>
  <c r="B22" i="43" s="1"/>
  <c r="B19" i="42"/>
  <c r="C19" i="42" s="1"/>
  <c r="B26" i="42" s="1"/>
  <c r="B18" i="42"/>
  <c r="C18" i="42" s="1"/>
  <c r="B17" i="42"/>
  <c r="C17" i="42" s="1"/>
  <c r="B22" i="42" s="1"/>
  <c r="B19" i="40"/>
  <c r="C19" i="40" s="1"/>
  <c r="B26" i="40" s="1"/>
  <c r="B18" i="40"/>
  <c r="C18" i="40" s="1"/>
  <c r="B17" i="40"/>
  <c r="C17" i="40" s="1"/>
  <c r="B22" i="40" s="1"/>
  <c r="B19" i="39"/>
  <c r="C19" i="39" s="1"/>
  <c r="B26" i="39" s="1"/>
  <c r="B18" i="39"/>
  <c r="C18" i="39" s="1"/>
  <c r="B17" i="39"/>
  <c r="C17" i="39" s="1"/>
  <c r="B22" i="39" s="1"/>
  <c r="B19" i="38"/>
  <c r="C19" i="38" s="1"/>
  <c r="B26" i="38" s="1"/>
  <c r="B18" i="38"/>
  <c r="C18" i="38" s="1"/>
  <c r="B17" i="38"/>
  <c r="C17" i="38" s="1"/>
  <c r="B22" i="38" s="1"/>
  <c r="F33" i="21"/>
  <c r="G33" i="21"/>
  <c r="H22" i="43" l="1"/>
  <c r="D22" i="43"/>
  <c r="G22" i="43"/>
  <c r="C22" i="43"/>
  <c r="F22" i="43"/>
  <c r="E22" i="43"/>
  <c r="F27" i="43"/>
  <c r="H26" i="43"/>
  <c r="D26" i="43"/>
  <c r="E27" i="43"/>
  <c r="G26" i="43"/>
  <c r="C26" i="43"/>
  <c r="H27" i="43"/>
  <c r="D27" i="43"/>
  <c r="F26" i="43"/>
  <c r="G27" i="43"/>
  <c r="C27" i="43"/>
  <c r="E26" i="43"/>
  <c r="H27" i="42"/>
  <c r="D27" i="42"/>
  <c r="F26" i="42"/>
  <c r="G27" i="42"/>
  <c r="C27" i="42"/>
  <c r="E26" i="42"/>
  <c r="F27" i="42"/>
  <c r="H26" i="42"/>
  <c r="D26" i="42"/>
  <c r="E27" i="42"/>
  <c r="G26" i="42"/>
  <c r="C26" i="42"/>
  <c r="F22" i="42"/>
  <c r="E22" i="42"/>
  <c r="H22" i="42"/>
  <c r="D22" i="42"/>
  <c r="G22" i="42"/>
  <c r="C22" i="42"/>
  <c r="H22" i="40"/>
  <c r="D22" i="40"/>
  <c r="E22" i="40"/>
  <c r="G22" i="40"/>
  <c r="C22" i="40"/>
  <c r="F22" i="40"/>
  <c r="F27" i="40"/>
  <c r="H26" i="40"/>
  <c r="D26" i="40"/>
  <c r="G27" i="40"/>
  <c r="C27" i="40"/>
  <c r="E26" i="40"/>
  <c r="E27" i="40"/>
  <c r="G26" i="40"/>
  <c r="C26" i="40"/>
  <c r="H27" i="40"/>
  <c r="D27" i="40"/>
  <c r="F26" i="40"/>
  <c r="H22" i="39"/>
  <c r="D22" i="39"/>
  <c r="E22" i="39"/>
  <c r="G22" i="39"/>
  <c r="C22" i="39"/>
  <c r="F22" i="39"/>
  <c r="F27" i="39"/>
  <c r="H26" i="39"/>
  <c r="D26" i="39"/>
  <c r="E26" i="39"/>
  <c r="E27" i="39"/>
  <c r="G26" i="39"/>
  <c r="C26" i="39"/>
  <c r="H27" i="39"/>
  <c r="D27" i="39"/>
  <c r="F26" i="39"/>
  <c r="G27" i="39"/>
  <c r="C27" i="39"/>
  <c r="H22" i="38"/>
  <c r="D22" i="38"/>
  <c r="G22" i="38"/>
  <c r="F22" i="38"/>
  <c r="E22" i="38"/>
  <c r="C22" i="38"/>
  <c r="F27" i="38"/>
  <c r="H26" i="38"/>
  <c r="D26" i="38"/>
  <c r="H27" i="38"/>
  <c r="D27" i="38"/>
  <c r="F26" i="38"/>
  <c r="G27" i="38"/>
  <c r="C27" i="38"/>
  <c r="E26" i="38"/>
  <c r="E27" i="38"/>
  <c r="G26" i="38"/>
  <c r="C26" i="38"/>
  <c r="C29" i="43" l="1"/>
  <c r="C28" i="43"/>
  <c r="C29" i="42"/>
  <c r="C28" i="42"/>
  <c r="B29" i="43"/>
  <c r="B28" i="43"/>
  <c r="B29" i="42"/>
  <c r="B28" i="42"/>
  <c r="B28" i="38"/>
  <c r="B29" i="39"/>
  <c r="C29" i="38"/>
  <c r="B28" i="39"/>
  <c r="C28" i="39"/>
  <c r="B28" i="40"/>
  <c r="B29" i="40"/>
  <c r="B29" i="38"/>
  <c r="C28" i="38"/>
  <c r="C29" i="39"/>
  <c r="C29" i="40"/>
  <c r="C28" i="40"/>
  <c r="B23" i="43"/>
  <c r="F26" i="21" s="1"/>
  <c r="B23" i="42"/>
  <c r="F25" i="21" s="1"/>
  <c r="B23" i="38"/>
  <c r="B23" i="40"/>
  <c r="B23" i="39"/>
  <c r="D29" i="39" l="1"/>
  <c r="D29" i="42"/>
  <c r="D28" i="42"/>
  <c r="D29" i="43"/>
  <c r="D28" i="43"/>
  <c r="D28" i="38"/>
  <c r="D29" i="38"/>
  <c r="D29" i="40"/>
  <c r="D28" i="39"/>
  <c r="D28" i="40"/>
  <c r="B19" i="34"/>
  <c r="C19" i="34" s="1"/>
  <c r="B26" i="34" s="1"/>
  <c r="B18" i="34"/>
  <c r="C18" i="34" s="1"/>
  <c r="B17" i="34"/>
  <c r="C17" i="34" s="1"/>
  <c r="B22" i="34" s="1"/>
  <c r="B19" i="35"/>
  <c r="C19" i="35" s="1"/>
  <c r="B26" i="35" s="1"/>
  <c r="B18" i="35"/>
  <c r="C18" i="35" s="1"/>
  <c r="B17" i="35"/>
  <c r="C17" i="35" s="1"/>
  <c r="B22" i="35" s="1"/>
  <c r="B19" i="36"/>
  <c r="C19" i="36" s="1"/>
  <c r="B26" i="36" s="1"/>
  <c r="B18" i="36"/>
  <c r="C18" i="36" s="1"/>
  <c r="B17" i="36"/>
  <c r="C17" i="36" s="1"/>
  <c r="B22" i="36" s="1"/>
  <c r="B19" i="33"/>
  <c r="C19" i="33" s="1"/>
  <c r="B26" i="33" s="1"/>
  <c r="B18" i="33"/>
  <c r="C18" i="33" s="1"/>
  <c r="B17" i="33"/>
  <c r="C17" i="33" s="1"/>
  <c r="B22" i="33" s="1"/>
  <c r="E22" i="33" s="1"/>
  <c r="B19" i="22"/>
  <c r="C19" i="22" s="1"/>
  <c r="B26" i="22" s="1"/>
  <c r="B18" i="22"/>
  <c r="C18" i="22" s="1"/>
  <c r="B17" i="22"/>
  <c r="C17" i="22" s="1"/>
  <c r="B22" i="22" s="1"/>
  <c r="C22" i="22" l="1"/>
  <c r="H22" i="22"/>
  <c r="D22" i="22"/>
  <c r="G22" i="22"/>
  <c r="F22" i="22"/>
  <c r="E22" i="22"/>
  <c r="E27" i="35"/>
  <c r="H26" i="35"/>
  <c r="G27" i="35"/>
  <c r="G26" i="35"/>
  <c r="D26" i="35"/>
  <c r="C27" i="35"/>
  <c r="F27" i="35"/>
  <c r="F26" i="35"/>
  <c r="C26" i="35"/>
  <c r="E26" i="35"/>
  <c r="D27" i="35"/>
  <c r="H27" i="35"/>
  <c r="C22" i="35"/>
  <c r="F22" i="35"/>
  <c r="E22" i="35"/>
  <c r="G22" i="35"/>
  <c r="D22" i="35"/>
  <c r="H22" i="35"/>
  <c r="E22" i="34"/>
  <c r="C22" i="34"/>
  <c r="F22" i="34"/>
  <c r="G22" i="34"/>
  <c r="H22" i="34"/>
  <c r="D22" i="34"/>
  <c r="C26" i="22"/>
  <c r="D27" i="22"/>
  <c r="G27" i="22"/>
  <c r="F26" i="22"/>
  <c r="C27" i="22"/>
  <c r="H27" i="22"/>
  <c r="E26" i="22"/>
  <c r="D26" i="22"/>
  <c r="F27" i="22"/>
  <c r="H26" i="22"/>
  <c r="E27" i="22"/>
  <c r="G26" i="22"/>
  <c r="G27" i="33"/>
  <c r="H26" i="33"/>
  <c r="C26" i="33"/>
  <c r="F26" i="33"/>
  <c r="F27" i="33"/>
  <c r="G26" i="33"/>
  <c r="H27" i="33"/>
  <c r="C27" i="33"/>
  <c r="D26" i="33"/>
  <c r="D27" i="33"/>
  <c r="E26" i="33"/>
  <c r="E27" i="33"/>
  <c r="F27" i="36"/>
  <c r="G27" i="36"/>
  <c r="H27" i="36"/>
  <c r="E27" i="36"/>
  <c r="H26" i="36"/>
  <c r="C27" i="36"/>
  <c r="C26" i="36"/>
  <c r="F26" i="36"/>
  <c r="G26" i="36"/>
  <c r="D26" i="36"/>
  <c r="E26" i="36"/>
  <c r="D27" i="36"/>
  <c r="G22" i="36"/>
  <c r="D22" i="36"/>
  <c r="C22" i="36"/>
  <c r="F22" i="36"/>
  <c r="H22" i="36"/>
  <c r="E22" i="36"/>
  <c r="G27" i="34"/>
  <c r="H26" i="34"/>
  <c r="C26" i="34"/>
  <c r="F26" i="34"/>
  <c r="F27" i="34"/>
  <c r="G26" i="34"/>
  <c r="H27" i="34"/>
  <c r="C27" i="34"/>
  <c r="D26" i="34"/>
  <c r="D27" i="34"/>
  <c r="E26" i="34"/>
  <c r="E27" i="34"/>
  <c r="C22" i="33"/>
  <c r="H22" i="33"/>
  <c r="F22" i="33"/>
  <c r="G22" i="33"/>
  <c r="D22" i="33"/>
  <c r="C29" i="35" l="1"/>
  <c r="B28" i="35"/>
  <c r="C29" i="34"/>
  <c r="C28" i="35"/>
  <c r="B29" i="35"/>
  <c r="B28" i="36"/>
  <c r="C28" i="36"/>
  <c r="B28" i="34"/>
  <c r="C29" i="36"/>
  <c r="B29" i="36"/>
  <c r="C28" i="34"/>
  <c r="B29" i="34"/>
  <c r="C29" i="33"/>
  <c r="B28" i="33"/>
  <c r="C28" i="33"/>
  <c r="B29" i="33"/>
  <c r="B28" i="22"/>
  <c r="B29" i="22"/>
  <c r="C28" i="22"/>
  <c r="C29" i="22"/>
  <c r="B23" i="22"/>
  <c r="B23" i="35"/>
  <c r="F23" i="21" s="1"/>
  <c r="B23" i="34"/>
  <c r="F22" i="21" s="1"/>
  <c r="B23" i="33"/>
  <c r="F21" i="21" s="1"/>
  <c r="B23" i="36"/>
  <c r="F24" i="21" s="1"/>
  <c r="F17" i="21"/>
  <c r="D29" i="35" l="1"/>
  <c r="D28" i="35"/>
  <c r="D29" i="34"/>
  <c r="D28" i="36"/>
  <c r="D28" i="34"/>
  <c r="D29" i="36"/>
  <c r="D29" i="33"/>
  <c r="D28" i="33"/>
  <c r="D28" i="22"/>
  <c r="D29" i="22"/>
</calcChain>
</file>

<file path=xl/sharedStrings.xml><?xml version="1.0" encoding="utf-8"?>
<sst xmlns="http://schemas.openxmlformats.org/spreadsheetml/2006/main" count="639" uniqueCount="109">
  <si>
    <t>Average Progress</t>
  </si>
  <si>
    <t>Level of Progress</t>
  </si>
  <si>
    <t>Overview of Tool:</t>
  </si>
  <si>
    <t>Benefit of Tool:</t>
  </si>
  <si>
    <t>Desired Level of Progress</t>
  </si>
  <si>
    <t>Decile</t>
  </si>
  <si>
    <t>EOY goal range:</t>
  </si>
  <si>
    <t>Deciles EOY:</t>
  </si>
  <si>
    <t>Category EOY:</t>
  </si>
  <si>
    <t>MOY goal range:</t>
  </si>
  <si>
    <t>Deciles MOY:</t>
  </si>
  <si>
    <t>EOY ranges</t>
  </si>
  <si>
    <t>MOY ranges</t>
  </si>
  <si>
    <t>Step 1</t>
  </si>
  <si>
    <t>Step 2</t>
  </si>
  <si>
    <t>Cleaned BOY</t>
  </si>
  <si>
    <t>Cleaned EOY</t>
  </si>
  <si>
    <t>Cleaned Step 2 BOY</t>
  </si>
  <si>
    <t>Well-below Average Progress</t>
  </si>
  <si>
    <t>Below Average Progress</t>
  </si>
  <si>
    <t>Above Average Progress</t>
  </si>
  <si>
    <t>BOY % At Benchmark</t>
  </si>
  <si>
    <t>EOY % At Benchmark</t>
  </si>
  <si>
    <t>Grade</t>
  </si>
  <si>
    <t>Grades K-3</t>
  </si>
  <si>
    <t>Kindergarten</t>
  </si>
  <si>
    <t>1st Grade</t>
  </si>
  <si>
    <t>2nd Grade</t>
  </si>
  <si>
    <t>3rd Grade</t>
  </si>
  <si>
    <t>4th Grade</t>
  </si>
  <si>
    <t>5th Grade</t>
  </si>
  <si>
    <t>Grades K-2</t>
  </si>
  <si>
    <t>Grades K-1</t>
  </si>
  <si>
    <t>Grades 1-3</t>
  </si>
  <si>
    <t>Select Grade Range</t>
  </si>
  <si>
    <t>Well Below Average Progress</t>
  </si>
  <si>
    <t>Well Above Average Progress</t>
  </si>
  <si>
    <t xml:space="preserve">Amplify Progress Planning Tool for mCLASS®: DIBELS Next® </t>
  </si>
  <si>
    <t>This tool is designed to serve two purposes for schools and their districts:</t>
  </si>
  <si>
    <r>
      <t xml:space="preserve">Welcome to the Amplify Progress Planning Tool for mCLASS®:DIBELS Next®.  This tool utilizes data from mCLASS users across the nation to provide schools and districts with a meaningful comparative perspective for their progress during the school year.  Schools that begin the year with a similar percentage of students reading at </t>
    </r>
    <r>
      <rPr>
        <u/>
        <sz val="12"/>
        <color rgb="FF00B050"/>
        <rFont val="Calibri"/>
        <family val="2"/>
        <scheme val="minor"/>
      </rPr>
      <t>Benchmark</t>
    </r>
    <r>
      <rPr>
        <sz val="12"/>
        <color rgb="FF000000"/>
        <rFont val="Calibri"/>
        <family val="2"/>
        <scheme val="minor"/>
      </rPr>
      <t xml:space="preserve"> levels are grouped as a cohort, which is then divided into five groups (quintiles) by ranking the schools based on their students' performance at the end of the year. The progress made by schools in each of these groups has been characterized as Well Above Average, Above Average, Average, Below Average, or Well Below Average.</t>
    </r>
  </si>
  <si>
    <t>Increasing the percentage of students reading at Benchmark levels</t>
  </si>
  <si>
    <t>BOY % of students reading       At/Above Benchmark</t>
  </si>
  <si>
    <t>MOY % At Benchmark          Goal Range</t>
  </si>
  <si>
    <t>EOY % At Benchmark         Goal Range</t>
  </si>
  <si>
    <t>Click to Select</t>
  </si>
  <si>
    <t>If you have any questions please call Amplify Pedagogical Support at 1 800 823-1969, Option #5.</t>
  </si>
  <si>
    <t>Beginning of Year</t>
  </si>
  <si>
    <t>Well below Average Progress</t>
  </si>
  <si>
    <t>Well above Average Progress</t>
  </si>
  <si>
    <t>Middle of Year % At/Above Benchmark</t>
  </si>
  <si>
    <t>End of Year % At/Above Benchmark</t>
  </si>
  <si>
    <r>
      <t xml:space="preserve">This section of the Amplify Progress Planning Tool allows a user to view the progress ranges directly instead of having a category of progress returned automatically. The chart allows a user to identify a cohort of similarly performing schools based on the percent of students reading at </t>
    </r>
    <r>
      <rPr>
        <u/>
        <sz val="12"/>
        <color rgb="FF00B050"/>
        <rFont val="Calibri"/>
        <family val="2"/>
        <scheme val="minor"/>
      </rPr>
      <t>Benchmark</t>
    </r>
    <r>
      <rPr>
        <sz val="12"/>
        <color rgb="FF000000"/>
        <rFont val="Calibri"/>
        <family val="2"/>
        <scheme val="minor"/>
      </rPr>
      <t xml:space="preserve"> levels at BOY, and then identify where they rank within that cohort based on their students' performance at the end of the year.</t>
    </r>
  </si>
  <si>
    <t>Select School Year</t>
  </si>
  <si>
    <t>1718_K1</t>
  </si>
  <si>
    <t>1718_K2</t>
  </si>
  <si>
    <t>1718_K3</t>
  </si>
  <si>
    <t>1718_13</t>
  </si>
  <si>
    <t>1718_K</t>
  </si>
  <si>
    <t>1718_1</t>
  </si>
  <si>
    <t>1718_2</t>
  </si>
  <si>
    <t>1718_3</t>
  </si>
  <si>
    <t>1718_4</t>
  </si>
  <si>
    <t>1718_5</t>
  </si>
  <si>
    <t>2017-18Grades K-1</t>
  </si>
  <si>
    <t>2017-18Grades K-2</t>
  </si>
  <si>
    <t>2017-18Grades K-3</t>
  </si>
  <si>
    <t>2017-18Grades 1-3</t>
  </si>
  <si>
    <t>2017-18Kindergarten</t>
  </si>
  <si>
    <t>2017-181st Grade</t>
  </si>
  <si>
    <t>2017-182nd Grade</t>
  </si>
  <si>
    <t>2017-183rd Grade</t>
  </si>
  <si>
    <t>2017-184th Grade</t>
  </si>
  <si>
    <t>2017-185th Grade</t>
  </si>
  <si>
    <t>2017-18</t>
  </si>
  <si>
    <t>1.  To provide context for your school's performance during the 2017-18 School Year (e.g., was the progress that your school made typical/average - or was it below/above average?).</t>
  </si>
  <si>
    <t>2.  To facilitate realistic goal setting for the 2018-19 School Year.  For example, if your school desires to perform better than your peers during this upcoming school year, what percentage of students will need to be scoring at Benchmark levels at the Middle of Year and End of Year administrations?</t>
  </si>
  <si>
    <t>Step 1: Evaluate your school's progress for 2017-18</t>
  </si>
  <si>
    <t>Enter the percentage of students that scored at Benchmark levels for the Beginning of Year (BOY) and End of Year (EOY) administrations during the 2017-18 School Year (the grey highlighted cells).  The chart will then display the category of progress associated with your school's results.  Please note that the tool permits you to evaluate progress for the entire school (for all assessed grades at once) as well as on a specific grade-by-grade basis that should be especially helpful to teachers when evaluating their results for the year.</t>
  </si>
  <si>
    <t>Step 2: Set progress goals for 2018-19</t>
  </si>
  <si>
    <t>2018-19 Goal Setting - All Grades</t>
  </si>
  <si>
    <t>Select the level of progress that your school would like to make in the 2018-19 School Year (Average, Above Average, or Well Above Average).  Then, enter the percentage of students that scored at the Benchmark level during your BOY administration (the grey highlighted cells).  If you have not yet administered BOY for this year, you can enter the data from last year for now, and update your goal once you have the data for the current year.</t>
  </si>
  <si>
    <r>
      <t xml:space="preserve">1. Select the desired range of grades from the first drop down menu, and "2017-18" from the second drop down menu (click the grey cells below)
2. Find the row in the first column that corresponds to the percent of students scoring at </t>
    </r>
    <r>
      <rPr>
        <u/>
        <sz val="12"/>
        <color rgb="FF00B050"/>
        <rFont val="Calibri"/>
        <family val="2"/>
        <scheme val="minor"/>
      </rPr>
      <t>Benchmark</t>
    </r>
    <r>
      <rPr>
        <sz val="12"/>
        <color rgb="FF000000"/>
        <rFont val="Calibri"/>
        <family val="2"/>
        <scheme val="minor"/>
      </rPr>
      <t xml:space="preserve"> at BOY 2017-18
3. Find the column within this row corresponding to the percent of students scoring at </t>
    </r>
    <r>
      <rPr>
        <u/>
        <sz val="12"/>
        <color rgb="FF00B050"/>
        <rFont val="Calibri"/>
        <family val="2"/>
        <scheme val="minor"/>
      </rPr>
      <t>Benchmark</t>
    </r>
    <r>
      <rPr>
        <sz val="12"/>
        <color rgb="FF000000"/>
        <rFont val="Calibri"/>
        <family val="2"/>
        <scheme val="minor"/>
      </rPr>
      <t xml:space="preserve"> at EOY 2017-18
4. This column indicates your category of progress in 2017-18. To evaluate what it would have taken to be in other categories of progress, look at the ranges for other columns within your row.</t>
    </r>
  </si>
  <si>
    <t>To set progress goals for 2018-19:</t>
  </si>
  <si>
    <r>
      <t xml:space="preserve">1. Select the desired range of grades from the first drop down menu, and "2018-19" from the second drop down menu (click the grey cells below)
2. Find the row in the first column that corresponds to the percent of students scoring at </t>
    </r>
    <r>
      <rPr>
        <u/>
        <sz val="12"/>
        <color rgb="FF00B050"/>
        <rFont val="Calibri"/>
        <family val="2"/>
        <scheme val="minor"/>
      </rPr>
      <t>Benchmark</t>
    </r>
    <r>
      <rPr>
        <sz val="12"/>
        <color rgb="FF000000"/>
        <rFont val="Calibri"/>
        <family val="2"/>
        <scheme val="minor"/>
      </rPr>
      <t xml:space="preserve"> at BOY 2018-19; this row indentifies your cohort of similarly scoring schools for 2018-19
3. Choose the column that corresponds to your desired category of progress to set goals for MOY and EOY</t>
    </r>
  </si>
  <si>
    <t>2018-19</t>
  </si>
  <si>
    <t>1819_K</t>
  </si>
  <si>
    <t>2018-19Kindergarten</t>
  </si>
  <si>
    <t>2017-18 BOY to EOY Progress - All Grades</t>
  </si>
  <si>
    <t>2017-18 BOY to EOY Progress - Individual Grades</t>
  </si>
  <si>
    <t>2018-19 Goal Setting - Individual Grades</t>
  </si>
  <si>
    <t>To evaluate 2017-18 school progress:</t>
  </si>
  <si>
    <t>2018-19Grades 1-3</t>
  </si>
  <si>
    <t>1819_13</t>
  </si>
  <si>
    <t>2018-191st Grade</t>
  </si>
  <si>
    <t>1819_1</t>
  </si>
  <si>
    <t>2018-192nd Grade</t>
  </si>
  <si>
    <t>1819_2</t>
  </si>
  <si>
    <t>2018-193rd Grade</t>
  </si>
  <si>
    <t>1819_3</t>
  </si>
  <si>
    <t>2018-194th Grade</t>
  </si>
  <si>
    <t>1819_4</t>
  </si>
  <si>
    <t>1819_5</t>
  </si>
  <si>
    <t>2018-195th Grade</t>
  </si>
  <si>
    <t>2018-19Grades K-1</t>
  </si>
  <si>
    <t>1819_K1</t>
  </si>
  <si>
    <t>1819_K2</t>
  </si>
  <si>
    <t>2018-19Grades K-2</t>
  </si>
  <si>
    <t>2018-19Grades K-3</t>
  </si>
  <si>
    <t>1819_K3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</si>
</sst>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family val="2"/>
      <scheme val="minor"/>
    </font>
    <font>
      <sz val="11"/>
      <color theme="1"/>
      <name val="Calibri"/>
      <family val="2"/>
      <scheme val="minor"/>
    </font>
    <font>
      <u/>
      <sz val="11"/>
      <color theme="10"/>
      <name val="Calibri"/>
      <family val="2"/>
      <scheme val="minor"/>
    </font>
    <font>
      <u/>
      <sz val="11"/>
      <color theme="11"/>
      <name val="Calibri"/>
      <family val="2"/>
      <scheme val="minor"/>
    </font>
    <font>
      <sz val="12"/>
      <color rgb="FF000000"/>
      <name val="Calibri"/>
      <family val="2"/>
      <scheme val="minor"/>
    </font>
    <font>
      <b/>
      <sz val="12"/>
      <color rgb="FF000000"/>
      <name val="Calibri"/>
      <family val="2"/>
      <scheme val="minor"/>
    </font>
    <font>
      <b/>
      <sz val="11"/>
      <color theme="1"/>
      <name val="Calibri"/>
      <family val="2"/>
      <scheme val="minor"/>
    </font>
    <font>
      <sz val="10"/>
      <color theme="1"/>
      <name val="Arial Unicode MS"/>
      <family val="2"/>
    </font>
    <font>
      <b/>
      <u/>
      <sz val="11"/>
      <color theme="1"/>
      <name val="Calibri"/>
      <family val="2"/>
      <scheme val="minor"/>
    </font>
    <font>
      <b/>
      <sz val="18"/>
      <color rgb="FF000000"/>
      <name val="Calibri"/>
      <family val="2"/>
      <scheme val="minor"/>
    </font>
    <font>
      <b/>
      <i/>
      <sz val="17"/>
      <color rgb="FF008000"/>
      <name val="Calibri"/>
      <family val="2"/>
      <scheme val="minor"/>
    </font>
    <font>
      <sz val="8"/>
      <name val="Calibri"/>
      <family val="2"/>
      <scheme val="minor"/>
    </font>
    <font>
      <u/>
      <sz val="12"/>
      <color rgb="FF00B050"/>
      <name val="Calibri"/>
      <family val="2"/>
      <scheme val="minor"/>
    </font>
    <font>
      <b/>
      <sz val="12"/>
      <color theme="1"/>
      <name val="Calibri"/>
      <family val="2"/>
      <scheme val="minor"/>
    </font>
    <font>
      <i/>
      <sz val="11"/>
      <color rgb="FF000000"/>
      <name val="Calibri"/>
      <family val="2"/>
      <scheme val="minor"/>
    </font>
    <font>
      <sz val="12"/>
      <color theme="1"/>
      <name val="Calibri"/>
      <family val="2"/>
      <scheme val="minor"/>
    </font>
    <font>
      <sz val="11"/>
      <color rgb="FF000000"/>
      <name val="Calibri"/>
      <family val="2"/>
      <scheme val="minor"/>
    </font>
  </fonts>
  <fills count="8">
    <fill>
      <patternFill patternType="none"/>
    </fill>
    <fill>
      <patternFill patternType="gray125"/>
    </fill>
    <fill>
      <patternFill patternType="solid">
        <fgColor theme="0"/>
        <bgColor rgb="FF000000"/>
      </patternFill>
    </fill>
    <fill>
      <patternFill patternType="solid">
        <fgColor theme="0"/>
        <bgColor indexed="64"/>
      </patternFill>
    </fill>
    <fill>
      <patternFill patternType="solid">
        <fgColor rgb="FF008000"/>
        <bgColor rgb="FF000000"/>
      </patternFill>
    </fill>
    <fill>
      <patternFill patternType="solid">
        <fgColor rgb="FF008000"/>
        <bgColor indexed="64"/>
      </patternFill>
    </fill>
    <fill>
      <patternFill patternType="solid">
        <fgColor theme="0" tint="-0.14999847407452621"/>
        <bgColor indexed="64"/>
      </patternFill>
    </fill>
    <fill>
      <patternFill patternType="solid">
        <fgColor theme="0" tint="-0.14999847407452621"/>
        <bgColor rgb="FF000000"/>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s>
  <cellStyleXfs count="4">
    <xf numFmtId="0" fontId="0" fillId="0" borderId="0"/>
    <xf numFmtId="9" fontId="1"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cellStyleXfs>
  <cellXfs count="67">
    <xf numFmtId="0" fontId="0" fillId="0" borderId="0" xfId="0"/>
    <xf numFmtId="0" fontId="7" fillId="0" borderId="0" xfId="0" applyFont="1"/>
    <xf numFmtId="0" fontId="6" fillId="0" borderId="0" xfId="0" applyFont="1"/>
    <xf numFmtId="0" fontId="7" fillId="0" borderId="1" xfId="0" applyFont="1" applyBorder="1"/>
    <xf numFmtId="0" fontId="0" fillId="0" borderId="1" xfId="0" applyBorder="1"/>
    <xf numFmtId="0" fontId="8" fillId="0" borderId="0" xfId="0" applyFont="1"/>
    <xf numFmtId="0" fontId="0" fillId="0" borderId="0" xfId="0" applyBorder="1"/>
    <xf numFmtId="0" fontId="7" fillId="0" borderId="0" xfId="0" applyFont="1" applyBorder="1"/>
    <xf numFmtId="0" fontId="0" fillId="5" borderId="0" xfId="0" applyFill="1"/>
    <xf numFmtId="0" fontId="4" fillId="4" borderId="0" xfId="0" applyFont="1" applyFill="1"/>
    <xf numFmtId="9" fontId="6" fillId="3" borderId="1" xfId="1" applyFont="1" applyFill="1" applyBorder="1" applyAlignment="1">
      <alignment horizontal="center" vertical="center"/>
    </xf>
    <xf numFmtId="0" fontId="5" fillId="2" borderId="1" xfId="0" applyFont="1" applyFill="1" applyBorder="1" applyAlignment="1">
      <alignment horizontal="center" vertical="center"/>
    </xf>
    <xf numFmtId="0" fontId="5" fillId="2" borderId="1" xfId="0" applyFont="1" applyFill="1" applyBorder="1" applyAlignment="1">
      <alignment horizontal="center" vertical="center" wrapText="1"/>
    </xf>
    <xf numFmtId="0" fontId="4" fillId="2" borderId="0" xfId="0" applyFont="1" applyFill="1" applyAlignment="1">
      <alignment vertical="center"/>
    </xf>
    <xf numFmtId="0" fontId="4" fillId="6" borderId="1" xfId="0" applyFont="1" applyFill="1" applyBorder="1" applyAlignment="1" applyProtection="1">
      <alignment horizontal="center" vertical="center"/>
      <protection locked="0"/>
    </xf>
    <xf numFmtId="0" fontId="4" fillId="2" borderId="1" xfId="0" applyFont="1" applyFill="1" applyBorder="1" applyAlignment="1">
      <alignment horizontal="center" vertical="center"/>
    </xf>
    <xf numFmtId="0" fontId="4" fillId="3" borderId="1" xfId="0" applyFont="1" applyFill="1" applyBorder="1" applyAlignment="1" applyProtection="1">
      <alignment horizontal="center" vertical="center"/>
      <protection locked="0"/>
    </xf>
    <xf numFmtId="0" fontId="4" fillId="2" borderId="0" xfId="0" applyFont="1" applyFill="1" applyAlignment="1">
      <alignment horizontal="left" vertical="center" wrapText="1"/>
    </xf>
    <xf numFmtId="0" fontId="10" fillId="2" borderId="0" xfId="0" applyFont="1" applyFill="1" applyAlignment="1">
      <alignment horizontal="center" vertical="center"/>
    </xf>
    <xf numFmtId="9" fontId="13" fillId="0" borderId="1" xfId="1" applyFont="1" applyBorder="1" applyAlignment="1">
      <alignment horizontal="center" vertical="center" wrapText="1"/>
    </xf>
    <xf numFmtId="0" fontId="4" fillId="2" borderId="0" xfId="0" applyFont="1" applyFill="1"/>
    <xf numFmtId="0" fontId="0" fillId="0" borderId="0" xfId="0" applyAlignment="1">
      <alignment horizontal="center"/>
    </xf>
    <xf numFmtId="0" fontId="0" fillId="5" borderId="0" xfId="0" applyFill="1" applyProtection="1"/>
    <xf numFmtId="0" fontId="10" fillId="2" borderId="0" xfId="0" applyFont="1" applyFill="1" applyAlignment="1" applyProtection="1">
      <alignment horizontal="center" vertical="center"/>
    </xf>
    <xf numFmtId="0" fontId="4" fillId="2" borderId="0" xfId="0" applyFont="1" applyFill="1" applyAlignment="1" applyProtection="1">
      <alignment horizontal="left" vertical="center" wrapText="1"/>
    </xf>
    <xf numFmtId="0" fontId="4" fillId="2" borderId="0" xfId="0" applyFont="1" applyFill="1" applyAlignment="1" applyProtection="1">
      <alignment vertical="center"/>
    </xf>
    <xf numFmtId="9" fontId="6" fillId="3" borderId="0" xfId="1" applyFont="1" applyFill="1" applyBorder="1" applyAlignment="1" applyProtection="1">
      <alignment horizontal="center" vertical="center"/>
    </xf>
    <xf numFmtId="0" fontId="5" fillId="2" borderId="0" xfId="0" applyFont="1" applyFill="1" applyBorder="1" applyAlignment="1" applyProtection="1">
      <alignment horizontal="center" vertical="center"/>
    </xf>
    <xf numFmtId="0" fontId="6" fillId="3" borderId="0" xfId="0" applyFont="1" applyFill="1" applyBorder="1" applyAlignment="1" applyProtection="1">
      <alignment horizontal="center" vertical="center"/>
    </xf>
    <xf numFmtId="0" fontId="4" fillId="2" borderId="0" xfId="0" applyFont="1" applyFill="1" applyProtection="1"/>
    <xf numFmtId="0" fontId="4" fillId="4" borderId="0" xfId="0" applyFont="1" applyFill="1" applyProtection="1"/>
    <xf numFmtId="0" fontId="5" fillId="2" borderId="1" xfId="0" applyFont="1" applyFill="1" applyBorder="1" applyAlignment="1" applyProtection="1">
      <alignment horizontal="center" vertical="center" wrapText="1"/>
    </xf>
    <xf numFmtId="0" fontId="16" fillId="6" borderId="1" xfId="0" applyFont="1" applyFill="1" applyBorder="1" applyAlignment="1" applyProtection="1">
      <alignment horizontal="center" vertical="center" wrapText="1"/>
      <protection locked="0"/>
    </xf>
    <xf numFmtId="0" fontId="5" fillId="3" borderId="1" xfId="0" applyFont="1" applyFill="1" applyBorder="1" applyAlignment="1" applyProtection="1">
      <alignment horizontal="center" vertical="center" wrapText="1"/>
    </xf>
    <xf numFmtId="9" fontId="6" fillId="3" borderId="1" xfId="1" applyFont="1" applyFill="1" applyBorder="1" applyAlignment="1" applyProtection="1">
      <alignment horizontal="center" vertical="center" wrapText="1"/>
    </xf>
    <xf numFmtId="0" fontId="6" fillId="3" borderId="1" xfId="0" applyFont="1" applyFill="1" applyBorder="1" applyAlignment="1" applyProtection="1">
      <alignment horizontal="center" vertical="center" wrapText="1"/>
    </xf>
    <xf numFmtId="0" fontId="15" fillId="3" borderId="0" xfId="0" applyFont="1" applyFill="1" applyBorder="1" applyAlignment="1" applyProtection="1">
      <alignment horizontal="center" vertical="center"/>
    </xf>
    <xf numFmtId="0" fontId="0" fillId="3" borderId="0" xfId="0" applyFill="1" applyBorder="1" applyAlignment="1" applyProtection="1">
      <alignment horizontal="center" vertical="center"/>
    </xf>
    <xf numFmtId="49" fontId="0" fillId="0" borderId="0" xfId="0" applyNumberFormat="1"/>
    <xf numFmtId="0" fontId="0" fillId="0" borderId="0" xfId="0" applyNumberFormat="1"/>
    <xf numFmtId="0" fontId="7" fillId="0" borderId="1" xfId="0" pivotButton="1" applyFont="1" applyBorder="1"/>
    <xf numFmtId="0" fontId="7" fillId="0" borderId="0" xfId="0" pivotButton="1" applyFont="1"/>
    <xf numFmtId="0" fontId="0" fillId="0" borderId="0" xfId="0" pivotButton="1"/>
    <xf numFmtId="0" fontId="0" fillId="0" borderId="1" xfId="0" pivotButton="1" applyBorder="1"/>
    <xf numFmtId="0" fontId="0" fillId="0" borderId="1" xfId="0" applyNumberFormat="1" applyBorder="1"/>
    <xf numFmtId="10" fontId="6" fillId="3" borderId="1" xfId="1" applyNumberFormat="1" applyFont="1" applyFill="1" applyBorder="1" applyAlignment="1">
      <alignment horizontal="center" vertical="center"/>
    </xf>
    <xf numFmtId="0" fontId="0" fillId="0" borderId="1" xfId="0" applyFill="1" applyBorder="1"/>
    <xf numFmtId="9" fontId="0" fillId="6" borderId="1" xfId="1" applyNumberFormat="1" applyFont="1" applyFill="1" applyBorder="1" applyAlignment="1" applyProtection="1">
      <alignment horizontal="center" vertical="center"/>
      <protection locked="0"/>
    </xf>
    <xf numFmtId="9" fontId="4" fillId="7" borderId="1" xfId="1" applyNumberFormat="1" applyFont="1" applyFill="1" applyBorder="1" applyAlignment="1" applyProtection="1">
      <alignment horizontal="center" vertical="center"/>
      <protection locked="0"/>
    </xf>
    <xf numFmtId="0" fontId="14" fillId="2" borderId="0" xfId="0" applyFont="1" applyFill="1" applyAlignment="1">
      <alignment horizontal="left"/>
    </xf>
    <xf numFmtId="0" fontId="4" fillId="2" borderId="0" xfId="0" applyFont="1" applyFill="1" applyAlignment="1">
      <alignment horizontal="left" vertical="center" wrapText="1"/>
    </xf>
    <xf numFmtId="10" fontId="0" fillId="3" borderId="2" xfId="0" applyNumberFormat="1" applyFill="1" applyBorder="1" applyAlignment="1">
      <alignment horizontal="center" vertical="center"/>
    </xf>
    <xf numFmtId="10" fontId="0" fillId="3" borderId="3" xfId="0" applyNumberFormat="1" applyFill="1" applyBorder="1" applyAlignment="1">
      <alignment horizontal="center" vertical="center"/>
    </xf>
    <xf numFmtId="0" fontId="6" fillId="3" borderId="1" xfId="0" applyFont="1" applyFill="1" applyBorder="1" applyAlignment="1">
      <alignment horizontal="center" vertical="center"/>
    </xf>
    <xf numFmtId="0" fontId="5" fillId="2" borderId="1" xfId="0" applyFont="1" applyFill="1" applyBorder="1" applyAlignment="1">
      <alignment horizontal="center" vertical="center"/>
    </xf>
    <xf numFmtId="0" fontId="5" fillId="2" borderId="0" xfId="0" applyFont="1" applyFill="1" applyAlignment="1">
      <alignment horizontal="left" vertical="center" wrapText="1"/>
    </xf>
    <xf numFmtId="0" fontId="9" fillId="2" borderId="0" xfId="0" applyFont="1" applyFill="1" applyAlignment="1">
      <alignment horizontal="center" vertical="center"/>
    </xf>
    <xf numFmtId="0" fontId="10" fillId="2" borderId="0" xfId="0" applyFont="1" applyFill="1" applyAlignment="1">
      <alignment horizontal="center" vertical="center"/>
    </xf>
    <xf numFmtId="10" fontId="0" fillId="3" borderId="1" xfId="0" applyNumberFormat="1" applyFill="1" applyBorder="1" applyAlignment="1">
      <alignment horizontal="center" vertical="center"/>
    </xf>
    <xf numFmtId="0" fontId="14" fillId="2" borderId="0" xfId="0" applyFont="1" applyFill="1" applyAlignment="1" applyProtection="1">
      <alignment horizontal="left"/>
    </xf>
    <xf numFmtId="0" fontId="4" fillId="2" borderId="0" xfId="0" applyFont="1" applyFill="1" applyAlignment="1" applyProtection="1">
      <alignment horizontal="left" vertical="center" wrapText="1"/>
    </xf>
    <xf numFmtId="0" fontId="5" fillId="2" borderId="0" xfId="0" applyFont="1" applyFill="1" applyAlignment="1" applyProtection="1">
      <alignment horizontal="left" vertical="center" wrapText="1"/>
    </xf>
    <xf numFmtId="0" fontId="6" fillId="3" borderId="0" xfId="0" applyFont="1" applyFill="1" applyBorder="1" applyAlignment="1" applyProtection="1">
      <alignment horizontal="center" vertical="center"/>
    </xf>
    <xf numFmtId="0" fontId="5" fillId="3" borderId="1" xfId="0" applyFont="1" applyFill="1" applyBorder="1" applyAlignment="1" applyProtection="1">
      <alignment horizontal="center" vertical="center"/>
    </xf>
    <xf numFmtId="0" fontId="5" fillId="3" borderId="1" xfId="0" applyFont="1" applyFill="1" applyBorder="1" applyAlignment="1" applyProtection="1">
      <alignment horizontal="center" vertical="center" wrapText="1"/>
    </xf>
    <xf numFmtId="0" fontId="9" fillId="2" borderId="0" xfId="0" applyFont="1" applyFill="1" applyAlignment="1" applyProtection="1">
      <alignment horizontal="center" vertical="center"/>
    </xf>
    <xf numFmtId="0" fontId="10" fillId="2" borderId="0" xfId="0" applyFont="1" applyFill="1" applyAlignment="1" applyProtection="1">
      <alignment horizontal="center" vertical="center"/>
    </xf>
  </cellXfs>
  <cellStyles count="4">
    <cellStyle name="Followed Hyperlink" xfId="3" builtinId="9" hidden="1"/>
    <cellStyle name="Hyperlink" xfId="2" builtinId="8" hidden="1"/>
    <cellStyle name="Normal" xfId="0" builtinId="0"/>
    <cellStyle name="Percent" xfId="1" builtinId="5"/>
  </cellStyles>
  <dxfs count="17">
    <dxf>
      <fill>
        <patternFill>
          <bgColor rgb="FFD7AAF8"/>
        </patternFill>
      </fill>
      <border>
        <left style="thin">
          <color auto="1"/>
        </left>
        <right style="thin">
          <color auto="1"/>
        </right>
        <top style="thin">
          <color auto="1"/>
        </top>
        <bottom style="thin">
          <color auto="1"/>
        </bottom>
        <vertical/>
        <horizontal/>
      </border>
    </dxf>
    <dxf>
      <fill>
        <patternFill>
          <bgColor rgb="FF99CCFF"/>
        </patternFill>
      </fill>
      <border>
        <left style="thin">
          <color auto="1"/>
        </left>
        <right style="thin">
          <color auto="1"/>
        </right>
        <top style="thin">
          <color auto="1"/>
        </top>
        <bottom style="thin">
          <color auto="1"/>
        </bottom>
        <vertical/>
        <horizontal/>
      </border>
    </dxf>
    <dxf>
      <fill>
        <patternFill>
          <bgColor rgb="FFFFF2A3"/>
        </patternFill>
      </fill>
      <border>
        <left style="thin">
          <color auto="1"/>
        </left>
        <right style="thin">
          <color auto="1"/>
        </right>
        <top style="thin">
          <color auto="1"/>
        </top>
        <bottom style="thin">
          <color auto="1"/>
        </bottom>
      </border>
    </dxf>
    <dxf>
      <fill>
        <patternFill>
          <bgColor rgb="FFF3B49B"/>
        </patternFill>
      </fill>
      <border>
        <left style="thin">
          <color auto="1"/>
        </left>
        <right style="thin">
          <color auto="1"/>
        </right>
        <top style="thin">
          <color auto="1"/>
        </top>
        <bottom style="thin">
          <color auto="1"/>
        </bottom>
        <vertical/>
        <horizontal/>
      </border>
    </dxf>
    <dxf>
      <fill>
        <patternFill>
          <bgColor rgb="FFBDDE78"/>
        </patternFill>
      </fill>
      <border>
        <left style="thin">
          <color auto="1"/>
        </left>
        <right style="thin">
          <color auto="1"/>
        </right>
        <top style="thin">
          <color auto="1"/>
        </top>
        <bottom style="thin">
          <color auto="1"/>
        </bottom>
        <vertical/>
        <horizontal/>
      </border>
    </dxf>
    <dxf>
      <fill>
        <patternFill>
          <bgColor rgb="FFD7AAF8"/>
        </patternFill>
      </fill>
      <border>
        <left style="thin">
          <color auto="1"/>
        </left>
        <right style="thin">
          <color auto="1"/>
        </right>
        <top style="thin">
          <color auto="1"/>
        </top>
        <bottom style="thin">
          <color auto="1"/>
        </bottom>
        <vertical/>
        <horizontal/>
      </border>
    </dxf>
    <dxf>
      <fill>
        <patternFill>
          <bgColor rgb="FF99CCFF"/>
        </patternFill>
      </fill>
      <border>
        <left style="thin">
          <color auto="1"/>
        </left>
        <right style="thin">
          <color auto="1"/>
        </right>
        <top style="thin">
          <color auto="1"/>
        </top>
        <bottom style="thin">
          <color auto="1"/>
        </bottom>
        <vertical/>
        <horizontal/>
      </border>
    </dxf>
    <dxf>
      <fill>
        <patternFill>
          <bgColor rgb="FFFFF2A3"/>
        </patternFill>
      </fill>
      <border>
        <left style="thin">
          <color auto="1"/>
        </left>
        <right style="thin">
          <color auto="1"/>
        </right>
        <top style="thin">
          <color auto="1"/>
        </top>
        <bottom style="thin">
          <color auto="1"/>
        </bottom>
      </border>
    </dxf>
    <dxf>
      <fill>
        <patternFill>
          <bgColor rgb="FFF3B49B"/>
        </patternFill>
      </fill>
      <border>
        <left style="thin">
          <color auto="1"/>
        </left>
        <right style="thin">
          <color auto="1"/>
        </right>
        <top style="thin">
          <color auto="1"/>
        </top>
        <bottom style="thin">
          <color auto="1"/>
        </bottom>
        <vertical/>
        <horizontal/>
      </border>
    </dxf>
    <dxf>
      <fill>
        <patternFill>
          <bgColor rgb="FFBDDE78"/>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bgColor theme="0" tint="-0.14996795556505021"/>
        </patternFill>
      </fill>
    </dxf>
    <dxf>
      <fill>
        <patternFill>
          <bgColor rgb="FFF3B49B"/>
        </patternFill>
      </fill>
    </dxf>
    <dxf>
      <fill>
        <patternFill>
          <bgColor rgb="FFFFF2A3"/>
        </patternFill>
      </fill>
    </dxf>
    <dxf>
      <fill>
        <patternFill>
          <bgColor rgb="FFBDDE78"/>
        </patternFill>
      </fill>
    </dxf>
    <dxf>
      <fill>
        <patternFill>
          <bgColor rgb="FF99CCFF"/>
        </patternFill>
      </fill>
    </dxf>
    <dxf>
      <fill>
        <patternFill>
          <bgColor rgb="FFD7AAF8"/>
        </patternFill>
      </fill>
    </dxf>
  </dxfs>
  <tableStyles count="0" defaultTableStyle="TableStyleMedium2" defaultPivotStyle="PivotStyleLight16"/>
  <colors>
    <mruColors>
      <color rgb="FFFFF2A3"/>
      <color rgb="FFD7AAF8"/>
      <color rgb="FFDA97FF"/>
      <color rgb="FF99CCFF"/>
      <color rgb="FFBDDE78"/>
      <color rgb="FFF3B49B"/>
      <color rgb="FFD19FF7"/>
      <color rgb="FFCC94F6"/>
      <color rgb="FFF3732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H47"/>
  <sheetViews>
    <sheetView tabSelected="1" topLeftCell="A7" workbookViewId="0">
      <selection activeCell="E17" sqref="E17"/>
    </sheetView>
  </sheetViews>
  <sheetFormatPr baseColWidth="10" defaultColWidth="10.83203125" defaultRowHeight="15" x14ac:dyDescent="0.2"/>
  <cols>
    <col min="1" max="2" width="6.5" style="8" customWidth="1"/>
    <col min="3" max="3" width="20.1640625" style="8" bestFit="1" customWidth="1"/>
    <col min="4" max="5" width="29.33203125" style="8" customWidth="1"/>
    <col min="6" max="7" width="18.5" style="8" customWidth="1"/>
    <col min="8" max="8" width="6.5" style="8" customWidth="1"/>
    <col min="9" max="16384" width="10.83203125" style="8"/>
  </cols>
  <sheetData>
    <row r="1" spans="2:8" ht="22.5" customHeight="1" x14ac:dyDescent="0.2">
      <c r="B1" s="56" t="s">
        <v>37</v>
      </c>
      <c r="C1" s="56"/>
      <c r="D1" s="56"/>
      <c r="E1" s="56"/>
      <c r="F1" s="56"/>
      <c r="G1" s="56"/>
      <c r="H1" s="56"/>
    </row>
    <row r="2" spans="2:8" ht="23" x14ac:dyDescent="0.2">
      <c r="B2" s="57" t="s">
        <v>40</v>
      </c>
      <c r="C2" s="57"/>
      <c r="D2" s="57"/>
      <c r="E2" s="57"/>
      <c r="F2" s="57"/>
      <c r="G2" s="57"/>
      <c r="H2" s="57"/>
    </row>
    <row r="3" spans="2:8" ht="15" customHeight="1" x14ac:dyDescent="0.2">
      <c r="B3" s="18"/>
      <c r="C3" s="18"/>
      <c r="D3" s="18"/>
      <c r="E3" s="18"/>
      <c r="F3" s="18"/>
      <c r="G3" s="18"/>
      <c r="H3" s="18"/>
    </row>
    <row r="4" spans="2:8" ht="15" customHeight="1" x14ac:dyDescent="0.2">
      <c r="B4" s="55" t="s">
        <v>2</v>
      </c>
      <c r="C4" s="55"/>
      <c r="D4" s="55"/>
      <c r="E4" s="55"/>
      <c r="F4" s="55"/>
      <c r="G4" s="55"/>
      <c r="H4" s="55"/>
    </row>
    <row r="5" spans="2:8" ht="78.75" customHeight="1" x14ac:dyDescent="0.2">
      <c r="B5" s="50" t="s">
        <v>39</v>
      </c>
      <c r="C5" s="50"/>
      <c r="D5" s="50"/>
      <c r="E5" s="50"/>
      <c r="F5" s="50"/>
      <c r="G5" s="50"/>
      <c r="H5" s="50"/>
    </row>
    <row r="6" spans="2:8" ht="15" customHeight="1" x14ac:dyDescent="0.2">
      <c r="B6" s="17"/>
      <c r="C6" s="17"/>
      <c r="D6" s="17"/>
      <c r="E6" s="17"/>
      <c r="F6" s="17"/>
      <c r="G6" s="17"/>
      <c r="H6" s="17"/>
    </row>
    <row r="7" spans="2:8" ht="15" customHeight="1" x14ac:dyDescent="0.2">
      <c r="B7" s="55" t="s">
        <v>3</v>
      </c>
      <c r="C7" s="55"/>
      <c r="D7" s="55"/>
      <c r="E7" s="55"/>
      <c r="F7" s="55"/>
      <c r="G7" s="55"/>
      <c r="H7" s="55"/>
    </row>
    <row r="8" spans="2:8" ht="18" customHeight="1" x14ac:dyDescent="0.2">
      <c r="B8" s="50" t="s">
        <v>38</v>
      </c>
      <c r="C8" s="50"/>
      <c r="D8" s="50"/>
      <c r="E8" s="50"/>
      <c r="F8" s="50"/>
      <c r="G8" s="50"/>
      <c r="H8" s="50"/>
    </row>
    <row r="9" spans="2:8" ht="34.5" customHeight="1" x14ac:dyDescent="0.2">
      <c r="B9" s="50" t="s">
        <v>74</v>
      </c>
      <c r="C9" s="50"/>
      <c r="D9" s="50"/>
      <c r="E9" s="50"/>
      <c r="F9" s="50"/>
      <c r="G9" s="50"/>
      <c r="H9" s="50"/>
    </row>
    <row r="10" spans="2:8" ht="48" customHeight="1" x14ac:dyDescent="0.2">
      <c r="B10" s="50" t="s">
        <v>75</v>
      </c>
      <c r="C10" s="50"/>
      <c r="D10" s="50"/>
      <c r="E10" s="50"/>
      <c r="F10" s="50"/>
      <c r="G10" s="50"/>
      <c r="H10" s="50"/>
    </row>
    <row r="11" spans="2:8" ht="9.75" customHeight="1" x14ac:dyDescent="0.2">
      <c r="B11" s="13"/>
      <c r="C11" s="13"/>
      <c r="D11" s="13"/>
      <c r="E11" s="13"/>
      <c r="F11" s="13"/>
      <c r="G11" s="13"/>
      <c r="H11" s="13"/>
    </row>
    <row r="12" spans="2:8" ht="15" customHeight="1" x14ac:dyDescent="0.2">
      <c r="B12" s="55" t="s">
        <v>76</v>
      </c>
      <c r="C12" s="55"/>
      <c r="D12" s="55"/>
      <c r="E12" s="55"/>
      <c r="F12" s="55"/>
      <c r="G12" s="55"/>
      <c r="H12" s="55"/>
    </row>
    <row r="13" spans="2:8" ht="63" customHeight="1" x14ac:dyDescent="0.2">
      <c r="B13" s="50" t="s">
        <v>77</v>
      </c>
      <c r="C13" s="50"/>
      <c r="D13" s="50"/>
      <c r="E13" s="50"/>
      <c r="F13" s="50"/>
      <c r="G13" s="50"/>
      <c r="H13" s="50"/>
    </row>
    <row r="14" spans="2:8" ht="16" x14ac:dyDescent="0.2">
      <c r="B14" s="13"/>
      <c r="C14" s="13"/>
      <c r="D14" s="13"/>
      <c r="E14" s="13"/>
      <c r="F14" s="13"/>
      <c r="G14" s="13"/>
      <c r="H14" s="13"/>
    </row>
    <row r="15" spans="2:8" ht="16" x14ac:dyDescent="0.2">
      <c r="B15" s="13"/>
      <c r="C15" s="54" t="s">
        <v>87</v>
      </c>
      <c r="D15" s="54"/>
      <c r="E15" s="54"/>
      <c r="F15" s="54"/>
      <c r="G15" s="54"/>
      <c r="H15" s="13"/>
    </row>
    <row r="16" spans="2:8" ht="16" x14ac:dyDescent="0.2">
      <c r="B16" s="13"/>
      <c r="C16" s="11" t="s">
        <v>34</v>
      </c>
      <c r="D16" s="45" t="s">
        <v>21</v>
      </c>
      <c r="E16" s="10" t="s">
        <v>22</v>
      </c>
      <c r="F16" s="53" t="s">
        <v>1</v>
      </c>
      <c r="G16" s="53"/>
      <c r="H16" s="13"/>
    </row>
    <row r="17" spans="2:8" ht="16" x14ac:dyDescent="0.2">
      <c r="B17" s="13"/>
      <c r="C17" s="14" t="s">
        <v>44</v>
      </c>
      <c r="D17" s="47"/>
      <c r="E17" s="47"/>
      <c r="F17" s="58" t="str">
        <f ca="1">IFERROR(INDIRECT("'"&amp;VLOOKUP(CONCATENATE("2017-18",$C$17),'tabs lookup'!$A$1:$B$20,2,FALSE)&amp;"'!B23"),"")</f>
        <v/>
      </c>
      <c r="G17" s="58"/>
      <c r="H17" s="13"/>
    </row>
    <row r="18" spans="2:8" ht="16" x14ac:dyDescent="0.2">
      <c r="B18" s="13"/>
      <c r="C18" s="13"/>
      <c r="D18" s="13"/>
      <c r="E18" s="13"/>
      <c r="F18" s="13"/>
      <c r="G18" s="13"/>
      <c r="H18" s="13"/>
    </row>
    <row r="19" spans="2:8" ht="16" x14ac:dyDescent="0.2">
      <c r="B19" s="13"/>
      <c r="C19" s="54" t="s">
        <v>88</v>
      </c>
      <c r="D19" s="54"/>
      <c r="E19" s="54"/>
      <c r="F19" s="54"/>
      <c r="G19" s="54"/>
      <c r="H19" s="13"/>
    </row>
    <row r="20" spans="2:8" ht="16" x14ac:dyDescent="0.2">
      <c r="B20" s="13"/>
      <c r="C20" s="11" t="s">
        <v>23</v>
      </c>
      <c r="D20" s="10" t="s">
        <v>21</v>
      </c>
      <c r="E20" s="10" t="s">
        <v>22</v>
      </c>
      <c r="F20" s="53" t="s">
        <v>1</v>
      </c>
      <c r="G20" s="53"/>
      <c r="H20" s="13"/>
    </row>
    <row r="21" spans="2:8" ht="16" x14ac:dyDescent="0.2">
      <c r="B21" s="13"/>
      <c r="C21" s="15" t="s">
        <v>25</v>
      </c>
      <c r="D21" s="47"/>
      <c r="E21" s="47"/>
      <c r="F21" s="51" t="str">
        <f ca="1">IFERROR('1718_K'!$B$23,"")</f>
        <v/>
      </c>
      <c r="G21" s="52"/>
      <c r="H21" s="13"/>
    </row>
    <row r="22" spans="2:8" ht="16" x14ac:dyDescent="0.2">
      <c r="B22" s="13"/>
      <c r="C22" s="15" t="s">
        <v>26</v>
      </c>
      <c r="D22" s="47"/>
      <c r="E22" s="47"/>
      <c r="F22" s="51" t="str">
        <f ca="1">IFERROR('1718_1'!$B$23,"")</f>
        <v/>
      </c>
      <c r="G22" s="52"/>
      <c r="H22" s="13"/>
    </row>
    <row r="23" spans="2:8" ht="16" x14ac:dyDescent="0.2">
      <c r="B23" s="13"/>
      <c r="C23" s="15" t="s">
        <v>27</v>
      </c>
      <c r="D23" s="47"/>
      <c r="E23" s="47"/>
      <c r="F23" s="51" t="str">
        <f ca="1">IFERROR('1718_2'!$B$23,"")</f>
        <v/>
      </c>
      <c r="G23" s="52"/>
      <c r="H23" s="13"/>
    </row>
    <row r="24" spans="2:8" ht="16" x14ac:dyDescent="0.2">
      <c r="B24" s="13"/>
      <c r="C24" s="15" t="s">
        <v>28</v>
      </c>
      <c r="D24" s="47"/>
      <c r="E24" s="47"/>
      <c r="F24" s="51" t="str">
        <f ca="1">IFERROR('1718_3'!$B$23,"")</f>
        <v/>
      </c>
      <c r="G24" s="52"/>
      <c r="H24" s="13"/>
    </row>
    <row r="25" spans="2:8" ht="16" x14ac:dyDescent="0.2">
      <c r="B25" s="13"/>
      <c r="C25" s="15" t="s">
        <v>29</v>
      </c>
      <c r="D25" s="47"/>
      <c r="E25" s="47"/>
      <c r="F25" s="51" t="str">
        <f ca="1">IFERROR('1718_4'!$B$23,"")</f>
        <v/>
      </c>
      <c r="G25" s="52"/>
      <c r="H25" s="13"/>
    </row>
    <row r="26" spans="2:8" ht="16" x14ac:dyDescent="0.2">
      <c r="B26" s="13"/>
      <c r="C26" s="15" t="s">
        <v>30</v>
      </c>
      <c r="D26" s="47"/>
      <c r="E26" s="47"/>
      <c r="F26" s="51" t="str">
        <f ca="1">IFERROR('1718_5'!$B$23,"")</f>
        <v/>
      </c>
      <c r="G26" s="52"/>
      <c r="H26" s="13"/>
    </row>
    <row r="27" spans="2:8" ht="16" x14ac:dyDescent="0.2">
      <c r="B27" s="13"/>
      <c r="C27" s="13"/>
      <c r="D27" s="13"/>
      <c r="E27" s="13"/>
      <c r="F27" s="13"/>
      <c r="G27" s="13"/>
      <c r="H27" s="13"/>
    </row>
    <row r="28" spans="2:8" ht="15" customHeight="1" x14ac:dyDescent="0.2">
      <c r="B28" s="55" t="s">
        <v>78</v>
      </c>
      <c r="C28" s="55"/>
      <c r="D28" s="55"/>
      <c r="E28" s="55"/>
      <c r="F28" s="55"/>
      <c r="G28" s="55"/>
      <c r="H28" s="55"/>
    </row>
    <row r="29" spans="2:8" ht="65.25" customHeight="1" x14ac:dyDescent="0.2">
      <c r="B29" s="50" t="s">
        <v>80</v>
      </c>
      <c r="C29" s="50"/>
      <c r="D29" s="50"/>
      <c r="E29" s="50"/>
      <c r="F29" s="50"/>
      <c r="G29" s="50"/>
      <c r="H29" s="50"/>
    </row>
    <row r="30" spans="2:8" ht="16" x14ac:dyDescent="0.2">
      <c r="B30" s="13"/>
      <c r="C30" s="13"/>
      <c r="D30" s="13"/>
      <c r="E30" s="13"/>
      <c r="F30" s="13"/>
      <c r="G30" s="13"/>
      <c r="H30" s="13"/>
    </row>
    <row r="31" spans="2:8" ht="16" x14ac:dyDescent="0.2">
      <c r="B31" s="13"/>
      <c r="C31" s="54" t="s">
        <v>79</v>
      </c>
      <c r="D31" s="54"/>
      <c r="E31" s="54"/>
      <c r="F31" s="54"/>
      <c r="G31" s="54"/>
      <c r="H31" s="13"/>
    </row>
    <row r="32" spans="2:8" ht="51" x14ac:dyDescent="0.2">
      <c r="B32" s="13"/>
      <c r="C32" s="11" t="s">
        <v>34</v>
      </c>
      <c r="D32" s="11" t="s">
        <v>4</v>
      </c>
      <c r="E32" s="19" t="s">
        <v>41</v>
      </c>
      <c r="F32" s="12" t="s">
        <v>42</v>
      </c>
      <c r="G32" s="12" t="s">
        <v>43</v>
      </c>
      <c r="H32" s="13"/>
    </row>
    <row r="33" spans="2:8" ht="16" x14ac:dyDescent="0.2">
      <c r="B33" s="13"/>
      <c r="C33" s="14" t="s">
        <v>44</v>
      </c>
      <c r="D33" s="16" t="s">
        <v>44</v>
      </c>
      <c r="E33" s="48"/>
      <c r="F33" s="15" t="str">
        <f ca="1">IFERROR(INDIRECT("'"&amp;VLOOKUP(CONCATENATE("2018-19",$C$33),'tabs lookup'!$A$1:$B$20,2,FALSE)&amp;"'!D29"),"")</f>
        <v/>
      </c>
      <c r="G33" s="15" t="str">
        <f ca="1">IFERROR(INDIRECT("'"&amp;VLOOKUP(CONCATENATE("2018-19",$C$33),'tabs lookup'!$A$1:$B$20,2,FALSE)&amp;"'!D28"),"")</f>
        <v/>
      </c>
      <c r="H33" s="13"/>
    </row>
    <row r="34" spans="2:8" ht="16" x14ac:dyDescent="0.2">
      <c r="B34" s="13"/>
      <c r="C34" s="13"/>
      <c r="D34" s="13"/>
      <c r="E34" s="13"/>
      <c r="F34" s="13"/>
      <c r="G34" s="13"/>
      <c r="H34" s="13"/>
    </row>
    <row r="35" spans="2:8" ht="16" x14ac:dyDescent="0.2">
      <c r="B35" s="13"/>
      <c r="C35" s="54" t="s">
        <v>89</v>
      </c>
      <c r="D35" s="54"/>
      <c r="E35" s="54"/>
      <c r="F35" s="54"/>
      <c r="G35" s="54"/>
      <c r="H35" s="13"/>
    </row>
    <row r="36" spans="2:8" ht="51" x14ac:dyDescent="0.2">
      <c r="B36" s="13"/>
      <c r="C36" s="11" t="s">
        <v>23</v>
      </c>
      <c r="D36" s="11" t="s">
        <v>4</v>
      </c>
      <c r="E36" s="19" t="s">
        <v>41</v>
      </c>
      <c r="F36" s="12" t="s">
        <v>42</v>
      </c>
      <c r="G36" s="12" t="s">
        <v>43</v>
      </c>
      <c r="H36" s="13"/>
    </row>
    <row r="37" spans="2:8" ht="16" x14ac:dyDescent="0.2">
      <c r="B37" s="13"/>
      <c r="C37" s="15" t="s">
        <v>25</v>
      </c>
      <c r="D37" s="16" t="s">
        <v>44</v>
      </c>
      <c r="E37" s="48"/>
      <c r="F37" s="15" t="str">
        <f ca="1">IFERROR('1819_K'!$D$29,"")</f>
        <v/>
      </c>
      <c r="G37" s="15" t="str">
        <f ca="1">IFERROR('1819_K'!$D$28,"")</f>
        <v/>
      </c>
      <c r="H37" s="13"/>
    </row>
    <row r="38" spans="2:8" ht="16" x14ac:dyDescent="0.2">
      <c r="B38" s="13"/>
      <c r="C38" s="15" t="s">
        <v>26</v>
      </c>
      <c r="D38" s="16" t="s">
        <v>44</v>
      </c>
      <c r="E38" s="48"/>
      <c r="F38" s="15" t="str">
        <f ca="1">IFERROR('1819_1'!$D$29,"")</f>
        <v/>
      </c>
      <c r="G38" s="15" t="str">
        <f ca="1">IFERROR('1819_1'!$D$28,"")</f>
        <v/>
      </c>
      <c r="H38" s="13"/>
    </row>
    <row r="39" spans="2:8" ht="16" x14ac:dyDescent="0.2">
      <c r="B39" s="13"/>
      <c r="C39" s="15" t="s">
        <v>27</v>
      </c>
      <c r="D39" s="16" t="s">
        <v>44</v>
      </c>
      <c r="E39" s="48"/>
      <c r="F39" s="15" t="str">
        <f ca="1">IFERROR('1819_2'!$D$29,"")</f>
        <v/>
      </c>
      <c r="G39" s="15" t="str">
        <f ca="1">IFERROR('1819_2'!$D$28,"")</f>
        <v/>
      </c>
      <c r="H39" s="13"/>
    </row>
    <row r="40" spans="2:8" ht="16" x14ac:dyDescent="0.2">
      <c r="B40" s="13"/>
      <c r="C40" s="15" t="s">
        <v>28</v>
      </c>
      <c r="D40" s="16" t="s">
        <v>44</v>
      </c>
      <c r="E40" s="48"/>
      <c r="F40" s="15" t="str">
        <f ca="1">IFERROR('1819_3'!$D$29,"")</f>
        <v/>
      </c>
      <c r="G40" s="15" t="str">
        <f ca="1">IFERROR('1819_3'!$D$28,"")</f>
        <v/>
      </c>
      <c r="H40" s="13"/>
    </row>
    <row r="41" spans="2:8" ht="16" x14ac:dyDescent="0.2">
      <c r="B41" s="13"/>
      <c r="C41" s="15" t="s">
        <v>29</v>
      </c>
      <c r="D41" s="16" t="s">
        <v>44</v>
      </c>
      <c r="E41" s="47"/>
      <c r="F41" s="15" t="str">
        <f ca="1">IFERROR('1819_4'!$D$29,"")</f>
        <v/>
      </c>
      <c r="G41" s="15" t="str">
        <f ca="1">IFERROR('1819_4'!$D$28,"")</f>
        <v/>
      </c>
      <c r="H41" s="13"/>
    </row>
    <row r="42" spans="2:8" ht="16" x14ac:dyDescent="0.2">
      <c r="B42" s="13"/>
      <c r="C42" s="15" t="s">
        <v>30</v>
      </c>
      <c r="D42" s="16" t="s">
        <v>44</v>
      </c>
      <c r="E42" s="47"/>
      <c r="F42" s="15" t="str">
        <f ca="1">IFERROR('1819_5'!$D$29,"")</f>
        <v/>
      </c>
      <c r="G42" s="15" t="str">
        <f ca="1">IFERROR('1819_5'!$D$28,"")</f>
        <v/>
      </c>
      <c r="H42" s="13"/>
    </row>
    <row r="43" spans="2:8" ht="16" x14ac:dyDescent="0.2">
      <c r="B43" s="13"/>
      <c r="C43" s="13"/>
      <c r="D43" s="13"/>
      <c r="E43" s="13"/>
      <c r="F43" s="13"/>
      <c r="G43" s="13"/>
      <c r="H43" s="13"/>
    </row>
    <row r="44" spans="2:8" ht="16" x14ac:dyDescent="0.2">
      <c r="B44" s="20"/>
      <c r="C44" s="49" t="s">
        <v>45</v>
      </c>
      <c r="D44" s="49"/>
      <c r="E44" s="49"/>
      <c r="F44" s="49"/>
      <c r="G44" s="49"/>
      <c r="H44" s="20"/>
    </row>
    <row r="45" spans="2:8" ht="16" x14ac:dyDescent="0.2">
      <c r="B45" s="20"/>
      <c r="C45" s="20"/>
      <c r="D45" s="20"/>
      <c r="E45" s="20"/>
      <c r="F45" s="20"/>
      <c r="G45" s="20"/>
      <c r="H45" s="20"/>
    </row>
    <row r="46" spans="2:8" ht="16" x14ac:dyDescent="0.2">
      <c r="B46" s="9"/>
      <c r="C46" s="9"/>
      <c r="D46" s="9"/>
      <c r="E46" s="9"/>
      <c r="F46" s="9"/>
      <c r="G46" s="9"/>
      <c r="H46" s="9"/>
    </row>
    <row r="47" spans="2:8" ht="16" x14ac:dyDescent="0.2">
      <c r="B47" s="9"/>
      <c r="C47" s="9"/>
      <c r="D47" s="9"/>
      <c r="E47" s="9"/>
      <c r="F47" s="9"/>
      <c r="G47" s="9"/>
      <c r="H47" s="9"/>
    </row>
  </sheetData>
  <sheetProtection algorithmName="SHA-512" hashValue="zFoN1I+ODYIfcM9KrkSszyTHEGcjmDVu8bpiRSW0paJ8gMcNWWOChUplyem/61JyS0aOSLHAKuU+RavYmsvqsA==" saltValue="IE8UNiyGLKmug1P+MNlu4w==" spinCount="100000" sheet="1" objects="1" scenarios="1"/>
  <protectedRanges>
    <protectedRange sqref="D17:E18 D21:E25 D37:E41 D42 D33:E34" name="Range1"/>
  </protectedRanges>
  <mergeCells count="26">
    <mergeCell ref="B9:H9"/>
    <mergeCell ref="F16:G16"/>
    <mergeCell ref="F17:G17"/>
    <mergeCell ref="B29:H29"/>
    <mergeCell ref="B10:H10"/>
    <mergeCell ref="B12:H12"/>
    <mergeCell ref="B1:H1"/>
    <mergeCell ref="B4:H4"/>
    <mergeCell ref="B5:H5"/>
    <mergeCell ref="B7:H7"/>
    <mergeCell ref="B8:H8"/>
    <mergeCell ref="B2:H2"/>
    <mergeCell ref="C44:G44"/>
    <mergeCell ref="B13:H13"/>
    <mergeCell ref="F25:G25"/>
    <mergeCell ref="F26:G26"/>
    <mergeCell ref="F20:G20"/>
    <mergeCell ref="C19:G19"/>
    <mergeCell ref="F22:G22"/>
    <mergeCell ref="F21:G21"/>
    <mergeCell ref="F24:G24"/>
    <mergeCell ref="F23:G23"/>
    <mergeCell ref="B28:H28"/>
    <mergeCell ref="C15:G15"/>
    <mergeCell ref="C31:G31"/>
    <mergeCell ref="C35:G35"/>
  </mergeCells>
  <phoneticPr fontId="11" type="noConversion"/>
  <conditionalFormatting sqref="D33 F17:G17 D37:D42 F21:G26">
    <cfRule type="expression" dxfId="16" priority="32">
      <formula>D17="Well Above Average Progress"</formula>
    </cfRule>
    <cfRule type="expression" dxfId="15" priority="33">
      <formula>D17="Above Average Progress"</formula>
    </cfRule>
    <cfRule type="expression" dxfId="14" priority="34">
      <formula>D17="Average progress"</formula>
    </cfRule>
    <cfRule type="expression" dxfId="13" priority="35">
      <formula>D17="Below average progress"</formula>
    </cfRule>
    <cfRule type="expression" dxfId="12" priority="36">
      <formula>D17="Well Below Average Progress"</formula>
    </cfRule>
  </conditionalFormatting>
  <conditionalFormatting sqref="D33 D37:D42">
    <cfRule type="expression" dxfId="11" priority="1">
      <formula>D33="Click to Select"</formula>
    </cfRule>
  </conditionalFormatting>
  <printOptions horizontalCentered="1" verticalCentered="1"/>
  <pageMargins left="0.5" right="0.5" top="0.75" bottom="0.75" header="0.3" footer="0.3"/>
  <pageSetup scale="68"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0000000}">
          <x14:formula1>
            <xm:f>'Data validation'!$B$1:$B$4</xm:f>
          </x14:formula1>
          <xm:sqref>D33 D37:D42</xm:sqref>
        </x14:dataValidation>
        <x14:dataValidation type="list" allowBlank="1" showInputMessage="1" showErrorMessage="1" xr:uid="{00000000-0002-0000-0000-000001000000}">
          <x14:formula1>
            <xm:f>'Data validation'!$A$1:$A$5</xm:f>
          </x14:formula1>
          <xm:sqref>C17 C33</xm:sqref>
        </x14:dataValidation>
      </x14:dataValidations>
    </ex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038F5B-3493-B346-8108-5FE97F938B26}">
  <dimension ref="A1:Q29"/>
  <sheetViews>
    <sheetView workbookViewId="0">
      <selection activeCell="B22" sqref="B22"/>
    </sheetView>
  </sheetViews>
  <sheetFormatPr baseColWidth="10" defaultColWidth="8.83203125" defaultRowHeight="15" x14ac:dyDescent="0.2"/>
  <cols>
    <col min="1" max="1" width="14.83203125" bestFit="1" customWidth="1"/>
    <col min="4" max="4" width="9.6640625" bestFit="1" customWidth="1"/>
  </cols>
  <sheetData>
    <row r="1" spans="2:17" x14ac:dyDescent="0.2">
      <c r="B1" t="s">
        <v>11</v>
      </c>
      <c r="K1" t="s">
        <v>12</v>
      </c>
    </row>
    <row r="3" spans="2:17" x14ac:dyDescent="0.2">
      <c r="B3" s="4" t="s">
        <v>5</v>
      </c>
      <c r="C3" s="4" t="s">
        <v>35</v>
      </c>
      <c r="D3" s="4" t="s">
        <v>19</v>
      </c>
      <c r="E3" s="4" t="s">
        <v>0</v>
      </c>
      <c r="F3" s="4" t="s">
        <v>20</v>
      </c>
      <c r="G3" s="4" t="s">
        <v>36</v>
      </c>
      <c r="H3" s="4"/>
      <c r="K3" s="4" t="s">
        <v>5</v>
      </c>
      <c r="L3" s="4" t="s">
        <v>35</v>
      </c>
      <c r="M3" s="4" t="s">
        <v>19</v>
      </c>
      <c r="N3" s="4" t="s">
        <v>0</v>
      </c>
      <c r="O3" s="4" t="s">
        <v>20</v>
      </c>
      <c r="P3" s="4" t="s">
        <v>36</v>
      </c>
      <c r="Q3" s="4"/>
    </row>
    <row r="4" spans="2:17" x14ac:dyDescent="0.2">
      <c r="B4" s="4">
        <v>0</v>
      </c>
      <c r="C4" s="4"/>
      <c r="D4" s="4"/>
      <c r="E4" s="4"/>
      <c r="F4" s="4"/>
      <c r="G4" s="4"/>
      <c r="H4" s="4"/>
      <c r="K4" s="4">
        <v>0</v>
      </c>
      <c r="L4" s="4"/>
      <c r="M4" s="4"/>
      <c r="N4" s="4"/>
      <c r="O4" s="4"/>
      <c r="P4" s="4"/>
      <c r="Q4" s="4"/>
    </row>
    <row r="5" spans="2:17" ht="16" x14ac:dyDescent="0.25">
      <c r="B5" s="4">
        <v>0.3</v>
      </c>
      <c r="C5" s="4">
        <v>0</v>
      </c>
      <c r="D5" s="44">
        <v>0.20588235294117599</v>
      </c>
      <c r="E5" s="44">
        <v>0.27058823529411702</v>
      </c>
      <c r="F5" s="44">
        <v>0.34</v>
      </c>
      <c r="G5" s="44">
        <v>0.38888888888888801</v>
      </c>
      <c r="H5" s="3">
        <v>1</v>
      </c>
      <c r="I5" s="1"/>
      <c r="K5" s="4">
        <v>0.3</v>
      </c>
      <c r="L5" s="4">
        <v>0</v>
      </c>
      <c r="M5" s="44">
        <v>0.15625</v>
      </c>
      <c r="N5" s="44">
        <v>0.2</v>
      </c>
      <c r="O5" s="44">
        <v>0.26980198019801899</v>
      </c>
      <c r="P5" s="44">
        <v>0.32558139534883701</v>
      </c>
      <c r="Q5" s="3">
        <v>1</v>
      </c>
    </row>
    <row r="6" spans="2:17" ht="16" x14ac:dyDescent="0.25">
      <c r="B6" s="4">
        <v>0.4</v>
      </c>
      <c r="C6" s="4">
        <v>0</v>
      </c>
      <c r="D6" s="44">
        <v>0.33333333333333298</v>
      </c>
      <c r="E6" s="44">
        <v>0.39024390243902402</v>
      </c>
      <c r="F6" s="44">
        <v>0.45348837209302301</v>
      </c>
      <c r="G6" s="44">
        <v>0.53333333333333299</v>
      </c>
      <c r="H6" s="3">
        <v>1</v>
      </c>
      <c r="I6" s="1"/>
      <c r="K6" s="4">
        <v>0.4</v>
      </c>
      <c r="L6" s="4">
        <v>0</v>
      </c>
      <c r="M6" s="44">
        <v>0.30303030303030298</v>
      </c>
      <c r="N6" s="44">
        <v>0.35051546391752503</v>
      </c>
      <c r="O6" s="44">
        <v>0.39285714285714202</v>
      </c>
      <c r="P6" s="44">
        <v>0.4375</v>
      </c>
      <c r="Q6" s="3">
        <v>1</v>
      </c>
    </row>
    <row r="7" spans="2:17" ht="16" x14ac:dyDescent="0.25">
      <c r="B7" s="4">
        <v>0.45</v>
      </c>
      <c r="C7" s="4">
        <v>0</v>
      </c>
      <c r="D7" s="44">
        <v>0.40259740259740201</v>
      </c>
      <c r="E7" s="44">
        <v>0.46296296296296202</v>
      </c>
      <c r="F7" s="44">
        <v>0.50588235294117601</v>
      </c>
      <c r="G7" s="44">
        <v>0.55172413793103403</v>
      </c>
      <c r="H7" s="3">
        <v>1</v>
      </c>
      <c r="I7" s="1"/>
      <c r="K7" s="4">
        <v>0.45</v>
      </c>
      <c r="L7" s="4">
        <v>0</v>
      </c>
      <c r="M7" s="44">
        <v>0.36986301369863001</v>
      </c>
      <c r="N7" s="44">
        <v>0.402985074626865</v>
      </c>
      <c r="O7" s="44">
        <v>0.45</v>
      </c>
      <c r="P7" s="44">
        <v>0.49333333333333301</v>
      </c>
      <c r="Q7" s="3">
        <v>1</v>
      </c>
    </row>
    <row r="8" spans="2:17" ht="16" x14ac:dyDescent="0.25">
      <c r="B8" s="4">
        <v>0.5</v>
      </c>
      <c r="C8" s="4">
        <v>0</v>
      </c>
      <c r="D8" s="44">
        <v>0.441176470588235</v>
      </c>
      <c r="E8" s="44">
        <v>0.48484848484848397</v>
      </c>
      <c r="F8" s="44">
        <v>0.53846153846153799</v>
      </c>
      <c r="G8" s="44">
        <v>0.59375</v>
      </c>
      <c r="H8" s="3">
        <v>1</v>
      </c>
      <c r="I8" s="1"/>
      <c r="K8" s="4">
        <v>0.5</v>
      </c>
      <c r="L8" s="4">
        <v>0</v>
      </c>
      <c r="M8" s="44">
        <v>0.40384615384615302</v>
      </c>
      <c r="N8" s="44">
        <v>0.45098039215686198</v>
      </c>
      <c r="O8" s="44">
        <v>0.50458715596330195</v>
      </c>
      <c r="P8" s="44">
        <v>0.55714285714285705</v>
      </c>
      <c r="Q8" s="3">
        <v>1</v>
      </c>
    </row>
    <row r="9" spans="2:17" ht="16" x14ac:dyDescent="0.25">
      <c r="B9" s="4">
        <v>0.55000000000000004</v>
      </c>
      <c r="C9" s="4">
        <v>0</v>
      </c>
      <c r="D9" s="44">
        <v>0.495145631067961</v>
      </c>
      <c r="E9" s="44">
        <v>0.54411764705882304</v>
      </c>
      <c r="F9" s="44">
        <v>0.586666666666666</v>
      </c>
      <c r="G9" s="44">
        <v>0.644067796610169</v>
      </c>
      <c r="H9" s="3">
        <v>1</v>
      </c>
      <c r="I9" s="1"/>
      <c r="K9" s="4">
        <v>0.55000000000000004</v>
      </c>
      <c r="L9" s="4">
        <v>0</v>
      </c>
      <c r="M9" s="44">
        <v>0.45390070921985798</v>
      </c>
      <c r="N9" s="44">
        <v>0.50847457627118597</v>
      </c>
      <c r="O9" s="44">
        <v>0.546875</v>
      </c>
      <c r="P9" s="44">
        <v>0.60294117647058798</v>
      </c>
      <c r="Q9" s="3">
        <v>1</v>
      </c>
    </row>
    <row r="10" spans="2:17" ht="16" x14ac:dyDescent="0.25">
      <c r="B10" s="4">
        <v>0.6</v>
      </c>
      <c r="C10" s="4">
        <v>0</v>
      </c>
      <c r="D10" s="44">
        <v>0.52830188679245205</v>
      </c>
      <c r="E10" s="44">
        <v>0.58715596330275199</v>
      </c>
      <c r="F10" s="44">
        <v>0.63541666666666596</v>
      </c>
      <c r="G10" s="44">
        <v>0.68421052631578905</v>
      </c>
      <c r="H10" s="3">
        <v>1</v>
      </c>
      <c r="I10" s="1"/>
      <c r="K10" s="4">
        <v>0.6</v>
      </c>
      <c r="L10" s="4">
        <v>0</v>
      </c>
      <c r="M10" s="44">
        <v>0.5</v>
      </c>
      <c r="N10" s="44">
        <v>0.54205607476635498</v>
      </c>
      <c r="O10" s="44">
        <v>0.579439252336448</v>
      </c>
      <c r="P10" s="44">
        <v>0.62711864406779605</v>
      </c>
      <c r="Q10" s="3">
        <v>1</v>
      </c>
    </row>
    <row r="11" spans="2:17" ht="16" x14ac:dyDescent="0.25">
      <c r="B11" s="4">
        <v>0.7</v>
      </c>
      <c r="C11" s="4">
        <v>0</v>
      </c>
      <c r="D11" s="44">
        <v>0.58778625954198405</v>
      </c>
      <c r="E11" s="44">
        <v>0.64893617021276495</v>
      </c>
      <c r="F11" s="44">
        <v>0.69444444444444398</v>
      </c>
      <c r="G11" s="44">
        <v>0.74074074074074003</v>
      </c>
      <c r="H11" s="3">
        <v>1</v>
      </c>
      <c r="I11" s="1"/>
      <c r="K11" s="4">
        <v>0.7</v>
      </c>
      <c r="L11" s="4">
        <v>0</v>
      </c>
      <c r="M11" s="44">
        <v>0.56349206349206304</v>
      </c>
      <c r="N11" s="44">
        <v>0.61386138613861296</v>
      </c>
      <c r="O11" s="44">
        <v>0.65573770491803196</v>
      </c>
      <c r="P11" s="44">
        <v>0.70129870129870098</v>
      </c>
      <c r="Q11" s="3">
        <v>1</v>
      </c>
    </row>
    <row r="12" spans="2:17" ht="16" x14ac:dyDescent="0.25">
      <c r="B12" s="4">
        <v>0.8</v>
      </c>
      <c r="C12" s="4">
        <v>0</v>
      </c>
      <c r="D12" s="44">
        <v>0.69863013698630105</v>
      </c>
      <c r="E12" s="44">
        <v>0.74576271186440601</v>
      </c>
      <c r="F12" s="44">
        <v>0.78260869565217295</v>
      </c>
      <c r="G12" s="44">
        <v>0.81914893617021201</v>
      </c>
      <c r="H12" s="3">
        <v>1</v>
      </c>
      <c r="I12" s="1"/>
      <c r="K12" s="4">
        <v>0.8</v>
      </c>
      <c r="L12" s="4">
        <v>0</v>
      </c>
      <c r="M12" s="44">
        <v>0.67058823529411704</v>
      </c>
      <c r="N12" s="44">
        <v>0.71532846715328402</v>
      </c>
      <c r="O12" s="44">
        <v>0.75221238938053003</v>
      </c>
      <c r="P12" s="44">
        <v>0.78494623655913898</v>
      </c>
      <c r="Q12" s="3">
        <v>1</v>
      </c>
    </row>
    <row r="13" spans="2:17" ht="16" x14ac:dyDescent="0.25">
      <c r="B13" s="4">
        <v>0.9</v>
      </c>
      <c r="C13" s="4">
        <v>0</v>
      </c>
      <c r="D13" s="44">
        <v>0.79710144927536197</v>
      </c>
      <c r="E13" s="44">
        <v>0.83783783783783705</v>
      </c>
      <c r="F13" s="44">
        <v>0.86792452830188604</v>
      </c>
      <c r="G13" s="44">
        <v>0.89583333333333304</v>
      </c>
      <c r="H13" s="3">
        <v>1</v>
      </c>
      <c r="I13" s="1"/>
      <c r="K13" s="4">
        <v>0.9</v>
      </c>
      <c r="L13" s="4">
        <v>0</v>
      </c>
      <c r="M13" s="44">
        <v>0.76923076923076905</v>
      </c>
      <c r="N13" s="44">
        <v>0.80555555555555503</v>
      </c>
      <c r="O13" s="44">
        <v>0.83928571428571397</v>
      </c>
      <c r="P13" s="44">
        <v>0.86956521739130399</v>
      </c>
      <c r="Q13" s="3">
        <v>1</v>
      </c>
    </row>
    <row r="14" spans="2:17" ht="16" x14ac:dyDescent="0.25">
      <c r="B14" s="4">
        <v>1</v>
      </c>
      <c r="C14" s="4">
        <v>0</v>
      </c>
      <c r="D14" s="44">
        <v>0.9</v>
      </c>
      <c r="E14" s="44">
        <v>0.92380952380952297</v>
      </c>
      <c r="F14" s="44">
        <v>0.93846153846153801</v>
      </c>
      <c r="G14" s="44">
        <v>0.96</v>
      </c>
      <c r="H14" s="3">
        <v>1</v>
      </c>
      <c r="I14" s="1"/>
      <c r="K14" s="4">
        <v>1</v>
      </c>
      <c r="L14" s="4">
        <v>0</v>
      </c>
      <c r="M14" s="44">
        <v>0.87755102040816302</v>
      </c>
      <c r="N14" s="44">
        <v>0.90140845070422504</v>
      </c>
      <c r="O14" s="44">
        <v>0.92105263157894701</v>
      </c>
      <c r="P14" s="44">
        <v>0.94594594594594505</v>
      </c>
      <c r="Q14" s="3">
        <v>1</v>
      </c>
    </row>
    <row r="15" spans="2:17" ht="16" x14ac:dyDescent="0.25">
      <c r="B15" s="6"/>
      <c r="C15" s="6"/>
      <c r="D15" s="6"/>
      <c r="E15" s="6"/>
      <c r="F15" s="6"/>
      <c r="G15" s="6"/>
      <c r="H15" s="7"/>
      <c r="I15" s="1"/>
      <c r="K15" s="6"/>
      <c r="L15" s="6"/>
      <c r="M15" s="6"/>
      <c r="N15" s="6"/>
      <c r="O15" s="6"/>
      <c r="P15" s="6"/>
      <c r="Q15" s="7"/>
    </row>
    <row r="16" spans="2:17" ht="16" x14ac:dyDescent="0.25">
      <c r="B16" s="6"/>
      <c r="C16" s="6"/>
      <c r="D16" s="6"/>
      <c r="E16" s="6"/>
      <c r="F16" s="6"/>
      <c r="G16" s="6"/>
      <c r="H16" s="7"/>
      <c r="I16" s="1"/>
      <c r="K16" s="6"/>
      <c r="L16" s="6"/>
      <c r="M16" s="6"/>
      <c r="N16" s="6"/>
      <c r="O16" s="6"/>
      <c r="P16" s="6"/>
      <c r="Q16" s="7"/>
    </row>
    <row r="17" spans="1:17" ht="16" x14ac:dyDescent="0.25">
      <c r="A17" t="s">
        <v>15</v>
      </c>
      <c r="B17" t="e">
        <f>IF(BOY_3="",NA(),BOY_3)</f>
        <v>#N/A</v>
      </c>
      <c r="C17" t="e">
        <f>IF(OR(B17="",B17&lt;0,B17&gt;1),NA(),IF(B17=0,0.001,B17))</f>
        <v>#N/A</v>
      </c>
      <c r="I17" s="1"/>
      <c r="K17" s="6"/>
      <c r="L17" s="6"/>
      <c r="M17" s="6"/>
      <c r="N17" s="6"/>
      <c r="O17" s="6"/>
      <c r="P17" s="6"/>
      <c r="Q17" s="7"/>
    </row>
    <row r="18" spans="1:17" ht="16" x14ac:dyDescent="0.25">
      <c r="A18" t="s">
        <v>16</v>
      </c>
      <c r="B18" t="e">
        <f>IF(EOY_3="",NA(),EOY_3)</f>
        <v>#N/A</v>
      </c>
      <c r="C18" t="e">
        <f>IF(OR(B18="",B18&lt;0,B18&gt;1),NA(),IF(B18=1,0.999,B18))</f>
        <v>#N/A</v>
      </c>
      <c r="I18" s="1"/>
      <c r="K18" s="6"/>
      <c r="L18" s="6"/>
      <c r="M18" s="6"/>
      <c r="N18" s="6"/>
      <c r="O18" s="6"/>
      <c r="P18" s="6"/>
      <c r="Q18" s="7"/>
    </row>
    <row r="19" spans="1:17" ht="16" x14ac:dyDescent="0.25">
      <c r="A19" t="s">
        <v>17</v>
      </c>
      <c r="B19" t="e">
        <f>IF(goal_BOY_3="",NA(),goal_BOY_3)</f>
        <v>#N/A</v>
      </c>
      <c r="C19" t="e">
        <f>IF(OR(B19="",B19&lt;0,B19&gt;1),NA(),IF(B19=0,0.001,B19))</f>
        <v>#N/A</v>
      </c>
      <c r="I19" s="1"/>
      <c r="K19" s="6"/>
      <c r="L19" s="6"/>
      <c r="M19" s="6"/>
      <c r="N19" s="6"/>
      <c r="O19" s="6"/>
      <c r="P19" s="6"/>
      <c r="Q19" s="7"/>
    </row>
    <row r="21" spans="1:17" x14ac:dyDescent="0.2">
      <c r="A21" s="5" t="s">
        <v>13</v>
      </c>
    </row>
    <row r="22" spans="1:17" ht="16" x14ac:dyDescent="0.25">
      <c r="A22" s="2" t="s">
        <v>7</v>
      </c>
      <c r="B22" s="1" t="e">
        <f>SUMPRODUCT((B3:B13&lt;$C$17)*(B4:B14&gt;=$C$17),(B4:B14))</f>
        <v>#N/A</v>
      </c>
      <c r="C22" t="e">
        <f>VLOOKUP($B$22,$B$5:$H$14,2,FALSE)</f>
        <v>#N/A</v>
      </c>
      <c r="D22" t="e">
        <f>VLOOKUP($B$22,$B$5:$H$14,3,FALSE)</f>
        <v>#N/A</v>
      </c>
      <c r="E22" t="e">
        <f>VLOOKUP($B$22,$B$5:$H$14,4,FALSE)</f>
        <v>#N/A</v>
      </c>
      <c r="F22" t="e">
        <f>VLOOKUP($B$22,$B$5:$H$14,5,FALSE)</f>
        <v>#N/A</v>
      </c>
      <c r="G22" t="e">
        <f>VLOOKUP($B$22,$B$5:$H$14,6,FALSE)</f>
        <v>#N/A</v>
      </c>
      <c r="H22" t="e">
        <f>VLOOKUP($B$22,$B$5:$H$14,7,FALSE)</f>
        <v>#N/A</v>
      </c>
      <c r="J22" s="2"/>
    </row>
    <row r="23" spans="1:17" ht="16" x14ac:dyDescent="0.25">
      <c r="A23" s="2" t="s">
        <v>8</v>
      </c>
      <c r="B23" s="1" t="e">
        <f ca="1">OFFSET(A3,0,SUMPRODUCT((C22:G22&lt;=$C$18)*(D22:H22&gt;$C$18),COLUMN(B22:F22)))</f>
        <v>#N/A</v>
      </c>
      <c r="J23" s="2"/>
      <c r="K23" s="1"/>
    </row>
    <row r="24" spans="1:17" ht="16" x14ac:dyDescent="0.25">
      <c r="A24" s="2"/>
      <c r="B24" s="1"/>
      <c r="J24" s="2"/>
      <c r="K24" s="1"/>
    </row>
    <row r="25" spans="1:17" ht="16" x14ac:dyDescent="0.25">
      <c r="A25" s="5" t="s">
        <v>14</v>
      </c>
      <c r="B25" s="1"/>
      <c r="J25" s="2"/>
      <c r="K25" s="1"/>
    </row>
    <row r="26" spans="1:17" ht="16" x14ac:dyDescent="0.25">
      <c r="A26" s="2" t="s">
        <v>7</v>
      </c>
      <c r="B26" s="1" t="e">
        <f>SUMPRODUCT((B3:B13&lt;$C$19)*(B4:B14&gt;=$C$19),(B4:B14))</f>
        <v>#N/A</v>
      </c>
      <c r="C26" t="e">
        <f>VLOOKUP($B$26,$B$5:$H$14,2,FALSE)</f>
        <v>#N/A</v>
      </c>
      <c r="D26" t="e">
        <f>VLOOKUP($B$26,$B$5:$H$14,3,FALSE)</f>
        <v>#N/A</v>
      </c>
      <c r="E26" t="e">
        <f>VLOOKUP($B$26,$B$5:$H$14,4,FALSE)</f>
        <v>#N/A</v>
      </c>
      <c r="F26" t="e">
        <f>VLOOKUP($B$26,$B$5:$H$14,5,FALSE)</f>
        <v>#N/A</v>
      </c>
      <c r="G26" t="e">
        <f>VLOOKUP($B$26,$B$5:$H$14,6,FALSE)</f>
        <v>#N/A</v>
      </c>
      <c r="H26" t="e">
        <f>VLOOKUP($B$26,$B$5:$H$14,7,FALSE)</f>
        <v>#N/A</v>
      </c>
      <c r="J26" s="2"/>
    </row>
    <row r="27" spans="1:17" ht="16" x14ac:dyDescent="0.25">
      <c r="A27" s="2" t="s">
        <v>10</v>
      </c>
      <c r="B27" s="1"/>
      <c r="C27" t="e">
        <f>VLOOKUP($B$26,$K$5:$Q$14,2,FALSE)</f>
        <v>#N/A</v>
      </c>
      <c r="D27" t="e">
        <f>VLOOKUP($B$26,$K$5:$Q$14,3,FALSE)</f>
        <v>#N/A</v>
      </c>
      <c r="E27" t="e">
        <f>VLOOKUP($B$26,$K$5:$Q$14,4,FALSE)</f>
        <v>#N/A</v>
      </c>
      <c r="F27" t="e">
        <f>VLOOKUP($B$26,$K$5:$Q$14,5,FALSE)</f>
        <v>#N/A</v>
      </c>
      <c r="G27" t="e">
        <f>VLOOKUP($B$26,$K$5:$Q$14,6,FALSE)</f>
        <v>#N/A</v>
      </c>
      <c r="H27" t="e">
        <f>VLOOKUP($B$26,$K$5:$Q$14,7,FALSE)</f>
        <v>#N/A</v>
      </c>
      <c r="J27" s="2"/>
      <c r="K27" s="1"/>
    </row>
    <row r="28" spans="1:17" x14ac:dyDescent="0.2">
      <c r="A28" s="2" t="s">
        <v>6</v>
      </c>
      <c r="B28" t="e">
        <f ca="1">OFFSET(A26,0,MATCH(goal_3,$B$3:$H$3,FALSE))</f>
        <v>#N/A</v>
      </c>
      <c r="C28" t="e">
        <f ca="1">OFFSET(A26,0,MATCH(goal_3,$B$3:$H$3,FALSE)+1)</f>
        <v>#N/A</v>
      </c>
      <c r="D28" t="e">
        <f ca="1">CONCATENATE(TEXT(ROUND($B$28,2)*100,"0")," - ",TEXT(ROUND($C$28,2),"0%"))</f>
        <v>#N/A</v>
      </c>
    </row>
    <row r="29" spans="1:17" x14ac:dyDescent="0.2">
      <c r="A29" s="2" t="s">
        <v>9</v>
      </c>
      <c r="B29" t="e">
        <f ca="1">OFFSET(A27,0,MATCH(goal_3,$K$3:$Q$3,FALSE))</f>
        <v>#N/A</v>
      </c>
      <c r="C29" t="e">
        <f ca="1">OFFSET(A27,0,MATCH(goal_3,$K$3:$Q$3,FALSE)+1)</f>
        <v>#N/A</v>
      </c>
      <c r="D29" t="e">
        <f ca="1">CONCATENATE(TEXT(ROUND($B$29,2)*100,"0")," - ",TEXT(ROUND($C$29,2),"0%"))</f>
        <v>#N/A</v>
      </c>
    </row>
  </sheetData>
  <sheetProtection algorithmName="SHA-512" hashValue="TichRJWLDozVM2aBAipThnmWeTmoQJrjfVeAUQB1iSFysSsVGXzLbmMaxIuinP6EnnK8nZG1tB6zXF1hqbkUVw==" saltValue="E5HOOQ15POAuei42Z6/IHw==" spinCount="100000" sheet="1" objects="1" scenarios="1"/>
  <pageMargins left="0.7" right="0.7" top="0.75" bottom="0.75" header="0.3" footer="0.3"/>
  <pageSetup orientation="portrai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Q29"/>
  <sheetViews>
    <sheetView workbookViewId="0">
      <selection activeCell="M5" sqref="M5:P14"/>
    </sheetView>
  </sheetViews>
  <sheetFormatPr baseColWidth="10" defaultColWidth="8.83203125" defaultRowHeight="15" x14ac:dyDescent="0.2"/>
  <cols>
    <col min="1" max="1" width="14.83203125" bestFit="1" customWidth="1"/>
    <col min="4" max="4" width="9.6640625" bestFit="1" customWidth="1"/>
  </cols>
  <sheetData>
    <row r="1" spans="2:17" x14ac:dyDescent="0.2">
      <c r="B1" t="s">
        <v>11</v>
      </c>
      <c r="K1" t="s">
        <v>12</v>
      </c>
    </row>
    <row r="3" spans="2:17" x14ac:dyDescent="0.2">
      <c r="B3" s="4" t="s">
        <v>5</v>
      </c>
      <c r="C3" s="4" t="s">
        <v>35</v>
      </c>
      <c r="D3" s="4" t="s">
        <v>19</v>
      </c>
      <c r="E3" s="4" t="s">
        <v>0</v>
      </c>
      <c r="F3" s="4" t="s">
        <v>20</v>
      </c>
      <c r="G3" s="4" t="s">
        <v>36</v>
      </c>
      <c r="H3" s="4"/>
      <c r="K3" s="4" t="s">
        <v>5</v>
      </c>
      <c r="L3" s="4" t="s">
        <v>35</v>
      </c>
      <c r="M3" s="4" t="s">
        <v>19</v>
      </c>
      <c r="N3" s="4" t="s">
        <v>0</v>
      </c>
      <c r="O3" s="4" t="s">
        <v>20</v>
      </c>
      <c r="P3" s="4" t="s">
        <v>36</v>
      </c>
      <c r="Q3" s="4"/>
    </row>
    <row r="4" spans="2:17" x14ac:dyDescent="0.2">
      <c r="B4" s="4">
        <v>0</v>
      </c>
      <c r="C4" s="4"/>
      <c r="D4" s="4"/>
      <c r="E4" s="4"/>
      <c r="F4" s="4"/>
      <c r="G4" s="4"/>
      <c r="H4" s="4"/>
      <c r="K4" s="4">
        <v>0</v>
      </c>
      <c r="L4" s="4"/>
      <c r="M4" s="4"/>
      <c r="N4" s="4"/>
      <c r="O4" s="4"/>
      <c r="P4" s="4"/>
      <c r="Q4" s="4"/>
    </row>
    <row r="5" spans="2:17" ht="16" x14ac:dyDescent="0.25">
      <c r="B5" s="4">
        <v>0.3</v>
      </c>
      <c r="C5" s="4">
        <v>0</v>
      </c>
      <c r="D5" s="4">
        <v>0.21212121212121199</v>
      </c>
      <c r="E5" s="4">
        <v>0.27450980392156799</v>
      </c>
      <c r="F5" s="4">
        <v>0.35</v>
      </c>
      <c r="G5" s="4">
        <v>0.43859649122806998</v>
      </c>
      <c r="H5" s="3">
        <v>1</v>
      </c>
      <c r="I5" s="1"/>
      <c r="K5" s="4">
        <v>0.3</v>
      </c>
      <c r="L5" s="4">
        <v>0</v>
      </c>
      <c r="M5" s="4">
        <v>0.20754716981131999</v>
      </c>
      <c r="N5" s="4">
        <v>0.25714285714285701</v>
      </c>
      <c r="O5" s="4">
        <v>0.31884057971014401</v>
      </c>
      <c r="P5" s="4">
        <v>0.4</v>
      </c>
      <c r="Q5" s="3">
        <v>1</v>
      </c>
    </row>
    <row r="6" spans="2:17" ht="16" x14ac:dyDescent="0.25">
      <c r="B6" s="4">
        <v>0.4</v>
      </c>
      <c r="C6" s="4">
        <v>0</v>
      </c>
      <c r="D6" s="4">
        <v>0.34</v>
      </c>
      <c r="E6" s="4">
        <v>0.39285714285714202</v>
      </c>
      <c r="F6" s="4">
        <v>0.45454545454545398</v>
      </c>
      <c r="G6" s="4">
        <v>0.51785714285714202</v>
      </c>
      <c r="H6" s="3">
        <v>1</v>
      </c>
      <c r="I6" s="1"/>
      <c r="K6" s="4">
        <v>0.4</v>
      </c>
      <c r="L6" s="4">
        <v>0</v>
      </c>
      <c r="M6" s="4">
        <v>0.31313131313131298</v>
      </c>
      <c r="N6" s="4">
        <v>0.36082474226804101</v>
      </c>
      <c r="O6" s="4">
        <v>0.40594059405940502</v>
      </c>
      <c r="P6" s="4">
        <v>0.45652173913043398</v>
      </c>
      <c r="Q6" s="3">
        <v>1</v>
      </c>
    </row>
    <row r="7" spans="2:17" ht="16" x14ac:dyDescent="0.25">
      <c r="B7" s="4">
        <v>0.45</v>
      </c>
      <c r="C7" s="4">
        <v>0</v>
      </c>
      <c r="D7" s="4">
        <v>0.38461538461538403</v>
      </c>
      <c r="E7" s="4">
        <v>0.46341463414634099</v>
      </c>
      <c r="F7" s="4">
        <v>0.51807228915662595</v>
      </c>
      <c r="G7" s="4">
        <v>0.58823529411764697</v>
      </c>
      <c r="H7" s="3">
        <v>1</v>
      </c>
      <c r="I7" s="1"/>
      <c r="K7" s="4">
        <v>0.45</v>
      </c>
      <c r="L7" s="4">
        <v>0</v>
      </c>
      <c r="M7" s="4">
        <v>0.38028169014084501</v>
      </c>
      <c r="N7" s="4">
        <v>0.43396226415094302</v>
      </c>
      <c r="O7" s="4">
        <v>0.465648854961832</v>
      </c>
      <c r="P7" s="4">
        <v>0.52777777777777701</v>
      </c>
      <c r="Q7" s="3">
        <v>1</v>
      </c>
    </row>
    <row r="8" spans="2:17" ht="16" x14ac:dyDescent="0.25">
      <c r="B8" s="4">
        <v>0.5</v>
      </c>
      <c r="C8" s="4">
        <v>0</v>
      </c>
      <c r="D8" s="4">
        <v>0.41025641025641002</v>
      </c>
      <c r="E8" s="4">
        <v>0.483870967741935</v>
      </c>
      <c r="F8" s="4">
        <v>0.54545454545454497</v>
      </c>
      <c r="G8" s="4">
        <v>0.594936708860759</v>
      </c>
      <c r="H8" s="3">
        <v>1</v>
      </c>
      <c r="I8" s="1"/>
      <c r="K8" s="4">
        <v>0.5</v>
      </c>
      <c r="L8" s="4">
        <v>0</v>
      </c>
      <c r="M8" s="4">
        <v>0.42307692307692302</v>
      </c>
      <c r="N8" s="4">
        <v>0.46478873239436602</v>
      </c>
      <c r="O8" s="4">
        <v>0.51020408163265296</v>
      </c>
      <c r="P8" s="4">
        <v>0.55555555555555503</v>
      </c>
      <c r="Q8" s="3">
        <v>1</v>
      </c>
    </row>
    <row r="9" spans="2:17" ht="16" x14ac:dyDescent="0.25">
      <c r="B9" s="4">
        <v>0.55000000000000004</v>
      </c>
      <c r="C9" s="4">
        <v>0</v>
      </c>
      <c r="D9" s="4">
        <v>0.469696969696969</v>
      </c>
      <c r="E9" s="4">
        <v>0.53658536585365801</v>
      </c>
      <c r="F9" s="4">
        <v>0.59146341463414598</v>
      </c>
      <c r="G9" s="4">
        <v>0.65979381443298901</v>
      </c>
      <c r="H9" s="3">
        <v>1</v>
      </c>
      <c r="I9" s="1"/>
      <c r="K9" s="4">
        <v>0.55000000000000004</v>
      </c>
      <c r="L9" s="4">
        <v>0</v>
      </c>
      <c r="M9" s="4">
        <v>0.47058823529411697</v>
      </c>
      <c r="N9" s="4">
        <v>0.51578947368421002</v>
      </c>
      <c r="O9" s="4">
        <v>0.56521739130434701</v>
      </c>
      <c r="P9" s="4">
        <v>0.60606060606060597</v>
      </c>
      <c r="Q9" s="3">
        <v>1</v>
      </c>
    </row>
    <row r="10" spans="2:17" ht="16" x14ac:dyDescent="0.25">
      <c r="B10" s="4">
        <v>0.6</v>
      </c>
      <c r="C10" s="4">
        <v>0</v>
      </c>
      <c r="D10" s="4">
        <v>0.52631578947368396</v>
      </c>
      <c r="E10" s="4">
        <v>0.59615384615384603</v>
      </c>
      <c r="F10" s="4">
        <v>0.63855421686746905</v>
      </c>
      <c r="G10" s="4">
        <v>0.69090909090909003</v>
      </c>
      <c r="H10" s="3">
        <v>1</v>
      </c>
      <c r="I10" s="1"/>
      <c r="K10" s="4">
        <v>0.6</v>
      </c>
      <c r="L10" s="4">
        <v>0</v>
      </c>
      <c r="M10" s="4">
        <v>0.50819672131147497</v>
      </c>
      <c r="N10" s="4">
        <v>0.55813953488372003</v>
      </c>
      <c r="O10" s="4">
        <v>0.60240963855421603</v>
      </c>
      <c r="P10" s="4">
        <v>0.65306122448979498</v>
      </c>
      <c r="Q10" s="3">
        <v>1</v>
      </c>
    </row>
    <row r="11" spans="2:17" ht="16" x14ac:dyDescent="0.25">
      <c r="B11" s="4">
        <v>0.7</v>
      </c>
      <c r="C11" s="4">
        <v>0</v>
      </c>
      <c r="D11" s="4">
        <v>0.60240963855421603</v>
      </c>
      <c r="E11" s="4">
        <v>0.64912280701754299</v>
      </c>
      <c r="F11" s="4">
        <v>0.69565217391304301</v>
      </c>
      <c r="G11" s="4">
        <v>0.75159235668789803</v>
      </c>
      <c r="H11" s="3">
        <v>1</v>
      </c>
      <c r="I11" s="1"/>
      <c r="K11" s="4">
        <v>0.7</v>
      </c>
      <c r="L11" s="4">
        <v>0</v>
      </c>
      <c r="M11" s="4">
        <v>0.579439252336448</v>
      </c>
      <c r="N11" s="4">
        <v>0.62666666666666604</v>
      </c>
      <c r="O11" s="4">
        <v>0.66956521739130404</v>
      </c>
      <c r="P11" s="4">
        <v>0.71212121212121204</v>
      </c>
      <c r="Q11" s="3">
        <v>1</v>
      </c>
    </row>
    <row r="12" spans="2:17" ht="16" x14ac:dyDescent="0.25">
      <c r="B12" s="4">
        <v>0.8</v>
      </c>
      <c r="C12" s="4">
        <v>0</v>
      </c>
      <c r="D12" s="4">
        <v>0.70408163265306101</v>
      </c>
      <c r="E12" s="4">
        <v>0.74285714285714199</v>
      </c>
      <c r="F12" s="4">
        <v>0.782258064516129</v>
      </c>
      <c r="G12" s="4">
        <v>0.82258064516129004</v>
      </c>
      <c r="H12" s="3">
        <v>1</v>
      </c>
      <c r="I12" s="1"/>
      <c r="K12" s="4">
        <v>0.8</v>
      </c>
      <c r="L12" s="4">
        <v>0</v>
      </c>
      <c r="M12" s="4">
        <v>0.68333333333333302</v>
      </c>
      <c r="N12" s="4">
        <v>0.73255813953488302</v>
      </c>
      <c r="O12" s="4">
        <v>0.76315789473684204</v>
      </c>
      <c r="P12" s="4">
        <v>0.80303030303030298</v>
      </c>
      <c r="Q12" s="3">
        <v>1</v>
      </c>
    </row>
    <row r="13" spans="2:17" ht="16" x14ac:dyDescent="0.25">
      <c r="B13" s="4">
        <v>0.9</v>
      </c>
      <c r="C13" s="4">
        <v>0</v>
      </c>
      <c r="D13" s="4">
        <v>0.78873239436619702</v>
      </c>
      <c r="E13" s="4">
        <v>0.83486238532110002</v>
      </c>
      <c r="F13" s="4">
        <v>0.86466165413533802</v>
      </c>
      <c r="G13" s="4">
        <v>0.90140845070422504</v>
      </c>
      <c r="H13" s="3">
        <v>1</v>
      </c>
      <c r="I13" s="1"/>
      <c r="K13" s="4">
        <v>0.9</v>
      </c>
      <c r="L13" s="4">
        <v>0</v>
      </c>
      <c r="M13" s="4">
        <v>0.78021978021978</v>
      </c>
      <c r="N13" s="4">
        <v>0.81707317073170704</v>
      </c>
      <c r="O13" s="4">
        <v>0.843373493975903</v>
      </c>
      <c r="P13" s="4">
        <v>0.87654320987654299</v>
      </c>
      <c r="Q13" s="3">
        <v>1</v>
      </c>
    </row>
    <row r="14" spans="2:17" ht="16" x14ac:dyDescent="0.25">
      <c r="B14" s="4">
        <v>1</v>
      </c>
      <c r="C14" s="4">
        <v>0</v>
      </c>
      <c r="D14" s="4">
        <v>0.87878787878787801</v>
      </c>
      <c r="E14" s="4">
        <v>0.91017964071856206</v>
      </c>
      <c r="F14" s="4">
        <v>0.93661971830985902</v>
      </c>
      <c r="G14" s="4">
        <v>0.95918367346938704</v>
      </c>
      <c r="H14" s="3">
        <v>1</v>
      </c>
      <c r="I14" s="1"/>
      <c r="K14" s="4">
        <v>1</v>
      </c>
      <c r="L14" s="4">
        <v>0</v>
      </c>
      <c r="M14" s="4">
        <v>0.87280701754385903</v>
      </c>
      <c r="N14" s="4">
        <v>0.90769230769230702</v>
      </c>
      <c r="O14" s="4">
        <v>0.92617449664429496</v>
      </c>
      <c r="P14" s="4">
        <v>0.95744680851063801</v>
      </c>
      <c r="Q14" s="3">
        <v>1</v>
      </c>
    </row>
    <row r="15" spans="2:17" ht="16" x14ac:dyDescent="0.25">
      <c r="B15" s="6"/>
      <c r="C15" s="6"/>
      <c r="D15" s="6"/>
      <c r="E15" s="6"/>
      <c r="F15" s="6"/>
      <c r="G15" s="6"/>
      <c r="H15" s="7"/>
      <c r="I15" s="1"/>
      <c r="K15" s="6"/>
      <c r="L15" s="6"/>
      <c r="M15" s="6"/>
      <c r="N15" s="6"/>
      <c r="O15" s="6"/>
      <c r="P15" s="6"/>
      <c r="Q15" s="7"/>
    </row>
    <row r="16" spans="2:17" ht="16" x14ac:dyDescent="0.25">
      <c r="B16" s="6"/>
      <c r="C16" s="6"/>
      <c r="D16" s="6"/>
      <c r="E16" s="6"/>
      <c r="F16" s="6"/>
      <c r="G16" s="6"/>
      <c r="H16" s="7"/>
      <c r="I16" s="1"/>
      <c r="K16" s="6"/>
      <c r="L16" s="6"/>
      <c r="M16" s="6"/>
      <c r="N16" s="6"/>
      <c r="O16" s="6"/>
      <c r="P16" s="6"/>
      <c r="Q16" s="7"/>
    </row>
    <row r="17" spans="1:17" ht="16" x14ac:dyDescent="0.25">
      <c r="A17" t="s">
        <v>15</v>
      </c>
      <c r="B17" t="e">
        <f>IF(BOY_3="",NA(),BOY_3)</f>
        <v>#N/A</v>
      </c>
      <c r="C17" t="e">
        <f>IF(OR(B17="",B17&lt;0,B17&gt;1),NA(),IF(B17=0,0.001,B17))</f>
        <v>#N/A</v>
      </c>
      <c r="I17" s="1"/>
      <c r="K17" s="6"/>
      <c r="L17" s="6"/>
      <c r="M17" s="6"/>
      <c r="N17" s="6"/>
      <c r="O17" s="6"/>
      <c r="P17" s="6"/>
      <c r="Q17" s="7"/>
    </row>
    <row r="18" spans="1:17" ht="16" x14ac:dyDescent="0.25">
      <c r="A18" t="s">
        <v>16</v>
      </c>
      <c r="B18" t="e">
        <f>IF(EOY_3="",NA(),EOY_3)</f>
        <v>#N/A</v>
      </c>
      <c r="C18" t="e">
        <f>IF(OR(B18="",B18&lt;0,B18&gt;1),NA(),IF(B18=1,0.999,B18))</f>
        <v>#N/A</v>
      </c>
      <c r="I18" s="1"/>
      <c r="K18" s="6"/>
      <c r="L18" s="6"/>
      <c r="M18" s="6"/>
      <c r="N18" s="6"/>
      <c r="O18" s="6"/>
      <c r="P18" s="6"/>
      <c r="Q18" s="7"/>
    </row>
    <row r="19" spans="1:17" ht="16" x14ac:dyDescent="0.25">
      <c r="A19" t="s">
        <v>17</v>
      </c>
      <c r="B19" t="e">
        <f>IF(goal_BOY_3="",NA(),goal_BOY_3)</f>
        <v>#N/A</v>
      </c>
      <c r="C19" t="e">
        <f>IF(OR(B19="",B19&lt;0,B19&gt;1),NA(),IF(B19=0,0.001,B19))</f>
        <v>#N/A</v>
      </c>
      <c r="I19" s="1"/>
      <c r="K19" s="6"/>
      <c r="L19" s="6"/>
      <c r="M19" s="6"/>
      <c r="N19" s="6"/>
      <c r="O19" s="6"/>
      <c r="P19" s="6"/>
      <c r="Q19" s="7"/>
    </row>
    <row r="21" spans="1:17" x14ac:dyDescent="0.2">
      <c r="A21" s="5" t="s">
        <v>13</v>
      </c>
    </row>
    <row r="22" spans="1:17" ht="16" x14ac:dyDescent="0.25">
      <c r="A22" s="2" t="s">
        <v>7</v>
      </c>
      <c r="B22" s="1" t="e">
        <f>SUMPRODUCT((B3:B13&lt;$C$17)*(B4:B14&gt;=$C$17),(B4:B14))</f>
        <v>#N/A</v>
      </c>
      <c r="C22" t="e">
        <f>VLOOKUP($B$22,$B$5:$H$14,2,FALSE)</f>
        <v>#N/A</v>
      </c>
      <c r="D22" t="e">
        <f>VLOOKUP($B$22,$B$5:$H$14,3,FALSE)</f>
        <v>#N/A</v>
      </c>
      <c r="E22" t="e">
        <f>VLOOKUP($B$22,$B$5:$H$14,4,FALSE)</f>
        <v>#N/A</v>
      </c>
      <c r="F22" t="e">
        <f>VLOOKUP($B$22,$B$5:$H$14,5,FALSE)</f>
        <v>#N/A</v>
      </c>
      <c r="G22" t="e">
        <f>VLOOKUP($B$22,$B$5:$H$14,6,FALSE)</f>
        <v>#N/A</v>
      </c>
      <c r="H22" t="e">
        <f>VLOOKUP($B$22,$B$5:$H$14,7,FALSE)</f>
        <v>#N/A</v>
      </c>
      <c r="J22" s="2"/>
    </row>
    <row r="23" spans="1:17" ht="16" x14ac:dyDescent="0.25">
      <c r="A23" s="2" t="s">
        <v>8</v>
      </c>
      <c r="B23" s="1" t="e">
        <f ca="1">OFFSET(A3,0,SUMPRODUCT((C22:G22&lt;=$C$18)*(D22:H22&gt;$C$18),COLUMN(B22:F22)))</f>
        <v>#N/A</v>
      </c>
      <c r="J23" s="2"/>
      <c r="K23" s="1"/>
    </row>
    <row r="24" spans="1:17" ht="16" x14ac:dyDescent="0.25">
      <c r="A24" s="2"/>
      <c r="B24" s="1"/>
      <c r="J24" s="2"/>
      <c r="K24" s="1"/>
    </row>
    <row r="25" spans="1:17" ht="16" x14ac:dyDescent="0.25">
      <c r="A25" s="5" t="s">
        <v>14</v>
      </c>
      <c r="B25" s="1"/>
      <c r="J25" s="2"/>
      <c r="K25" s="1"/>
    </row>
    <row r="26" spans="1:17" ht="16" x14ac:dyDescent="0.25">
      <c r="A26" s="2" t="s">
        <v>7</v>
      </c>
      <c r="B26" s="1" t="e">
        <f>SUMPRODUCT((B3:B13&lt;$C$19)*(B4:B14&gt;=$C$19),(B4:B14))</f>
        <v>#N/A</v>
      </c>
      <c r="C26" t="e">
        <f>VLOOKUP($B$26,$B$5:$H$14,2,FALSE)</f>
        <v>#N/A</v>
      </c>
      <c r="D26" t="e">
        <f>VLOOKUP($B$26,$B$5:$H$14,3,FALSE)</f>
        <v>#N/A</v>
      </c>
      <c r="E26" t="e">
        <f>VLOOKUP($B$26,$B$5:$H$14,4,FALSE)</f>
        <v>#N/A</v>
      </c>
      <c r="F26" t="e">
        <f>VLOOKUP($B$26,$B$5:$H$14,5,FALSE)</f>
        <v>#N/A</v>
      </c>
      <c r="G26" t="e">
        <f>VLOOKUP($B$26,$B$5:$H$14,6,FALSE)</f>
        <v>#N/A</v>
      </c>
      <c r="H26" t="e">
        <f>VLOOKUP($B$26,$B$5:$H$14,7,FALSE)</f>
        <v>#N/A</v>
      </c>
      <c r="J26" s="2"/>
    </row>
    <row r="27" spans="1:17" ht="16" x14ac:dyDescent="0.25">
      <c r="A27" s="2" t="s">
        <v>10</v>
      </c>
      <c r="B27" s="1"/>
      <c r="C27" t="e">
        <f>VLOOKUP($B$26,$K$5:$Q$14,2,FALSE)</f>
        <v>#N/A</v>
      </c>
      <c r="D27" t="e">
        <f>VLOOKUP($B$26,$K$5:$Q$14,3,FALSE)</f>
        <v>#N/A</v>
      </c>
      <c r="E27" t="e">
        <f>VLOOKUP($B$26,$K$5:$Q$14,4,FALSE)</f>
        <v>#N/A</v>
      </c>
      <c r="F27" t="e">
        <f>VLOOKUP($B$26,$K$5:$Q$14,5,FALSE)</f>
        <v>#N/A</v>
      </c>
      <c r="G27" t="e">
        <f>VLOOKUP($B$26,$K$5:$Q$14,6,FALSE)</f>
        <v>#N/A</v>
      </c>
      <c r="H27" t="e">
        <f>VLOOKUP($B$26,$K$5:$Q$14,7,FALSE)</f>
        <v>#N/A</v>
      </c>
      <c r="J27" s="2"/>
      <c r="K27" s="1"/>
    </row>
    <row r="28" spans="1:17" x14ac:dyDescent="0.2">
      <c r="A28" s="2" t="s">
        <v>6</v>
      </c>
      <c r="B28" t="e">
        <f ca="1">OFFSET(A26,0,MATCH(goal_3,$B$3:$H$3,FALSE))</f>
        <v>#N/A</v>
      </c>
      <c r="C28" t="e">
        <f ca="1">OFFSET(A26,0,MATCH(goal_3,$B$3:$H$3,FALSE)+1)</f>
        <v>#N/A</v>
      </c>
      <c r="D28" t="e">
        <f ca="1">CONCATENATE(TEXT(ROUND($B$28,2)*100,"0")," - ",TEXT(ROUND($C$28,2),"0%"))</f>
        <v>#N/A</v>
      </c>
    </row>
    <row r="29" spans="1:17" x14ac:dyDescent="0.2">
      <c r="A29" s="2" t="s">
        <v>9</v>
      </c>
      <c r="B29" t="e">
        <f ca="1">OFFSET(A27,0,MATCH(goal_3,$K$3:$Q$3,FALSE))</f>
        <v>#N/A</v>
      </c>
      <c r="C29" t="e">
        <f ca="1">OFFSET(A27,0,MATCH(goal_3,$K$3:$Q$3,FALSE)+1)</f>
        <v>#N/A</v>
      </c>
      <c r="D29" t="e">
        <f ca="1">CONCATENATE(TEXT(ROUND($B$29,2)*100,"0")," - ",TEXT(ROUND($C$29,2),"0%"))</f>
        <v>#N/A</v>
      </c>
    </row>
  </sheetData>
  <sheetProtection algorithmName="SHA-512" hashValue="aJgxbRsu2HYpzyGIn8iVRHO5K8EfA5uhKknyG29+UYgbVYjhmxfGxIhEBJnzEogl63xieg4R2uV7BQ+D/VQawQ==" saltValue="NgC8GLGsgYP3cW2DoAPm0A==" spinCount="100000" sheet="1" objects="1" scenarios="1"/>
  <pageMargins left="0.7" right="0.7" top="0.75" bottom="0.75" header="0.3" footer="0.3"/>
  <pageSetup orientation="portrait"/>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Q29"/>
  <sheetViews>
    <sheetView workbookViewId="0">
      <selection activeCell="B19" sqref="B19"/>
    </sheetView>
  </sheetViews>
  <sheetFormatPr baseColWidth="10" defaultColWidth="8.83203125" defaultRowHeight="15" x14ac:dyDescent="0.2"/>
  <cols>
    <col min="1" max="1" width="14.83203125" bestFit="1" customWidth="1"/>
    <col min="4" max="4" width="9.6640625" bestFit="1" customWidth="1"/>
  </cols>
  <sheetData>
    <row r="1" spans="2:17" x14ac:dyDescent="0.2">
      <c r="B1" t="s">
        <v>11</v>
      </c>
      <c r="K1" t="s">
        <v>12</v>
      </c>
    </row>
    <row r="3" spans="2:17" x14ac:dyDescent="0.2">
      <c r="B3" s="4" t="s">
        <v>5</v>
      </c>
      <c r="C3" s="4" t="s">
        <v>35</v>
      </c>
      <c r="D3" s="4" t="s">
        <v>19</v>
      </c>
      <c r="E3" s="4" t="s">
        <v>0</v>
      </c>
      <c r="F3" s="4" t="s">
        <v>20</v>
      </c>
      <c r="G3" s="4" t="s">
        <v>36</v>
      </c>
      <c r="H3" s="4"/>
      <c r="K3" s="4" t="s">
        <v>5</v>
      </c>
      <c r="L3" s="4" t="s">
        <v>35</v>
      </c>
      <c r="M3" s="4" t="s">
        <v>19</v>
      </c>
      <c r="N3" s="4" t="s">
        <v>0</v>
      </c>
      <c r="O3" s="4" t="s">
        <v>20</v>
      </c>
      <c r="P3" s="4" t="s">
        <v>36</v>
      </c>
      <c r="Q3" s="4"/>
    </row>
    <row r="4" spans="2:17" x14ac:dyDescent="0.2">
      <c r="B4" s="4">
        <v>0</v>
      </c>
      <c r="C4" s="4"/>
      <c r="D4" s="4"/>
      <c r="E4" s="4"/>
      <c r="F4" s="4"/>
      <c r="G4" s="4"/>
      <c r="H4" s="4"/>
      <c r="K4" s="4">
        <v>0</v>
      </c>
      <c r="L4" s="4"/>
      <c r="M4" s="4"/>
      <c r="N4" s="4"/>
      <c r="O4" s="4"/>
      <c r="P4" s="4"/>
      <c r="Q4" s="4"/>
    </row>
    <row r="5" spans="2:17" ht="16" x14ac:dyDescent="0.25">
      <c r="B5" s="4">
        <v>0.2</v>
      </c>
      <c r="C5" s="44">
        <v>0</v>
      </c>
      <c r="D5" s="44">
        <v>0.48275862068965503</v>
      </c>
      <c r="E5" s="44">
        <v>0.625</v>
      </c>
      <c r="F5" s="44">
        <v>0.71428571428571397</v>
      </c>
      <c r="G5" s="44">
        <v>0.83783783783783705</v>
      </c>
      <c r="H5" s="3">
        <v>1</v>
      </c>
      <c r="I5" s="1"/>
      <c r="K5" s="4">
        <v>0.2</v>
      </c>
      <c r="L5" s="4">
        <v>0</v>
      </c>
      <c r="M5" s="44">
        <v>0.28089887640449401</v>
      </c>
      <c r="N5" s="44">
        <v>0.4</v>
      </c>
      <c r="O5" s="44">
        <v>0.49382716049382702</v>
      </c>
      <c r="P5" s="44">
        <v>0.625</v>
      </c>
      <c r="Q5" s="3">
        <v>1</v>
      </c>
    </row>
    <row r="6" spans="2:17" ht="16" x14ac:dyDescent="0.25">
      <c r="B6" s="4">
        <v>0.3</v>
      </c>
      <c r="C6" s="44">
        <v>0</v>
      </c>
      <c r="D6" s="44">
        <v>0.50515463917525705</v>
      </c>
      <c r="E6" s="44">
        <v>0.62</v>
      </c>
      <c r="F6" s="44">
        <v>0.71794871794871695</v>
      </c>
      <c r="G6" s="44">
        <v>0.82089552238805896</v>
      </c>
      <c r="H6" s="3">
        <v>1</v>
      </c>
      <c r="I6" s="1"/>
      <c r="K6" s="4">
        <v>0.3</v>
      </c>
      <c r="L6" s="4">
        <v>0</v>
      </c>
      <c r="M6" s="44">
        <v>0.338028169014084</v>
      </c>
      <c r="N6" s="44">
        <v>0.45</v>
      </c>
      <c r="O6" s="44">
        <v>0.53097345132743301</v>
      </c>
      <c r="P6" s="44">
        <v>0.63333333333333297</v>
      </c>
      <c r="Q6" s="3">
        <v>1</v>
      </c>
    </row>
    <row r="7" spans="2:17" ht="16" x14ac:dyDescent="0.25">
      <c r="B7" s="4">
        <v>0.4</v>
      </c>
      <c r="C7" s="44">
        <v>0</v>
      </c>
      <c r="D7" s="44">
        <v>0.54651162790697605</v>
      </c>
      <c r="E7" s="44">
        <v>0.66834170854271302</v>
      </c>
      <c r="F7" s="44">
        <v>0.74736842105263102</v>
      </c>
      <c r="G7" s="44">
        <v>0.82828282828282795</v>
      </c>
      <c r="H7" s="40">
        <v>1</v>
      </c>
      <c r="I7" s="41"/>
      <c r="J7" s="42"/>
      <c r="K7" s="43">
        <v>0.4</v>
      </c>
      <c r="L7" s="43">
        <v>0</v>
      </c>
      <c r="M7" s="44">
        <v>0.39669421487603301</v>
      </c>
      <c r="N7" s="44">
        <v>0.50243902439024302</v>
      </c>
      <c r="O7" s="44">
        <v>0.58333333333333304</v>
      </c>
      <c r="P7" s="44">
        <v>0.671875</v>
      </c>
      <c r="Q7" s="40">
        <v>1</v>
      </c>
    </row>
    <row r="8" spans="2:17" ht="16" x14ac:dyDescent="0.25">
      <c r="B8" s="4">
        <v>0.45</v>
      </c>
      <c r="C8" s="44">
        <v>0</v>
      </c>
      <c r="D8" s="44">
        <v>0.581395348837209</v>
      </c>
      <c r="E8" s="44">
        <v>0.67816091954022895</v>
      </c>
      <c r="F8" s="44">
        <v>0.75221238938053003</v>
      </c>
      <c r="G8" s="44">
        <v>0.83673469387755095</v>
      </c>
      <c r="H8" s="3">
        <v>1</v>
      </c>
      <c r="I8" s="1"/>
      <c r="K8" s="4">
        <v>0.45</v>
      </c>
      <c r="L8" s="4">
        <v>0</v>
      </c>
      <c r="M8" s="44">
        <v>0.44776119402984998</v>
      </c>
      <c r="N8" s="44">
        <v>0.53571428571428503</v>
      </c>
      <c r="O8" s="44">
        <v>0.609375</v>
      </c>
      <c r="P8" s="44">
        <v>0.7</v>
      </c>
      <c r="Q8" s="3">
        <v>1</v>
      </c>
    </row>
    <row r="9" spans="2:17" ht="16" x14ac:dyDescent="0.25">
      <c r="B9" s="4">
        <v>0.5</v>
      </c>
      <c r="C9" s="44">
        <v>0</v>
      </c>
      <c r="D9" s="44">
        <v>0.60360360360360299</v>
      </c>
      <c r="E9" s="44">
        <v>0.69811320754716899</v>
      </c>
      <c r="F9" s="44">
        <v>0.77894736842105206</v>
      </c>
      <c r="G9" s="44">
        <v>0.84883720930232498</v>
      </c>
      <c r="H9" s="3">
        <v>1</v>
      </c>
      <c r="I9" s="1"/>
      <c r="K9" s="4">
        <v>0.5</v>
      </c>
      <c r="L9" s="4">
        <v>0</v>
      </c>
      <c r="M9" s="44">
        <v>0.46875</v>
      </c>
      <c r="N9" s="44">
        <v>0.55932203389830504</v>
      </c>
      <c r="O9" s="44">
        <v>0.63529411764705801</v>
      </c>
      <c r="P9" s="44">
        <v>0.71844660194174703</v>
      </c>
      <c r="Q9" s="3">
        <v>1</v>
      </c>
    </row>
    <row r="10" spans="2:17" ht="16" x14ac:dyDescent="0.25">
      <c r="B10" s="4">
        <v>0.55000000000000004</v>
      </c>
      <c r="C10" s="44">
        <v>0</v>
      </c>
      <c r="D10" s="44">
        <v>0.62790697674418605</v>
      </c>
      <c r="E10" s="44">
        <v>0.72368421052631504</v>
      </c>
      <c r="F10" s="44">
        <v>0.79310344827586199</v>
      </c>
      <c r="G10" s="44">
        <v>0.86170212765957399</v>
      </c>
      <c r="H10" s="3">
        <v>1</v>
      </c>
      <c r="I10" s="1"/>
      <c r="K10" s="4">
        <v>0.55000000000000004</v>
      </c>
      <c r="L10" s="4">
        <v>0</v>
      </c>
      <c r="M10" s="44">
        <v>0.51923076923076905</v>
      </c>
      <c r="N10" s="44">
        <v>0.61363636363636298</v>
      </c>
      <c r="O10" s="44">
        <v>0.68333333333333302</v>
      </c>
      <c r="P10" s="44">
        <v>0.75268817204300997</v>
      </c>
      <c r="Q10" s="3">
        <v>1</v>
      </c>
    </row>
    <row r="11" spans="2:17" ht="16" x14ac:dyDescent="0.25">
      <c r="B11" s="4">
        <v>0.6</v>
      </c>
      <c r="C11" s="44">
        <v>0</v>
      </c>
      <c r="D11" s="44">
        <v>0.625</v>
      </c>
      <c r="E11" s="44">
        <v>0.71830985915492895</v>
      </c>
      <c r="F11" s="44">
        <v>0.80246913580246904</v>
      </c>
      <c r="G11" s="44">
        <v>0.86725663716814105</v>
      </c>
      <c r="H11" s="3">
        <v>1</v>
      </c>
      <c r="I11" s="1"/>
      <c r="K11" s="4">
        <v>0.6</v>
      </c>
      <c r="L11" s="4">
        <v>0</v>
      </c>
      <c r="M11" s="44">
        <v>0.53125</v>
      </c>
      <c r="N11" s="44">
        <v>0.62195121951219501</v>
      </c>
      <c r="O11" s="44">
        <v>0.69117647058823495</v>
      </c>
      <c r="P11" s="44">
        <v>0.76666666666666605</v>
      </c>
      <c r="Q11" s="3">
        <v>1</v>
      </c>
    </row>
    <row r="12" spans="2:17" ht="16" x14ac:dyDescent="0.25">
      <c r="B12" s="4">
        <v>0.7</v>
      </c>
      <c r="C12" s="44">
        <v>0</v>
      </c>
      <c r="D12" s="44">
        <v>0.67058823529411704</v>
      </c>
      <c r="E12" s="44">
        <v>0.765625</v>
      </c>
      <c r="F12" s="44">
        <v>0.82178217821782096</v>
      </c>
      <c r="G12" s="44">
        <v>0.88235294117647001</v>
      </c>
      <c r="H12" s="3">
        <v>1</v>
      </c>
      <c r="I12" s="1"/>
      <c r="K12" s="4">
        <v>0.7</v>
      </c>
      <c r="L12" s="4">
        <v>0</v>
      </c>
      <c r="M12" s="44">
        <v>0.58024691358024605</v>
      </c>
      <c r="N12" s="44">
        <v>0.67045454545454497</v>
      </c>
      <c r="O12" s="44">
        <v>0.73529411764705799</v>
      </c>
      <c r="P12" s="44">
        <v>0.80434782608695599</v>
      </c>
      <c r="Q12" s="3">
        <v>1</v>
      </c>
    </row>
    <row r="13" spans="2:17" ht="16" x14ac:dyDescent="0.25">
      <c r="B13" s="4">
        <v>0.8</v>
      </c>
      <c r="C13" s="44">
        <v>0</v>
      </c>
      <c r="D13" s="44">
        <v>0.69565217391304301</v>
      </c>
      <c r="E13" s="44">
        <v>0.79220779220779203</v>
      </c>
      <c r="F13" s="44">
        <v>0.85135135135135098</v>
      </c>
      <c r="G13" s="44">
        <v>0.90625</v>
      </c>
      <c r="H13" s="3">
        <v>1</v>
      </c>
      <c r="I13" s="1"/>
      <c r="K13" s="4">
        <v>0.8</v>
      </c>
      <c r="L13" s="4">
        <v>0</v>
      </c>
      <c r="M13" s="44">
        <v>0.644067796610169</v>
      </c>
      <c r="N13" s="44">
        <v>0.72307692307692295</v>
      </c>
      <c r="O13" s="44">
        <v>0.78</v>
      </c>
      <c r="P13" s="44">
        <v>0.85135135135135098</v>
      </c>
      <c r="Q13" s="3">
        <v>1</v>
      </c>
    </row>
    <row r="14" spans="2:17" ht="16" x14ac:dyDescent="0.25">
      <c r="B14" s="4">
        <v>0.9</v>
      </c>
      <c r="C14" s="44">
        <v>0</v>
      </c>
      <c r="D14" s="44">
        <v>0.75757575757575701</v>
      </c>
      <c r="E14" s="44">
        <v>0.83783783783783705</v>
      </c>
      <c r="F14" s="44">
        <v>0.88800000000000001</v>
      </c>
      <c r="G14" s="44">
        <v>0.929824561403508</v>
      </c>
      <c r="H14" s="3">
        <v>1</v>
      </c>
      <c r="I14" s="1"/>
      <c r="K14" s="4">
        <v>0.9</v>
      </c>
      <c r="L14" s="4">
        <v>0</v>
      </c>
      <c r="M14" s="44">
        <v>0.71641791044776104</v>
      </c>
      <c r="N14" s="44">
        <v>0.77419354838709598</v>
      </c>
      <c r="O14" s="44">
        <v>0.83464566929133799</v>
      </c>
      <c r="P14" s="44">
        <v>0.88095238095238004</v>
      </c>
      <c r="Q14" s="3">
        <v>1</v>
      </c>
    </row>
    <row r="15" spans="2:17" ht="16" x14ac:dyDescent="0.25">
      <c r="B15" s="4">
        <v>1</v>
      </c>
      <c r="C15" s="44">
        <v>0</v>
      </c>
      <c r="D15" s="44">
        <v>0.85294117647058798</v>
      </c>
      <c r="E15" s="44">
        <v>0.89655172413793105</v>
      </c>
      <c r="F15" s="44">
        <v>0.92561983471074305</v>
      </c>
      <c r="G15" s="44">
        <v>0.95833333333333304</v>
      </c>
      <c r="H15" s="3">
        <v>1</v>
      </c>
      <c r="I15" s="1"/>
      <c r="K15" s="46">
        <v>1</v>
      </c>
      <c r="L15" s="46">
        <v>0</v>
      </c>
      <c r="M15" s="44">
        <v>0.78021978021978</v>
      </c>
      <c r="N15" s="44">
        <v>0.84057971014492705</v>
      </c>
      <c r="O15" s="44">
        <v>0.87356321839080397</v>
      </c>
      <c r="P15" s="44">
        <v>0.911392405063291</v>
      </c>
      <c r="Q15" s="3">
        <v>1</v>
      </c>
    </row>
    <row r="16" spans="2:17" ht="16" x14ac:dyDescent="0.25">
      <c r="B16" s="6"/>
      <c r="C16" s="6"/>
      <c r="D16" s="6"/>
      <c r="E16" s="6"/>
      <c r="F16" s="6"/>
      <c r="G16" s="6"/>
      <c r="H16" s="7"/>
      <c r="I16" s="1"/>
      <c r="K16" s="6"/>
      <c r="L16" s="6"/>
      <c r="M16" s="6"/>
      <c r="N16" s="6"/>
      <c r="O16" s="6"/>
      <c r="P16" s="6"/>
      <c r="Q16" s="7"/>
    </row>
    <row r="17" spans="1:17" ht="16" x14ac:dyDescent="0.25">
      <c r="A17" t="s">
        <v>15</v>
      </c>
      <c r="B17" t="e">
        <f>IF(BOY_K="",NA(),BOY_K)</f>
        <v>#N/A</v>
      </c>
      <c r="C17" t="e">
        <f>IF(OR(B17="",B17&lt;0,B17&gt;1),NA(),IF(B17=0,0.001,B17))</f>
        <v>#N/A</v>
      </c>
      <c r="I17" s="1"/>
      <c r="K17" s="6"/>
      <c r="L17" s="6"/>
      <c r="M17" s="6"/>
      <c r="N17" s="6"/>
      <c r="O17" s="6"/>
      <c r="P17" s="6"/>
      <c r="Q17" s="7"/>
    </row>
    <row r="18" spans="1:17" ht="16" x14ac:dyDescent="0.25">
      <c r="A18" t="s">
        <v>16</v>
      </c>
      <c r="B18" t="e">
        <f>IF(EOY_K="",NA(),EOY_K)</f>
        <v>#N/A</v>
      </c>
      <c r="C18" t="e">
        <f>IF(OR(B18="",B18&lt;0,B18&gt;1),NA(),IF(B18=1,0.999,B18))</f>
        <v>#N/A</v>
      </c>
      <c r="I18" s="1"/>
      <c r="K18" s="6"/>
      <c r="L18" s="6"/>
      <c r="M18" s="6"/>
      <c r="N18" s="6"/>
      <c r="O18" s="6"/>
      <c r="P18" s="6"/>
      <c r="Q18" s="7"/>
    </row>
    <row r="19" spans="1:17" ht="16" x14ac:dyDescent="0.25">
      <c r="A19" t="s">
        <v>17</v>
      </c>
      <c r="B19" t="e">
        <f>IF(goal_BOY_K="",NA(),goal_BOY_K)</f>
        <v>#N/A</v>
      </c>
      <c r="C19" t="e">
        <f>IF(OR(B19="",B19&lt;0,B19&gt;1),NA(),IF(B19=0,0.001,B19))</f>
        <v>#N/A</v>
      </c>
      <c r="I19" s="1"/>
      <c r="K19" s="6"/>
      <c r="L19" s="6"/>
      <c r="M19" s="6"/>
      <c r="N19" s="6"/>
      <c r="O19" s="6"/>
      <c r="P19" s="6"/>
      <c r="Q19" s="7"/>
    </row>
    <row r="21" spans="1:17" x14ac:dyDescent="0.2">
      <c r="A21" s="5" t="s">
        <v>13</v>
      </c>
    </row>
    <row r="22" spans="1:17" ht="16" x14ac:dyDescent="0.25">
      <c r="A22" s="2" t="s">
        <v>7</v>
      </c>
      <c r="B22" s="1" t="e">
        <f>SUMPRODUCT((B3:B13&lt;$C$17)*(B4:B14&gt;=$C$17),(B4:B14))</f>
        <v>#N/A</v>
      </c>
      <c r="C22" t="e">
        <f>VLOOKUP($B$22,$B$5:$H$14,2,FALSE)</f>
        <v>#N/A</v>
      </c>
      <c r="D22" t="e">
        <f>VLOOKUP($B$22,$B$5:$H$14,3,FALSE)</f>
        <v>#N/A</v>
      </c>
      <c r="E22" t="e">
        <f>VLOOKUP($B$22,$B$5:$H$14,4,FALSE)</f>
        <v>#N/A</v>
      </c>
      <c r="F22" t="e">
        <f>VLOOKUP($B$22,$B$5:$H$14,5,FALSE)</f>
        <v>#N/A</v>
      </c>
      <c r="G22" t="e">
        <f>VLOOKUP($B$22,$B$5:$H$14,6,FALSE)</f>
        <v>#N/A</v>
      </c>
      <c r="H22" t="e">
        <f>VLOOKUP($B$22,$B$5:$H$14,7,FALSE)</f>
        <v>#N/A</v>
      </c>
      <c r="J22" s="2"/>
    </row>
    <row r="23" spans="1:17" ht="16" x14ac:dyDescent="0.25">
      <c r="A23" s="2" t="s">
        <v>8</v>
      </c>
      <c r="B23" s="1" t="e">
        <f ca="1">OFFSET(A3,0,SUMPRODUCT((C22:G22&lt;=$C$18)*(D22:H22&gt;$C$18),COLUMN(B22:F22)))</f>
        <v>#N/A</v>
      </c>
      <c r="J23" s="2"/>
      <c r="K23" s="1"/>
    </row>
    <row r="24" spans="1:17" ht="16" x14ac:dyDescent="0.25">
      <c r="A24" s="2"/>
      <c r="B24" s="1"/>
      <c r="J24" s="2"/>
      <c r="K24" s="1"/>
    </row>
    <row r="25" spans="1:17" ht="16" x14ac:dyDescent="0.25">
      <c r="A25" s="5" t="s">
        <v>14</v>
      </c>
      <c r="B25" s="1"/>
      <c r="J25" s="2"/>
      <c r="K25" s="1"/>
    </row>
    <row r="26" spans="1:17" ht="16" x14ac:dyDescent="0.25">
      <c r="A26" s="2" t="s">
        <v>7</v>
      </c>
      <c r="B26" s="1" t="e">
        <f>SUMPRODUCT((B3:B13&lt;$C$19)*(B4:B14&gt;=$C$19),(B4:B14))</f>
        <v>#N/A</v>
      </c>
      <c r="C26" t="e">
        <f>VLOOKUP($B$26,$B$5:$H$14,2,FALSE)</f>
        <v>#N/A</v>
      </c>
      <c r="D26" t="e">
        <f>VLOOKUP($B$26,$B$5:$H$14,3,FALSE)</f>
        <v>#N/A</v>
      </c>
      <c r="E26" t="e">
        <f>VLOOKUP($B$26,$B$5:$H$14,4,FALSE)</f>
        <v>#N/A</v>
      </c>
      <c r="F26" t="e">
        <f>VLOOKUP($B$26,$B$5:$H$14,5,FALSE)</f>
        <v>#N/A</v>
      </c>
      <c r="G26" t="e">
        <f>VLOOKUP($B$26,$B$5:$H$14,6,FALSE)</f>
        <v>#N/A</v>
      </c>
      <c r="H26" t="e">
        <f>VLOOKUP($B$26,$B$5:$H$14,7,FALSE)</f>
        <v>#N/A</v>
      </c>
      <c r="J26" s="2"/>
    </row>
    <row r="27" spans="1:17" ht="16" x14ac:dyDescent="0.25">
      <c r="A27" s="2" t="s">
        <v>10</v>
      </c>
      <c r="B27" s="1"/>
      <c r="C27" t="e">
        <f>VLOOKUP($B$26,$K$5:$Q$14,2,FALSE)</f>
        <v>#N/A</v>
      </c>
      <c r="D27" t="e">
        <f>VLOOKUP($B$26,$K$5:$Q$14,3,FALSE)</f>
        <v>#N/A</v>
      </c>
      <c r="E27" t="e">
        <f>VLOOKUP($B$26,$K$5:$Q$14,4,FALSE)</f>
        <v>#N/A</v>
      </c>
      <c r="F27" t="e">
        <f>VLOOKUP($B$26,$K$5:$Q$14,5,FALSE)</f>
        <v>#N/A</v>
      </c>
      <c r="G27" t="e">
        <f>VLOOKUP($B$26,$K$5:$Q$14,6,FALSE)</f>
        <v>#N/A</v>
      </c>
      <c r="H27" t="e">
        <f>VLOOKUP($B$26,$K$5:$Q$14,7,FALSE)</f>
        <v>#N/A</v>
      </c>
      <c r="J27" s="2"/>
      <c r="K27" s="1"/>
    </row>
    <row r="28" spans="1:17" x14ac:dyDescent="0.2">
      <c r="A28" s="2" t="s">
        <v>6</v>
      </c>
      <c r="B28" t="e">
        <f ca="1">OFFSET(A26,0,MATCH(goal_K,$B$3:$H$3,FALSE))</f>
        <v>#N/A</v>
      </c>
      <c r="C28" t="e">
        <f ca="1">OFFSET(A26,0,MATCH(goal_K,$B$3:$H$3,FALSE)+1)</f>
        <v>#N/A</v>
      </c>
      <c r="D28" t="e">
        <f ca="1">CONCATENATE(TEXT(ROUND($B$28,2)*100,"0")," - ",TEXT(ROUND($C$28,2),"0%"))</f>
        <v>#N/A</v>
      </c>
    </row>
    <row r="29" spans="1:17" x14ac:dyDescent="0.2">
      <c r="A29" s="2" t="s">
        <v>9</v>
      </c>
      <c r="B29" t="e">
        <f ca="1">OFFSET(A27,0,MATCH(goal_K,$K$3:$Q$3,FALSE))</f>
        <v>#N/A</v>
      </c>
      <c r="C29" t="e">
        <f ca="1">OFFSET(A27,0,MATCH(goal_K,$K$3:$Q$3,FALSE)+1)</f>
        <v>#N/A</v>
      </c>
      <c r="D29" t="e">
        <f ca="1">CONCATENATE(TEXT(ROUND($B$29,2)*100,"0")," - ",TEXT(ROUND($C$29,2),"0%"))</f>
        <v>#N/A</v>
      </c>
    </row>
  </sheetData>
  <sheetProtection algorithmName="SHA-512" hashValue="OHGRNghQgAVksVMIu5wTB3mXrczRuD1ASYKGmbgP1TyfyBgqbiiDw/++6cUrUWgzz2VGqu4SXUZiVcTX8RgWQg==" saltValue="bxWCHTxlA4ohj8zqK8V1Cg==" spinCount="100000" sheet="1" objects="1" scenarios="1"/>
  <pageMargins left="0.7" right="0.7" top="0.75" bottom="0.75" header="0.3" footer="0.3"/>
  <pageSetup orientation="portrai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153D04-18A6-AA4E-9BF5-F3853195F014}">
  <dimension ref="A1:Q29"/>
  <sheetViews>
    <sheetView workbookViewId="0">
      <selection activeCell="G24" sqref="G24"/>
    </sheetView>
  </sheetViews>
  <sheetFormatPr baseColWidth="10" defaultColWidth="8.83203125" defaultRowHeight="15" x14ac:dyDescent="0.2"/>
  <cols>
    <col min="1" max="1" width="14.83203125" bestFit="1" customWidth="1"/>
    <col min="4" max="4" width="9.6640625" bestFit="1" customWidth="1"/>
  </cols>
  <sheetData>
    <row r="1" spans="2:17" x14ac:dyDescent="0.2">
      <c r="B1" t="s">
        <v>11</v>
      </c>
      <c r="K1" t="s">
        <v>12</v>
      </c>
    </row>
    <row r="3" spans="2:17" x14ac:dyDescent="0.2">
      <c r="B3" s="4" t="s">
        <v>5</v>
      </c>
      <c r="C3" s="4" t="s">
        <v>35</v>
      </c>
      <c r="D3" s="4" t="s">
        <v>19</v>
      </c>
      <c r="E3" s="4" t="s">
        <v>0</v>
      </c>
      <c r="F3" s="4" t="s">
        <v>20</v>
      </c>
      <c r="G3" s="4" t="s">
        <v>36</v>
      </c>
      <c r="H3" s="4"/>
      <c r="K3" s="4" t="s">
        <v>5</v>
      </c>
      <c r="L3" s="4" t="s">
        <v>35</v>
      </c>
      <c r="M3" s="4" t="s">
        <v>19</v>
      </c>
      <c r="N3" s="4" t="s">
        <v>0</v>
      </c>
      <c r="O3" s="4" t="s">
        <v>20</v>
      </c>
      <c r="P3" s="4" t="s">
        <v>36</v>
      </c>
      <c r="Q3" s="4"/>
    </row>
    <row r="4" spans="2:17" x14ac:dyDescent="0.2">
      <c r="B4" s="4">
        <v>0</v>
      </c>
      <c r="C4" s="4"/>
      <c r="D4" s="4"/>
      <c r="E4" s="4"/>
      <c r="F4" s="4"/>
      <c r="G4" s="4"/>
      <c r="H4" s="4"/>
      <c r="K4" s="4">
        <v>0</v>
      </c>
      <c r="L4" s="4"/>
      <c r="M4" s="4"/>
      <c r="N4" s="4"/>
      <c r="O4" s="4"/>
      <c r="P4" s="4"/>
      <c r="Q4" s="4"/>
    </row>
    <row r="5" spans="2:17" ht="16" x14ac:dyDescent="0.25">
      <c r="B5" s="4">
        <v>0.3</v>
      </c>
      <c r="C5" s="4">
        <v>0</v>
      </c>
      <c r="D5" s="44">
        <v>0.16666666666666599</v>
      </c>
      <c r="E5" s="44">
        <v>0.209302325581395</v>
      </c>
      <c r="F5" s="44">
        <v>0.27710843373493899</v>
      </c>
      <c r="G5" s="44">
        <v>0.34090909090909</v>
      </c>
      <c r="H5" s="3">
        <v>1</v>
      </c>
      <c r="I5" s="1"/>
      <c r="K5" s="4">
        <v>0.3</v>
      </c>
      <c r="L5" s="4">
        <v>0</v>
      </c>
      <c r="M5" s="44">
        <v>0.16666666666666599</v>
      </c>
      <c r="N5" s="44">
        <v>0.22727272727272699</v>
      </c>
      <c r="O5" s="44">
        <v>0.27272727272727199</v>
      </c>
      <c r="P5" s="44">
        <v>0.32653061224489699</v>
      </c>
      <c r="Q5" s="3">
        <v>1</v>
      </c>
    </row>
    <row r="6" spans="2:17" ht="16" x14ac:dyDescent="0.25">
      <c r="B6" s="4">
        <v>0.4</v>
      </c>
      <c r="C6" s="4">
        <v>0</v>
      </c>
      <c r="D6" s="44">
        <v>0.30434782608695599</v>
      </c>
      <c r="E6" s="44">
        <v>0.36956521739130399</v>
      </c>
      <c r="F6" s="44">
        <v>0.426966292134831</v>
      </c>
      <c r="G6" s="44">
        <v>0.48780487804877998</v>
      </c>
      <c r="H6" s="3">
        <v>1</v>
      </c>
      <c r="I6" s="1"/>
      <c r="K6" s="4">
        <v>0.4</v>
      </c>
      <c r="L6" s="4">
        <v>0</v>
      </c>
      <c r="M6" s="44">
        <v>0.31666666666666599</v>
      </c>
      <c r="N6" s="44">
        <v>0.375</v>
      </c>
      <c r="O6" s="44">
        <v>0.41269841269841201</v>
      </c>
      <c r="P6" s="44">
        <v>0.47368421052631499</v>
      </c>
      <c r="Q6" s="3">
        <v>1</v>
      </c>
    </row>
    <row r="7" spans="2:17" ht="16" x14ac:dyDescent="0.25">
      <c r="B7" s="4">
        <v>0.45</v>
      </c>
      <c r="C7" s="4">
        <v>0</v>
      </c>
      <c r="D7" s="44">
        <v>0.393442622950819</v>
      </c>
      <c r="E7" s="44">
        <v>0.43023255813953398</v>
      </c>
      <c r="F7" s="44">
        <v>0.490566037735849</v>
      </c>
      <c r="G7" s="44">
        <v>0.54761904761904701</v>
      </c>
      <c r="H7" s="3">
        <v>1</v>
      </c>
      <c r="I7" s="1"/>
      <c r="K7" s="4">
        <v>0.45</v>
      </c>
      <c r="L7" s="4">
        <v>0</v>
      </c>
      <c r="M7" s="44">
        <v>0.39130434782608597</v>
      </c>
      <c r="N7" s="44">
        <v>0.44230769230769201</v>
      </c>
      <c r="O7" s="44">
        <v>0.47706422018348599</v>
      </c>
      <c r="P7" s="44">
        <v>0.52112676056338003</v>
      </c>
      <c r="Q7" s="3">
        <v>1</v>
      </c>
    </row>
    <row r="8" spans="2:17" ht="16" x14ac:dyDescent="0.25">
      <c r="B8" s="4">
        <v>0.5</v>
      </c>
      <c r="C8" s="4">
        <v>0</v>
      </c>
      <c r="D8" s="44">
        <v>0.41025641025641002</v>
      </c>
      <c r="E8" s="44">
        <v>0.46551724137931</v>
      </c>
      <c r="F8" s="44">
        <v>0.51612903225806395</v>
      </c>
      <c r="G8" s="44">
        <v>0.57692307692307598</v>
      </c>
      <c r="H8" s="3">
        <v>1</v>
      </c>
      <c r="I8" s="1"/>
      <c r="K8" s="4">
        <v>0.5</v>
      </c>
      <c r="L8" s="4">
        <v>0</v>
      </c>
      <c r="M8" s="44">
        <v>0.46464646464646397</v>
      </c>
      <c r="N8" s="44">
        <v>0.50495049504950396</v>
      </c>
      <c r="O8" s="44">
        <v>0.52777777777777701</v>
      </c>
      <c r="P8" s="44">
        <v>0.57303370786516805</v>
      </c>
      <c r="Q8" s="3">
        <v>1</v>
      </c>
    </row>
    <row r="9" spans="2:17" ht="16" x14ac:dyDescent="0.25">
      <c r="B9" s="4">
        <v>0.55000000000000004</v>
      </c>
      <c r="C9" s="4">
        <v>0</v>
      </c>
      <c r="D9" s="44">
        <v>0.46478873239436602</v>
      </c>
      <c r="E9" s="44">
        <v>0.531645569620253</v>
      </c>
      <c r="F9" s="44">
        <v>0.58490566037735803</v>
      </c>
      <c r="G9" s="44">
        <v>0.63636363636363602</v>
      </c>
      <c r="H9" s="3">
        <v>1</v>
      </c>
      <c r="I9" s="1"/>
      <c r="K9" s="4">
        <v>0.55000000000000004</v>
      </c>
      <c r="L9" s="4">
        <v>0</v>
      </c>
      <c r="M9" s="44">
        <v>0.50549450549450503</v>
      </c>
      <c r="N9" s="44">
        <v>0.54455445544554404</v>
      </c>
      <c r="O9" s="44">
        <v>0.57446808510638203</v>
      </c>
      <c r="P9" s="44">
        <v>0.62</v>
      </c>
      <c r="Q9" s="3">
        <v>1</v>
      </c>
    </row>
    <row r="10" spans="2:17" ht="16" x14ac:dyDescent="0.25">
      <c r="B10" s="4">
        <v>0.6</v>
      </c>
      <c r="C10" s="4">
        <v>0</v>
      </c>
      <c r="D10" s="44">
        <v>0.51428571428571401</v>
      </c>
      <c r="E10" s="44">
        <v>0.56565656565656497</v>
      </c>
      <c r="F10" s="44">
        <v>0.61</v>
      </c>
      <c r="G10" s="44">
        <v>0.66176470588235203</v>
      </c>
      <c r="H10" s="3">
        <v>1</v>
      </c>
      <c r="I10" s="1"/>
      <c r="K10" s="4">
        <v>0.6</v>
      </c>
      <c r="L10" s="4">
        <v>0</v>
      </c>
      <c r="M10" s="44">
        <v>0.53749999999999998</v>
      </c>
      <c r="N10" s="44">
        <v>0.58119658119658102</v>
      </c>
      <c r="O10" s="44">
        <v>0.61290322580645096</v>
      </c>
      <c r="P10" s="44">
        <v>0.65277777777777701</v>
      </c>
      <c r="Q10" s="3">
        <v>1</v>
      </c>
    </row>
    <row r="11" spans="2:17" ht="16" x14ac:dyDescent="0.25">
      <c r="B11" s="4">
        <v>0.7</v>
      </c>
      <c r="C11" s="4">
        <v>0</v>
      </c>
      <c r="D11" s="44">
        <v>0.58870967741935398</v>
      </c>
      <c r="E11" s="44">
        <v>0.64130434782608603</v>
      </c>
      <c r="F11" s="44">
        <v>0.68695652173913002</v>
      </c>
      <c r="G11" s="44">
        <v>0.734513274336283</v>
      </c>
      <c r="H11" s="3">
        <v>1</v>
      </c>
      <c r="I11" s="1"/>
      <c r="K11" s="4">
        <v>0.7</v>
      </c>
      <c r="L11" s="4">
        <v>0</v>
      </c>
      <c r="M11" s="44">
        <v>0.61224489795918302</v>
      </c>
      <c r="N11" s="44">
        <v>0.65536723163841804</v>
      </c>
      <c r="O11" s="44">
        <v>0.68627450980392102</v>
      </c>
      <c r="P11" s="44">
        <v>0.72093023255813904</v>
      </c>
      <c r="Q11" s="3">
        <v>1</v>
      </c>
    </row>
    <row r="12" spans="2:17" ht="16" x14ac:dyDescent="0.25">
      <c r="B12" s="4">
        <v>0.8</v>
      </c>
      <c r="C12" s="4">
        <v>0</v>
      </c>
      <c r="D12" s="44">
        <v>0.68644067796610098</v>
      </c>
      <c r="E12" s="44">
        <v>0.731343283582089</v>
      </c>
      <c r="F12" s="44">
        <v>0.766917293233082</v>
      </c>
      <c r="G12" s="44">
        <v>0.80281690140844997</v>
      </c>
      <c r="H12" s="3">
        <v>1</v>
      </c>
      <c r="I12" s="1"/>
      <c r="K12" s="4">
        <v>0.8</v>
      </c>
      <c r="L12" s="4">
        <v>0</v>
      </c>
      <c r="M12" s="44">
        <v>0.71544715447154394</v>
      </c>
      <c r="N12" s="44">
        <v>0.74698795180722799</v>
      </c>
      <c r="O12" s="44">
        <v>0.77310924369747802</v>
      </c>
      <c r="P12" s="44">
        <v>0.80597014925373101</v>
      </c>
      <c r="Q12" s="3">
        <v>1</v>
      </c>
    </row>
    <row r="13" spans="2:17" ht="16" x14ac:dyDescent="0.25">
      <c r="B13" s="4">
        <v>0.9</v>
      </c>
      <c r="C13" s="4">
        <v>0</v>
      </c>
      <c r="D13" s="44">
        <v>0.78723404255319096</v>
      </c>
      <c r="E13" s="44">
        <v>0.82474226804123696</v>
      </c>
      <c r="F13" s="44">
        <v>0.85393258426966201</v>
      </c>
      <c r="G13" s="44">
        <v>0.89051094890510896</v>
      </c>
      <c r="H13" s="3">
        <v>1</v>
      </c>
      <c r="I13" s="1"/>
      <c r="K13" s="4">
        <v>0.9</v>
      </c>
      <c r="L13" s="4">
        <v>0</v>
      </c>
      <c r="M13" s="44">
        <v>0.80701754385964897</v>
      </c>
      <c r="N13" s="44">
        <v>0.83516483516483497</v>
      </c>
      <c r="O13" s="44">
        <v>0.85981308411214896</v>
      </c>
      <c r="P13" s="44">
        <v>0.89090909090908998</v>
      </c>
      <c r="Q13" s="3">
        <v>1</v>
      </c>
    </row>
    <row r="14" spans="2:17" ht="16" x14ac:dyDescent="0.25">
      <c r="B14" s="4">
        <v>1</v>
      </c>
      <c r="C14" s="4">
        <v>0</v>
      </c>
      <c r="D14" s="44">
        <v>0.88095238095238004</v>
      </c>
      <c r="E14" s="44">
        <v>0.91304347826086896</v>
      </c>
      <c r="F14" s="44">
        <v>0.93421052631578905</v>
      </c>
      <c r="G14" s="44">
        <v>0.95757575757575697</v>
      </c>
      <c r="H14" s="3">
        <v>1</v>
      </c>
      <c r="I14" s="1"/>
      <c r="K14" s="4">
        <v>1</v>
      </c>
      <c r="L14" s="4">
        <v>0</v>
      </c>
      <c r="M14" s="44">
        <v>0.89552238805970097</v>
      </c>
      <c r="N14" s="44">
        <v>0.92307692307692302</v>
      </c>
      <c r="O14" s="44">
        <v>0.93984962406015005</v>
      </c>
      <c r="P14" s="44">
        <v>0.96551724137931005</v>
      </c>
      <c r="Q14" s="3">
        <v>1</v>
      </c>
    </row>
    <row r="15" spans="2:17" ht="16" x14ac:dyDescent="0.25">
      <c r="B15" s="6"/>
      <c r="C15" s="6"/>
      <c r="D15" s="6"/>
      <c r="E15" s="6"/>
      <c r="F15" s="6"/>
      <c r="G15" s="6"/>
      <c r="H15" s="7"/>
      <c r="I15" s="1"/>
      <c r="K15" s="6"/>
      <c r="L15" s="6"/>
      <c r="M15" s="6"/>
      <c r="N15" s="6"/>
      <c r="O15" s="6"/>
      <c r="P15" s="6"/>
      <c r="Q15" s="7"/>
    </row>
    <row r="16" spans="2:17" ht="16" x14ac:dyDescent="0.25">
      <c r="B16" s="6"/>
      <c r="C16" s="6"/>
      <c r="D16" s="6"/>
      <c r="E16" s="6"/>
      <c r="F16" s="6"/>
      <c r="G16" s="6"/>
      <c r="H16" s="7"/>
      <c r="I16" s="1"/>
      <c r="K16" s="6"/>
      <c r="L16" s="6"/>
      <c r="M16" s="6"/>
      <c r="N16" s="6"/>
      <c r="O16" s="6"/>
      <c r="P16" s="6"/>
      <c r="Q16" s="7"/>
    </row>
    <row r="17" spans="1:17" ht="16" x14ac:dyDescent="0.25">
      <c r="A17" t="s">
        <v>15</v>
      </c>
      <c r="B17" t="e">
        <f>IF(BOY_2="",NA(),BOY_2)</f>
        <v>#N/A</v>
      </c>
      <c r="C17" t="e">
        <f>IF(OR(B17="",B17&lt;0,B17&gt;1),NA(),IF(B17=0,0.001,B17))</f>
        <v>#N/A</v>
      </c>
      <c r="I17" s="1"/>
      <c r="K17" s="6"/>
      <c r="L17" s="6"/>
      <c r="M17" s="6"/>
      <c r="N17" s="6"/>
      <c r="O17" s="6"/>
      <c r="P17" s="6"/>
      <c r="Q17" s="7"/>
    </row>
    <row r="18" spans="1:17" ht="16" x14ac:dyDescent="0.25">
      <c r="A18" t="s">
        <v>16</v>
      </c>
      <c r="B18" t="e">
        <f>IF(EOY_2="",NA(),EOY_2)</f>
        <v>#N/A</v>
      </c>
      <c r="C18" t="e">
        <f>IF(OR(B18="",B18&lt;0,B18&gt;1),NA(),IF(B18=1,0.999,B18))</f>
        <v>#N/A</v>
      </c>
      <c r="I18" s="1"/>
      <c r="K18" s="6"/>
      <c r="L18" s="6"/>
      <c r="M18" s="6"/>
      <c r="N18" s="6"/>
      <c r="O18" s="6"/>
      <c r="P18" s="6"/>
      <c r="Q18" s="7"/>
    </row>
    <row r="19" spans="1:17" ht="16" x14ac:dyDescent="0.25">
      <c r="A19" t="s">
        <v>17</v>
      </c>
      <c r="B19" t="e">
        <f>IF(goal_BOY_2="",NA(),goal_BOY_2)</f>
        <v>#N/A</v>
      </c>
      <c r="C19" t="e">
        <f>IF(OR(B19="",B19&lt;0,B19&gt;1),NA(),IF(B19=0,0.001,B19))</f>
        <v>#N/A</v>
      </c>
      <c r="I19" s="1"/>
      <c r="K19" s="6"/>
      <c r="L19" s="6"/>
      <c r="M19" s="6"/>
      <c r="N19" s="6"/>
      <c r="O19" s="6"/>
      <c r="P19" s="6"/>
      <c r="Q19" s="7"/>
    </row>
    <row r="21" spans="1:17" x14ac:dyDescent="0.2">
      <c r="A21" s="5" t="s">
        <v>13</v>
      </c>
    </row>
    <row r="22" spans="1:17" ht="16" x14ac:dyDescent="0.25">
      <c r="A22" s="2" t="s">
        <v>7</v>
      </c>
      <c r="B22" s="1" t="e">
        <f>SUMPRODUCT((B3:B13&lt;$C$17)*(B4:B14&gt;=$C$17),(B4:B14))</f>
        <v>#N/A</v>
      </c>
      <c r="C22" t="e">
        <f>VLOOKUP($B$22,$B$5:$H$14,2,FALSE)</f>
        <v>#N/A</v>
      </c>
      <c r="D22" t="e">
        <f>VLOOKUP($B$22,$B$5:$H$14,3,FALSE)</f>
        <v>#N/A</v>
      </c>
      <c r="E22" t="e">
        <f>VLOOKUP($B$22,$B$5:$H$14,4,FALSE)</f>
        <v>#N/A</v>
      </c>
      <c r="F22" t="e">
        <f>VLOOKUP($B$22,$B$5:$H$14,5,FALSE)</f>
        <v>#N/A</v>
      </c>
      <c r="G22" t="e">
        <f>VLOOKUP($B$22,$B$5:$H$14,6,FALSE)</f>
        <v>#N/A</v>
      </c>
      <c r="H22" t="e">
        <f>VLOOKUP($B$22,$B$5:$H$14,7,FALSE)</f>
        <v>#N/A</v>
      </c>
      <c r="J22" s="2"/>
    </row>
    <row r="23" spans="1:17" ht="16" x14ac:dyDescent="0.25">
      <c r="A23" s="2" t="s">
        <v>8</v>
      </c>
      <c r="B23" s="1" t="e">
        <f ca="1">OFFSET(A3,0,SUMPRODUCT((C22:G22&lt;=$C$18)*(D22:H22&gt;$C$18),COLUMN(B22:F22)))</f>
        <v>#N/A</v>
      </c>
      <c r="J23" s="2"/>
      <c r="K23" s="1"/>
    </row>
    <row r="24" spans="1:17" ht="16" x14ac:dyDescent="0.25">
      <c r="A24" s="2"/>
      <c r="B24" s="1"/>
      <c r="J24" s="2"/>
      <c r="K24" s="1"/>
    </row>
    <row r="25" spans="1:17" ht="16" x14ac:dyDescent="0.25">
      <c r="A25" s="5" t="s">
        <v>14</v>
      </c>
      <c r="B25" s="1"/>
      <c r="J25" s="2"/>
      <c r="K25" s="1"/>
    </row>
    <row r="26" spans="1:17" ht="16" x14ac:dyDescent="0.25">
      <c r="A26" s="2" t="s">
        <v>7</v>
      </c>
      <c r="B26" s="1" t="e">
        <f>SUMPRODUCT((B3:B13&lt;$C$19)*(B4:B14&gt;=$C$19),(B4:B14))</f>
        <v>#N/A</v>
      </c>
      <c r="C26" t="e">
        <f>VLOOKUP($B$26,$B$5:$H$14,2,FALSE)</f>
        <v>#N/A</v>
      </c>
      <c r="D26" t="e">
        <f>VLOOKUP($B$26,$B$5:$H$14,3,FALSE)</f>
        <v>#N/A</v>
      </c>
      <c r="E26" t="e">
        <f>VLOOKUP($B$26,$B$5:$H$14,4,FALSE)</f>
        <v>#N/A</v>
      </c>
      <c r="F26" t="e">
        <f>VLOOKUP($B$26,$B$5:$H$14,5,FALSE)</f>
        <v>#N/A</v>
      </c>
      <c r="G26" t="e">
        <f>VLOOKUP($B$26,$B$5:$H$14,6,FALSE)</f>
        <v>#N/A</v>
      </c>
      <c r="H26" t="e">
        <f>VLOOKUP($B$26,$B$5:$H$14,7,FALSE)</f>
        <v>#N/A</v>
      </c>
      <c r="J26" s="2"/>
    </row>
    <row r="27" spans="1:17" ht="16" x14ac:dyDescent="0.25">
      <c r="A27" s="2" t="s">
        <v>10</v>
      </c>
      <c r="B27" s="1"/>
      <c r="C27" t="e">
        <f>VLOOKUP($B$26,$K$5:$Q$14,2,FALSE)</f>
        <v>#N/A</v>
      </c>
      <c r="D27" t="e">
        <f>VLOOKUP($B$26,$K$5:$Q$14,3,FALSE)</f>
        <v>#N/A</v>
      </c>
      <c r="E27" t="e">
        <f>VLOOKUP($B$26,$K$5:$Q$14,4,FALSE)</f>
        <v>#N/A</v>
      </c>
      <c r="F27" t="e">
        <f>VLOOKUP($B$26,$K$5:$Q$14,5,FALSE)</f>
        <v>#N/A</v>
      </c>
      <c r="G27" t="e">
        <f>VLOOKUP($B$26,$K$5:$Q$14,6,FALSE)</f>
        <v>#N/A</v>
      </c>
      <c r="H27" t="e">
        <f>VLOOKUP($B$26,$K$5:$Q$14,7,FALSE)</f>
        <v>#N/A</v>
      </c>
      <c r="J27" s="2"/>
      <c r="K27" s="1"/>
    </row>
    <row r="28" spans="1:17" x14ac:dyDescent="0.2">
      <c r="A28" s="2" t="s">
        <v>6</v>
      </c>
      <c r="B28" t="e">
        <f ca="1">OFFSET(A26,0,MATCH(goal_2,$B$3:$H$3,FALSE))</f>
        <v>#N/A</v>
      </c>
      <c r="C28" t="e">
        <f ca="1">OFFSET(A26,0,MATCH(goal_2,$B$3:$H$3,FALSE)+1)</f>
        <v>#N/A</v>
      </c>
      <c r="D28" t="e">
        <f ca="1">CONCATENATE(TEXT(ROUND($B$28,2)*100,"0")," - ",TEXT(ROUND($C$28,2),"0%"))</f>
        <v>#N/A</v>
      </c>
    </row>
    <row r="29" spans="1:17" x14ac:dyDescent="0.2">
      <c r="A29" s="2" t="s">
        <v>9</v>
      </c>
      <c r="B29" t="e">
        <f ca="1">OFFSET(A27,0,MATCH(goal_2,$K$3:$Q$3,FALSE))</f>
        <v>#N/A</v>
      </c>
      <c r="C29" t="e">
        <f ca="1">OFFSET(A27,0,MATCH(goal_2,$K$3:$Q$3,FALSE)+1)</f>
        <v>#N/A</v>
      </c>
      <c r="D29" t="e">
        <f ca="1">CONCATENATE(TEXT(ROUND($B$29,2)*100,"0")," - ",TEXT(ROUND($C$29,2),"0%"))</f>
        <v>#N/A</v>
      </c>
    </row>
  </sheetData>
  <sheetProtection algorithmName="SHA-512" hashValue="IxY8pPwhUcVbmcNl4JN8pHqo0oNK91ZKYb0xybZQvHQJydq98/ClYAN/+hKUrBoT4jCNbVdWNbAc3L+eChtULw==" saltValue="DCuR381AdNqAp+dqfbxehg==" spinCount="100000" sheet="1" objects="1" scenarios="1"/>
  <pageMargins left="0.7" right="0.7" top="0.75" bottom="0.75" header="0.3" footer="0.3"/>
  <pageSetup orientation="portrai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Q29"/>
  <sheetViews>
    <sheetView workbookViewId="0">
      <selection activeCell="C29" sqref="C29"/>
    </sheetView>
  </sheetViews>
  <sheetFormatPr baseColWidth="10" defaultColWidth="8.83203125" defaultRowHeight="15" x14ac:dyDescent="0.2"/>
  <cols>
    <col min="1" max="1" width="14.83203125" bestFit="1" customWidth="1"/>
    <col min="4" max="4" width="9.6640625" bestFit="1" customWidth="1"/>
  </cols>
  <sheetData>
    <row r="1" spans="2:17" x14ac:dyDescent="0.2">
      <c r="B1" t="s">
        <v>11</v>
      </c>
      <c r="K1" t="s">
        <v>12</v>
      </c>
    </row>
    <row r="3" spans="2:17" x14ac:dyDescent="0.2">
      <c r="B3" s="4" t="s">
        <v>5</v>
      </c>
      <c r="C3" s="4" t="s">
        <v>35</v>
      </c>
      <c r="D3" s="4" t="s">
        <v>19</v>
      </c>
      <c r="E3" s="4" t="s">
        <v>0</v>
      </c>
      <c r="F3" s="4" t="s">
        <v>20</v>
      </c>
      <c r="G3" s="4" t="s">
        <v>36</v>
      </c>
      <c r="H3" s="4"/>
      <c r="K3" s="4" t="s">
        <v>5</v>
      </c>
      <c r="L3" s="4" t="s">
        <v>35</v>
      </c>
      <c r="M3" s="4" t="s">
        <v>19</v>
      </c>
      <c r="N3" s="4" t="s">
        <v>0</v>
      </c>
      <c r="O3" s="4" t="s">
        <v>20</v>
      </c>
      <c r="P3" s="4" t="s">
        <v>36</v>
      </c>
      <c r="Q3" s="4"/>
    </row>
    <row r="4" spans="2:17" x14ac:dyDescent="0.2">
      <c r="B4" s="4">
        <v>0</v>
      </c>
      <c r="C4" s="4"/>
      <c r="D4" s="4"/>
      <c r="E4" s="4"/>
      <c r="F4" s="4"/>
      <c r="G4" s="4"/>
      <c r="H4" s="4"/>
      <c r="K4" s="4">
        <v>0</v>
      </c>
      <c r="L4" s="4"/>
      <c r="M4" s="4"/>
      <c r="N4" s="4"/>
      <c r="O4" s="4"/>
      <c r="P4" s="4"/>
      <c r="Q4" s="4"/>
    </row>
    <row r="5" spans="2:17" ht="16" x14ac:dyDescent="0.25">
      <c r="B5" s="4">
        <v>0.3</v>
      </c>
      <c r="C5" s="4">
        <v>0</v>
      </c>
      <c r="D5" s="4">
        <v>0.21212121212121199</v>
      </c>
      <c r="E5" s="4">
        <v>0.265060240963855</v>
      </c>
      <c r="F5" s="4">
        <v>0.33333333333333298</v>
      </c>
      <c r="G5" s="4">
        <v>0.402985074626865</v>
      </c>
      <c r="H5" s="3">
        <v>1</v>
      </c>
      <c r="I5" s="1"/>
      <c r="K5" s="4">
        <v>0.3</v>
      </c>
      <c r="L5" s="4">
        <v>0</v>
      </c>
      <c r="M5" s="4">
        <v>0.15625</v>
      </c>
      <c r="N5" s="4">
        <v>0.25609756097560898</v>
      </c>
      <c r="O5" s="4">
        <v>0.33333333333333298</v>
      </c>
      <c r="P5" s="4">
        <v>0.38333333333333303</v>
      </c>
      <c r="Q5" s="3">
        <v>1</v>
      </c>
    </row>
    <row r="6" spans="2:17" ht="16" x14ac:dyDescent="0.25">
      <c r="B6" s="4">
        <v>0.4</v>
      </c>
      <c r="C6" s="4">
        <v>0</v>
      </c>
      <c r="D6" s="4">
        <v>0.31914893617021201</v>
      </c>
      <c r="E6" s="4">
        <v>0.35714285714285698</v>
      </c>
      <c r="F6" s="4">
        <v>0.40217391304347799</v>
      </c>
      <c r="G6" s="4">
        <v>0.46511627906976699</v>
      </c>
      <c r="H6" s="3">
        <v>1</v>
      </c>
      <c r="I6" s="1"/>
      <c r="K6" s="4">
        <v>0.4</v>
      </c>
      <c r="L6" s="4">
        <v>0</v>
      </c>
      <c r="M6" s="4">
        <v>0.32876712328767099</v>
      </c>
      <c r="N6" s="4">
        <v>0.39705882352941102</v>
      </c>
      <c r="O6" s="4">
        <v>0.42553191489361702</v>
      </c>
      <c r="P6" s="4">
        <v>0.47368421052631499</v>
      </c>
      <c r="Q6" s="3">
        <v>1</v>
      </c>
    </row>
    <row r="7" spans="2:17" ht="16" x14ac:dyDescent="0.25">
      <c r="B7" s="4">
        <v>0.45</v>
      </c>
      <c r="C7" s="4">
        <v>0</v>
      </c>
      <c r="D7" s="4">
        <v>0.38775510204081598</v>
      </c>
      <c r="E7" s="4">
        <v>0.44067796610169402</v>
      </c>
      <c r="F7" s="4">
        <v>0.47540983606557302</v>
      </c>
      <c r="G7" s="4">
        <v>0.54</v>
      </c>
      <c r="H7" s="3">
        <v>1</v>
      </c>
      <c r="I7" s="1"/>
      <c r="K7" s="4">
        <v>0.45</v>
      </c>
      <c r="L7" s="4">
        <v>0</v>
      </c>
      <c r="M7" s="4">
        <v>0.4</v>
      </c>
      <c r="N7" s="4">
        <v>0.44680851063829702</v>
      </c>
      <c r="O7" s="4">
        <v>0.47499999999999998</v>
      </c>
      <c r="P7" s="4">
        <v>0.51612903225806395</v>
      </c>
      <c r="Q7" s="3">
        <v>1</v>
      </c>
    </row>
    <row r="8" spans="2:17" ht="16" x14ac:dyDescent="0.25">
      <c r="B8" s="4">
        <v>0.5</v>
      </c>
      <c r="C8" s="4">
        <v>0</v>
      </c>
      <c r="D8" s="4">
        <v>0.421875</v>
      </c>
      <c r="E8" s="4">
        <v>0.47499999999999998</v>
      </c>
      <c r="F8" s="4">
        <v>0.52272727272727204</v>
      </c>
      <c r="G8" s="4">
        <v>0.60606060606060597</v>
      </c>
      <c r="H8" s="3">
        <v>1</v>
      </c>
      <c r="I8" s="1"/>
      <c r="K8" s="4">
        <v>0.5</v>
      </c>
      <c r="L8" s="4">
        <v>0</v>
      </c>
      <c r="M8" s="4">
        <v>0.46875</v>
      </c>
      <c r="N8" s="4">
        <v>0.51162790697674398</v>
      </c>
      <c r="O8" s="4">
        <v>0.53658536585365801</v>
      </c>
      <c r="P8" s="4">
        <v>0.58695652173913004</v>
      </c>
      <c r="Q8" s="3">
        <v>1</v>
      </c>
    </row>
    <row r="9" spans="2:17" ht="16" x14ac:dyDescent="0.25">
      <c r="B9" s="4">
        <v>0.55000000000000004</v>
      </c>
      <c r="C9" s="4">
        <v>0</v>
      </c>
      <c r="D9" s="4">
        <v>0.45454545454545398</v>
      </c>
      <c r="E9" s="4">
        <v>0.51546391752577303</v>
      </c>
      <c r="F9" s="4">
        <v>0.56410256410256399</v>
      </c>
      <c r="G9" s="4">
        <v>0.63793103448275801</v>
      </c>
      <c r="H9" s="3">
        <v>1</v>
      </c>
      <c r="I9" s="1"/>
      <c r="K9" s="4">
        <v>0.55000000000000004</v>
      </c>
      <c r="L9" s="4">
        <v>0</v>
      </c>
      <c r="M9" s="4">
        <v>0.5</v>
      </c>
      <c r="N9" s="4">
        <v>0.53521126760563298</v>
      </c>
      <c r="O9" s="4">
        <v>0.57499999999999996</v>
      </c>
      <c r="P9" s="4">
        <v>0.61904761904761896</v>
      </c>
      <c r="Q9" s="3">
        <v>1</v>
      </c>
    </row>
    <row r="10" spans="2:17" ht="16" x14ac:dyDescent="0.25">
      <c r="B10" s="4">
        <v>0.6</v>
      </c>
      <c r="C10" s="4">
        <v>0</v>
      </c>
      <c r="D10" s="4">
        <v>0.51685393258426904</v>
      </c>
      <c r="E10" s="4">
        <v>0.57627118644067699</v>
      </c>
      <c r="F10" s="4">
        <v>0.61864406779660996</v>
      </c>
      <c r="G10" s="4">
        <v>0.68292682926829196</v>
      </c>
      <c r="H10" s="3">
        <v>1</v>
      </c>
      <c r="I10" s="1"/>
      <c r="K10" s="4">
        <v>0.6</v>
      </c>
      <c r="L10" s="4">
        <v>0</v>
      </c>
      <c r="M10" s="4">
        <v>0.55140186915887801</v>
      </c>
      <c r="N10" s="4">
        <v>0.59183673469387699</v>
      </c>
      <c r="O10" s="4">
        <v>0.61963190184049</v>
      </c>
      <c r="P10" s="4">
        <v>0.66990291262135904</v>
      </c>
      <c r="Q10" s="3">
        <v>1</v>
      </c>
    </row>
    <row r="11" spans="2:17" ht="16" x14ac:dyDescent="0.25">
      <c r="B11" s="4">
        <v>0.7</v>
      </c>
      <c r="C11" s="4">
        <v>0</v>
      </c>
      <c r="D11" s="4">
        <v>0.58095238095238</v>
      </c>
      <c r="E11" s="4">
        <v>0.63855421686746905</v>
      </c>
      <c r="F11" s="4">
        <v>0.68918918918918903</v>
      </c>
      <c r="G11" s="4">
        <v>0.74242424242424199</v>
      </c>
      <c r="H11" s="3">
        <v>1</v>
      </c>
      <c r="I11" s="1"/>
      <c r="K11" s="4">
        <v>0.7</v>
      </c>
      <c r="L11" s="4">
        <v>0</v>
      </c>
      <c r="M11" s="4">
        <v>0.612403100775193</v>
      </c>
      <c r="N11" s="4">
        <v>0.65833333333333299</v>
      </c>
      <c r="O11" s="4">
        <v>0.69473684210526299</v>
      </c>
      <c r="P11" s="4">
        <v>0.73737373737373701</v>
      </c>
      <c r="Q11" s="3">
        <v>1</v>
      </c>
    </row>
    <row r="12" spans="2:17" ht="16" x14ac:dyDescent="0.25">
      <c r="B12" s="4">
        <v>0.8</v>
      </c>
      <c r="C12" s="4">
        <v>0</v>
      </c>
      <c r="D12" s="4">
        <v>0.68627450980392102</v>
      </c>
      <c r="E12" s="4">
        <v>0.73214285714285698</v>
      </c>
      <c r="F12" s="4">
        <v>0.76712328767123195</v>
      </c>
      <c r="G12" s="4">
        <v>0.80722891566264998</v>
      </c>
      <c r="H12" s="3">
        <v>1</v>
      </c>
      <c r="I12" s="1"/>
      <c r="K12" s="4">
        <v>0.8</v>
      </c>
      <c r="L12" s="4">
        <v>0</v>
      </c>
      <c r="M12" s="4">
        <v>0.71551724137931005</v>
      </c>
      <c r="N12" s="4">
        <v>0.74774774774774699</v>
      </c>
      <c r="O12" s="4">
        <v>0.77906976744185996</v>
      </c>
      <c r="P12" s="4">
        <v>0.810126582278481</v>
      </c>
      <c r="Q12" s="3">
        <v>1</v>
      </c>
    </row>
    <row r="13" spans="2:17" ht="16" x14ac:dyDescent="0.25">
      <c r="B13" s="4">
        <v>0.9</v>
      </c>
      <c r="C13" s="4">
        <v>0</v>
      </c>
      <c r="D13" s="4">
        <v>0.77631578947368396</v>
      </c>
      <c r="E13" s="4">
        <v>0.82089552238805896</v>
      </c>
      <c r="F13" s="4">
        <v>0.85074626865671599</v>
      </c>
      <c r="G13" s="4">
        <v>0.88636363636363602</v>
      </c>
      <c r="H13" s="3">
        <v>1</v>
      </c>
      <c r="I13" s="1"/>
      <c r="K13" s="4">
        <v>0.9</v>
      </c>
      <c r="L13" s="4">
        <v>0</v>
      </c>
      <c r="M13" s="4">
        <v>0.80412371134020599</v>
      </c>
      <c r="N13" s="4">
        <v>0.83582089552238803</v>
      </c>
      <c r="O13" s="4">
        <v>0.86419753086419704</v>
      </c>
      <c r="P13" s="4">
        <v>0.891891891891891</v>
      </c>
      <c r="Q13" s="3">
        <v>1</v>
      </c>
    </row>
    <row r="14" spans="2:17" ht="16" x14ac:dyDescent="0.25">
      <c r="B14" s="4">
        <v>1</v>
      </c>
      <c r="C14" s="4">
        <v>0</v>
      </c>
      <c r="D14" s="4">
        <v>0.87719298245613997</v>
      </c>
      <c r="E14" s="4">
        <v>0.91025641025641002</v>
      </c>
      <c r="F14" s="4">
        <v>0.93491124260354996</v>
      </c>
      <c r="G14" s="4">
        <v>0.95575221238938002</v>
      </c>
      <c r="H14" s="3">
        <v>1</v>
      </c>
      <c r="I14" s="1"/>
      <c r="K14" s="4">
        <v>1</v>
      </c>
      <c r="L14" s="4">
        <v>0</v>
      </c>
      <c r="M14" s="4">
        <v>0.89705882352941102</v>
      </c>
      <c r="N14" s="4">
        <v>0.92063492063492003</v>
      </c>
      <c r="O14" s="4">
        <v>0.939393939393939</v>
      </c>
      <c r="P14" s="4">
        <v>0.95918367346938704</v>
      </c>
      <c r="Q14" s="3">
        <v>1</v>
      </c>
    </row>
    <row r="15" spans="2:17" ht="16" x14ac:dyDescent="0.25">
      <c r="B15" s="6"/>
      <c r="C15" s="6"/>
      <c r="D15" s="6"/>
      <c r="E15" s="6"/>
      <c r="F15" s="6"/>
      <c r="G15" s="6"/>
      <c r="H15" s="7"/>
      <c r="I15" s="1"/>
      <c r="K15" s="6"/>
      <c r="L15" s="6"/>
      <c r="M15" s="6"/>
      <c r="N15" s="6"/>
      <c r="O15" s="6"/>
      <c r="P15" s="6"/>
      <c r="Q15" s="7"/>
    </row>
    <row r="16" spans="2:17" ht="16" x14ac:dyDescent="0.25">
      <c r="B16" s="6"/>
      <c r="C16" s="6"/>
      <c r="D16" s="6"/>
      <c r="E16" s="6"/>
      <c r="F16" s="6"/>
      <c r="G16" s="6"/>
      <c r="H16" s="7"/>
      <c r="I16" s="1"/>
      <c r="K16" s="6"/>
      <c r="L16" s="6"/>
      <c r="M16" s="6"/>
      <c r="N16" s="6"/>
      <c r="O16" s="6"/>
      <c r="P16" s="6"/>
      <c r="Q16" s="7"/>
    </row>
    <row r="17" spans="1:17" ht="16" x14ac:dyDescent="0.25">
      <c r="A17" t="s">
        <v>15</v>
      </c>
      <c r="B17" t="e">
        <f>IF(BOY_2="",NA(),BOY_2)</f>
        <v>#N/A</v>
      </c>
      <c r="C17" t="e">
        <f>IF(OR(B17="",B17&lt;0,B17&gt;1),NA(),IF(B17=0,0.001,B17))</f>
        <v>#N/A</v>
      </c>
      <c r="I17" s="1"/>
      <c r="K17" s="6"/>
      <c r="L17" s="6"/>
      <c r="M17" s="6"/>
      <c r="N17" s="6"/>
      <c r="O17" s="6"/>
      <c r="P17" s="6"/>
      <c r="Q17" s="7"/>
    </row>
    <row r="18" spans="1:17" ht="16" x14ac:dyDescent="0.25">
      <c r="A18" t="s">
        <v>16</v>
      </c>
      <c r="B18" t="e">
        <f>IF(EOY_2="",NA(),EOY_2)</f>
        <v>#N/A</v>
      </c>
      <c r="C18" t="e">
        <f>IF(OR(B18="",B18&lt;0,B18&gt;1),NA(),IF(B18=1,0.999,B18))</f>
        <v>#N/A</v>
      </c>
      <c r="I18" s="1"/>
      <c r="K18" s="6"/>
      <c r="L18" s="6"/>
      <c r="M18" s="6"/>
      <c r="N18" s="6"/>
      <c r="O18" s="6"/>
      <c r="P18" s="6"/>
      <c r="Q18" s="7"/>
    </row>
    <row r="19" spans="1:17" ht="16" x14ac:dyDescent="0.25">
      <c r="A19" t="s">
        <v>17</v>
      </c>
      <c r="B19" t="e">
        <f>IF(goal_BOY_2="",NA(),goal_BOY_2)</f>
        <v>#N/A</v>
      </c>
      <c r="C19" t="e">
        <f>IF(OR(B19="",B19&lt;0,B19&gt;1),NA(),IF(B19=0,0.001,B19))</f>
        <v>#N/A</v>
      </c>
      <c r="I19" s="1"/>
      <c r="K19" s="6"/>
      <c r="L19" s="6"/>
      <c r="M19" s="6"/>
      <c r="N19" s="6"/>
      <c r="O19" s="6"/>
      <c r="P19" s="6"/>
      <c r="Q19" s="7"/>
    </row>
    <row r="21" spans="1:17" x14ac:dyDescent="0.2">
      <c r="A21" s="5" t="s">
        <v>13</v>
      </c>
    </row>
    <row r="22" spans="1:17" ht="16" x14ac:dyDescent="0.25">
      <c r="A22" s="2" t="s">
        <v>7</v>
      </c>
      <c r="B22" s="1" t="e">
        <f>SUMPRODUCT((B3:B13&lt;$C$17)*(B4:B14&gt;=$C$17),(B4:B14))</f>
        <v>#N/A</v>
      </c>
      <c r="C22" t="e">
        <f>VLOOKUP($B$22,$B$5:$H$14,2,FALSE)</f>
        <v>#N/A</v>
      </c>
      <c r="D22" t="e">
        <f>VLOOKUP($B$22,$B$5:$H$14,3,FALSE)</f>
        <v>#N/A</v>
      </c>
      <c r="E22" t="e">
        <f>VLOOKUP($B$22,$B$5:$H$14,4,FALSE)</f>
        <v>#N/A</v>
      </c>
      <c r="F22" t="e">
        <f>VLOOKUP($B$22,$B$5:$H$14,5,FALSE)</f>
        <v>#N/A</v>
      </c>
      <c r="G22" t="e">
        <f>VLOOKUP($B$22,$B$5:$H$14,6,FALSE)</f>
        <v>#N/A</v>
      </c>
      <c r="H22" t="e">
        <f>VLOOKUP($B$22,$B$5:$H$14,7,FALSE)</f>
        <v>#N/A</v>
      </c>
      <c r="J22" s="2"/>
    </row>
    <row r="23" spans="1:17" ht="16" x14ac:dyDescent="0.25">
      <c r="A23" s="2" t="s">
        <v>8</v>
      </c>
      <c r="B23" s="1" t="e">
        <f ca="1">OFFSET(A3,0,SUMPRODUCT((C22:G22&lt;=$C$18)*(D22:H22&gt;$C$18),COLUMN(B22:F22)))</f>
        <v>#N/A</v>
      </c>
      <c r="J23" s="2"/>
      <c r="K23" s="1"/>
    </row>
    <row r="24" spans="1:17" ht="16" x14ac:dyDescent="0.25">
      <c r="A24" s="2"/>
      <c r="B24" s="1"/>
      <c r="J24" s="2"/>
      <c r="K24" s="1"/>
    </row>
    <row r="25" spans="1:17" ht="16" x14ac:dyDescent="0.25">
      <c r="A25" s="5" t="s">
        <v>14</v>
      </c>
      <c r="B25" s="1"/>
      <c r="J25" s="2"/>
      <c r="K25" s="1"/>
    </row>
    <row r="26" spans="1:17" ht="16" x14ac:dyDescent="0.25">
      <c r="A26" s="2" t="s">
        <v>7</v>
      </c>
      <c r="B26" s="1" t="e">
        <f>SUMPRODUCT((B3:B13&lt;$C$19)*(B4:B14&gt;=$C$19),(B4:B14))</f>
        <v>#N/A</v>
      </c>
      <c r="C26" t="e">
        <f>VLOOKUP($B$26,$B$5:$H$14,2,FALSE)</f>
        <v>#N/A</v>
      </c>
      <c r="D26" t="e">
        <f>VLOOKUP($B$26,$B$5:$H$14,3,FALSE)</f>
        <v>#N/A</v>
      </c>
      <c r="E26" t="e">
        <f>VLOOKUP($B$26,$B$5:$H$14,4,FALSE)</f>
        <v>#N/A</v>
      </c>
      <c r="F26" t="e">
        <f>VLOOKUP($B$26,$B$5:$H$14,5,FALSE)</f>
        <v>#N/A</v>
      </c>
      <c r="G26" t="e">
        <f>VLOOKUP($B$26,$B$5:$H$14,6,FALSE)</f>
        <v>#N/A</v>
      </c>
      <c r="H26" t="e">
        <f>VLOOKUP($B$26,$B$5:$H$14,7,FALSE)</f>
        <v>#N/A</v>
      </c>
      <c r="J26" s="2"/>
    </row>
    <row r="27" spans="1:17" ht="16" x14ac:dyDescent="0.25">
      <c r="A27" s="2" t="s">
        <v>10</v>
      </c>
      <c r="B27" s="1"/>
      <c r="C27" t="e">
        <f>VLOOKUP($B$26,$K$5:$Q$14,2,FALSE)</f>
        <v>#N/A</v>
      </c>
      <c r="D27" t="e">
        <f>VLOOKUP($B$26,$K$5:$Q$14,3,FALSE)</f>
        <v>#N/A</v>
      </c>
      <c r="E27" t="e">
        <f>VLOOKUP($B$26,$K$5:$Q$14,4,FALSE)</f>
        <v>#N/A</v>
      </c>
      <c r="F27" t="e">
        <f>VLOOKUP($B$26,$K$5:$Q$14,5,FALSE)</f>
        <v>#N/A</v>
      </c>
      <c r="G27" t="e">
        <f>VLOOKUP($B$26,$K$5:$Q$14,6,FALSE)</f>
        <v>#N/A</v>
      </c>
      <c r="H27" t="e">
        <f>VLOOKUP($B$26,$K$5:$Q$14,7,FALSE)</f>
        <v>#N/A</v>
      </c>
      <c r="J27" s="2"/>
      <c r="K27" s="1"/>
    </row>
    <row r="28" spans="1:17" x14ac:dyDescent="0.2">
      <c r="A28" s="2" t="s">
        <v>6</v>
      </c>
      <c r="B28" t="e">
        <f ca="1">OFFSET(A26,0,MATCH(goal_2,$B$3:$H$3,FALSE))</f>
        <v>#N/A</v>
      </c>
      <c r="C28" t="e">
        <f ca="1">OFFSET(A26,0,MATCH(goal_2,$B$3:$H$3,FALSE)+1)</f>
        <v>#N/A</v>
      </c>
      <c r="D28" t="e">
        <f ca="1">CONCATENATE(TEXT(ROUND($B$28,2)*100,"0")," - ",TEXT(ROUND($C$28,2),"0%"))</f>
        <v>#N/A</v>
      </c>
    </row>
    <row r="29" spans="1:17" x14ac:dyDescent="0.2">
      <c r="A29" s="2" t="s">
        <v>9</v>
      </c>
      <c r="B29" t="e">
        <f ca="1">OFFSET(A27,0,MATCH(goal_2,$K$3:$Q$3,FALSE))</f>
        <v>#N/A</v>
      </c>
      <c r="C29" t="e">
        <f ca="1">OFFSET(A27,0,MATCH(goal_2,$K$3:$Q$3,FALSE)+1)</f>
        <v>#N/A</v>
      </c>
      <c r="D29" t="e">
        <f ca="1">CONCATENATE(TEXT(ROUND($B$29,2)*100,"0")," - ",TEXT(ROUND($C$29,2),"0%"))</f>
        <v>#N/A</v>
      </c>
    </row>
  </sheetData>
  <sheetProtection algorithmName="SHA-512" hashValue="bh2drKtdGEpiwGs0/zltGBmEeYSkG7L0oZ/HVv2scCwwW+KreG9vbWRPmUE04XiV+kMDFAUyMjO0RZV4Op/iHQ==" saltValue="KMlMG+7bg0FJqSGK8JL5hA==" spinCount="100000" sheet="1" objects="1" scenarios="1"/>
  <pageMargins left="0.7" right="0.7" top="0.75" bottom="0.75" header="0.3" footer="0.3"/>
  <pageSetup orientation="portrait"/>
  <extLst>
    <ext xmlns:mx="http://schemas.microsoft.com/office/mac/excel/2008/main" uri="{64002731-A6B0-56B0-2670-7721B7C09600}">
      <mx:PLV Mode="0"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P32"/>
  <sheetViews>
    <sheetView zoomScaleNormal="100" workbookViewId="0">
      <selection activeCell="G12" sqref="G12"/>
    </sheetView>
  </sheetViews>
  <sheetFormatPr baseColWidth="10" defaultColWidth="10.83203125" defaultRowHeight="15" x14ac:dyDescent="0.2"/>
  <cols>
    <col min="1" max="2" width="6.5" style="8" customWidth="1"/>
    <col min="3" max="13" width="12.33203125" style="8" customWidth="1"/>
    <col min="14" max="14" width="6.5" style="8" customWidth="1"/>
    <col min="15" max="16384" width="10.83203125" style="8"/>
  </cols>
  <sheetData>
    <row r="1" spans="1:16" ht="24" x14ac:dyDescent="0.2">
      <c r="A1" s="22"/>
      <c r="B1" s="65" t="s">
        <v>37</v>
      </c>
      <c r="C1" s="65"/>
      <c r="D1" s="65"/>
      <c r="E1" s="65"/>
      <c r="F1" s="65"/>
      <c r="G1" s="65"/>
      <c r="H1" s="65"/>
      <c r="I1" s="65"/>
      <c r="J1" s="65"/>
      <c r="K1" s="65"/>
      <c r="L1" s="65"/>
      <c r="M1" s="65"/>
      <c r="N1" s="65"/>
      <c r="O1" s="22"/>
      <c r="P1" s="22"/>
    </row>
    <row r="2" spans="1:16" ht="23" x14ac:dyDescent="0.2">
      <c r="A2" s="22"/>
      <c r="B2" s="66" t="s">
        <v>40</v>
      </c>
      <c r="C2" s="66"/>
      <c r="D2" s="66"/>
      <c r="E2" s="66"/>
      <c r="F2" s="66"/>
      <c r="G2" s="66"/>
      <c r="H2" s="66"/>
      <c r="I2" s="66"/>
      <c r="J2" s="66"/>
      <c r="K2" s="66"/>
      <c r="L2" s="66"/>
      <c r="M2" s="66"/>
      <c r="N2" s="66"/>
      <c r="O2" s="22"/>
      <c r="P2" s="22"/>
    </row>
    <row r="3" spans="1:16" ht="16.5" customHeight="1" x14ac:dyDescent="0.2">
      <c r="A3" s="22"/>
      <c r="B3" s="23"/>
      <c r="C3" s="23"/>
      <c r="D3" s="23"/>
      <c r="E3" s="23"/>
      <c r="F3" s="23"/>
      <c r="G3" s="23"/>
      <c r="H3" s="23"/>
      <c r="I3" s="23"/>
      <c r="J3" s="23"/>
      <c r="K3" s="23"/>
      <c r="L3" s="23"/>
      <c r="M3" s="23"/>
      <c r="N3" s="23"/>
      <c r="O3" s="22"/>
      <c r="P3" s="22"/>
    </row>
    <row r="4" spans="1:16" ht="47.25" customHeight="1" x14ac:dyDescent="0.2">
      <c r="A4" s="22"/>
      <c r="B4" s="60" t="s">
        <v>51</v>
      </c>
      <c r="C4" s="60"/>
      <c r="D4" s="60"/>
      <c r="E4" s="60"/>
      <c r="F4" s="60"/>
      <c r="G4" s="60"/>
      <c r="H4" s="60"/>
      <c r="I4" s="60"/>
      <c r="J4" s="60"/>
      <c r="K4" s="60"/>
      <c r="L4" s="60"/>
      <c r="M4" s="60"/>
      <c r="N4" s="60"/>
      <c r="O4" s="22"/>
      <c r="P4" s="22"/>
    </row>
    <row r="5" spans="1:16" ht="12.75" customHeight="1" x14ac:dyDescent="0.2">
      <c r="A5" s="22"/>
      <c r="B5" s="60"/>
      <c r="C5" s="60"/>
      <c r="D5" s="60"/>
      <c r="E5" s="60"/>
      <c r="F5" s="60"/>
      <c r="G5" s="60"/>
      <c r="H5" s="60"/>
      <c r="I5" s="60"/>
      <c r="J5" s="60"/>
      <c r="K5" s="60"/>
      <c r="L5" s="60"/>
      <c r="M5" s="60"/>
      <c r="N5" s="60"/>
      <c r="O5" s="22"/>
      <c r="P5" s="22"/>
    </row>
    <row r="6" spans="1:16" ht="15" customHeight="1" x14ac:dyDescent="0.2">
      <c r="A6" s="22"/>
      <c r="B6" s="61" t="s">
        <v>90</v>
      </c>
      <c r="C6" s="61"/>
      <c r="D6" s="61"/>
      <c r="E6" s="61"/>
      <c r="F6" s="61"/>
      <c r="G6" s="61"/>
      <c r="H6" s="61"/>
      <c r="I6" s="61"/>
      <c r="J6" s="61"/>
      <c r="K6" s="61"/>
      <c r="L6" s="61"/>
      <c r="M6" s="61"/>
      <c r="N6" s="61"/>
      <c r="O6" s="22"/>
      <c r="P6" s="22"/>
    </row>
    <row r="7" spans="1:16" ht="74.25" customHeight="1" x14ac:dyDescent="0.2">
      <c r="A7" s="22"/>
      <c r="B7" s="60" t="s">
        <v>81</v>
      </c>
      <c r="C7" s="60"/>
      <c r="D7" s="60"/>
      <c r="E7" s="60"/>
      <c r="F7" s="60"/>
      <c r="G7" s="60"/>
      <c r="H7" s="60"/>
      <c r="I7" s="60"/>
      <c r="J7" s="60"/>
      <c r="K7" s="60"/>
      <c r="L7" s="60"/>
      <c r="M7" s="60"/>
      <c r="N7" s="60"/>
      <c r="O7" s="22"/>
      <c r="P7" s="22"/>
    </row>
    <row r="8" spans="1:16" ht="13.5" customHeight="1" x14ac:dyDescent="0.2">
      <c r="A8" s="22"/>
      <c r="B8" s="24"/>
      <c r="C8" s="24"/>
      <c r="D8" s="24"/>
      <c r="E8" s="24"/>
      <c r="F8" s="24"/>
      <c r="G8" s="24"/>
      <c r="H8" s="24"/>
      <c r="I8" s="24"/>
      <c r="J8" s="24"/>
      <c r="K8" s="24"/>
      <c r="L8" s="24"/>
      <c r="M8" s="24"/>
      <c r="N8" s="24"/>
      <c r="O8" s="22"/>
      <c r="P8" s="22"/>
    </row>
    <row r="9" spans="1:16" ht="16" x14ac:dyDescent="0.2">
      <c r="A9" s="22"/>
      <c r="B9" s="61" t="s">
        <v>82</v>
      </c>
      <c r="C9" s="61"/>
      <c r="D9" s="61"/>
      <c r="E9" s="61"/>
      <c r="F9" s="61"/>
      <c r="G9" s="61"/>
      <c r="H9" s="61"/>
      <c r="I9" s="61"/>
      <c r="J9" s="61"/>
      <c r="K9" s="61"/>
      <c r="L9" s="61"/>
      <c r="M9" s="61"/>
      <c r="N9" s="61"/>
      <c r="O9" s="22"/>
      <c r="P9" s="22"/>
    </row>
    <row r="10" spans="1:16" ht="62.25" customHeight="1" x14ac:dyDescent="0.2">
      <c r="A10" s="22"/>
      <c r="B10" s="60" t="s">
        <v>83</v>
      </c>
      <c r="C10" s="60"/>
      <c r="D10" s="60"/>
      <c r="E10" s="60"/>
      <c r="F10" s="60"/>
      <c r="G10" s="60"/>
      <c r="H10" s="60"/>
      <c r="I10" s="60"/>
      <c r="J10" s="60"/>
      <c r="K10" s="60"/>
      <c r="L10" s="60"/>
      <c r="M10" s="60"/>
      <c r="N10" s="60"/>
      <c r="O10" s="22"/>
      <c r="P10" s="22"/>
    </row>
    <row r="11" spans="1:16" ht="16" x14ac:dyDescent="0.2">
      <c r="A11" s="22"/>
      <c r="B11" s="25"/>
      <c r="C11" s="25"/>
      <c r="D11" s="25"/>
      <c r="E11" s="25"/>
      <c r="F11" s="25"/>
      <c r="G11" s="25"/>
      <c r="H11" s="25"/>
      <c r="I11" s="25"/>
      <c r="J11" s="25"/>
      <c r="K11" s="25"/>
      <c r="L11" s="25"/>
      <c r="M11" s="25"/>
      <c r="N11" s="25"/>
      <c r="O11" s="22"/>
      <c r="P11" s="22"/>
    </row>
    <row r="12" spans="1:16" ht="34" x14ac:dyDescent="0.2">
      <c r="A12" s="22"/>
      <c r="B12" s="25"/>
      <c r="C12" s="31" t="s">
        <v>34</v>
      </c>
      <c r="D12" s="32" t="s">
        <v>44</v>
      </c>
      <c r="E12" s="26"/>
      <c r="F12" s="31" t="s">
        <v>52</v>
      </c>
      <c r="G12" s="32" t="s">
        <v>44</v>
      </c>
      <c r="H12" s="26"/>
      <c r="I12" s="26"/>
      <c r="J12" s="26"/>
      <c r="K12" s="26"/>
      <c r="L12" s="62"/>
      <c r="M12" s="62"/>
      <c r="N12" s="25"/>
      <c r="O12" s="22"/>
      <c r="P12" s="22"/>
    </row>
    <row r="13" spans="1:16" ht="16" x14ac:dyDescent="0.2">
      <c r="A13" s="22"/>
      <c r="B13" s="25"/>
      <c r="C13" s="27"/>
      <c r="D13" s="27"/>
      <c r="E13" s="26"/>
      <c r="F13" s="26"/>
      <c r="G13" s="26"/>
      <c r="H13" s="26"/>
      <c r="I13" s="26"/>
      <c r="J13" s="26"/>
      <c r="K13" s="26"/>
      <c r="L13" s="28"/>
      <c r="M13" s="28"/>
      <c r="N13" s="25"/>
      <c r="O13" s="22"/>
      <c r="P13" s="22"/>
    </row>
    <row r="14" spans="1:16" ht="16" x14ac:dyDescent="0.2">
      <c r="A14" s="22"/>
      <c r="B14" s="25"/>
      <c r="C14" s="64" t="s">
        <v>46</v>
      </c>
      <c r="D14" s="63" t="s">
        <v>49</v>
      </c>
      <c r="E14" s="63"/>
      <c r="F14" s="63"/>
      <c r="G14" s="63"/>
      <c r="H14" s="63"/>
      <c r="I14" s="63" t="s">
        <v>50</v>
      </c>
      <c r="J14" s="63"/>
      <c r="K14" s="63"/>
      <c r="L14" s="63"/>
      <c r="M14" s="63"/>
      <c r="N14" s="25"/>
      <c r="O14" s="22"/>
      <c r="P14" s="22"/>
    </row>
    <row r="15" spans="1:16" ht="48" customHeight="1" x14ac:dyDescent="0.2">
      <c r="A15" s="22"/>
      <c r="B15" s="25"/>
      <c r="C15" s="64"/>
      <c r="D15" s="33" t="s">
        <v>47</v>
      </c>
      <c r="E15" s="34" t="s">
        <v>19</v>
      </c>
      <c r="F15" s="34" t="s">
        <v>0</v>
      </c>
      <c r="G15" s="35" t="s">
        <v>20</v>
      </c>
      <c r="H15" s="35" t="s">
        <v>48</v>
      </c>
      <c r="I15" s="33" t="s">
        <v>47</v>
      </c>
      <c r="J15" s="34" t="s">
        <v>19</v>
      </c>
      <c r="K15" s="34" t="s">
        <v>0</v>
      </c>
      <c r="L15" s="35" t="s">
        <v>20</v>
      </c>
      <c r="M15" s="35" t="s">
        <v>48</v>
      </c>
      <c r="N15" s="25"/>
      <c r="O15" s="22"/>
      <c r="P15" s="22"/>
    </row>
    <row r="16" spans="1:16" ht="16" x14ac:dyDescent="0.2">
      <c r="A16" s="22"/>
      <c r="B16" s="25"/>
      <c r="C16" s="36" t="str">
        <f ca="1">IFERROR(CONCATENATE(TEXT(INDIRECT("'"&amp;ranges_tab&amp;"'!K4")*100,"0")," - ",TEXT(INDIRECT("'"&amp;ranges_tab&amp;"'!K5"),"0%")),"")</f>
        <v/>
      </c>
      <c r="D16" s="37" t="str">
        <f ca="1">IFERROR(CONCATENATE(TEXT(ROUND(INDIRECT("'"&amp;ranges_tab&amp;"'!L5"),2)*100,"0")," - ",TEXT(ROUND(INDIRECT("'"&amp;ranges_tab&amp;"'!M5"),2),"0%")),"")</f>
        <v/>
      </c>
      <c r="E16" s="37" t="str">
        <f ca="1">IFERROR(CONCATENATE(TEXT(ROUND(INDIRECT("'"&amp;ranges_tab&amp;"'!M5"),2)*100,"0")," - ",TEXT(ROUND(INDIRECT("'"&amp;ranges_tab&amp;"'!N5"),2),"0%")),"")</f>
        <v/>
      </c>
      <c r="F16" s="37" t="str">
        <f ca="1">IFERROR(CONCATENATE(TEXT(ROUND(INDIRECT("'"&amp;ranges_tab&amp;"'!N5"),2)*100,"0")," - ",TEXT(ROUND(INDIRECT("'"&amp;ranges_tab&amp;"'!O5"),2),"0%")),"")</f>
        <v/>
      </c>
      <c r="G16" s="37" t="str">
        <f ca="1">IFERROR(CONCATENATE(TEXT(ROUND(INDIRECT("'"&amp;ranges_tab&amp;"'!O5")*100,2),"0")," - ",TEXT(ROUND(INDIRECT("'"&amp;ranges_tab&amp;"'!P5"),2),"0%")),"")</f>
        <v/>
      </c>
      <c r="H16" s="37" t="str">
        <f ca="1">IFERROR(CONCATENATE(TEXT(ROUND(INDIRECT("'"&amp;ranges_tab&amp;"'!P5"),2)*100,"0")," - ",TEXT(ROUND(INDIRECT("'"&amp;ranges_tab&amp;"'!Q5"),2),"0%")),"")</f>
        <v/>
      </c>
      <c r="I16" s="37" t="str">
        <f ca="1">IFERROR(CONCATENATE(TEXT(ROUND(INDIRECT("'"&amp;ranges_tab&amp;"'!C5"),2)*100,"0")," - ",TEXT(ROUND(INDIRECT("'"&amp;ranges_tab&amp;"'!D5"),2),"0%")),"")</f>
        <v/>
      </c>
      <c r="J16" s="37" t="str">
        <f ca="1">IFERROR(CONCATENATE(TEXT(ROUND(INDIRECT("'"&amp;ranges_tab&amp;"'!D5")*100,2),"0")," - ",TEXT(ROUND(INDIRECT("'"&amp;ranges_tab&amp;"'!E5"),2),"0%")),"")</f>
        <v/>
      </c>
      <c r="K16" s="37" t="str">
        <f ca="1">IFERROR(CONCATENATE(TEXT(ROUND(INDIRECT("'"&amp;ranges_tab&amp;"'!E5")*100,2),"0")," - ",TEXT(ROUND(INDIRECT("'"&amp;ranges_tab&amp;"'!F5"),2),"0%")),"")</f>
        <v/>
      </c>
      <c r="L16" s="37" t="str">
        <f ca="1">IFERROR(CONCATENATE(TEXT(ROUND(INDIRECT("'"&amp;ranges_tab&amp;"'!F5"),2)*100,"0")," - ",TEXT(ROUND(INDIRECT("'"&amp;ranges_tab&amp;"'!G5"),2),"0%")),"")</f>
        <v/>
      </c>
      <c r="M16" s="37" t="str">
        <f ca="1">IFERROR(CONCATENATE(TEXT(ROUND(INDIRECT("'"&amp;ranges_tab&amp;"'!G5"),2)*100,"0")," - ",TEXT(ROUND(INDIRECT("'"&amp;ranges_tab&amp;"'!H5"),2),"0%")),"")</f>
        <v/>
      </c>
      <c r="N16" s="25"/>
      <c r="O16" s="22"/>
      <c r="P16" s="22"/>
    </row>
    <row r="17" spans="1:16" ht="16" x14ac:dyDescent="0.2">
      <c r="A17" s="22"/>
      <c r="B17" s="25"/>
      <c r="C17" s="36" t="str">
        <f ca="1">IFERROR(IF(INDIRECT("'"&amp;ranges_tab&amp;"'!K6")=0,"",CONCATENATE(TEXT(INDIRECT("'"&amp;ranges_tab&amp;"'!K5")*100,"0")," - ",TEXT(INDIRECT("'"&amp;ranges_tab&amp;"'!K6"),"0%"))),"")</f>
        <v/>
      </c>
      <c r="D17" s="37" t="str">
        <f ca="1">IFERROR(CONCATENATE(TEXT(ROUND(INDIRECT("'"&amp;ranges_tab&amp;"'!L6"),2)*100,"0")," - ",TEXT(ROUND(INDIRECT("'"&amp;ranges_tab&amp;"'!M6"),2),"0%")),"")</f>
        <v/>
      </c>
      <c r="E17" s="37" t="str">
        <f ca="1">IFERROR(CONCATENATE(TEXT(ROUND(INDIRECT("'"&amp;ranges_tab&amp;"'!M6"),2)*100,"0")," - ",TEXT(ROUND(INDIRECT("'"&amp;ranges_tab&amp;"'!N6"),2),"0%")),"")</f>
        <v/>
      </c>
      <c r="F17" s="37" t="str">
        <f ca="1">IFERROR(CONCATENATE(TEXT(ROUND(INDIRECT("'"&amp;ranges_tab&amp;"'!N6"),2)*100,"0")," - ",TEXT(ROUND(INDIRECT("'"&amp;ranges_tab&amp;"'!O6"),2),"0%")),"")</f>
        <v/>
      </c>
      <c r="G17" s="37" t="str">
        <f ca="1">IFERROR(CONCATENATE(TEXT(ROUND(INDIRECT("'"&amp;ranges_tab&amp;"'!O6")*100,2),"0")," - ",TEXT(ROUND(INDIRECT("'"&amp;ranges_tab&amp;"'!P6"),2),"0%")),"")</f>
        <v/>
      </c>
      <c r="H17" s="37" t="str">
        <f ca="1">IFERROR(CONCATENATE(TEXT(ROUND(INDIRECT("'"&amp;ranges_tab&amp;"'!P6"),2)*100,"0")," - ",TEXT(ROUND(INDIRECT("'"&amp;ranges_tab&amp;"'!Q6"),2),"0%")),"")</f>
        <v/>
      </c>
      <c r="I17" s="37" t="str">
        <f ca="1">IFERROR(CONCATENATE(TEXT(ROUND(INDIRECT("'"&amp;ranges_tab&amp;"'!C6"),2)*100,"0")," - ",TEXT(ROUND(INDIRECT("'"&amp;ranges_tab&amp;"'!D6"),2),"0%")),"")</f>
        <v/>
      </c>
      <c r="J17" s="37" t="str">
        <f ca="1">IFERROR(CONCATENATE(TEXT(ROUND(INDIRECT("'"&amp;ranges_tab&amp;"'!D6")*100,2),"0")," - ",TEXT(ROUND(INDIRECT("'"&amp;ranges_tab&amp;"'!E6"),2),"0%")),"")</f>
        <v/>
      </c>
      <c r="K17" s="37" t="str">
        <f ca="1">IFERROR(CONCATENATE(TEXT(ROUND(INDIRECT("'"&amp;ranges_tab&amp;"'!E6")*100,2),"0")," - ",TEXT(ROUND(INDIRECT("'"&amp;ranges_tab&amp;"'!F6"),2),"0%")),"")</f>
        <v/>
      </c>
      <c r="L17" s="37" t="str">
        <f ca="1">IFERROR(CONCATENATE(TEXT(ROUND(INDIRECT("'"&amp;ranges_tab&amp;"'!F6"),2)*100,"0")," - ",TEXT(ROUND(INDIRECT("'"&amp;ranges_tab&amp;"'!G6"),2),"0%")),"")</f>
        <v/>
      </c>
      <c r="M17" s="37" t="str">
        <f ca="1">IFERROR(CONCATENATE(TEXT(ROUND(INDIRECT("'"&amp;ranges_tab&amp;"'!G6"),2)*100,"0")," - ",TEXT(ROUND(INDIRECT("'"&amp;ranges_tab&amp;"'!H6"),2),"0%")),"")</f>
        <v/>
      </c>
      <c r="N17" s="25"/>
      <c r="O17" s="22"/>
      <c r="P17" s="22"/>
    </row>
    <row r="18" spans="1:16" ht="16" x14ac:dyDescent="0.2">
      <c r="A18" s="22"/>
      <c r="B18" s="25"/>
      <c r="C18" s="36" t="str">
        <f ca="1">IFERROR(IF(INDIRECT("'"&amp;ranges_tab&amp;"'!K7")=0,"",CONCATENATE(TEXT(INDIRECT("'"&amp;ranges_tab&amp;"'!K6")*100,"0")," - ",TEXT(INDIRECT("'"&amp;ranges_tab&amp;"'!K7"),"0%"))),"")</f>
        <v/>
      </c>
      <c r="D18" s="37" t="str">
        <f ca="1">IFERROR(CONCATENATE(TEXT(ROUND(INDIRECT("'"&amp;ranges_tab&amp;"'!L7"),2)*100,"0")," - ",TEXT(ROUND(INDIRECT("'"&amp;ranges_tab&amp;"'!M7"),2),"0%")),"")</f>
        <v/>
      </c>
      <c r="E18" s="37" t="str">
        <f ca="1">IFERROR(CONCATENATE(TEXT(ROUND(INDIRECT("'"&amp;ranges_tab&amp;"'!M7"),2)*100,"0")," - ",TEXT(ROUND(INDIRECT("'"&amp;ranges_tab&amp;"'!N7"),2),"0%")),"")</f>
        <v/>
      </c>
      <c r="F18" s="37" t="str">
        <f ca="1">IFERROR(CONCATENATE(TEXT(ROUND(INDIRECT("'"&amp;ranges_tab&amp;"'!N7"),2)*100,"0")," - ",TEXT(ROUND(INDIRECT("'"&amp;ranges_tab&amp;"'!O7"),2),"0%")),"")</f>
        <v/>
      </c>
      <c r="G18" s="37" t="str">
        <f ca="1">IFERROR(CONCATENATE(TEXT(ROUND(INDIRECT("'"&amp;ranges_tab&amp;"'!O7")*100,2),"0")," - ",TEXT(ROUND(INDIRECT("'"&amp;ranges_tab&amp;"'!P7"),2),"0%")),"")</f>
        <v/>
      </c>
      <c r="H18" s="37" t="str">
        <f ca="1">IFERROR(CONCATENATE(TEXT(ROUND(INDIRECT("'"&amp;ranges_tab&amp;"'!P7"),2)*100,"0")," - ",TEXT(ROUND(INDIRECT("'"&amp;ranges_tab&amp;"'!Q7"),2),"0%")),"")</f>
        <v/>
      </c>
      <c r="I18" s="37" t="str">
        <f ca="1">IFERROR(CONCATENATE(TEXT(ROUND(INDIRECT("'"&amp;ranges_tab&amp;"'!C7"),2)*100,"0")," - ",TEXT(ROUND(INDIRECT("'"&amp;ranges_tab&amp;"'!D7"),2),"0%")),"")</f>
        <v/>
      </c>
      <c r="J18" s="37" t="str">
        <f ca="1">IFERROR(CONCATENATE(TEXT(ROUND(INDIRECT("'"&amp;ranges_tab&amp;"'!D7")*100,2),"0")," - ",TEXT(ROUND(INDIRECT("'"&amp;ranges_tab&amp;"'!E7"),2),"0%")),"")</f>
        <v/>
      </c>
      <c r="K18" s="37" t="str">
        <f ca="1">IFERROR(CONCATENATE(TEXT(ROUND(INDIRECT("'"&amp;ranges_tab&amp;"'!E7")*100,2),"0")," - ",TEXT(ROUND(INDIRECT("'"&amp;ranges_tab&amp;"'!F7"),2),"0%")),"")</f>
        <v/>
      </c>
      <c r="L18" s="37" t="str">
        <f ca="1">IFERROR(CONCATENATE(TEXT(ROUND(INDIRECT("'"&amp;ranges_tab&amp;"'!F7"),2)*100,"0")," - ",TEXT(ROUND(INDIRECT("'"&amp;ranges_tab&amp;"'!G7"),2),"0%")),"")</f>
        <v/>
      </c>
      <c r="M18" s="37" t="str">
        <f ca="1">IFERROR(CONCATENATE(TEXT(ROUND(INDIRECT("'"&amp;ranges_tab&amp;"'!G7"),2)*100,"0")," - ",TEXT(ROUND(INDIRECT("'"&amp;ranges_tab&amp;"'!H7"),2),"0%")),"")</f>
        <v/>
      </c>
      <c r="N18" s="25"/>
      <c r="O18" s="22"/>
      <c r="P18" s="22"/>
    </row>
    <row r="19" spans="1:16" ht="16" x14ac:dyDescent="0.2">
      <c r="A19" s="22"/>
      <c r="B19" s="25"/>
      <c r="C19" s="36" t="str">
        <f ca="1">IFERROR(IF(INDIRECT("'"&amp;ranges_tab&amp;"'!K8")=0,"",CONCATENATE(TEXT(INDIRECT("'"&amp;ranges_tab&amp;"'!K7")*100,"0")," - ",TEXT(INDIRECT("'"&amp;ranges_tab&amp;"'!K8"),"0%"))),"")</f>
        <v/>
      </c>
      <c r="D19" s="37" t="str">
        <f ca="1">IFERROR(CONCATENATE(TEXT(ROUND(INDIRECT("'"&amp;ranges_tab&amp;"'!L8"),2)*100,"0")," - ",TEXT(ROUND(INDIRECT("'"&amp;ranges_tab&amp;"'!M8"),2),"0%")),"")</f>
        <v/>
      </c>
      <c r="E19" s="37" t="str">
        <f ca="1">IFERROR(CONCATENATE(TEXT(ROUND(INDIRECT("'"&amp;ranges_tab&amp;"'!M8"),2)*100,"0")," - ",TEXT(ROUND(INDIRECT("'"&amp;ranges_tab&amp;"'!N8"),2),"0%")),"")</f>
        <v/>
      </c>
      <c r="F19" s="37" t="str">
        <f ca="1">IFERROR(CONCATENATE(TEXT(ROUND(INDIRECT("'"&amp;ranges_tab&amp;"'!N8"),2)*100,"0")," - ",TEXT(ROUND(INDIRECT("'"&amp;ranges_tab&amp;"'!O8"),2),"0%")),"")</f>
        <v/>
      </c>
      <c r="G19" s="37" t="str">
        <f ca="1">IFERROR(CONCATENATE(TEXT(ROUND(INDIRECT("'"&amp;ranges_tab&amp;"'!O8")*100,2),"0")," - ",TEXT(ROUND(INDIRECT("'"&amp;ranges_tab&amp;"'!P8"),2),"0%")),"")</f>
        <v/>
      </c>
      <c r="H19" s="37" t="str">
        <f ca="1">IFERROR(CONCATENATE(TEXT(ROUND(INDIRECT("'"&amp;ranges_tab&amp;"'!P8"),2)*100,"0")," - ",TEXT(ROUND(INDIRECT("'"&amp;ranges_tab&amp;"'!Q8"),2),"0%")),"")</f>
        <v/>
      </c>
      <c r="I19" s="37" t="str">
        <f ca="1">IFERROR(CONCATENATE(TEXT(ROUND(INDIRECT("'"&amp;ranges_tab&amp;"'!C8"),2)*100,"0")," - ",TEXT(ROUND(INDIRECT("'"&amp;ranges_tab&amp;"'!D8"),2),"0%")),"")</f>
        <v/>
      </c>
      <c r="J19" s="37" t="str">
        <f ca="1">IFERROR(CONCATENATE(TEXT(ROUND(INDIRECT("'"&amp;ranges_tab&amp;"'!D8")*100,2),"0")," - ",TEXT(ROUND(INDIRECT("'"&amp;ranges_tab&amp;"'!E8"),2),"0%")),"")</f>
        <v/>
      </c>
      <c r="K19" s="37" t="str">
        <f ca="1">IFERROR(CONCATENATE(TEXT(ROUND(INDIRECT("'"&amp;ranges_tab&amp;"'!E8")*100,2),"0")," - ",TEXT(ROUND(INDIRECT("'"&amp;ranges_tab&amp;"'!F8"),2),"0%")),"")</f>
        <v/>
      </c>
      <c r="L19" s="37" t="str">
        <f ca="1">IFERROR(CONCATENATE(TEXT(ROUND(INDIRECT("'"&amp;ranges_tab&amp;"'!F8"),2)*100,"0")," - ",TEXT(ROUND(INDIRECT("'"&amp;ranges_tab&amp;"'!G8"),2),"0%")),"")</f>
        <v/>
      </c>
      <c r="M19" s="37" t="str">
        <f ca="1">IFERROR(CONCATENATE(TEXT(ROUND(INDIRECT("'"&amp;ranges_tab&amp;"'!G8"),2)*100,"0")," - ",TEXT(ROUND(INDIRECT("'"&amp;ranges_tab&amp;"'!H8"),2),"0%")),"")</f>
        <v/>
      </c>
      <c r="N19" s="25"/>
      <c r="O19" s="22"/>
      <c r="P19" s="22"/>
    </row>
    <row r="20" spans="1:16" ht="16" x14ac:dyDescent="0.2">
      <c r="A20" s="22"/>
      <c r="B20" s="25"/>
      <c r="C20" s="36" t="str">
        <f ca="1">IFERROR(IF(INDIRECT("'"&amp;ranges_tab&amp;"'!K9")=0,"",CONCATENATE(TEXT(INDIRECT("'"&amp;ranges_tab&amp;"'!K8")*100,"0")," - ",TEXT(INDIRECT("'"&amp;ranges_tab&amp;"'!K9"),"0%"))),"")</f>
        <v/>
      </c>
      <c r="D20" s="37" t="str">
        <f ca="1">IFERROR(CONCATENATE(TEXT(ROUND(INDIRECT("'"&amp;ranges_tab&amp;"'!L9"),2)*100,"0")," - ",TEXT(ROUND(INDIRECT("'"&amp;ranges_tab&amp;"'!M9"),2),"0%")),"")</f>
        <v/>
      </c>
      <c r="E20" s="37" t="str">
        <f ca="1">IFERROR(CONCATENATE(TEXT(ROUND(INDIRECT("'"&amp;ranges_tab&amp;"'!M9"),2)*100,"0")," - ",TEXT(ROUND(INDIRECT("'"&amp;ranges_tab&amp;"'!N9"),2),"0%")),"")</f>
        <v/>
      </c>
      <c r="F20" s="37" t="str">
        <f ca="1">IFERROR(CONCATENATE(TEXT(ROUND(INDIRECT("'"&amp;ranges_tab&amp;"'!N9"),2)*100,"0")," - ",TEXT(ROUND(INDIRECT("'"&amp;ranges_tab&amp;"'!O9"),2),"0%")),"")</f>
        <v/>
      </c>
      <c r="G20" s="37" t="str">
        <f ca="1">IFERROR(CONCATENATE(TEXT(ROUND(INDIRECT("'"&amp;ranges_tab&amp;"'!O9")*100,2),"0")," - ",TEXT(ROUND(INDIRECT("'"&amp;ranges_tab&amp;"'!P9"),2),"0%")),"")</f>
        <v/>
      </c>
      <c r="H20" s="37" t="str">
        <f ca="1">IFERROR(CONCATENATE(TEXT(ROUND(INDIRECT("'"&amp;ranges_tab&amp;"'!P9"),2)*100,"0")," - ",TEXT(ROUND(INDIRECT("'"&amp;ranges_tab&amp;"'!Q9"),2),"0%")),"")</f>
        <v/>
      </c>
      <c r="I20" s="37" t="str">
        <f ca="1">IFERROR(CONCATENATE(TEXT(ROUND(INDIRECT("'"&amp;ranges_tab&amp;"'!C9"),2)*100,"0")," - ",TEXT(ROUND(INDIRECT("'"&amp;ranges_tab&amp;"'!D9"),2),"0%")),"")</f>
        <v/>
      </c>
      <c r="J20" s="37" t="str">
        <f ca="1">IFERROR(CONCATENATE(TEXT(ROUND(INDIRECT("'"&amp;ranges_tab&amp;"'!D9")*100,2),"0")," - ",TEXT(ROUND(INDIRECT("'"&amp;ranges_tab&amp;"'!E9"),2),"0%")),"")</f>
        <v/>
      </c>
      <c r="K20" s="37" t="str">
        <f ca="1">IFERROR(CONCATENATE(TEXT(ROUND(INDIRECT("'"&amp;ranges_tab&amp;"'!E9")*100,2),"0")," - ",TEXT(ROUND(INDIRECT("'"&amp;ranges_tab&amp;"'!F9"),2),"0%")),"")</f>
        <v/>
      </c>
      <c r="L20" s="37" t="str">
        <f ca="1">IFERROR(CONCATENATE(TEXT(ROUND(INDIRECT("'"&amp;ranges_tab&amp;"'!F9"),2)*100,"0")," - ",TEXT(ROUND(INDIRECT("'"&amp;ranges_tab&amp;"'!G9"),2),"0%")),"")</f>
        <v/>
      </c>
      <c r="M20" s="37" t="str">
        <f ca="1">IFERROR(CONCATENATE(TEXT(ROUND(INDIRECT("'"&amp;ranges_tab&amp;"'!G9"),2)*100,"0")," - ",TEXT(ROUND(INDIRECT("'"&amp;ranges_tab&amp;"'!H9"),2),"0%")),"")</f>
        <v/>
      </c>
      <c r="N20" s="25"/>
      <c r="O20" s="22"/>
      <c r="P20" s="22"/>
    </row>
    <row r="21" spans="1:16" ht="16" x14ac:dyDescent="0.2">
      <c r="A21" s="22"/>
      <c r="B21" s="25"/>
      <c r="C21" s="36" t="str">
        <f ca="1">IFERROR(IF(INDIRECT("'"&amp;ranges_tab&amp;"'!K10")=0,"",CONCATENATE(TEXT(INDIRECT("'"&amp;ranges_tab&amp;"'!K9")*100,"0")," - ",TEXT(INDIRECT("'"&amp;ranges_tab&amp;"'!K10"),"0%"))),"")</f>
        <v/>
      </c>
      <c r="D21" s="37" t="str">
        <f ca="1">IFERROR(CONCATENATE(TEXT(ROUND(INDIRECT("'"&amp;ranges_tab&amp;"'!L10"),2)*100,"0")," - ",TEXT(ROUND(INDIRECT("'"&amp;ranges_tab&amp;"'!M10"),2),"0%")),"")</f>
        <v/>
      </c>
      <c r="E21" s="37" t="str">
        <f ca="1">IFERROR(CONCATENATE(TEXT(ROUND(INDIRECT("'"&amp;ranges_tab&amp;"'!M10"),2)*100,"0")," - ",TEXT(ROUND(INDIRECT("'"&amp;ranges_tab&amp;"'!N10"),2),"0%")),"")</f>
        <v/>
      </c>
      <c r="F21" s="37" t="str">
        <f ca="1">IFERROR(CONCATENATE(TEXT(ROUND(INDIRECT("'"&amp;ranges_tab&amp;"'!N10"),2)*100,"0")," - ",TEXT(ROUND(INDIRECT("'"&amp;ranges_tab&amp;"'!O10"),2),"0%")),"")</f>
        <v/>
      </c>
      <c r="G21" s="37" t="str">
        <f ca="1">IFERROR(CONCATENATE(TEXT(ROUND(INDIRECT("'"&amp;ranges_tab&amp;"'!O10")*100,2),"0")," - ",TEXT(ROUND(INDIRECT("'"&amp;ranges_tab&amp;"'!P10"),2),"0%")),"")</f>
        <v/>
      </c>
      <c r="H21" s="37" t="str">
        <f ca="1">IFERROR(CONCATENATE(TEXT(ROUND(INDIRECT("'"&amp;ranges_tab&amp;"'!P10"),2)*100,"0")," - ",TEXT(ROUND(INDIRECT("'"&amp;ranges_tab&amp;"'!Q10"),2),"0%")),"")</f>
        <v/>
      </c>
      <c r="I21" s="37" t="str">
        <f ca="1">IFERROR(CONCATENATE(TEXT(ROUND(INDIRECT("'"&amp;ranges_tab&amp;"'!C10"),2)*100,"0")," - ",TEXT(ROUND(INDIRECT("'"&amp;ranges_tab&amp;"'!D10"),2),"0%")),"")</f>
        <v/>
      </c>
      <c r="J21" s="37" t="str">
        <f ca="1">IFERROR(CONCATENATE(TEXT(ROUND(INDIRECT("'"&amp;ranges_tab&amp;"'!D10")*100,2),"0")," - ",TEXT(ROUND(INDIRECT("'"&amp;ranges_tab&amp;"'!E10"),2),"0%")),"")</f>
        <v/>
      </c>
      <c r="K21" s="37" t="str">
        <f ca="1">IFERROR(CONCATENATE(TEXT(ROUND(INDIRECT("'"&amp;ranges_tab&amp;"'!E10")*100,2),"0")," - ",TEXT(ROUND(INDIRECT("'"&amp;ranges_tab&amp;"'!F10"),2),"0%")),"")</f>
        <v/>
      </c>
      <c r="L21" s="37" t="str">
        <f ca="1">IFERROR(CONCATENATE(TEXT(ROUND(INDIRECT("'"&amp;ranges_tab&amp;"'!F10"),2)*100,"0")," - ",TEXT(ROUND(INDIRECT("'"&amp;ranges_tab&amp;"'!G10"),2),"0%")),"")</f>
        <v/>
      </c>
      <c r="M21" s="37" t="str">
        <f ca="1">IFERROR(CONCATENATE(TEXT(ROUND(INDIRECT("'"&amp;ranges_tab&amp;"'!G10"),2)*100,"0")," - ",TEXT(ROUND(INDIRECT("'"&amp;ranges_tab&amp;"'!H10"),2),"0%")),"")</f>
        <v/>
      </c>
      <c r="N21" s="25"/>
      <c r="O21" s="22"/>
      <c r="P21" s="22"/>
    </row>
    <row r="22" spans="1:16" ht="16" x14ac:dyDescent="0.2">
      <c r="A22" s="22"/>
      <c r="B22" s="25"/>
      <c r="C22" s="36" t="str">
        <f ca="1">IFERROR(IF(INDIRECT("'"&amp;ranges_tab&amp;"'!K11")=0,"",CONCATENATE(TEXT(INDIRECT("'"&amp;ranges_tab&amp;"'!K10")*100,"0")," - ",TEXT(INDIRECT("'"&amp;ranges_tab&amp;"'!K11"),"0%"))),"")</f>
        <v/>
      </c>
      <c r="D22" s="37" t="str">
        <f ca="1">IFERROR(CONCATENATE(TEXT(ROUND(INDIRECT("'"&amp;ranges_tab&amp;"'!L11"),2)*100,"0")," - ",TEXT(ROUND(INDIRECT("'"&amp;ranges_tab&amp;"'!M11"),2),"0%")),"")</f>
        <v/>
      </c>
      <c r="E22" s="37" t="str">
        <f ca="1">IFERROR(CONCATENATE(TEXT(ROUND(INDIRECT("'"&amp;ranges_tab&amp;"'!M11"),2)*100,"0")," - ",TEXT(ROUND(INDIRECT("'"&amp;ranges_tab&amp;"'!N11"),2),"0%")),"")</f>
        <v/>
      </c>
      <c r="F22" s="37" t="str">
        <f ca="1">IFERROR(CONCATENATE(TEXT(ROUND(INDIRECT("'"&amp;ranges_tab&amp;"'!N11"),2)*100,"0")," - ",TEXT(ROUND(INDIRECT("'"&amp;ranges_tab&amp;"'!O11"),2),"0%")),"")</f>
        <v/>
      </c>
      <c r="G22" s="37" t="str">
        <f ca="1">IFERROR(CONCATENATE(TEXT(ROUND(INDIRECT("'"&amp;ranges_tab&amp;"'!O11")*100,2),"0")," - ",TEXT(ROUND(INDIRECT("'"&amp;ranges_tab&amp;"'!P11"),2),"0%")),"")</f>
        <v/>
      </c>
      <c r="H22" s="37" t="str">
        <f ca="1">IFERROR(CONCATENATE(TEXT(ROUND(INDIRECT("'"&amp;ranges_tab&amp;"'!P11"),2)*100,"0")," - ",TEXT(ROUND(INDIRECT("'"&amp;ranges_tab&amp;"'!Q11"),2),"0%")),"")</f>
        <v/>
      </c>
      <c r="I22" s="37" t="str">
        <f ca="1">IFERROR(CONCATENATE(TEXT(ROUND(INDIRECT("'"&amp;ranges_tab&amp;"'!C11"),2)*100,"0")," - ",TEXT(ROUND(INDIRECT("'"&amp;ranges_tab&amp;"'!D11"),2),"0%")),"")</f>
        <v/>
      </c>
      <c r="J22" s="37" t="str">
        <f ca="1">IFERROR(CONCATENATE(TEXT(ROUND(INDIRECT("'"&amp;ranges_tab&amp;"'!D11")*100,2),"0")," - ",TEXT(ROUND(INDIRECT("'"&amp;ranges_tab&amp;"'!E11"),2),"0%")),"")</f>
        <v/>
      </c>
      <c r="K22" s="37" t="str">
        <f ca="1">IFERROR(CONCATENATE(TEXT(ROUND(INDIRECT("'"&amp;ranges_tab&amp;"'!E11")*100,2),"0")," - ",TEXT(ROUND(INDIRECT("'"&amp;ranges_tab&amp;"'!F11"),2),"0%")),"")</f>
        <v/>
      </c>
      <c r="L22" s="37" t="str">
        <f ca="1">IFERROR(CONCATENATE(TEXT(ROUND(INDIRECT("'"&amp;ranges_tab&amp;"'!F11"),2)*100,"0")," - ",TEXT(ROUND(INDIRECT("'"&amp;ranges_tab&amp;"'!G11"),2),"0%")),"")</f>
        <v/>
      </c>
      <c r="M22" s="37" t="str">
        <f ca="1">IFERROR(CONCATENATE(TEXT(ROUND(INDIRECT("'"&amp;ranges_tab&amp;"'!G11"),2)*100,"0")," - ",TEXT(ROUND(INDIRECT("'"&amp;ranges_tab&amp;"'!H11"),2),"0%")),"")</f>
        <v/>
      </c>
      <c r="N22" s="25"/>
      <c r="O22" s="22"/>
      <c r="P22" s="22"/>
    </row>
    <row r="23" spans="1:16" ht="16" x14ac:dyDescent="0.2">
      <c r="A23" s="22"/>
      <c r="B23" s="25"/>
      <c r="C23" s="36" t="str">
        <f ca="1">IFERROR(IF(INDIRECT("'"&amp;ranges_tab&amp;"'!K12")=0,"",CONCATENATE(TEXT(INDIRECT("'"&amp;ranges_tab&amp;"'!K11")*100,"0")," - ",TEXT(INDIRECT("'"&amp;ranges_tab&amp;"'!K12"),"0%"))),"")</f>
        <v/>
      </c>
      <c r="D23" s="37" t="str">
        <f ca="1">IFERROR(CONCATENATE(TEXT(ROUND(INDIRECT("'"&amp;ranges_tab&amp;"'!L12"),2)*100,"0")," - ",TEXT(ROUND(INDIRECT("'"&amp;ranges_tab&amp;"'!M12"),2),"0%")),"")</f>
        <v/>
      </c>
      <c r="E23" s="37" t="str">
        <f ca="1">IFERROR(CONCATENATE(TEXT(ROUND(INDIRECT("'"&amp;ranges_tab&amp;"'!M12"),2)*100,"0")," - ",TEXT(ROUND(INDIRECT("'"&amp;ranges_tab&amp;"'!N12"),2),"0%")),"")</f>
        <v/>
      </c>
      <c r="F23" s="37" t="str">
        <f ca="1">IFERROR(CONCATENATE(TEXT(ROUND(INDIRECT("'"&amp;ranges_tab&amp;"'!N12"),2)*100,"0")," - ",TEXT(ROUND(INDIRECT("'"&amp;ranges_tab&amp;"'!O12"),2),"0%")),"")</f>
        <v/>
      </c>
      <c r="G23" s="37" t="str">
        <f ca="1">IFERROR(CONCATENATE(TEXT(ROUND(INDIRECT("'"&amp;ranges_tab&amp;"'!O12")*100,2),"0")," - ",TEXT(ROUND(INDIRECT("'"&amp;ranges_tab&amp;"'!P12"),2),"0%")),"")</f>
        <v/>
      </c>
      <c r="H23" s="37" t="str">
        <f ca="1">IFERROR(CONCATENATE(TEXT(ROUND(INDIRECT("'"&amp;ranges_tab&amp;"'!P12"),2)*100,"0")," - ",TEXT(ROUND(INDIRECT("'"&amp;ranges_tab&amp;"'!Q12"),2),"0%")),"")</f>
        <v/>
      </c>
      <c r="I23" s="37" t="str">
        <f ca="1">IFERROR(CONCATENATE(TEXT(ROUND(INDIRECT("'"&amp;ranges_tab&amp;"'!C12"),2)*100,"0")," - ",TEXT(ROUND(INDIRECT("'"&amp;ranges_tab&amp;"'!D12"),2),"0%")),"")</f>
        <v/>
      </c>
      <c r="J23" s="37" t="str">
        <f ca="1">IFERROR(CONCATENATE(TEXT(ROUND(INDIRECT("'"&amp;ranges_tab&amp;"'!D12")*100,2),"0")," - ",TEXT(ROUND(INDIRECT("'"&amp;ranges_tab&amp;"'!E12"),2),"0%")),"")</f>
        <v/>
      </c>
      <c r="K23" s="37" t="str">
        <f ca="1">IFERROR(CONCATENATE(TEXT(ROUND(INDIRECT("'"&amp;ranges_tab&amp;"'!E12")*100,2),"0")," - ",TEXT(ROUND(INDIRECT("'"&amp;ranges_tab&amp;"'!F12"),2),"0%")),"")</f>
        <v/>
      </c>
      <c r="L23" s="37" t="str">
        <f ca="1">IFERROR(CONCATENATE(TEXT(ROUND(INDIRECT("'"&amp;ranges_tab&amp;"'!F12"),2)*100,"0")," - ",TEXT(ROUND(INDIRECT("'"&amp;ranges_tab&amp;"'!G12"),2),"0%")),"")</f>
        <v/>
      </c>
      <c r="M23" s="37" t="str">
        <f ca="1">IFERROR(CONCATENATE(TEXT(ROUND(INDIRECT("'"&amp;ranges_tab&amp;"'!G12"),2)*100,"0")," - ",TEXT(ROUND(INDIRECT("'"&amp;ranges_tab&amp;"'!H12"),2),"0%")),"")</f>
        <v/>
      </c>
      <c r="N23" s="25"/>
      <c r="O23" s="22"/>
      <c r="P23" s="22"/>
    </row>
    <row r="24" spans="1:16" ht="16" x14ac:dyDescent="0.2">
      <c r="A24" s="22"/>
      <c r="B24" s="25"/>
      <c r="C24" s="36" t="str">
        <f ca="1">IFERROR(IF(INDIRECT("'"&amp;ranges_tab&amp;"'!K13")=0,"",CONCATENATE(TEXT(INDIRECT("'"&amp;ranges_tab&amp;"'!K12")*100,"0")," - ",TEXT(INDIRECT("'"&amp;ranges_tab&amp;"'!K13"),"0%"))),"")</f>
        <v/>
      </c>
      <c r="D24" s="37" t="str">
        <f ca="1">IFERROR(IF(INDIRECT("'"&amp;ranges_tab&amp;"'!M13")=0,"",CONCATENATE(TEXT(ROUND(INDIRECT("'"&amp;ranges_tab&amp;"'!L13"),2)*100,"0")," - ",TEXT(ROUND(INDIRECT("'"&amp;ranges_tab&amp;"'!M13"),2),"0%"))),"")</f>
        <v/>
      </c>
      <c r="E24" s="37" t="str">
        <f ca="1">IFERROR(IF(INDIRECT("'"&amp;ranges_tab&amp;"'!M13")=0,"",CONCATENATE(TEXT(ROUND(INDIRECT("'"&amp;ranges_tab&amp;"'!M13"),2)*100,"0")," - ",TEXT(ROUND(INDIRECT("'"&amp;ranges_tab&amp;"'!N13"),2),"0%"))),"")</f>
        <v/>
      </c>
      <c r="F24" s="37" t="str">
        <f ca="1">IFERROR(IF(INDIRECT("'"&amp;ranges_tab&amp;"'!N13")=0,"",CONCATENATE(TEXT(ROUND(INDIRECT("'"&amp;ranges_tab&amp;"'!N13"),2)*100,"0")," - ",TEXT(ROUND(INDIRECT("'"&amp;ranges_tab&amp;"'!O13"),2),"0%"))),"")</f>
        <v/>
      </c>
      <c r="G24" s="37" t="str">
        <f ca="1">IFERROR(IF(INDIRECT("'"&amp;ranges_tab&amp;"'!O13")=0,"",CONCATENATE(TEXT(ROUND(INDIRECT("'"&amp;ranges_tab&amp;"'!O13"),2)*100,"0")," - ",TEXT(ROUND(INDIRECT("'"&amp;ranges_tab&amp;"'!P13"),2),"0%"))),"")</f>
        <v/>
      </c>
      <c r="H24" s="37" t="str">
        <f ca="1">IFERROR(IF(INDIRECT("'"&amp;ranges_tab&amp;"'!P13")=0,"",CONCATENATE(TEXT(ROUND(INDIRECT("'"&amp;ranges_tab&amp;"'!P13"),2)*100,"0")," - ",TEXT(ROUND(INDIRECT("'"&amp;ranges_tab&amp;"'!Q13"),2),"0%"))),"")</f>
        <v/>
      </c>
      <c r="I24" s="37" t="str">
        <f ca="1">IFERROR(IF(INDIRECT("'"&amp;ranges_tab&amp;"'!D13")=0,"",CONCATENATE(TEXT(ROUND(INDIRECT("'"&amp;ranges_tab&amp;"'!C13"),2)*100,"0")," - ",TEXT(ROUND(INDIRECT("'"&amp;ranges_tab&amp;"'!D13"),2),"0%"))),"")</f>
        <v/>
      </c>
      <c r="J24" s="37" t="str">
        <f ca="1">IFERROR(IF(INDIRECT("'"&amp;ranges_tab&amp;"'!D13")=0,"",CONCATENATE(TEXT(ROUND(INDIRECT("'"&amp;ranges_tab&amp;"'!D13"),2)*100,"0")," - ",TEXT(ROUND(INDIRECT("'"&amp;ranges_tab&amp;"'!E13"),2),"0%"))),"")</f>
        <v/>
      </c>
      <c r="K24" s="37" t="str">
        <f ca="1">IFERROR(IF(INDIRECT("'"&amp;ranges_tab&amp;"'!E13")=0,"",CONCATENATE(TEXT(ROUND(INDIRECT("'"&amp;ranges_tab&amp;"'!E13"),2)*100,"0")," - ",TEXT(ROUND(INDIRECT("'"&amp;ranges_tab&amp;"'!F13"),2),"0%"))),"")</f>
        <v/>
      </c>
      <c r="L24" s="37" t="str">
        <f ca="1">IFERROR(IF(INDIRECT("'"&amp;ranges_tab&amp;"'!F13")=0,"",CONCATENATE(TEXT(ROUND(INDIRECT("'"&amp;ranges_tab&amp;"'!F13"),2)*100,"0")," - ",TEXT(ROUND(INDIRECT("'"&amp;ranges_tab&amp;"'!G13"),2),"0%"))),"")</f>
        <v/>
      </c>
      <c r="M24" s="37" t="str">
        <f ca="1">IFERROR(IF(INDIRECT("'"&amp;ranges_tab&amp;"'!G13")=0,"",CONCATENATE(TEXT(ROUND(INDIRECT("'"&amp;ranges_tab&amp;"'!G13"),2)*100,"0")," - ",TEXT(ROUND(INDIRECT("'"&amp;ranges_tab&amp;"'!H13"),2),"0%"))),"")</f>
        <v/>
      </c>
      <c r="N24" s="25"/>
      <c r="O24" s="22"/>
      <c r="P24" s="22"/>
    </row>
    <row r="25" spans="1:16" ht="16" x14ac:dyDescent="0.2">
      <c r="A25" s="22"/>
      <c r="B25" s="25"/>
      <c r="C25" s="36" t="str">
        <f ca="1">IFERROR(IF(INDIRECT("'"&amp;ranges_tab&amp;"'!K14")=0,"",CONCATENATE(TEXT(INDIRECT("'"&amp;ranges_tab&amp;"'!K13")*100,"0")," - ",TEXT(INDIRECT("'"&amp;ranges_tab&amp;"'!K14"),"0%"))),"")</f>
        <v/>
      </c>
      <c r="D25" s="37" t="str">
        <f ca="1">IFERROR(IF(INDIRECT("'"&amp;ranges_tab&amp;"'!M14")=0,"",CONCATENATE(TEXT(ROUND(INDIRECT("'"&amp;ranges_tab&amp;"'!L14"),2)*100,"0")," - ",TEXT(ROUND(INDIRECT("'"&amp;ranges_tab&amp;"'!M14"),2),"0%"))),"")</f>
        <v/>
      </c>
      <c r="E25" s="37" t="str">
        <f ca="1">IFERROR(IF(INDIRECT("'"&amp;ranges_tab&amp;"'!M14")=0,"",CONCATENATE(TEXT(ROUND(INDIRECT("'"&amp;ranges_tab&amp;"'!M14"),2)*100,"0")," - ",TEXT(ROUND(INDIRECT("'"&amp;ranges_tab&amp;"'!N14"),2),"0%"))),"")</f>
        <v/>
      </c>
      <c r="F25" s="37" t="str">
        <f ca="1">IFERROR(IF(INDIRECT("'"&amp;ranges_tab&amp;"'!N14")=0,"",CONCATENATE(TEXT(ROUND(INDIRECT("'"&amp;ranges_tab&amp;"'!N14"),2)*100,"0")," - ",TEXT(ROUND(INDIRECT("'"&amp;ranges_tab&amp;"'!O14"),2),"0%"))),"")</f>
        <v/>
      </c>
      <c r="G25" s="37" t="str">
        <f ca="1">IFERROR(IF(INDIRECT("'"&amp;ranges_tab&amp;"'!O14")=0,"",CONCATENATE(TEXT(ROUND(INDIRECT("'"&amp;ranges_tab&amp;"'!O14"),2)*100,"0")," - ",TEXT(ROUND(INDIRECT("'"&amp;ranges_tab&amp;"'!P14"),2),"0%"))),"")</f>
        <v/>
      </c>
      <c r="H25" s="37" t="str">
        <f ca="1">IFERROR(IF(INDIRECT("'"&amp;ranges_tab&amp;"'!P14")=0,"",CONCATENATE(TEXT(ROUND(INDIRECT("'"&amp;ranges_tab&amp;"'!P14"),2)*100,"0")," - ",TEXT(ROUND(INDIRECT("'"&amp;ranges_tab&amp;"'!Q14"),2),"0%"))),"")</f>
        <v/>
      </c>
      <c r="I25" s="37" t="str">
        <f ca="1">IFERROR(IF(INDIRECT("'"&amp;ranges_tab&amp;"'!D14")=0,"",CONCATENATE(TEXT(ROUND(INDIRECT("'"&amp;ranges_tab&amp;"'!C14"),2)*100,"0")," - ",TEXT(ROUND(INDIRECT("'"&amp;ranges_tab&amp;"'!D14"),2),"0%"))),"")</f>
        <v/>
      </c>
      <c r="J25" s="37" t="str">
        <f ca="1">IFERROR(IF(INDIRECT("'"&amp;ranges_tab&amp;"'!D14")=0,"",CONCATENATE(TEXT(ROUND(INDIRECT("'"&amp;ranges_tab&amp;"'!D14"),2)*100,"0")," - ",TEXT(ROUND(INDIRECT("'"&amp;ranges_tab&amp;"'!E14"),2),"0%"))),"")</f>
        <v/>
      </c>
      <c r="K25" s="37" t="str">
        <f ca="1">IFERROR(IF(INDIRECT("'"&amp;ranges_tab&amp;"'!E14")=0,"",CONCATENATE(TEXT(ROUND(INDIRECT("'"&amp;ranges_tab&amp;"'!E14"),2)*100,"0")," - ",TEXT(ROUND(INDIRECT("'"&amp;ranges_tab&amp;"'!F14"),2),"0%"))),"")</f>
        <v/>
      </c>
      <c r="L25" s="37" t="str">
        <f ca="1">IFERROR(IF(INDIRECT("'"&amp;ranges_tab&amp;"'!F14")=0,"",CONCATENATE(TEXT(ROUND(INDIRECT("'"&amp;ranges_tab&amp;"'!F14"),2)*100,"0")," - ",TEXT(ROUND(INDIRECT("'"&amp;ranges_tab&amp;"'!G14"),2),"0%"))),"")</f>
        <v/>
      </c>
      <c r="M25" s="37" t="str">
        <f ca="1">IFERROR(IF(INDIRECT("'"&amp;ranges_tab&amp;"'!G14")=0,"",CONCATENATE(TEXT(ROUND(INDIRECT("'"&amp;ranges_tab&amp;"'!G14"),2)*100,"0")," - ",TEXT(ROUND(INDIRECT("'"&amp;ranges_tab&amp;"'!H14"),2),"0%"))),"")</f>
        <v/>
      </c>
      <c r="N25" s="25"/>
      <c r="O25" s="22"/>
      <c r="P25" s="22"/>
    </row>
    <row r="26" spans="1:16" ht="16" x14ac:dyDescent="0.2">
      <c r="A26" s="22"/>
      <c r="B26" s="25"/>
      <c r="C26" s="36" t="str">
        <f ca="1">IFERROR(IF(INDIRECT("'"&amp;ranges_tab&amp;"'!K15")=0,"",CONCATENATE(TEXT(INDIRECT("'"&amp;ranges_tab&amp;"'!K14")*100,"0")," - ",TEXT(INDIRECT("'"&amp;ranges_tab&amp;"'!K15"),"0%"))),"")</f>
        <v/>
      </c>
      <c r="D26" s="37" t="str">
        <f ca="1">IFERROR(IF(INDIRECT("'"&amp;ranges_tab&amp;"'!M15")=0,"",CONCATENATE(TEXT(ROUND(INDIRECT("'"&amp;ranges_tab&amp;"'!L15"),2)*100,"0")," - ",TEXT(ROUND(INDIRECT("'"&amp;ranges_tab&amp;"'!M15"),2),"0%"))),"")</f>
        <v/>
      </c>
      <c r="E26" s="37" t="str">
        <f ca="1">IFERROR(IF(INDIRECT("'"&amp;ranges_tab&amp;"'!M15")=0,"",CONCATENATE(TEXT(ROUND(INDIRECT("'"&amp;ranges_tab&amp;"'!M15"),2)*100,"0")," - ",TEXT(ROUND(INDIRECT("'"&amp;ranges_tab&amp;"'!N15"),2),"0%"))),"")</f>
        <v/>
      </c>
      <c r="F26" s="37" t="str">
        <f ca="1">IFERROR(IF(INDIRECT("'"&amp;ranges_tab&amp;"'!N15")=0,"",CONCATENATE(TEXT(ROUND(INDIRECT("'"&amp;ranges_tab&amp;"'!N15"),2)*100,"0")," - ",TEXT(ROUND(INDIRECT("'"&amp;ranges_tab&amp;"'!O15"),2),"0%"))),"")</f>
        <v/>
      </c>
      <c r="G26" s="37" t="str">
        <f ca="1">IFERROR(IF(INDIRECT("'"&amp;ranges_tab&amp;"'!O15")=0,"",CONCATENATE(TEXT(ROUND(INDIRECT("'"&amp;ranges_tab&amp;"'!O15"),2)*100,"0")," - ",TEXT(ROUND(INDIRECT("'"&amp;ranges_tab&amp;"'!P15"),2),"0%"))),"")</f>
        <v/>
      </c>
      <c r="H26" s="37" t="str">
        <f ca="1">IFERROR(IF(INDIRECT("'"&amp;ranges_tab&amp;"'!P15")=0,"",CONCATENATE(TEXT(ROUND(INDIRECT("'"&amp;ranges_tab&amp;"'!P15"),2)*100,"0")," - ",TEXT(ROUND(INDIRECT("'"&amp;ranges_tab&amp;"'!Q15"),2),"0%"))),"")</f>
        <v/>
      </c>
      <c r="I26" s="37" t="str">
        <f ca="1">IFERROR(IF(INDIRECT("'"&amp;ranges_tab&amp;"'!D15")=0,"",CONCATENATE(TEXT(ROUND(INDIRECT("'"&amp;ranges_tab&amp;"'!C15"),2)*100,"0")," - ",TEXT(ROUND(INDIRECT("'"&amp;ranges_tab&amp;"'!D15"),2),"0%"))),"")</f>
        <v/>
      </c>
      <c r="J26" s="37" t="str">
        <f ca="1">IFERROR(IF(INDIRECT("'"&amp;ranges_tab&amp;"'!D15")=0,"",CONCATENATE(TEXT(ROUND(INDIRECT("'"&amp;ranges_tab&amp;"'!D15"),2)*100,"0")," - ",TEXT(ROUND(INDIRECT("'"&amp;ranges_tab&amp;"'!E15"),2),"0%"))),"")</f>
        <v/>
      </c>
      <c r="K26" s="37" t="str">
        <f ca="1">IFERROR(IF(INDIRECT("'"&amp;ranges_tab&amp;"'!E15")=0,"",CONCATENATE(TEXT(ROUND(INDIRECT("'"&amp;ranges_tab&amp;"'!E15"),2)*100,"0")," - ",TEXT(ROUND(INDIRECT("'"&amp;ranges_tab&amp;"'!F15"),2),"0%"))),"")</f>
        <v/>
      </c>
      <c r="L26" s="37" t="str">
        <f ca="1">IFERROR(IF(INDIRECT("'"&amp;ranges_tab&amp;"'!F15")=0,"",CONCATENATE(TEXT(ROUND(INDIRECT("'"&amp;ranges_tab&amp;"'!F15"),2)*100,"0")," - ",TEXT(ROUND(INDIRECT("'"&amp;ranges_tab&amp;"'!G15"),2),"0%"))),"")</f>
        <v/>
      </c>
      <c r="M26" s="37" t="str">
        <f ca="1">IFERROR(IF(INDIRECT("'"&amp;ranges_tab&amp;"'!G15")=0,"",CONCATENATE(TEXT(ROUND(INDIRECT("'"&amp;ranges_tab&amp;"'!G15"),2)*100,"0")," - ",TEXT(ROUND(INDIRECT("'"&amp;ranges_tab&amp;"'!H15"),2),"0%"))),"")</f>
        <v/>
      </c>
      <c r="N26" s="25"/>
      <c r="O26" s="22"/>
      <c r="P26" s="22"/>
    </row>
    <row r="27" spans="1:16" ht="16" x14ac:dyDescent="0.2">
      <c r="A27" s="22"/>
      <c r="B27" s="25"/>
      <c r="C27" s="25"/>
      <c r="D27" s="25"/>
      <c r="E27" s="25"/>
      <c r="F27" s="25"/>
      <c r="G27" s="25"/>
      <c r="H27" s="25"/>
      <c r="I27" s="25"/>
      <c r="J27" s="25"/>
      <c r="K27" s="25"/>
      <c r="L27" s="25"/>
      <c r="M27" s="25"/>
      <c r="N27" s="25"/>
      <c r="O27" s="22"/>
      <c r="P27" s="22"/>
    </row>
    <row r="28" spans="1:16" ht="16" x14ac:dyDescent="0.2">
      <c r="A28" s="22"/>
      <c r="B28" s="29"/>
      <c r="C28" s="59" t="s">
        <v>45</v>
      </c>
      <c r="D28" s="59"/>
      <c r="E28" s="59"/>
      <c r="F28" s="59"/>
      <c r="G28" s="59"/>
      <c r="H28" s="59"/>
      <c r="I28" s="59"/>
      <c r="J28" s="59"/>
      <c r="K28" s="59"/>
      <c r="L28" s="59"/>
      <c r="M28" s="59"/>
      <c r="N28" s="29"/>
      <c r="O28" s="22"/>
      <c r="P28" s="22"/>
    </row>
    <row r="29" spans="1:16" ht="16" x14ac:dyDescent="0.2">
      <c r="A29" s="22"/>
      <c r="B29" s="29"/>
      <c r="C29" s="29"/>
      <c r="D29" s="29"/>
      <c r="E29" s="29"/>
      <c r="F29" s="29"/>
      <c r="G29" s="29"/>
      <c r="H29" s="29"/>
      <c r="I29" s="29"/>
      <c r="J29" s="29"/>
      <c r="K29" s="29"/>
      <c r="L29" s="29"/>
      <c r="M29" s="29"/>
      <c r="N29" s="29"/>
      <c r="O29" s="22"/>
      <c r="P29" s="22"/>
    </row>
    <row r="30" spans="1:16" ht="16" x14ac:dyDescent="0.2">
      <c r="A30" s="22"/>
      <c r="B30" s="30"/>
      <c r="C30" s="30"/>
      <c r="D30" s="30"/>
      <c r="E30" s="30"/>
      <c r="F30" s="30"/>
      <c r="G30" s="30"/>
      <c r="H30" s="30"/>
      <c r="I30" s="30"/>
      <c r="J30" s="30"/>
      <c r="K30" s="30"/>
      <c r="L30" s="30"/>
      <c r="M30" s="30"/>
      <c r="N30" s="30"/>
      <c r="O30" s="22"/>
      <c r="P30" s="22"/>
    </row>
    <row r="31" spans="1:16" ht="16" x14ac:dyDescent="0.2">
      <c r="A31" s="22"/>
      <c r="B31" s="30"/>
      <c r="C31" s="30"/>
      <c r="D31" s="30"/>
      <c r="E31" s="30"/>
      <c r="F31" s="30"/>
      <c r="G31" s="30"/>
      <c r="H31" s="30"/>
      <c r="I31" s="30"/>
      <c r="J31" s="30"/>
      <c r="K31" s="30"/>
      <c r="L31" s="30"/>
      <c r="M31" s="30"/>
      <c r="N31" s="30"/>
      <c r="O31" s="22"/>
      <c r="P31" s="22"/>
    </row>
    <row r="32" spans="1:16" x14ac:dyDescent="0.2">
      <c r="A32" s="22"/>
      <c r="B32" s="22"/>
      <c r="C32" s="22"/>
      <c r="D32" s="22"/>
      <c r="E32" s="22"/>
      <c r="F32" s="22"/>
      <c r="G32" s="22"/>
      <c r="H32" s="22"/>
      <c r="I32" s="22"/>
      <c r="J32" s="22"/>
      <c r="K32" s="22"/>
      <c r="L32" s="22"/>
      <c r="M32" s="22"/>
      <c r="N32" s="22"/>
      <c r="O32" s="22"/>
      <c r="P32" s="22"/>
    </row>
  </sheetData>
  <mergeCells count="13">
    <mergeCell ref="B1:N1"/>
    <mergeCell ref="B2:N2"/>
    <mergeCell ref="B4:N4"/>
    <mergeCell ref="B6:N6"/>
    <mergeCell ref="B7:N7"/>
    <mergeCell ref="C28:M28"/>
    <mergeCell ref="B5:N5"/>
    <mergeCell ref="B9:N9"/>
    <mergeCell ref="B10:N10"/>
    <mergeCell ref="L12:M12"/>
    <mergeCell ref="D14:H14"/>
    <mergeCell ref="I14:M14"/>
    <mergeCell ref="C14:C15"/>
  </mergeCells>
  <conditionalFormatting sqref="C16:C26">
    <cfRule type="notContainsBlanks" dxfId="10" priority="15">
      <formula>LEN(TRIM(C16))&gt;0</formula>
    </cfRule>
  </conditionalFormatting>
  <conditionalFormatting sqref="F15:F23 K15:K23 K25:K26 F25:F26">
    <cfRule type="notContainsBlanks" dxfId="9" priority="22">
      <formula>LEN(TRIM(F15))&gt;0</formula>
    </cfRule>
  </conditionalFormatting>
  <conditionalFormatting sqref="D15:D23 I15:I23 I25:I26 D25:D26">
    <cfRule type="notContainsBlanks" dxfId="8" priority="19">
      <formula>LEN(TRIM(D15))&gt;0</formula>
    </cfRule>
  </conditionalFormatting>
  <conditionalFormatting sqref="E15:E23 J15:J23 J25:J26 E25:E26">
    <cfRule type="notContainsBlanks" dxfId="7" priority="18">
      <formula>LEN(TRIM(E15))&gt;0</formula>
    </cfRule>
  </conditionalFormatting>
  <conditionalFormatting sqref="G15:G23 L15:L23 L25:L26 G25:G26">
    <cfRule type="notContainsBlanks" dxfId="6" priority="17">
      <formula>LEN(TRIM(G15))&gt;0</formula>
    </cfRule>
  </conditionalFormatting>
  <conditionalFormatting sqref="H15:H23 M15:M23 M25:M26 H25:H26">
    <cfRule type="notContainsBlanks" dxfId="5" priority="16">
      <formula>LEN(TRIM(H15))&gt;0</formula>
    </cfRule>
  </conditionalFormatting>
  <conditionalFormatting sqref="K24 F24">
    <cfRule type="notContainsBlanks" dxfId="4" priority="5">
      <formula>LEN(TRIM(F24))&gt;0</formula>
    </cfRule>
  </conditionalFormatting>
  <conditionalFormatting sqref="I24 D24">
    <cfRule type="notContainsBlanks" dxfId="3" priority="4">
      <formula>LEN(TRIM(D24))&gt;0</formula>
    </cfRule>
  </conditionalFormatting>
  <conditionalFormatting sqref="J24 E24">
    <cfRule type="notContainsBlanks" dxfId="2" priority="3">
      <formula>LEN(TRIM(E24))&gt;0</formula>
    </cfRule>
  </conditionalFormatting>
  <conditionalFormatting sqref="L24 G24">
    <cfRule type="notContainsBlanks" dxfId="1" priority="2">
      <formula>LEN(TRIM(G24))&gt;0</formula>
    </cfRule>
  </conditionalFormatting>
  <conditionalFormatting sqref="M24 H24">
    <cfRule type="notContainsBlanks" dxfId="0" priority="1">
      <formula>LEN(TRIM(H24))&gt;0</formula>
    </cfRule>
  </conditionalFormatting>
  <printOptions horizontalCentered="1" verticalCentered="1"/>
  <pageMargins left="0.5" right="0.5" top="0.75" bottom="0.75" header="0.3" footer="0.3"/>
  <pageSetup scale="68"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100-000000000000}">
          <x14:formula1>
            <xm:f>'Data validation'!$C$1:$C$3</xm:f>
          </x14:formula1>
          <xm:sqref>G12</xm:sqref>
        </x14:dataValidation>
        <x14:dataValidation type="list" allowBlank="1" showInputMessage="1" showErrorMessage="1" xr:uid="{00000000-0002-0000-0100-000001000000}">
          <x14:formula1>
            <xm:f>'Data validation'!$A$1:$A$11</xm:f>
          </x14:formula1>
          <xm:sqref>D12</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11"/>
  <sheetViews>
    <sheetView workbookViewId="0">
      <selection activeCell="E28" sqref="E28"/>
    </sheetView>
  </sheetViews>
  <sheetFormatPr baseColWidth="10" defaultColWidth="8.83203125" defaultRowHeight="15" x14ac:dyDescent="0.2"/>
  <sheetData>
    <row r="1" spans="1:3" x14ac:dyDescent="0.2">
      <c r="A1" t="s">
        <v>44</v>
      </c>
      <c r="B1" s="21" t="s">
        <v>44</v>
      </c>
      <c r="C1" s="21" t="s">
        <v>44</v>
      </c>
    </row>
    <row r="2" spans="1:3" x14ac:dyDescent="0.2">
      <c r="A2" t="s">
        <v>32</v>
      </c>
      <c r="B2" s="21" t="s">
        <v>0</v>
      </c>
      <c r="C2" t="s">
        <v>84</v>
      </c>
    </row>
    <row r="3" spans="1:3" x14ac:dyDescent="0.2">
      <c r="A3" t="s">
        <v>31</v>
      </c>
      <c r="B3" s="21" t="s">
        <v>20</v>
      </c>
      <c r="C3" t="s">
        <v>73</v>
      </c>
    </row>
    <row r="4" spans="1:3" x14ac:dyDescent="0.2">
      <c r="A4" t="s">
        <v>24</v>
      </c>
      <c r="B4" s="21" t="s">
        <v>36</v>
      </c>
    </row>
    <row r="5" spans="1:3" x14ac:dyDescent="0.2">
      <c r="A5" t="s">
        <v>33</v>
      </c>
    </row>
    <row r="6" spans="1:3" x14ac:dyDescent="0.2">
      <c r="A6" t="s">
        <v>25</v>
      </c>
    </row>
    <row r="7" spans="1:3" x14ac:dyDescent="0.2">
      <c r="A7" t="s">
        <v>26</v>
      </c>
    </row>
    <row r="8" spans="1:3" x14ac:dyDescent="0.2">
      <c r="A8" t="s">
        <v>27</v>
      </c>
    </row>
    <row r="9" spans="1:3" x14ac:dyDescent="0.2">
      <c r="A9" t="s">
        <v>28</v>
      </c>
    </row>
    <row r="10" spans="1:3" x14ac:dyDescent="0.2">
      <c r="A10" t="s">
        <v>29</v>
      </c>
    </row>
    <row r="11" spans="1:3" x14ac:dyDescent="0.2">
      <c r="A11" t="s">
        <v>30</v>
      </c>
    </row>
  </sheetData>
  <sheetProtection algorithmName="SHA-512" hashValue="p7cd37ZVAjF/MZTueYoahRWm5EmLHImP+cdiD/+n8YMrqCQw1pVeHphpdkA7LyutKkeMq/g4+wl3CY+goXb4Ow==" saltValue="wfQQGSeaEHui3gqpMQcnbQ==" spinCount="100000" sheet="1" objects="1" scenarios="1"/>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Q29"/>
  <sheetViews>
    <sheetView workbookViewId="0">
      <selection activeCell="E31" sqref="E31"/>
    </sheetView>
  </sheetViews>
  <sheetFormatPr baseColWidth="10" defaultColWidth="8.83203125" defaultRowHeight="15" x14ac:dyDescent="0.2"/>
  <cols>
    <col min="1" max="1" width="14.83203125" bestFit="1" customWidth="1"/>
    <col min="4" max="4" width="9.6640625" bestFit="1" customWidth="1"/>
  </cols>
  <sheetData>
    <row r="1" spans="2:17" x14ac:dyDescent="0.2">
      <c r="B1" t="s">
        <v>11</v>
      </c>
      <c r="K1" t="s">
        <v>12</v>
      </c>
    </row>
    <row r="3" spans="2:17" x14ac:dyDescent="0.2">
      <c r="B3" s="4" t="s">
        <v>5</v>
      </c>
      <c r="C3" s="4" t="s">
        <v>35</v>
      </c>
      <c r="D3" s="4" t="s">
        <v>19</v>
      </c>
      <c r="E3" s="4" t="s">
        <v>0</v>
      </c>
      <c r="F3" s="4" t="s">
        <v>20</v>
      </c>
      <c r="G3" s="4" t="s">
        <v>36</v>
      </c>
      <c r="H3" s="4"/>
      <c r="K3" s="4" t="s">
        <v>5</v>
      </c>
      <c r="L3" s="4" t="s">
        <v>35</v>
      </c>
      <c r="M3" s="4" t="s">
        <v>19</v>
      </c>
      <c r="N3" s="4" t="s">
        <v>0</v>
      </c>
      <c r="O3" s="4" t="s">
        <v>20</v>
      </c>
      <c r="P3" s="4" t="s">
        <v>36</v>
      </c>
      <c r="Q3" s="4"/>
    </row>
    <row r="4" spans="2:17" x14ac:dyDescent="0.2">
      <c r="B4" s="4">
        <v>0</v>
      </c>
      <c r="C4" s="4"/>
      <c r="D4" s="4"/>
      <c r="E4" s="4"/>
      <c r="F4" s="4"/>
      <c r="G4" s="4"/>
      <c r="H4" s="4"/>
      <c r="K4" s="4">
        <v>0</v>
      </c>
      <c r="L4" s="4"/>
      <c r="M4" s="4"/>
      <c r="N4" s="4"/>
      <c r="O4" s="4"/>
      <c r="P4" s="4"/>
      <c r="Q4" s="4"/>
    </row>
    <row r="5" spans="2:17" ht="16" x14ac:dyDescent="0.25">
      <c r="B5" s="4">
        <v>0.2</v>
      </c>
      <c r="C5" s="4">
        <v>0</v>
      </c>
      <c r="D5" s="44">
        <v>0.229885057471264</v>
      </c>
      <c r="E5" s="44">
        <v>0.34285714285714203</v>
      </c>
      <c r="F5" s="44">
        <v>0.42857142857142799</v>
      </c>
      <c r="G5" s="44">
        <v>0.51612903225806395</v>
      </c>
      <c r="H5" s="3">
        <v>1</v>
      </c>
      <c r="I5" s="1"/>
      <c r="K5" s="4">
        <v>0.2</v>
      </c>
      <c r="L5" s="4">
        <v>0</v>
      </c>
      <c r="M5" s="44">
        <v>0.21698113207547101</v>
      </c>
      <c r="N5" s="44">
        <v>0.29032258064516098</v>
      </c>
      <c r="O5" s="44">
        <v>0.38571428571428501</v>
      </c>
      <c r="P5" s="44">
        <v>0.44827586206896503</v>
      </c>
      <c r="Q5" s="3">
        <v>1</v>
      </c>
    </row>
    <row r="6" spans="2:17" ht="16" x14ac:dyDescent="0.25">
      <c r="B6" s="4">
        <v>0.3</v>
      </c>
      <c r="C6" s="4">
        <v>0</v>
      </c>
      <c r="D6" s="44">
        <v>0.33695652173912999</v>
      </c>
      <c r="E6" s="44">
        <v>0.40425531914893598</v>
      </c>
      <c r="F6" s="44">
        <v>0.47413793103448199</v>
      </c>
      <c r="G6" s="44">
        <v>0.55000000000000004</v>
      </c>
      <c r="H6" s="3">
        <v>1</v>
      </c>
      <c r="I6" s="1"/>
      <c r="K6" s="4">
        <v>0.3</v>
      </c>
      <c r="L6" s="4">
        <v>0</v>
      </c>
      <c r="M6" s="44">
        <v>0.28571428571428498</v>
      </c>
      <c r="N6" s="44">
        <v>0.35135135135135098</v>
      </c>
      <c r="O6" s="44">
        <v>0.41818181818181799</v>
      </c>
      <c r="P6" s="44">
        <v>0.47058823529411697</v>
      </c>
      <c r="Q6" s="3">
        <v>1</v>
      </c>
    </row>
    <row r="7" spans="2:17" ht="16" x14ac:dyDescent="0.25">
      <c r="B7" s="4">
        <v>0.4</v>
      </c>
      <c r="C7" s="4">
        <v>0</v>
      </c>
      <c r="D7" s="44">
        <v>0.407407407407407</v>
      </c>
      <c r="E7" s="44">
        <v>0.48484848484848397</v>
      </c>
      <c r="F7" s="44">
        <v>0.54651162790697605</v>
      </c>
      <c r="G7" s="44">
        <v>0.62711864406779605</v>
      </c>
      <c r="H7" s="3">
        <v>1</v>
      </c>
      <c r="I7" s="1"/>
      <c r="K7" s="4">
        <v>0.4</v>
      </c>
      <c r="L7" s="4">
        <v>0</v>
      </c>
      <c r="M7" s="44">
        <v>0.37878787878787801</v>
      </c>
      <c r="N7" s="44">
        <v>0.439560439560439</v>
      </c>
      <c r="O7" s="44">
        <v>0.51612903225806395</v>
      </c>
      <c r="P7" s="44">
        <v>0.594936708860759</v>
      </c>
      <c r="Q7" s="3">
        <v>1</v>
      </c>
    </row>
    <row r="8" spans="2:17" ht="16" x14ac:dyDescent="0.25">
      <c r="B8" s="4">
        <v>0.45</v>
      </c>
      <c r="C8" s="4">
        <v>0</v>
      </c>
      <c r="D8" s="44">
        <v>0.46774193548387</v>
      </c>
      <c r="E8" s="44">
        <v>0.54285714285714204</v>
      </c>
      <c r="F8" s="44">
        <v>0.59302325581395299</v>
      </c>
      <c r="G8" s="44">
        <v>0.67307692307692302</v>
      </c>
      <c r="H8" s="3">
        <v>1</v>
      </c>
      <c r="I8" s="1"/>
      <c r="K8" s="4">
        <v>0.45</v>
      </c>
      <c r="L8" s="4">
        <v>0</v>
      </c>
      <c r="M8" s="44">
        <v>0.44262295081967201</v>
      </c>
      <c r="N8" s="44">
        <v>0.51351351351351304</v>
      </c>
      <c r="O8" s="44">
        <v>0.56521739130434701</v>
      </c>
      <c r="P8" s="44">
        <v>0.62711864406779605</v>
      </c>
      <c r="Q8" s="3">
        <v>1</v>
      </c>
    </row>
    <row r="9" spans="2:17" ht="16" x14ac:dyDescent="0.25">
      <c r="B9" s="4">
        <v>0.5</v>
      </c>
      <c r="C9" s="4">
        <v>0</v>
      </c>
      <c r="D9" s="44">
        <v>0.50980392156862697</v>
      </c>
      <c r="E9" s="44">
        <v>0.57777777777777695</v>
      </c>
      <c r="F9" s="44">
        <v>0.63636363636363602</v>
      </c>
      <c r="G9" s="44">
        <v>0.69791666666666596</v>
      </c>
      <c r="H9" s="3">
        <v>1</v>
      </c>
      <c r="I9" s="1"/>
      <c r="K9" s="4">
        <v>0.5</v>
      </c>
      <c r="L9" s="4">
        <v>0</v>
      </c>
      <c r="M9" s="44">
        <v>0.48648648648648601</v>
      </c>
      <c r="N9" s="44">
        <v>0.56000000000000005</v>
      </c>
      <c r="O9" s="44">
        <v>0.60256410256410198</v>
      </c>
      <c r="P9" s="44">
        <v>0.67021276595744605</v>
      </c>
      <c r="Q9" s="3">
        <v>1</v>
      </c>
    </row>
    <row r="10" spans="2:17" ht="16" x14ac:dyDescent="0.25">
      <c r="B10" s="4">
        <v>0.55000000000000004</v>
      </c>
      <c r="C10" s="4">
        <v>0</v>
      </c>
      <c r="D10" s="44">
        <v>0.52941176470588203</v>
      </c>
      <c r="E10" s="44">
        <v>0.602739726027397</v>
      </c>
      <c r="F10" s="44">
        <v>0.65909090909090895</v>
      </c>
      <c r="G10" s="44">
        <v>0.71666666666666601</v>
      </c>
      <c r="H10" s="3">
        <v>1</v>
      </c>
      <c r="I10" s="1"/>
      <c r="K10" s="4">
        <v>0.55000000000000004</v>
      </c>
      <c r="L10" s="4">
        <v>0</v>
      </c>
      <c r="M10" s="44">
        <v>0.52307692307692299</v>
      </c>
      <c r="N10" s="44">
        <v>0.581395348837209</v>
      </c>
      <c r="O10" s="44">
        <v>0.64102564102564097</v>
      </c>
      <c r="P10" s="44">
        <v>0.70129870129870098</v>
      </c>
      <c r="Q10" s="3">
        <v>1</v>
      </c>
    </row>
    <row r="11" spans="2:17" ht="16" x14ac:dyDescent="0.25">
      <c r="B11" s="4">
        <v>0.6</v>
      </c>
      <c r="C11" s="4">
        <v>0</v>
      </c>
      <c r="D11" s="44">
        <v>0.57142857142857095</v>
      </c>
      <c r="E11" s="44">
        <v>0.63551401869158797</v>
      </c>
      <c r="F11" s="44">
        <v>0.69411764705882295</v>
      </c>
      <c r="G11" s="44">
        <v>0.75423728813559299</v>
      </c>
      <c r="H11" s="3">
        <v>1</v>
      </c>
      <c r="I11" s="1"/>
      <c r="K11" s="4">
        <v>0.6</v>
      </c>
      <c r="L11" s="4">
        <v>0</v>
      </c>
      <c r="M11" s="44">
        <v>0.54545454545454497</v>
      </c>
      <c r="N11" s="44">
        <v>0.61194029850746201</v>
      </c>
      <c r="O11" s="44">
        <v>0.65891472868217005</v>
      </c>
      <c r="P11" s="44">
        <v>0.72519083969465603</v>
      </c>
      <c r="Q11" s="3">
        <v>1</v>
      </c>
    </row>
    <row r="12" spans="2:17" ht="16" x14ac:dyDescent="0.25">
      <c r="B12" s="4">
        <v>0.7</v>
      </c>
      <c r="C12" s="4">
        <v>0</v>
      </c>
      <c r="D12" s="44">
        <v>0.61250000000000004</v>
      </c>
      <c r="E12" s="44">
        <v>0.68292682926829196</v>
      </c>
      <c r="F12" s="44">
        <v>0.73750000000000004</v>
      </c>
      <c r="G12" s="44">
        <v>0.79069767441860395</v>
      </c>
      <c r="H12" s="3">
        <v>1</v>
      </c>
      <c r="I12" s="1"/>
      <c r="K12" s="4">
        <v>0.7</v>
      </c>
      <c r="L12" s="4">
        <v>0</v>
      </c>
      <c r="M12" s="44">
        <v>0.60504201680672198</v>
      </c>
      <c r="N12" s="44">
        <v>0.67096774193548303</v>
      </c>
      <c r="O12" s="44">
        <v>0.72307692307692295</v>
      </c>
      <c r="P12" s="44">
        <v>0.77551020408163196</v>
      </c>
      <c r="Q12" s="3">
        <v>1</v>
      </c>
    </row>
    <row r="13" spans="2:17" ht="16" x14ac:dyDescent="0.25">
      <c r="B13" s="4">
        <v>0.8</v>
      </c>
      <c r="C13" s="4">
        <v>0</v>
      </c>
      <c r="D13" s="44">
        <v>0.680851063829787</v>
      </c>
      <c r="E13" s="44">
        <v>0.74757281553398003</v>
      </c>
      <c r="F13" s="44">
        <v>0.79365079365079305</v>
      </c>
      <c r="G13" s="44">
        <v>0.84905660377358405</v>
      </c>
      <c r="H13" s="3">
        <v>1</v>
      </c>
      <c r="I13" s="1"/>
      <c r="K13" s="4">
        <v>0.8</v>
      </c>
      <c r="L13" s="4">
        <v>0</v>
      </c>
      <c r="M13" s="44">
        <v>0.677966101694915</v>
      </c>
      <c r="N13" s="44">
        <v>0.74698795180722799</v>
      </c>
      <c r="O13" s="44">
        <v>0.792682926829268</v>
      </c>
      <c r="P13" s="44">
        <v>0.844444444444444</v>
      </c>
      <c r="Q13" s="3">
        <v>1</v>
      </c>
    </row>
    <row r="14" spans="2:17" ht="16" x14ac:dyDescent="0.25">
      <c r="B14" s="4">
        <v>0.9</v>
      </c>
      <c r="C14" s="4">
        <v>0</v>
      </c>
      <c r="D14" s="44">
        <v>0.75609756097560898</v>
      </c>
      <c r="E14" s="44">
        <v>0.82499999999999996</v>
      </c>
      <c r="F14" s="44">
        <v>0.86956521739130399</v>
      </c>
      <c r="G14" s="44">
        <v>0.91891891891891797</v>
      </c>
      <c r="H14" s="3">
        <v>1</v>
      </c>
      <c r="I14" s="1"/>
      <c r="K14" s="4">
        <v>0.9</v>
      </c>
      <c r="L14" s="4">
        <v>0</v>
      </c>
      <c r="M14" s="44">
        <v>0.77777777777777701</v>
      </c>
      <c r="N14" s="44">
        <v>0.84375</v>
      </c>
      <c r="O14" s="44">
        <v>0.87878787878787801</v>
      </c>
      <c r="P14" s="44">
        <v>0.91625615763546697</v>
      </c>
      <c r="Q14" s="3">
        <v>1</v>
      </c>
    </row>
    <row r="15" spans="2:17" ht="16" x14ac:dyDescent="0.25">
      <c r="B15" s="4">
        <v>1</v>
      </c>
      <c r="C15" s="4">
        <v>0</v>
      </c>
      <c r="D15" s="44">
        <v>0.84693877551020402</v>
      </c>
      <c r="E15" s="44">
        <v>0.90322580645161199</v>
      </c>
      <c r="F15" s="44">
        <v>0.93388429752066104</v>
      </c>
      <c r="G15" s="44">
        <v>0.97714285714285698</v>
      </c>
      <c r="H15" s="3">
        <v>1</v>
      </c>
      <c r="I15" s="1"/>
      <c r="K15" s="4">
        <v>1</v>
      </c>
      <c r="L15" s="4">
        <v>0</v>
      </c>
      <c r="M15" s="44">
        <v>0.85714285714285698</v>
      </c>
      <c r="N15" s="44">
        <v>0.92</v>
      </c>
      <c r="O15" s="44">
        <v>0.94488188976377896</v>
      </c>
      <c r="P15" s="44">
        <v>0.97714285714285698</v>
      </c>
      <c r="Q15" s="3">
        <v>1</v>
      </c>
    </row>
    <row r="16" spans="2:17" ht="16" x14ac:dyDescent="0.25">
      <c r="B16" s="6"/>
      <c r="C16" s="6"/>
      <c r="D16" s="6"/>
      <c r="E16" s="6"/>
      <c r="F16" s="6"/>
      <c r="G16" s="6"/>
      <c r="H16" s="7"/>
      <c r="I16" s="1"/>
      <c r="K16" s="6"/>
      <c r="L16" s="6"/>
      <c r="M16" s="6"/>
      <c r="N16" s="6"/>
      <c r="O16" s="6"/>
      <c r="P16" s="6"/>
      <c r="Q16" s="7"/>
    </row>
    <row r="17" spans="1:17" ht="16" x14ac:dyDescent="0.25">
      <c r="A17" t="s">
        <v>15</v>
      </c>
      <c r="B17" t="e">
        <f>IF(BOY_1="",NA(),BOY_1)</f>
        <v>#N/A</v>
      </c>
      <c r="C17" t="e">
        <f>IF(OR(B17="",B17&lt;0,B17&gt;1),NA(),IF(B17=0,0.001,B17))</f>
        <v>#N/A</v>
      </c>
      <c r="I17" s="1"/>
      <c r="K17" s="6"/>
      <c r="L17" s="6"/>
      <c r="M17" s="6"/>
      <c r="N17" s="6"/>
      <c r="O17" s="6"/>
      <c r="P17" s="6"/>
      <c r="Q17" s="7"/>
    </row>
    <row r="18" spans="1:17" ht="16" x14ac:dyDescent="0.25">
      <c r="A18" t="s">
        <v>16</v>
      </c>
      <c r="B18" t="e">
        <f>IF(EOY_1="",NA(),EOY_1)</f>
        <v>#N/A</v>
      </c>
      <c r="C18" t="e">
        <f>IF(OR(B18="",B18&lt;0,B18&gt;1),NA(),IF(B18=1,0.999,B18))</f>
        <v>#N/A</v>
      </c>
      <c r="I18" s="1"/>
      <c r="K18" s="6"/>
      <c r="L18" s="6"/>
      <c r="M18" s="6"/>
      <c r="N18" s="6"/>
      <c r="O18" s="6"/>
      <c r="P18" s="6"/>
      <c r="Q18" s="7"/>
    </row>
    <row r="19" spans="1:17" ht="16" x14ac:dyDescent="0.25">
      <c r="A19" t="s">
        <v>17</v>
      </c>
      <c r="B19" t="e">
        <f>IF(goal_BOY_1="",NA(),goal_BOY_1)</f>
        <v>#N/A</v>
      </c>
      <c r="C19" t="e">
        <f>IF(OR(B19="",B19&lt;0,B19&gt;1),NA(),IF(B19=0,0.001,B19))</f>
        <v>#N/A</v>
      </c>
      <c r="I19" s="1"/>
      <c r="K19" s="6"/>
      <c r="L19" s="6"/>
      <c r="M19" s="6"/>
      <c r="N19" s="6"/>
      <c r="O19" s="6"/>
      <c r="P19" s="6"/>
      <c r="Q19" s="7"/>
    </row>
    <row r="21" spans="1:17" x14ac:dyDescent="0.2">
      <c r="A21" s="5" t="s">
        <v>13</v>
      </c>
    </row>
    <row r="22" spans="1:17" ht="16" x14ac:dyDescent="0.25">
      <c r="A22" s="2" t="s">
        <v>7</v>
      </c>
      <c r="B22" s="1" t="e">
        <f>SUMPRODUCT((B3:B14&lt;$C$17)*(B4:B15&gt;=$C$17),(B4:B15))</f>
        <v>#N/A</v>
      </c>
      <c r="C22" t="e">
        <f>VLOOKUP($B$22,$B$5:$H$15,2,FALSE)</f>
        <v>#N/A</v>
      </c>
      <c r="D22" t="e">
        <f>VLOOKUP($B$22,$B$5:$H$15,3,FALSE)</f>
        <v>#N/A</v>
      </c>
      <c r="E22" t="e">
        <f>VLOOKUP($B$22,$B$5:$H$15,4,FALSE)</f>
        <v>#N/A</v>
      </c>
      <c r="F22" t="e">
        <f>VLOOKUP($B$22,$B$5:$H$15,5,FALSE)</f>
        <v>#N/A</v>
      </c>
      <c r="G22" t="e">
        <f>VLOOKUP($B$22,$B$5:$H$15,6,FALSE)</f>
        <v>#N/A</v>
      </c>
      <c r="H22" t="e">
        <f>VLOOKUP($B$22,$B$5:$H$15,7,FALSE)</f>
        <v>#N/A</v>
      </c>
      <c r="J22" s="2"/>
    </row>
    <row r="23" spans="1:17" ht="16" x14ac:dyDescent="0.25">
      <c r="A23" s="2" t="s">
        <v>8</v>
      </c>
      <c r="B23" s="1" t="e">
        <f ca="1">OFFSET(A3,0,SUMPRODUCT((C22:G22&lt;=$C$18)*(D22:H22&gt;$C$18),COLUMN(B22:F22)))</f>
        <v>#N/A</v>
      </c>
      <c r="J23" s="2"/>
      <c r="K23" s="1"/>
    </row>
    <row r="24" spans="1:17" ht="16" x14ac:dyDescent="0.25">
      <c r="A24" s="2"/>
      <c r="B24" s="1"/>
      <c r="J24" s="2"/>
      <c r="K24" s="1"/>
    </row>
    <row r="25" spans="1:17" ht="16" x14ac:dyDescent="0.25">
      <c r="A25" s="5" t="s">
        <v>14</v>
      </c>
      <c r="B25" s="1"/>
      <c r="J25" s="2"/>
      <c r="K25" s="1"/>
    </row>
    <row r="26" spans="1:17" ht="16" x14ac:dyDescent="0.25">
      <c r="A26" s="2" t="s">
        <v>7</v>
      </c>
      <c r="B26" s="1" t="e">
        <f>SUMPRODUCT((B3:B14&lt;$C$19)*(B4:B15&gt;=$C$19),(B4:B15))</f>
        <v>#N/A</v>
      </c>
      <c r="C26" t="e">
        <f>VLOOKUP($B$26,$B$5:$H$15,2,FALSE)</f>
        <v>#N/A</v>
      </c>
      <c r="D26" t="e">
        <f>VLOOKUP($B$26,$B$5:$H$15,3,FALSE)</f>
        <v>#N/A</v>
      </c>
      <c r="E26" t="e">
        <f>VLOOKUP($B$26,$B$5:$H$15,4,FALSE)</f>
        <v>#N/A</v>
      </c>
      <c r="F26" t="e">
        <f>VLOOKUP($B$26,$B$5:$H$15,5,FALSE)</f>
        <v>#N/A</v>
      </c>
      <c r="G26" t="e">
        <f>VLOOKUP($B$26,$B$5:$H$15,6,FALSE)</f>
        <v>#N/A</v>
      </c>
      <c r="H26" t="e">
        <f>VLOOKUP($B$26,$B$5:$H$15,7,FALSE)</f>
        <v>#N/A</v>
      </c>
      <c r="J26" s="2"/>
    </row>
    <row r="27" spans="1:17" ht="16" x14ac:dyDescent="0.25">
      <c r="A27" s="2" t="s">
        <v>10</v>
      </c>
      <c r="B27" s="1"/>
      <c r="C27" t="e">
        <f>VLOOKUP($B$26,$K$5:$Q$15,2,FALSE)</f>
        <v>#N/A</v>
      </c>
      <c r="D27" t="e">
        <f>VLOOKUP($B$26,$K$5:$Q$15,3,FALSE)</f>
        <v>#N/A</v>
      </c>
      <c r="E27" t="e">
        <f>VLOOKUP($B$26,$K$5:$Q$15,4,FALSE)</f>
        <v>#N/A</v>
      </c>
      <c r="F27" t="e">
        <f>VLOOKUP($B$26,$K$5:$Q$15,5,FALSE)</f>
        <v>#N/A</v>
      </c>
      <c r="G27" t="e">
        <f>VLOOKUP($B$26,$K$5:$Q$15,6,FALSE)</f>
        <v>#N/A</v>
      </c>
      <c r="H27" t="e">
        <f>VLOOKUP($B$26,$K$5:$Q$15,7,FALSE)</f>
        <v>#N/A</v>
      </c>
      <c r="J27" s="2"/>
      <c r="K27" s="1"/>
    </row>
    <row r="28" spans="1:17" x14ac:dyDescent="0.2">
      <c r="A28" s="2" t="s">
        <v>6</v>
      </c>
      <c r="B28" t="e">
        <f ca="1">OFFSET(A26,0,MATCH(goal_1,$B$3:$H$3,FALSE))</f>
        <v>#N/A</v>
      </c>
      <c r="C28" t="e">
        <f ca="1">OFFSET(A26,0,MATCH(goal_1,$B$3:$H$3,FALSE)+1)</f>
        <v>#N/A</v>
      </c>
      <c r="D28" t="e">
        <f ca="1">CONCATENATE(TEXT(ROUND($B$28,2)*100,"0")," - ",TEXT(ROUND($C$28,2),"0%"))</f>
        <v>#N/A</v>
      </c>
    </row>
    <row r="29" spans="1:17" x14ac:dyDescent="0.2">
      <c r="A29" s="2" t="s">
        <v>9</v>
      </c>
      <c r="B29" t="e">
        <f ca="1">OFFSET(A27,0,MATCH(goal_1,$K$3:$Q$3,FALSE))</f>
        <v>#N/A</v>
      </c>
      <c r="C29" t="e">
        <f ca="1">OFFSET(A27,0,MATCH(goal_1,$K$3:$Q$3,FALSE)+1)</f>
        <v>#N/A</v>
      </c>
      <c r="D29" t="e">
        <f ca="1">CONCATENATE(TEXT(ROUND($B$29,2)*100,"0")," - ",TEXT(ROUND($C$29,2),"0%"))</f>
        <v>#N/A</v>
      </c>
    </row>
  </sheetData>
  <sheetProtection algorithmName="SHA-512" hashValue="jACY/6tQG7utZLV39TaMjCD5N5W17JhzCL+PGyLNU14oCxbAIcfvoEnZWJUpn4wfNhNqC0ZcroNjyBchXXmlSw==" saltValue="4g/v0jUHlGI3d0eXzzn6ww==" spinCount="100000" sheet="1" objects="1" scenarios="1"/>
  <pageMargins left="0.7" right="0.7" top="0.75" bottom="0.75" header="0.3" footer="0.3"/>
  <pageSetup orientation="portrai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Q29"/>
  <sheetViews>
    <sheetView workbookViewId="0">
      <selection activeCell="I30" sqref="I30"/>
    </sheetView>
  </sheetViews>
  <sheetFormatPr baseColWidth="10" defaultColWidth="8.83203125" defaultRowHeight="15" x14ac:dyDescent="0.2"/>
  <cols>
    <col min="1" max="1" width="14.83203125" bestFit="1" customWidth="1"/>
    <col min="4" max="4" width="9.6640625" bestFit="1" customWidth="1"/>
  </cols>
  <sheetData>
    <row r="1" spans="2:17" x14ac:dyDescent="0.2">
      <c r="B1" t="s">
        <v>11</v>
      </c>
      <c r="K1" t="s">
        <v>12</v>
      </c>
    </row>
    <row r="3" spans="2:17" x14ac:dyDescent="0.2">
      <c r="B3" s="4" t="s">
        <v>5</v>
      </c>
      <c r="C3" s="4" t="s">
        <v>35</v>
      </c>
      <c r="D3" s="4" t="s">
        <v>19</v>
      </c>
      <c r="E3" s="4" t="s">
        <v>0</v>
      </c>
      <c r="F3" s="4" t="s">
        <v>20</v>
      </c>
      <c r="G3" s="4" t="s">
        <v>36</v>
      </c>
      <c r="H3" s="4"/>
      <c r="K3" s="4" t="s">
        <v>5</v>
      </c>
      <c r="L3" s="4" t="s">
        <v>35</v>
      </c>
      <c r="M3" s="4" t="s">
        <v>19</v>
      </c>
      <c r="N3" s="4" t="s">
        <v>0</v>
      </c>
      <c r="O3" s="4" t="s">
        <v>20</v>
      </c>
      <c r="P3" s="4" t="s">
        <v>36</v>
      </c>
      <c r="Q3" s="4"/>
    </row>
    <row r="4" spans="2:17" x14ac:dyDescent="0.2">
      <c r="B4" s="4">
        <v>0</v>
      </c>
      <c r="C4" s="4"/>
      <c r="D4" s="4"/>
      <c r="E4" s="4"/>
      <c r="F4" s="4"/>
      <c r="G4" s="4"/>
      <c r="H4" s="4"/>
      <c r="K4" s="4">
        <v>0</v>
      </c>
      <c r="L4" s="4"/>
      <c r="M4" s="4"/>
      <c r="N4" s="4"/>
      <c r="O4" s="4"/>
      <c r="P4" s="4"/>
      <c r="Q4" s="4"/>
    </row>
    <row r="5" spans="2:17" ht="16" x14ac:dyDescent="0.25">
      <c r="B5" s="4">
        <v>0.2</v>
      </c>
      <c r="C5" s="4">
        <v>0</v>
      </c>
      <c r="D5" s="4">
        <v>0.32258064516128998</v>
      </c>
      <c r="E5" s="4">
        <v>0.39735099337748297</v>
      </c>
      <c r="F5" s="4">
        <v>0.5</v>
      </c>
      <c r="G5" s="4">
        <v>0.59302325581395299</v>
      </c>
      <c r="H5" s="3">
        <v>1</v>
      </c>
      <c r="I5" s="1"/>
      <c r="K5" s="4">
        <v>0.2</v>
      </c>
      <c r="L5" s="4">
        <v>0</v>
      </c>
      <c r="M5" s="4">
        <v>0.26595744680851002</v>
      </c>
      <c r="N5" s="4">
        <v>0.32608695652173902</v>
      </c>
      <c r="O5" s="4">
        <v>0.38311688311688302</v>
      </c>
      <c r="P5" s="4">
        <v>0.48214285714285698</v>
      </c>
      <c r="Q5" s="3">
        <v>1</v>
      </c>
    </row>
    <row r="6" spans="2:17" ht="16" x14ac:dyDescent="0.25">
      <c r="B6" s="4">
        <v>0.3</v>
      </c>
      <c r="C6" s="4">
        <v>0</v>
      </c>
      <c r="D6" s="4">
        <v>0.35</v>
      </c>
      <c r="E6" s="4">
        <v>0.45098039215686198</v>
      </c>
      <c r="F6" s="4">
        <v>0.51666666666666605</v>
      </c>
      <c r="G6" s="4">
        <v>0.60975609756097504</v>
      </c>
      <c r="H6" s="3">
        <v>1</v>
      </c>
      <c r="I6" s="1"/>
      <c r="K6" s="4">
        <v>0.3</v>
      </c>
      <c r="L6" s="4">
        <v>0</v>
      </c>
      <c r="M6" s="4">
        <v>0.31666666666666599</v>
      </c>
      <c r="N6" s="4">
        <v>0.40476190476190399</v>
      </c>
      <c r="O6" s="4">
        <v>0.48529411764705799</v>
      </c>
      <c r="P6" s="4">
        <v>0.56000000000000005</v>
      </c>
      <c r="Q6" s="3">
        <v>1</v>
      </c>
    </row>
    <row r="7" spans="2:17" ht="16" x14ac:dyDescent="0.25">
      <c r="B7" s="4">
        <v>0.4</v>
      </c>
      <c r="C7" s="4">
        <v>0</v>
      </c>
      <c r="D7" s="4">
        <v>0.42465753424657499</v>
      </c>
      <c r="E7" s="4">
        <v>0.48648648648648601</v>
      </c>
      <c r="F7" s="4">
        <v>0.55555555555555503</v>
      </c>
      <c r="G7" s="4">
        <v>0.62745098039215597</v>
      </c>
      <c r="H7" s="3">
        <v>1</v>
      </c>
      <c r="I7" s="1"/>
      <c r="K7" s="4">
        <v>0.4</v>
      </c>
      <c r="L7" s="4">
        <v>0</v>
      </c>
      <c r="M7" s="4">
        <v>0.37931034482758602</v>
      </c>
      <c r="N7" s="4">
        <v>0.43617021276595702</v>
      </c>
      <c r="O7" s="4">
        <v>0.50847457627118597</v>
      </c>
      <c r="P7" s="4">
        <v>0.58108108108108103</v>
      </c>
      <c r="Q7" s="3">
        <v>1</v>
      </c>
    </row>
    <row r="8" spans="2:17" ht="16" x14ac:dyDescent="0.25">
      <c r="B8" s="4">
        <v>0.45</v>
      </c>
      <c r="C8" s="4">
        <v>0</v>
      </c>
      <c r="D8" s="4">
        <v>0.47826086956521702</v>
      </c>
      <c r="E8" s="4">
        <v>0.54198473282442705</v>
      </c>
      <c r="F8" s="4">
        <v>0.59740259740259705</v>
      </c>
      <c r="G8" s="4">
        <v>0.67515923566878899</v>
      </c>
      <c r="H8" s="3">
        <v>1</v>
      </c>
      <c r="I8" s="1"/>
      <c r="K8" s="4">
        <v>0.45</v>
      </c>
      <c r="L8" s="4">
        <v>0</v>
      </c>
      <c r="M8" s="4">
        <v>0.46478873239436602</v>
      </c>
      <c r="N8" s="4">
        <v>0.52</v>
      </c>
      <c r="O8" s="4">
        <v>0.57232704402515699</v>
      </c>
      <c r="P8" s="4">
        <v>0.64197530864197505</v>
      </c>
      <c r="Q8" s="3">
        <v>1</v>
      </c>
    </row>
    <row r="9" spans="2:17" ht="16" x14ac:dyDescent="0.25">
      <c r="B9" s="4">
        <v>0.5</v>
      </c>
      <c r="C9" s="4">
        <v>0</v>
      </c>
      <c r="D9" s="4">
        <v>0.51111111111111096</v>
      </c>
      <c r="E9" s="4">
        <v>0.57352941176470495</v>
      </c>
      <c r="F9" s="4">
        <v>0.63829787234042501</v>
      </c>
      <c r="G9" s="4">
        <v>0.70175438596491202</v>
      </c>
      <c r="H9" s="3">
        <v>1</v>
      </c>
      <c r="I9" s="1"/>
      <c r="K9" s="4">
        <v>0.5</v>
      </c>
      <c r="L9" s="4">
        <v>0</v>
      </c>
      <c r="M9" s="4">
        <v>0.476190476190476</v>
      </c>
      <c r="N9" s="4">
        <v>0.54054054054054002</v>
      </c>
      <c r="O9" s="4">
        <v>0.58904109589040998</v>
      </c>
      <c r="P9" s="4">
        <v>0.66666666666666596</v>
      </c>
      <c r="Q9" s="3">
        <v>1</v>
      </c>
    </row>
    <row r="10" spans="2:17" ht="16" x14ac:dyDescent="0.25">
      <c r="B10" s="4">
        <v>0.55000000000000004</v>
      </c>
      <c r="C10" s="4">
        <v>0</v>
      </c>
      <c r="D10" s="4">
        <v>0.52500000000000002</v>
      </c>
      <c r="E10" s="4">
        <v>0.59036144578313199</v>
      </c>
      <c r="F10" s="4">
        <v>0.65789473684210498</v>
      </c>
      <c r="G10" s="4">
        <v>0.72222222222222199</v>
      </c>
      <c r="H10" s="3">
        <v>1</v>
      </c>
      <c r="I10" s="1"/>
      <c r="K10" s="4">
        <v>0.55000000000000004</v>
      </c>
      <c r="L10" s="4">
        <v>0</v>
      </c>
      <c r="M10" s="4">
        <v>0.52542372881355903</v>
      </c>
      <c r="N10" s="4">
        <v>0.59016393442622905</v>
      </c>
      <c r="O10" s="4">
        <v>0.64814814814814803</v>
      </c>
      <c r="P10" s="4">
        <v>0.70175438596491202</v>
      </c>
      <c r="Q10" s="3">
        <v>1</v>
      </c>
    </row>
    <row r="11" spans="2:17" ht="16" x14ac:dyDescent="0.25">
      <c r="B11" s="4">
        <v>0.6</v>
      </c>
      <c r="C11" s="4">
        <v>0</v>
      </c>
      <c r="D11" s="4">
        <v>0.57352941176470495</v>
      </c>
      <c r="E11" s="4">
        <v>0.62626262626262597</v>
      </c>
      <c r="F11" s="4">
        <v>0.68571428571428505</v>
      </c>
      <c r="G11" s="4">
        <v>0.75384615384615306</v>
      </c>
      <c r="H11" s="3">
        <v>1</v>
      </c>
      <c r="I11" s="1"/>
      <c r="K11" s="4">
        <v>0.6</v>
      </c>
      <c r="L11" s="4">
        <v>0</v>
      </c>
      <c r="M11" s="4">
        <v>0.56190476190476102</v>
      </c>
      <c r="N11" s="4">
        <v>0.62365591397849396</v>
      </c>
      <c r="O11" s="4">
        <v>0.67460317460317398</v>
      </c>
      <c r="P11" s="4">
        <v>0.73958333333333304</v>
      </c>
      <c r="Q11" s="3">
        <v>1</v>
      </c>
    </row>
    <row r="12" spans="2:17" ht="16" x14ac:dyDescent="0.25">
      <c r="B12" s="4">
        <v>0.7</v>
      </c>
      <c r="C12" s="4">
        <v>0</v>
      </c>
      <c r="D12" s="4">
        <v>0.61607142857142805</v>
      </c>
      <c r="E12" s="4">
        <v>0.684782608695652</v>
      </c>
      <c r="F12" s="4">
        <v>0.73469387755102</v>
      </c>
      <c r="G12" s="4">
        <v>0.79279279279279202</v>
      </c>
      <c r="H12" s="3">
        <v>1</v>
      </c>
      <c r="I12" s="1"/>
      <c r="K12" s="4">
        <v>0.7</v>
      </c>
      <c r="L12" s="4">
        <v>0</v>
      </c>
      <c r="M12" s="4">
        <v>0.60638297872340396</v>
      </c>
      <c r="N12" s="4">
        <v>0.67391304347825998</v>
      </c>
      <c r="O12" s="4">
        <v>0.72527472527472503</v>
      </c>
      <c r="P12" s="4">
        <v>0.78260869565217295</v>
      </c>
      <c r="Q12" s="3">
        <v>1</v>
      </c>
    </row>
    <row r="13" spans="2:17" ht="16" x14ac:dyDescent="0.25">
      <c r="B13" s="4">
        <v>0.8</v>
      </c>
      <c r="C13" s="4">
        <v>0</v>
      </c>
      <c r="D13" s="4">
        <v>0.673684210526315</v>
      </c>
      <c r="E13" s="4">
        <v>0.73846153846153795</v>
      </c>
      <c r="F13" s="4">
        <v>0.79012345679012297</v>
      </c>
      <c r="G13" s="4">
        <v>0.85</v>
      </c>
      <c r="H13" s="3">
        <v>1</v>
      </c>
      <c r="I13" s="1"/>
      <c r="K13" s="4">
        <v>0.8</v>
      </c>
      <c r="L13" s="4">
        <v>0</v>
      </c>
      <c r="M13" s="4">
        <v>0.67532467532467499</v>
      </c>
      <c r="N13" s="4">
        <v>0.73469387755102</v>
      </c>
      <c r="O13" s="4">
        <v>0.78160919540229801</v>
      </c>
      <c r="P13" s="4">
        <v>0.83870967741935398</v>
      </c>
      <c r="Q13" s="3">
        <v>1</v>
      </c>
    </row>
    <row r="14" spans="2:17" ht="16" x14ac:dyDescent="0.25">
      <c r="B14" s="4">
        <v>0.9</v>
      </c>
      <c r="C14" s="4">
        <v>0</v>
      </c>
      <c r="D14" s="4">
        <v>0.75</v>
      </c>
      <c r="E14" s="4">
        <v>0.81578947368420995</v>
      </c>
      <c r="F14" s="4">
        <v>0.860759493670886</v>
      </c>
      <c r="G14" s="4">
        <v>0.90816326530612201</v>
      </c>
      <c r="H14" s="3">
        <v>1</v>
      </c>
      <c r="I14" s="1"/>
      <c r="K14" s="4">
        <v>0.9</v>
      </c>
      <c r="L14" s="4">
        <v>0</v>
      </c>
      <c r="M14" s="4">
        <v>0.75714285714285701</v>
      </c>
      <c r="N14" s="4">
        <v>0.82170542635658905</v>
      </c>
      <c r="O14" s="4">
        <v>0.86607142857142805</v>
      </c>
      <c r="P14" s="4">
        <v>0.90983606557376995</v>
      </c>
      <c r="Q14" s="3">
        <v>1</v>
      </c>
    </row>
    <row r="15" spans="2:17" ht="16" x14ac:dyDescent="0.25">
      <c r="B15" s="4">
        <v>1</v>
      </c>
      <c r="C15" s="4">
        <v>0</v>
      </c>
      <c r="D15" s="4">
        <v>0.83050847457627097</v>
      </c>
      <c r="E15" s="4">
        <v>0.88095238095238004</v>
      </c>
      <c r="F15" s="4">
        <v>0.91666666666666596</v>
      </c>
      <c r="G15" s="4">
        <v>0.95833333333333304</v>
      </c>
      <c r="H15" s="3">
        <v>1</v>
      </c>
      <c r="I15" s="1"/>
      <c r="K15" s="4">
        <v>1</v>
      </c>
      <c r="L15" s="4">
        <v>0</v>
      </c>
      <c r="M15" s="4">
        <v>0.83606557377049096</v>
      </c>
      <c r="N15" s="4">
        <v>0.88461538461538403</v>
      </c>
      <c r="O15" s="4">
        <v>0.92344497607655496</v>
      </c>
      <c r="P15" s="4">
        <v>0.98</v>
      </c>
      <c r="Q15" s="3">
        <v>1</v>
      </c>
    </row>
    <row r="16" spans="2:17" ht="16" x14ac:dyDescent="0.25">
      <c r="B16" s="6"/>
      <c r="C16" s="6"/>
      <c r="D16" s="6"/>
      <c r="E16" s="6"/>
      <c r="F16" s="6"/>
      <c r="G16" s="6"/>
      <c r="H16" s="7"/>
      <c r="I16" s="1"/>
      <c r="K16" s="6"/>
      <c r="L16" s="6"/>
      <c r="M16" s="6"/>
      <c r="N16" s="6"/>
      <c r="O16" s="6"/>
      <c r="P16" s="6"/>
      <c r="Q16" s="7"/>
    </row>
    <row r="17" spans="1:17" ht="16" x14ac:dyDescent="0.25">
      <c r="A17" t="s">
        <v>15</v>
      </c>
      <c r="B17" t="e">
        <f>IF(BOY_1="",NA(),BOY_1)</f>
        <v>#N/A</v>
      </c>
      <c r="C17" t="e">
        <f>IF(OR(B17="",B17&lt;0,B17&gt;1),NA(),IF(B17=0,0.001,B17))</f>
        <v>#N/A</v>
      </c>
      <c r="I17" s="1"/>
      <c r="K17" s="6"/>
      <c r="L17" s="6"/>
      <c r="M17" s="6"/>
      <c r="N17" s="6"/>
      <c r="O17" s="6"/>
      <c r="P17" s="6"/>
      <c r="Q17" s="7"/>
    </row>
    <row r="18" spans="1:17" ht="16" x14ac:dyDescent="0.25">
      <c r="A18" t="s">
        <v>16</v>
      </c>
      <c r="B18" t="e">
        <f>IF(EOY_1="",NA(),EOY_1)</f>
        <v>#N/A</v>
      </c>
      <c r="C18" t="e">
        <f>IF(OR(B18="",B18&lt;0,B18&gt;1),NA(),IF(B18=1,0.999,B18))</f>
        <v>#N/A</v>
      </c>
      <c r="I18" s="1"/>
      <c r="K18" s="6"/>
      <c r="L18" s="6"/>
      <c r="M18" s="6"/>
      <c r="N18" s="6"/>
      <c r="O18" s="6"/>
      <c r="P18" s="6"/>
      <c r="Q18" s="7"/>
    </row>
    <row r="19" spans="1:17" ht="16" x14ac:dyDescent="0.25">
      <c r="A19" t="s">
        <v>17</v>
      </c>
      <c r="B19" t="e">
        <f>IF(goal_BOY_1="",NA(),goal_BOY_1)</f>
        <v>#N/A</v>
      </c>
      <c r="C19" t="e">
        <f>IF(OR(B19="",B19&lt;0,B19&gt;1),NA(),IF(B19=0,0.001,B19))</f>
        <v>#N/A</v>
      </c>
      <c r="I19" s="1"/>
      <c r="K19" s="6"/>
      <c r="L19" s="6"/>
      <c r="M19" s="6"/>
      <c r="N19" s="6"/>
      <c r="O19" s="6"/>
      <c r="P19" s="6"/>
      <c r="Q19" s="7"/>
    </row>
    <row r="21" spans="1:17" x14ac:dyDescent="0.2">
      <c r="A21" s="5" t="s">
        <v>13</v>
      </c>
    </row>
    <row r="22" spans="1:17" ht="16" x14ac:dyDescent="0.25">
      <c r="A22" s="2" t="s">
        <v>7</v>
      </c>
      <c r="B22" s="1" t="e">
        <f>SUMPRODUCT((B3:B14&lt;$C$17)*(B4:B15&gt;=$C$17),(B4:B15))</f>
        <v>#N/A</v>
      </c>
      <c r="C22" t="e">
        <f>VLOOKUP($B$22,$B$5:$H$15,2,FALSE)</f>
        <v>#N/A</v>
      </c>
      <c r="D22" t="e">
        <f>VLOOKUP($B$22,$B$5:$H$15,3,FALSE)</f>
        <v>#N/A</v>
      </c>
      <c r="E22" t="e">
        <f>VLOOKUP($B$22,$B$5:$H$15,4,FALSE)</f>
        <v>#N/A</v>
      </c>
      <c r="F22" t="e">
        <f>VLOOKUP($B$22,$B$5:$H$15,5,FALSE)</f>
        <v>#N/A</v>
      </c>
      <c r="G22" t="e">
        <f>VLOOKUP($B$22,$B$5:$H$15,6,FALSE)</f>
        <v>#N/A</v>
      </c>
      <c r="H22" t="e">
        <f>VLOOKUP($B$22,$B$5:$H$15,7,FALSE)</f>
        <v>#N/A</v>
      </c>
      <c r="J22" s="2"/>
    </row>
    <row r="23" spans="1:17" ht="16" x14ac:dyDescent="0.25">
      <c r="A23" s="2" t="s">
        <v>8</v>
      </c>
      <c r="B23" s="1" t="e">
        <f ca="1">OFFSET(A3,0,SUMPRODUCT((C22:G22&lt;=$C$18)*(D22:H22&gt;$C$18),COLUMN(B22:F22)))</f>
        <v>#N/A</v>
      </c>
      <c r="J23" s="2"/>
      <c r="K23" s="1"/>
    </row>
    <row r="24" spans="1:17" ht="16" x14ac:dyDescent="0.25">
      <c r="A24" s="2"/>
      <c r="B24" s="1"/>
      <c r="J24" s="2"/>
      <c r="K24" s="1"/>
    </row>
    <row r="25" spans="1:17" ht="16" x14ac:dyDescent="0.25">
      <c r="A25" s="5" t="s">
        <v>14</v>
      </c>
      <c r="B25" s="1"/>
      <c r="J25" s="2"/>
      <c r="K25" s="1"/>
    </row>
    <row r="26" spans="1:17" ht="16" x14ac:dyDescent="0.25">
      <c r="A26" s="2" t="s">
        <v>7</v>
      </c>
      <c r="B26" s="1" t="e">
        <f>SUMPRODUCT((B3:B14&lt;$C$19)*(B4:B15&gt;=$C$19),(B4:B15))</f>
        <v>#N/A</v>
      </c>
      <c r="C26" t="e">
        <f>VLOOKUP($B$26,$B$5:$H$15,2,FALSE)</f>
        <v>#N/A</v>
      </c>
      <c r="D26" t="e">
        <f>VLOOKUP($B$26,$B$5:$H$15,3,FALSE)</f>
        <v>#N/A</v>
      </c>
      <c r="E26" t="e">
        <f>VLOOKUP($B$26,$B$5:$H$15,4,FALSE)</f>
        <v>#N/A</v>
      </c>
      <c r="F26" t="e">
        <f>VLOOKUP($B$26,$B$5:$H$15,5,FALSE)</f>
        <v>#N/A</v>
      </c>
      <c r="G26" t="e">
        <f>VLOOKUP($B$26,$B$5:$H$15,6,FALSE)</f>
        <v>#N/A</v>
      </c>
      <c r="H26" t="e">
        <f>VLOOKUP($B$26,$B$5:$H$15,7,FALSE)</f>
        <v>#N/A</v>
      </c>
      <c r="J26" s="2"/>
    </row>
    <row r="27" spans="1:17" ht="16" x14ac:dyDescent="0.25">
      <c r="A27" s="2" t="s">
        <v>10</v>
      </c>
      <c r="B27" s="1"/>
      <c r="C27" t="e">
        <f>VLOOKUP($B$26,$K$5:$Q$15,2,FALSE)</f>
        <v>#N/A</v>
      </c>
      <c r="D27" t="e">
        <f>VLOOKUP($B$26,$K$5:$Q$15,3,FALSE)</f>
        <v>#N/A</v>
      </c>
      <c r="E27" t="e">
        <f>VLOOKUP($B$26,$K$5:$Q$15,4,FALSE)</f>
        <v>#N/A</v>
      </c>
      <c r="F27" t="e">
        <f>VLOOKUP($B$26,$K$5:$Q$15,5,FALSE)</f>
        <v>#N/A</v>
      </c>
      <c r="G27" t="e">
        <f>VLOOKUP($B$26,$K$5:$Q$15,6,FALSE)</f>
        <v>#N/A</v>
      </c>
      <c r="H27" t="e">
        <f>VLOOKUP($B$26,$K$5:$Q$15,7,FALSE)</f>
        <v>#N/A</v>
      </c>
      <c r="J27" s="2"/>
      <c r="K27" s="1"/>
    </row>
    <row r="28" spans="1:17" x14ac:dyDescent="0.2">
      <c r="A28" s="2" t="s">
        <v>6</v>
      </c>
      <c r="B28" t="e">
        <f ca="1">OFFSET(A26,0,MATCH(goal_1,$B$3:$H$3,FALSE))</f>
        <v>#N/A</v>
      </c>
      <c r="C28" t="e">
        <f ca="1">OFFSET(A26,0,MATCH(goal_1,$B$3:$H$3,FALSE)+1)</f>
        <v>#N/A</v>
      </c>
      <c r="D28" t="e">
        <f ca="1">CONCATENATE(TEXT(ROUND($B$28,2)*100,"0")," - ",TEXT(ROUND($C$28,2),"0%"))</f>
        <v>#N/A</v>
      </c>
    </row>
    <row r="29" spans="1:17" x14ac:dyDescent="0.2">
      <c r="A29" s="2" t="s">
        <v>9</v>
      </c>
      <c r="B29" t="e">
        <f ca="1">OFFSET(A27,0,MATCH(goal_1,$K$3:$Q$3,FALSE))</f>
        <v>#N/A</v>
      </c>
      <c r="C29" t="e">
        <f ca="1">OFFSET(A27,0,MATCH(goal_1,$K$3:$Q$3,FALSE)+1)</f>
        <v>#N/A</v>
      </c>
      <c r="D29" t="e">
        <f ca="1">CONCATENATE(TEXT(ROUND($B$29,2)*100,"0")," - ",TEXT(ROUND($C$29,2),"0%"))</f>
        <v>#N/A</v>
      </c>
    </row>
  </sheetData>
  <sheetProtection algorithmName="SHA-512" hashValue="+CZQhhaRSXLFxT7vVeRs/hFJHOe9dt8sKW7nMpkkAWxa/sNJOKkn0RCQgcBW2yrULWVeb4h9gjKRM6PPfkJCjA==" saltValue="oItChSu9b3lQL5OQdzsckw==" spinCount="100000" sheet="1" objects="1" scenarios="1"/>
  <pageMargins left="0.7" right="0.7" top="0.75" bottom="0.75" header="0.3" footer="0.3"/>
  <pageSetup orientation="portrait"/>
  <extLst>
    <ext xmlns:mx="http://schemas.microsoft.com/office/mac/excel/2008/main" uri="{64002731-A6B0-56B0-2670-7721B7C09600}">
      <mx:PLV Mode="0" OnePage="0" WScale="0"/>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29"/>
  <sheetViews>
    <sheetView workbookViewId="0">
      <selection activeCell="J20" sqref="J20"/>
    </sheetView>
  </sheetViews>
  <sheetFormatPr baseColWidth="10" defaultColWidth="8.83203125" defaultRowHeight="15" x14ac:dyDescent="0.2"/>
  <cols>
    <col min="1" max="1" width="18.5" bestFit="1" customWidth="1"/>
    <col min="4" max="4" width="9.6640625" bestFit="1" customWidth="1"/>
  </cols>
  <sheetData>
    <row r="1" spans="2:17" x14ac:dyDescent="0.2">
      <c r="B1" t="s">
        <v>11</v>
      </c>
      <c r="K1" t="s">
        <v>12</v>
      </c>
    </row>
    <row r="3" spans="2:17" x14ac:dyDescent="0.2">
      <c r="B3" s="4" t="s">
        <v>5</v>
      </c>
      <c r="C3" s="4" t="s">
        <v>35</v>
      </c>
      <c r="D3" s="4" t="s">
        <v>19</v>
      </c>
      <c r="E3" s="4" t="s">
        <v>0</v>
      </c>
      <c r="F3" s="4" t="s">
        <v>20</v>
      </c>
      <c r="G3" s="4" t="s">
        <v>36</v>
      </c>
      <c r="H3" s="4"/>
      <c r="K3" s="4" t="s">
        <v>5</v>
      </c>
      <c r="L3" s="4" t="s">
        <v>35</v>
      </c>
      <c r="M3" s="4" t="s">
        <v>19</v>
      </c>
      <c r="N3" s="4" t="s">
        <v>0</v>
      </c>
      <c r="O3" s="4" t="s">
        <v>20</v>
      </c>
      <c r="P3" s="4" t="s">
        <v>36</v>
      </c>
      <c r="Q3" s="4"/>
    </row>
    <row r="4" spans="2:17" x14ac:dyDescent="0.2">
      <c r="B4" s="4">
        <v>0</v>
      </c>
      <c r="C4" s="4"/>
      <c r="D4" s="4"/>
      <c r="E4" s="4"/>
      <c r="F4" s="4"/>
      <c r="G4" s="4"/>
      <c r="H4" s="4"/>
      <c r="K4" s="4">
        <v>0</v>
      </c>
      <c r="L4" s="4"/>
      <c r="M4" s="4"/>
      <c r="N4" s="4"/>
      <c r="O4" s="4"/>
      <c r="P4" s="4"/>
      <c r="Q4" s="4"/>
    </row>
    <row r="5" spans="2:17" ht="16" x14ac:dyDescent="0.25">
      <c r="B5" s="4">
        <v>0.3</v>
      </c>
      <c r="C5" s="4">
        <v>0</v>
      </c>
      <c r="D5" s="44">
        <v>0.33333333333333298</v>
      </c>
      <c r="E5" s="44">
        <v>0.40273037542662099</v>
      </c>
      <c r="F5" s="44">
        <v>0.44029850746268601</v>
      </c>
      <c r="G5" s="44">
        <v>0.547445255474452</v>
      </c>
      <c r="H5" s="3">
        <v>1</v>
      </c>
      <c r="I5" s="1"/>
      <c r="K5" s="4">
        <v>0.3</v>
      </c>
      <c r="L5" s="4">
        <v>0</v>
      </c>
      <c r="M5" s="44">
        <v>0.237735849056603</v>
      </c>
      <c r="N5" s="44">
        <v>0.27906976744186002</v>
      </c>
      <c r="O5" s="44">
        <v>0.31125827814569501</v>
      </c>
      <c r="P5" s="44">
        <v>0.40764331210191002</v>
      </c>
      <c r="Q5" s="3">
        <v>1</v>
      </c>
    </row>
    <row r="6" spans="2:17" ht="16" x14ac:dyDescent="0.25">
      <c r="B6" s="4">
        <v>0.4</v>
      </c>
      <c r="C6" s="4">
        <v>0</v>
      </c>
      <c r="D6" s="44">
        <v>0.41666666666666602</v>
      </c>
      <c r="E6" s="44">
        <v>0.47457627118644002</v>
      </c>
      <c r="F6" s="44">
        <v>0.52808988764044895</v>
      </c>
      <c r="G6" s="44">
        <v>0.58620689655172398</v>
      </c>
      <c r="H6" s="3">
        <v>1</v>
      </c>
      <c r="I6" s="1"/>
      <c r="K6" s="4">
        <v>0.4</v>
      </c>
      <c r="L6" s="4">
        <v>0</v>
      </c>
      <c r="M6" s="44">
        <v>0.36940298507462599</v>
      </c>
      <c r="N6" s="44">
        <v>0.40909090909090901</v>
      </c>
      <c r="O6" s="44">
        <v>0.45600000000000002</v>
      </c>
      <c r="P6" s="44">
        <v>0.50442477876106095</v>
      </c>
      <c r="Q6" s="3">
        <v>1</v>
      </c>
    </row>
    <row r="7" spans="2:17" ht="16" x14ac:dyDescent="0.25">
      <c r="B7" s="4">
        <v>0.45</v>
      </c>
      <c r="C7" s="4">
        <v>0</v>
      </c>
      <c r="D7" s="44">
        <v>0.48031496062992102</v>
      </c>
      <c r="E7" s="44">
        <v>0.53389830508474501</v>
      </c>
      <c r="F7" s="44">
        <v>0.57416267942583699</v>
      </c>
      <c r="G7" s="44">
        <v>0.63265306122448906</v>
      </c>
      <c r="H7" s="3">
        <v>1</v>
      </c>
      <c r="I7" s="1"/>
      <c r="K7" s="4">
        <v>0.45</v>
      </c>
      <c r="L7" s="4">
        <v>0</v>
      </c>
      <c r="M7" s="44">
        <v>0.44318181818181801</v>
      </c>
      <c r="N7" s="44">
        <v>0.48087431693989002</v>
      </c>
      <c r="O7" s="44">
        <v>0.51754385964912197</v>
      </c>
      <c r="P7" s="44">
        <v>0.56459330143540598</v>
      </c>
      <c r="Q7" s="3">
        <v>1</v>
      </c>
    </row>
    <row r="8" spans="2:17" ht="16" x14ac:dyDescent="0.25">
      <c r="B8" s="4">
        <v>0.5</v>
      </c>
      <c r="C8" s="4">
        <v>0</v>
      </c>
      <c r="D8" s="44">
        <v>0.52645502645502595</v>
      </c>
      <c r="E8" s="44">
        <v>0.57201646090534897</v>
      </c>
      <c r="F8" s="44">
        <v>0.61722488038277501</v>
      </c>
      <c r="G8" s="44">
        <v>0.667655786350148</v>
      </c>
      <c r="H8" s="3">
        <v>1</v>
      </c>
      <c r="I8" s="1"/>
      <c r="K8" s="4">
        <v>0.5</v>
      </c>
      <c r="L8" s="4">
        <v>0</v>
      </c>
      <c r="M8" s="44">
        <v>0.479768786127167</v>
      </c>
      <c r="N8" s="44">
        <v>0.52777777777777701</v>
      </c>
      <c r="O8" s="44">
        <v>0.57065217391304301</v>
      </c>
      <c r="P8" s="44">
        <v>0.61599999999999999</v>
      </c>
      <c r="Q8" s="3">
        <v>1</v>
      </c>
    </row>
    <row r="9" spans="2:17" ht="16" x14ac:dyDescent="0.25">
      <c r="B9" s="4">
        <v>0.55000000000000004</v>
      </c>
      <c r="C9" s="4">
        <v>0</v>
      </c>
      <c r="D9" s="44">
        <v>0.58695652173913004</v>
      </c>
      <c r="E9" s="44">
        <v>0.63870967741935403</v>
      </c>
      <c r="F9" s="44">
        <v>0.67521367521367504</v>
      </c>
      <c r="G9" s="44">
        <v>0.71727748691099402</v>
      </c>
      <c r="H9" s="3">
        <v>1</v>
      </c>
      <c r="I9" s="1"/>
      <c r="K9" s="4">
        <v>0.55000000000000004</v>
      </c>
      <c r="L9" s="4">
        <v>0</v>
      </c>
      <c r="M9" s="44">
        <v>0.54022988505747105</v>
      </c>
      <c r="N9" s="44">
        <v>0.58910891089108897</v>
      </c>
      <c r="O9" s="44">
        <v>0.62271062271062205</v>
      </c>
      <c r="P9" s="44">
        <v>0.66071428571428503</v>
      </c>
      <c r="Q9" s="3">
        <v>1</v>
      </c>
    </row>
    <row r="10" spans="2:17" ht="16" x14ac:dyDescent="0.25">
      <c r="B10" s="4">
        <v>0.6</v>
      </c>
      <c r="C10" s="4">
        <v>0</v>
      </c>
      <c r="D10" s="44">
        <v>0.62992125984251901</v>
      </c>
      <c r="E10" s="44">
        <v>0.67826086956521703</v>
      </c>
      <c r="F10" s="44">
        <v>0.71515151515151498</v>
      </c>
      <c r="G10" s="44">
        <v>0.75829383886255897</v>
      </c>
      <c r="H10" s="3">
        <v>1</v>
      </c>
      <c r="I10" s="1"/>
      <c r="K10" s="4">
        <v>0.6</v>
      </c>
      <c r="L10" s="4">
        <v>0</v>
      </c>
      <c r="M10" s="44">
        <v>0.58984375</v>
      </c>
      <c r="N10" s="44">
        <v>0.63478260869565195</v>
      </c>
      <c r="O10" s="44">
        <v>0.66850828729281697</v>
      </c>
      <c r="P10" s="44">
        <v>0.70820668693009103</v>
      </c>
      <c r="Q10" s="3">
        <v>1</v>
      </c>
    </row>
    <row r="11" spans="2:17" ht="16" x14ac:dyDescent="0.25">
      <c r="B11" s="4">
        <v>0.7</v>
      </c>
      <c r="C11" s="4">
        <v>0</v>
      </c>
      <c r="D11" s="44">
        <v>0.67489711934156305</v>
      </c>
      <c r="E11" s="44">
        <v>0.72297297297297203</v>
      </c>
      <c r="F11" s="44">
        <v>0.75609756097560898</v>
      </c>
      <c r="G11" s="44">
        <v>0.79661016949152497</v>
      </c>
      <c r="H11" s="3">
        <v>1</v>
      </c>
      <c r="I11" s="1"/>
      <c r="K11" s="4">
        <v>0.7</v>
      </c>
      <c r="L11" s="4">
        <v>0</v>
      </c>
      <c r="M11" s="44">
        <v>0.64489795918367299</v>
      </c>
      <c r="N11" s="44">
        <v>0.69191919191919105</v>
      </c>
      <c r="O11" s="44">
        <v>0.72316384180790905</v>
      </c>
      <c r="P11" s="44">
        <v>0.76068376068375998</v>
      </c>
      <c r="Q11" s="3">
        <v>1</v>
      </c>
    </row>
    <row r="12" spans="2:17" ht="16" x14ac:dyDescent="0.25">
      <c r="B12" s="4">
        <v>0.8</v>
      </c>
      <c r="C12" s="4">
        <v>0</v>
      </c>
      <c r="D12" s="44">
        <v>0.756345177664974</v>
      </c>
      <c r="E12" s="44">
        <v>0.79331306990881401</v>
      </c>
      <c r="F12" s="44">
        <v>0.82666666666666599</v>
      </c>
      <c r="G12" s="44">
        <v>0.85714285714285698</v>
      </c>
      <c r="H12" s="3">
        <v>1</v>
      </c>
      <c r="I12" s="1"/>
      <c r="K12" s="4">
        <v>0.8</v>
      </c>
      <c r="L12" s="4">
        <v>0</v>
      </c>
      <c r="M12" s="44">
        <v>0.73184357541899403</v>
      </c>
      <c r="N12" s="44">
        <v>0.76861702127659504</v>
      </c>
      <c r="O12" s="44">
        <v>0.79668049792531104</v>
      </c>
      <c r="P12" s="44">
        <v>0.83425414364640804</v>
      </c>
      <c r="Q12" s="3">
        <v>1</v>
      </c>
    </row>
    <row r="13" spans="2:17" ht="16" x14ac:dyDescent="0.25">
      <c r="B13" s="4">
        <v>0.9</v>
      </c>
      <c r="C13" s="4">
        <v>0</v>
      </c>
      <c r="D13" s="44">
        <v>0.83254716981132004</v>
      </c>
      <c r="E13" s="44">
        <v>0.87096774193548299</v>
      </c>
      <c r="F13" s="44">
        <v>0.89325842696629199</v>
      </c>
      <c r="G13" s="44">
        <v>0.91973244147157096</v>
      </c>
      <c r="H13" s="3">
        <v>1</v>
      </c>
      <c r="I13" s="1"/>
      <c r="K13" s="4">
        <v>0.9</v>
      </c>
      <c r="L13" s="4">
        <v>0</v>
      </c>
      <c r="M13" s="44">
        <v>0.81944444444444398</v>
      </c>
      <c r="N13" s="44">
        <v>0.84895833333333304</v>
      </c>
      <c r="O13" s="44">
        <v>0.875</v>
      </c>
      <c r="P13" s="44">
        <v>0.89867841409691596</v>
      </c>
      <c r="Q13" s="3">
        <v>1</v>
      </c>
    </row>
    <row r="14" spans="2:17" ht="16" x14ac:dyDescent="0.25">
      <c r="B14" s="4">
        <v>1</v>
      </c>
      <c r="C14" s="4">
        <v>0</v>
      </c>
      <c r="D14" s="44">
        <v>0.91715976331360904</v>
      </c>
      <c r="E14" s="44">
        <v>0.94166666666666599</v>
      </c>
      <c r="F14" s="44">
        <v>0.95070422535211196</v>
      </c>
      <c r="G14" s="44">
        <v>0.96883116883116804</v>
      </c>
      <c r="H14" s="3">
        <v>1</v>
      </c>
      <c r="I14" s="1"/>
      <c r="K14" s="4">
        <v>1</v>
      </c>
      <c r="L14" s="4">
        <v>0</v>
      </c>
      <c r="M14" s="44">
        <v>0.90476190476190399</v>
      </c>
      <c r="N14" s="44">
        <v>0.91746031746031698</v>
      </c>
      <c r="O14" s="44">
        <v>0.94298245614035003</v>
      </c>
      <c r="P14" s="44">
        <v>0.95870206489675502</v>
      </c>
      <c r="Q14" s="3">
        <v>1</v>
      </c>
    </row>
    <row r="15" spans="2:17" ht="16" x14ac:dyDescent="0.25">
      <c r="B15" s="6"/>
      <c r="C15" s="6"/>
      <c r="D15" s="6"/>
      <c r="E15" s="6"/>
      <c r="F15" s="6"/>
      <c r="G15" s="6"/>
      <c r="H15" s="7"/>
      <c r="I15" s="1"/>
      <c r="K15" s="6"/>
      <c r="L15" s="6"/>
      <c r="M15" s="6"/>
      <c r="N15" s="6"/>
      <c r="O15" s="6"/>
      <c r="P15" s="6"/>
      <c r="Q15" s="7"/>
    </row>
    <row r="17" spans="1:11" x14ac:dyDescent="0.2">
      <c r="A17" t="s">
        <v>15</v>
      </c>
      <c r="B17" t="e">
        <f>IF(BOY_agg="",NA(),BOY_agg)</f>
        <v>#N/A</v>
      </c>
      <c r="C17" t="e">
        <f>IF(OR(B17="",B17&lt;0,B17&gt;1),NA(),IF(B17=0,0.001,B17))</f>
        <v>#N/A</v>
      </c>
    </row>
    <row r="18" spans="1:11" x14ac:dyDescent="0.2">
      <c r="A18" t="s">
        <v>16</v>
      </c>
      <c r="B18" t="e">
        <f>IF(EOY_agg="",NA(),EOY_agg)</f>
        <v>#N/A</v>
      </c>
      <c r="C18" t="e">
        <f>IF(OR(B18="",B18&lt;0,B18&gt;1),NA(),IF(B18=1,0.999,B18))</f>
        <v>#N/A</v>
      </c>
    </row>
    <row r="19" spans="1:11" x14ac:dyDescent="0.2">
      <c r="A19" t="s">
        <v>17</v>
      </c>
      <c r="B19" t="e">
        <f>IF(goal_BOY_agg="",NA(),goal_BOY_agg)</f>
        <v>#N/A</v>
      </c>
      <c r="C19" t="e">
        <f>IF(OR(B19="",B19&lt;0,B19&gt;1),NA(),IF(B19=0,0.001,B19))</f>
        <v>#N/A</v>
      </c>
    </row>
    <row r="21" spans="1:11" x14ac:dyDescent="0.2">
      <c r="A21" s="5" t="s">
        <v>13</v>
      </c>
    </row>
    <row r="22" spans="1:11" ht="16" x14ac:dyDescent="0.25">
      <c r="A22" s="2" t="s">
        <v>7</v>
      </c>
      <c r="B22" s="1" t="e">
        <f>SUMPRODUCT((B3:B13&lt;$C$17)*(B4:B14&gt;=$C$17),(B4:B14))</f>
        <v>#N/A</v>
      </c>
      <c r="C22" t="e">
        <f>VLOOKUP($B$22,$B$5:$H$14,2,FALSE)</f>
        <v>#N/A</v>
      </c>
      <c r="D22" t="e">
        <f>VLOOKUP($B$22,$B$5:$H$14,3,FALSE)</f>
        <v>#N/A</v>
      </c>
      <c r="E22" t="e">
        <f>VLOOKUP($B$22,$B$5:$H$14,4,FALSE)</f>
        <v>#N/A</v>
      </c>
      <c r="F22" t="e">
        <f>VLOOKUP($B$22,$B$5:$H$14,5,FALSE)</f>
        <v>#N/A</v>
      </c>
      <c r="G22" t="e">
        <f>VLOOKUP($B$22,$B$5:$H$14,6,FALSE)</f>
        <v>#N/A</v>
      </c>
      <c r="H22" t="e">
        <f>VLOOKUP($B$22,$B$5:$H$14,7,FALSE)</f>
        <v>#N/A</v>
      </c>
      <c r="J22" s="2"/>
    </row>
    <row r="23" spans="1:11" ht="16" x14ac:dyDescent="0.25">
      <c r="A23" s="2" t="s">
        <v>8</v>
      </c>
      <c r="B23" s="1" t="e">
        <f ca="1">OFFSET(A3,0,SUMPRODUCT((C22:G22&lt;=$C$18)*(D22:H22&gt;$C$18),COLUMN(B22:F22)))</f>
        <v>#N/A</v>
      </c>
      <c r="J23" s="2"/>
      <c r="K23" s="1"/>
    </row>
    <row r="24" spans="1:11" ht="16" x14ac:dyDescent="0.25">
      <c r="A24" s="2"/>
      <c r="B24" s="1"/>
      <c r="J24" s="2"/>
      <c r="K24" s="1"/>
    </row>
    <row r="25" spans="1:11" ht="16" x14ac:dyDescent="0.25">
      <c r="A25" s="5" t="s">
        <v>14</v>
      </c>
      <c r="B25" s="1"/>
      <c r="J25" s="2"/>
      <c r="K25" s="1"/>
    </row>
    <row r="26" spans="1:11" ht="16" x14ac:dyDescent="0.25">
      <c r="A26" s="2" t="s">
        <v>7</v>
      </c>
      <c r="B26" s="1" t="e">
        <f>SUMPRODUCT((B3:B13&lt;$C$19)*(B4:B14&gt;=$C$19),(B4:B14))</f>
        <v>#N/A</v>
      </c>
      <c r="C26" t="e">
        <f>VLOOKUP($B$26,$B$5:$H$14,2,FALSE)</f>
        <v>#N/A</v>
      </c>
      <c r="D26" t="e">
        <f>VLOOKUP($B$26,$B$5:$H$14,3,FALSE)</f>
        <v>#N/A</v>
      </c>
      <c r="E26" t="e">
        <f>VLOOKUP($B$26,$B$5:$H$14,4,FALSE)</f>
        <v>#N/A</v>
      </c>
      <c r="F26" t="e">
        <f>VLOOKUP($B$26,$B$5:$H$14,5,FALSE)</f>
        <v>#N/A</v>
      </c>
      <c r="G26" t="e">
        <f>VLOOKUP($B$26,$B$5:$H$14,6,FALSE)</f>
        <v>#N/A</v>
      </c>
      <c r="H26" t="e">
        <f>VLOOKUP($B$26,$B$5:$H$14,7,FALSE)</f>
        <v>#N/A</v>
      </c>
      <c r="J26" s="2"/>
    </row>
    <row r="27" spans="1:11" ht="16" x14ac:dyDescent="0.25">
      <c r="A27" s="2" t="s">
        <v>10</v>
      </c>
      <c r="B27" s="1"/>
      <c r="C27" t="e">
        <f>VLOOKUP($B$26,$K$5:$Q$14,2,FALSE)</f>
        <v>#N/A</v>
      </c>
      <c r="D27" t="e">
        <f>VLOOKUP($B$26,$K$5:$Q$14,3,FALSE)</f>
        <v>#N/A</v>
      </c>
      <c r="E27" t="e">
        <f>VLOOKUP($B$26,$K$5:$Q$14,4,FALSE)</f>
        <v>#N/A</v>
      </c>
      <c r="F27" t="e">
        <f>VLOOKUP($B$26,$K$5:$Q$14,5,FALSE)</f>
        <v>#N/A</v>
      </c>
      <c r="G27" t="e">
        <f>VLOOKUP($B$26,$K$5:$Q$14,6,FALSE)</f>
        <v>#N/A</v>
      </c>
      <c r="H27" t="e">
        <f>VLOOKUP($B$26,$K$5:$Q$14,7,FALSE)</f>
        <v>#N/A</v>
      </c>
      <c r="J27" s="2"/>
      <c r="K27" s="1"/>
    </row>
    <row r="28" spans="1:11" x14ac:dyDescent="0.2">
      <c r="A28" s="2" t="s">
        <v>6</v>
      </c>
      <c r="B28" t="e">
        <f ca="1">OFFSET(A26,0,MATCH(goal_agg,$B$3:$H$3,FALSE))</f>
        <v>#N/A</v>
      </c>
      <c r="C28" t="e">
        <f ca="1">OFFSET(A26,0,MATCH(goal_agg,$B$3:$H$3,FALSE)+1)</f>
        <v>#N/A</v>
      </c>
      <c r="D28" t="e">
        <f ca="1">CONCATENATE(TEXT(ROUND($B$28,2)*100,"0")," - ",TEXT(ROUND($C$28,2),"0%"))</f>
        <v>#N/A</v>
      </c>
    </row>
    <row r="29" spans="1:11" x14ac:dyDescent="0.2">
      <c r="A29" s="2" t="s">
        <v>9</v>
      </c>
      <c r="B29" t="e">
        <f ca="1">OFFSET(A27,0,MATCH(goal_agg,$K$3:$Q$3,FALSE))</f>
        <v>#N/A</v>
      </c>
      <c r="C29" t="e">
        <f ca="1">OFFSET(A27,0,MATCH(goal_agg,$K$3:$Q$3,FALSE)+1)</f>
        <v>#N/A</v>
      </c>
      <c r="D29" t="e">
        <f ca="1">CONCATENATE(TEXT(ROUND($B$29,2)*100,"0")," - ",TEXT(ROUND($C$29,2),"0%"))</f>
        <v>#N/A</v>
      </c>
    </row>
  </sheetData>
  <sheetProtection algorithmName="SHA-512" hashValue="Gu5fLxBrI/JBhOxEgW8poWX/qW/lpnVYTIMZ/E9jfeO0Aho7SFUzUfRGlTdwrC16aY1MDI7ZSEln0hfGgsTCQg==" saltValue="Ck/ZjcTmGBYHRHh89/6tDQ==" spinCount="100000" sheet="1" objects="1" scenarios="1"/>
  <pageMargins left="0.7" right="0.7" top="0.75" bottom="0.75" header="0.3" footer="0.3"/>
  <pageSetup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Q29"/>
  <sheetViews>
    <sheetView workbookViewId="0">
      <selection activeCell="B16" sqref="B16"/>
    </sheetView>
  </sheetViews>
  <sheetFormatPr baseColWidth="10" defaultColWidth="8.83203125" defaultRowHeight="15" x14ac:dyDescent="0.2"/>
  <cols>
    <col min="1" max="1" width="18.5" bestFit="1" customWidth="1"/>
    <col min="4" max="4" width="9.6640625" bestFit="1" customWidth="1"/>
  </cols>
  <sheetData>
    <row r="1" spans="2:17" x14ac:dyDescent="0.2">
      <c r="B1" t="s">
        <v>11</v>
      </c>
      <c r="K1" t="s">
        <v>12</v>
      </c>
    </row>
    <row r="3" spans="2:17" x14ac:dyDescent="0.2">
      <c r="B3" s="4" t="s">
        <v>5</v>
      </c>
      <c r="C3" s="4" t="s">
        <v>35</v>
      </c>
      <c r="D3" s="4" t="s">
        <v>19</v>
      </c>
      <c r="E3" s="4" t="s">
        <v>0</v>
      </c>
      <c r="F3" s="4" t="s">
        <v>20</v>
      </c>
      <c r="G3" s="4" t="s">
        <v>36</v>
      </c>
      <c r="H3" s="4"/>
      <c r="K3" s="4" t="s">
        <v>5</v>
      </c>
      <c r="L3" s="4" t="s">
        <v>18</v>
      </c>
      <c r="M3" s="4" t="s">
        <v>19</v>
      </c>
      <c r="N3" s="4" t="s">
        <v>0</v>
      </c>
      <c r="O3" s="4" t="s">
        <v>20</v>
      </c>
      <c r="P3" s="4" t="s">
        <v>36</v>
      </c>
      <c r="Q3" s="4"/>
    </row>
    <row r="4" spans="2:17" x14ac:dyDescent="0.2">
      <c r="B4" s="4">
        <v>0</v>
      </c>
      <c r="C4" s="4"/>
      <c r="D4" s="4"/>
      <c r="E4" s="4"/>
      <c r="F4" s="4"/>
      <c r="G4" s="4"/>
      <c r="H4" s="4"/>
      <c r="K4" s="4">
        <v>0</v>
      </c>
      <c r="L4" s="4"/>
      <c r="M4" s="4"/>
      <c r="N4" s="4"/>
      <c r="O4" s="4"/>
      <c r="P4" s="4"/>
      <c r="Q4" s="4"/>
    </row>
    <row r="5" spans="2:17" ht="16" x14ac:dyDescent="0.25">
      <c r="B5" s="4">
        <v>0.3</v>
      </c>
      <c r="C5" s="4">
        <v>0</v>
      </c>
      <c r="D5" s="44">
        <v>0.35955056179775202</v>
      </c>
      <c r="E5" s="44">
        <v>0.47580645161290303</v>
      </c>
      <c r="F5" s="44">
        <v>0.54216867469879504</v>
      </c>
      <c r="G5" s="44">
        <v>0.61333333333333295</v>
      </c>
      <c r="H5" s="3">
        <v>1</v>
      </c>
      <c r="I5" s="1"/>
      <c r="K5" s="4">
        <v>0.3</v>
      </c>
      <c r="L5" s="4">
        <v>0</v>
      </c>
      <c r="M5" s="44">
        <v>0.26136363636363602</v>
      </c>
      <c r="N5" s="44">
        <v>0.33333333333333298</v>
      </c>
      <c r="O5" s="44">
        <v>0.4</v>
      </c>
      <c r="P5" s="44">
        <v>0.49333333333333301</v>
      </c>
      <c r="Q5" s="3">
        <v>1</v>
      </c>
    </row>
    <row r="6" spans="2:17" ht="16" x14ac:dyDescent="0.25">
      <c r="B6" s="4">
        <v>0.4</v>
      </c>
      <c r="C6" s="4">
        <v>0</v>
      </c>
      <c r="D6" s="44">
        <v>0.46086956521739098</v>
      </c>
      <c r="E6" s="44">
        <v>0.52941176470588203</v>
      </c>
      <c r="F6" s="44">
        <v>0.58974358974358898</v>
      </c>
      <c r="G6" s="44">
        <v>0.66355140186915795</v>
      </c>
      <c r="H6" s="3">
        <v>1</v>
      </c>
      <c r="I6" s="1"/>
      <c r="K6" s="4">
        <v>0.4</v>
      </c>
      <c r="L6" s="4">
        <v>0</v>
      </c>
      <c r="M6" s="44">
        <v>0.38308457711442701</v>
      </c>
      <c r="N6" s="44">
        <v>0.439393939393939</v>
      </c>
      <c r="O6" s="44">
        <v>0.49324324324324298</v>
      </c>
      <c r="P6" s="44">
        <v>0.56441717791410995</v>
      </c>
      <c r="Q6" s="3">
        <v>1</v>
      </c>
    </row>
    <row r="7" spans="2:17" ht="16" x14ac:dyDescent="0.25">
      <c r="B7" s="4">
        <v>0.45</v>
      </c>
      <c r="C7" s="4">
        <v>0</v>
      </c>
      <c r="D7" s="44">
        <v>0.51886792452830099</v>
      </c>
      <c r="E7" s="44">
        <v>0.59146341463414598</v>
      </c>
      <c r="F7" s="44">
        <v>0.64754098360655699</v>
      </c>
      <c r="G7" s="44">
        <v>0.71544715447154394</v>
      </c>
      <c r="H7" s="3">
        <v>1</v>
      </c>
      <c r="I7" s="1"/>
      <c r="K7" s="4">
        <v>0.45</v>
      </c>
      <c r="L7" s="4">
        <v>0</v>
      </c>
      <c r="M7" s="44">
        <v>0.43283582089552203</v>
      </c>
      <c r="N7" s="44">
        <v>0.51249999999999996</v>
      </c>
      <c r="O7" s="44">
        <v>0.56551724137931003</v>
      </c>
      <c r="P7" s="44">
        <v>0.62445414847161496</v>
      </c>
      <c r="Q7" s="3">
        <v>1</v>
      </c>
    </row>
    <row r="8" spans="2:17" ht="16" x14ac:dyDescent="0.25">
      <c r="B8" s="4">
        <v>0.5</v>
      </c>
      <c r="C8" s="4">
        <v>0</v>
      </c>
      <c r="D8" s="44">
        <v>0.57191780821917804</v>
      </c>
      <c r="E8" s="44">
        <v>0.64044943820224698</v>
      </c>
      <c r="F8" s="44">
        <v>0.68484848484848404</v>
      </c>
      <c r="G8" s="44">
        <v>0.74358974358974295</v>
      </c>
      <c r="H8" s="3">
        <v>1</v>
      </c>
      <c r="I8" s="1"/>
      <c r="K8" s="4">
        <v>0.5</v>
      </c>
      <c r="L8" s="4">
        <v>0</v>
      </c>
      <c r="M8" s="44">
        <v>0.495412844036697</v>
      </c>
      <c r="N8" s="44">
        <v>0.55660377358490498</v>
      </c>
      <c r="O8" s="44">
        <v>0.60919540229885005</v>
      </c>
      <c r="P8" s="44">
        <v>0.66412213740458004</v>
      </c>
      <c r="Q8" s="3">
        <v>1</v>
      </c>
    </row>
    <row r="9" spans="2:17" ht="16" x14ac:dyDescent="0.25">
      <c r="B9" s="4">
        <v>0.55000000000000004</v>
      </c>
      <c r="C9" s="4">
        <v>0</v>
      </c>
      <c r="D9" s="44">
        <v>0.61494252873563204</v>
      </c>
      <c r="E9" s="44">
        <v>0.67567567567567499</v>
      </c>
      <c r="F9" s="44">
        <v>0.72093023255813904</v>
      </c>
      <c r="G9" s="44">
        <v>0.77</v>
      </c>
      <c r="H9" s="3">
        <v>1</v>
      </c>
      <c r="I9" s="1"/>
      <c r="K9" s="4">
        <v>0.55000000000000004</v>
      </c>
      <c r="L9" s="4">
        <v>0</v>
      </c>
      <c r="M9" s="44">
        <v>0.53703703703703698</v>
      </c>
      <c r="N9" s="44">
        <v>0.59574468085106302</v>
      </c>
      <c r="O9" s="44">
        <v>0.644859813084112</v>
      </c>
      <c r="P9" s="44">
        <v>0.70186335403726696</v>
      </c>
      <c r="Q9" s="3">
        <v>1</v>
      </c>
    </row>
    <row r="10" spans="2:17" ht="16" x14ac:dyDescent="0.25">
      <c r="B10" s="4">
        <v>0.6</v>
      </c>
      <c r="C10" s="4">
        <v>0</v>
      </c>
      <c r="D10" s="44">
        <v>0.63779527559055105</v>
      </c>
      <c r="E10" s="44">
        <v>0.70103092783505105</v>
      </c>
      <c r="F10" s="44">
        <v>0.74666666666666603</v>
      </c>
      <c r="G10" s="44">
        <v>0.79381443298969001</v>
      </c>
      <c r="H10" s="3">
        <v>1</v>
      </c>
      <c r="I10" s="1"/>
      <c r="K10" s="4">
        <v>0.6</v>
      </c>
      <c r="L10" s="4">
        <v>0</v>
      </c>
      <c r="M10" s="44">
        <v>0.57446808510638203</v>
      </c>
      <c r="N10" s="44">
        <v>0.63694267515923497</v>
      </c>
      <c r="O10" s="44">
        <v>0.67647058823529405</v>
      </c>
      <c r="P10" s="44">
        <v>0.72727272727272696</v>
      </c>
      <c r="Q10" s="3">
        <v>1</v>
      </c>
    </row>
    <row r="11" spans="2:17" ht="16" x14ac:dyDescent="0.25">
      <c r="B11" s="4">
        <v>0.7</v>
      </c>
      <c r="C11" s="4">
        <v>0</v>
      </c>
      <c r="D11" s="44">
        <v>0.6875</v>
      </c>
      <c r="E11" s="44">
        <v>0.74444444444444402</v>
      </c>
      <c r="F11" s="44">
        <v>0.78443113772454998</v>
      </c>
      <c r="G11" s="44">
        <v>0.83428571428571396</v>
      </c>
      <c r="H11" s="3">
        <v>1</v>
      </c>
      <c r="I11" s="1"/>
      <c r="K11" s="4">
        <v>0.7</v>
      </c>
      <c r="L11" s="4">
        <v>0</v>
      </c>
      <c r="M11" s="44">
        <v>0.64596273291925399</v>
      </c>
      <c r="N11" s="44">
        <v>0.6953125</v>
      </c>
      <c r="O11" s="44">
        <v>0.73873873873873797</v>
      </c>
      <c r="P11" s="44">
        <v>0.78861788617886097</v>
      </c>
      <c r="Q11" s="3">
        <v>1</v>
      </c>
    </row>
    <row r="12" spans="2:17" ht="16" x14ac:dyDescent="0.25">
      <c r="B12" s="4">
        <v>0.8</v>
      </c>
      <c r="C12" s="4">
        <v>0</v>
      </c>
      <c r="D12" s="44">
        <v>0.74162679425837297</v>
      </c>
      <c r="E12" s="44">
        <v>0.80254777070063599</v>
      </c>
      <c r="F12" s="44">
        <v>0.83969465648854902</v>
      </c>
      <c r="G12" s="44">
        <v>0.87850467289719603</v>
      </c>
      <c r="H12" s="3">
        <v>1</v>
      </c>
      <c r="I12" s="1"/>
      <c r="K12" s="4">
        <v>0.8</v>
      </c>
      <c r="L12" s="4">
        <v>0</v>
      </c>
      <c r="M12" s="44">
        <v>0.71717171717171702</v>
      </c>
      <c r="N12" s="44">
        <v>0.76969696969696899</v>
      </c>
      <c r="O12" s="44">
        <v>0.80666666666666598</v>
      </c>
      <c r="P12" s="44">
        <v>0.84507042253521103</v>
      </c>
      <c r="Q12" s="3">
        <v>1</v>
      </c>
    </row>
    <row r="13" spans="2:17" ht="16" x14ac:dyDescent="0.25">
      <c r="B13" s="4">
        <v>0.9</v>
      </c>
      <c r="C13" s="4">
        <v>0</v>
      </c>
      <c r="D13" s="44">
        <v>0.827380952380952</v>
      </c>
      <c r="E13" s="44">
        <v>0.86627906976744096</v>
      </c>
      <c r="F13" s="44">
        <v>0.89041095890410904</v>
      </c>
      <c r="G13" s="44">
        <v>0.92626728110598999</v>
      </c>
      <c r="H13" s="3">
        <v>1</v>
      </c>
      <c r="I13" s="1"/>
      <c r="K13" s="4">
        <v>0.9</v>
      </c>
      <c r="L13" s="4">
        <v>0</v>
      </c>
      <c r="M13" s="44">
        <v>0.79674796747967402</v>
      </c>
      <c r="N13" s="44">
        <v>0.84565916398713803</v>
      </c>
      <c r="O13" s="44">
        <v>0.86956521739130399</v>
      </c>
      <c r="P13" s="44">
        <v>0.90506329113924</v>
      </c>
      <c r="Q13" s="3">
        <v>1</v>
      </c>
    </row>
    <row r="14" spans="2:17" ht="16" x14ac:dyDescent="0.25">
      <c r="B14" s="4">
        <v>1</v>
      </c>
      <c r="C14" s="4">
        <v>0</v>
      </c>
      <c r="D14" s="44">
        <v>0.88505747126436696</v>
      </c>
      <c r="E14" s="44">
        <v>0.93296089385474801</v>
      </c>
      <c r="F14" s="44">
        <v>0.95070422535211196</v>
      </c>
      <c r="G14" s="44">
        <v>0.97938144329896903</v>
      </c>
      <c r="H14" s="3">
        <v>1</v>
      </c>
      <c r="I14" s="1"/>
      <c r="K14" s="4">
        <v>1</v>
      </c>
      <c r="L14" s="4">
        <v>0</v>
      </c>
      <c r="M14" s="44">
        <v>0.88172043010752599</v>
      </c>
      <c r="N14" s="44">
        <v>0.90285714285714203</v>
      </c>
      <c r="O14" s="44">
        <v>0.92948717948717896</v>
      </c>
      <c r="P14" s="44">
        <v>0.969879518072289</v>
      </c>
      <c r="Q14" s="3">
        <v>1</v>
      </c>
    </row>
    <row r="15" spans="2:17" ht="16" x14ac:dyDescent="0.25">
      <c r="B15" s="6"/>
      <c r="C15" s="6"/>
      <c r="D15" s="6"/>
      <c r="E15" s="6"/>
      <c r="F15" s="6"/>
      <c r="G15" s="6"/>
      <c r="H15" s="7"/>
      <c r="I15" s="1"/>
      <c r="K15" s="6"/>
      <c r="L15" s="6"/>
      <c r="M15" s="6"/>
      <c r="N15" s="6"/>
      <c r="O15" s="6"/>
      <c r="P15" s="6"/>
      <c r="Q15" s="7"/>
    </row>
    <row r="17" spans="1:11" x14ac:dyDescent="0.2">
      <c r="A17" t="s">
        <v>15</v>
      </c>
      <c r="B17" t="e">
        <f>IF(BOY_agg="",NA(),BOY_agg)</f>
        <v>#N/A</v>
      </c>
      <c r="C17" t="e">
        <f>IF(OR(B17="",B17&lt;0,B17&gt;1),NA(),IF(B17=0,0.001,B17))</f>
        <v>#N/A</v>
      </c>
    </row>
    <row r="18" spans="1:11" x14ac:dyDescent="0.2">
      <c r="A18" t="s">
        <v>16</v>
      </c>
      <c r="B18" t="e">
        <f>IF(EOY_agg="",NA(),EOY_agg)</f>
        <v>#N/A</v>
      </c>
      <c r="C18" t="e">
        <f>IF(OR(B18="",B18&lt;0,B18&gt;1),NA(),IF(B18=1,0.999,B18))</f>
        <v>#N/A</v>
      </c>
    </row>
    <row r="19" spans="1:11" x14ac:dyDescent="0.2">
      <c r="A19" t="s">
        <v>17</v>
      </c>
      <c r="B19" t="e">
        <f>IF(goal_BOY_agg="",NA(),goal_BOY_agg)</f>
        <v>#N/A</v>
      </c>
      <c r="C19" t="e">
        <f>IF(OR(B19="",B19&lt;0,B19&gt;1),NA(),IF(B19=0,0.001,B19))</f>
        <v>#N/A</v>
      </c>
    </row>
    <row r="21" spans="1:11" x14ac:dyDescent="0.2">
      <c r="A21" s="5" t="s">
        <v>13</v>
      </c>
    </row>
    <row r="22" spans="1:11" ht="16" x14ac:dyDescent="0.25">
      <c r="A22" s="2" t="s">
        <v>7</v>
      </c>
      <c r="B22" s="1" t="e">
        <f>SUMPRODUCT((B3:B13&lt;$C$17)*(B4:B14&gt;=$C$17),(B4:B14))</f>
        <v>#N/A</v>
      </c>
      <c r="C22" t="e">
        <f>VLOOKUP($B$22,$B$5:$H$14,2,FALSE)</f>
        <v>#N/A</v>
      </c>
      <c r="D22" t="e">
        <f>VLOOKUP($B$22,$B$5:$H$14,3,FALSE)</f>
        <v>#N/A</v>
      </c>
      <c r="E22" t="e">
        <f>VLOOKUP($B$22,$B$5:$H$14,4,FALSE)</f>
        <v>#N/A</v>
      </c>
      <c r="F22" t="e">
        <f>VLOOKUP($B$22,$B$5:$H$14,5,FALSE)</f>
        <v>#N/A</v>
      </c>
      <c r="G22" t="e">
        <f>VLOOKUP($B$22,$B$5:$H$14,6,FALSE)</f>
        <v>#N/A</v>
      </c>
      <c r="H22" t="e">
        <f>VLOOKUP($B$22,$B$5:$H$14,7,FALSE)</f>
        <v>#N/A</v>
      </c>
      <c r="J22" s="2"/>
    </row>
    <row r="23" spans="1:11" ht="16" x14ac:dyDescent="0.25">
      <c r="A23" s="2" t="s">
        <v>8</v>
      </c>
      <c r="B23" s="1" t="e">
        <f ca="1">OFFSET(A3,0,SUMPRODUCT((C22:G22&lt;=$C$18)*(D22:H22&gt;$C$18),COLUMN(B22:F22)))</f>
        <v>#N/A</v>
      </c>
      <c r="J23" s="2"/>
      <c r="K23" s="1"/>
    </row>
    <row r="24" spans="1:11" ht="16" x14ac:dyDescent="0.25">
      <c r="A24" s="2"/>
      <c r="B24" s="1"/>
      <c r="J24" s="2"/>
      <c r="K24" s="1"/>
    </row>
    <row r="25" spans="1:11" ht="16" x14ac:dyDescent="0.25">
      <c r="A25" s="5" t="s">
        <v>14</v>
      </c>
      <c r="B25" s="1"/>
      <c r="J25" s="2"/>
      <c r="K25" s="1"/>
    </row>
    <row r="26" spans="1:11" ht="16" x14ac:dyDescent="0.25">
      <c r="A26" s="2" t="s">
        <v>7</v>
      </c>
      <c r="B26" s="1" t="e">
        <f>SUMPRODUCT((B3:B13&lt;$C$19)*(B4:B14&gt;=$C$19),(B4:B14))</f>
        <v>#N/A</v>
      </c>
      <c r="C26" t="e">
        <f>VLOOKUP($B$26,$B$5:$H$14,2,FALSE)</f>
        <v>#N/A</v>
      </c>
      <c r="D26" t="e">
        <f>VLOOKUP($B$26,$B$5:$H$14,3,FALSE)</f>
        <v>#N/A</v>
      </c>
      <c r="E26" t="e">
        <f>VLOOKUP($B$26,$B$5:$H$14,4,FALSE)</f>
        <v>#N/A</v>
      </c>
      <c r="F26" t="e">
        <f>VLOOKUP($B$26,$B$5:$H$14,5,FALSE)</f>
        <v>#N/A</v>
      </c>
      <c r="G26" t="e">
        <f>VLOOKUP($B$26,$B$5:$H$14,6,FALSE)</f>
        <v>#N/A</v>
      </c>
      <c r="H26" t="e">
        <f>VLOOKUP($B$26,$B$5:$H$14,7,FALSE)</f>
        <v>#N/A</v>
      </c>
      <c r="J26" s="2"/>
    </row>
    <row r="27" spans="1:11" ht="16" x14ac:dyDescent="0.25">
      <c r="A27" s="2" t="s">
        <v>10</v>
      </c>
      <c r="B27" s="1"/>
      <c r="C27" t="e">
        <f>VLOOKUP($B$26,$K$5:$Q$14,2,FALSE)</f>
        <v>#N/A</v>
      </c>
      <c r="D27" t="e">
        <f>VLOOKUP($B$26,$K$5:$Q$14,3,FALSE)</f>
        <v>#N/A</v>
      </c>
      <c r="E27" t="e">
        <f>VLOOKUP($B$26,$K$5:$Q$14,4,FALSE)</f>
        <v>#N/A</v>
      </c>
      <c r="F27" t="e">
        <f>VLOOKUP($B$26,$K$5:$Q$14,5,FALSE)</f>
        <v>#N/A</v>
      </c>
      <c r="G27" t="e">
        <f>VLOOKUP($B$26,$K$5:$Q$14,6,FALSE)</f>
        <v>#N/A</v>
      </c>
      <c r="H27" t="e">
        <f>VLOOKUP($B$26,$K$5:$Q$14,7,FALSE)</f>
        <v>#N/A</v>
      </c>
      <c r="J27" s="2"/>
      <c r="K27" s="1"/>
    </row>
    <row r="28" spans="1:11" x14ac:dyDescent="0.2">
      <c r="A28" s="2" t="s">
        <v>6</v>
      </c>
      <c r="B28" t="e">
        <f ca="1">OFFSET(A26,0,MATCH(goal_agg,$B$3:$H$3,FALSE))</f>
        <v>#N/A</v>
      </c>
      <c r="C28" t="e">
        <f ca="1">OFFSET(A26,0,MATCH(goal_agg,$B$3:$H$3,FALSE)+1)</f>
        <v>#N/A</v>
      </c>
      <c r="D28" t="e">
        <f ca="1">CONCATENATE(TEXT(ROUND($B$28,2)*100,"0")," - ",TEXT(ROUND($C$28,2),"0%"))</f>
        <v>#N/A</v>
      </c>
    </row>
    <row r="29" spans="1:11" x14ac:dyDescent="0.2">
      <c r="A29" s="2" t="s">
        <v>9</v>
      </c>
      <c r="B29" t="e">
        <f ca="1">OFFSET(A27,0,MATCH(goal_agg,$K$3:$Q$3,FALSE))</f>
        <v>#N/A</v>
      </c>
      <c r="C29" t="e">
        <f ca="1">OFFSET(A27,0,MATCH(goal_agg,$K$3:$Q$3,FALSE)+1)</f>
        <v>#N/A</v>
      </c>
      <c r="D29" t="e">
        <f ca="1">CONCATENATE(TEXT(ROUND($B$29,2)*100,"0")," - ",TEXT(ROUND($C$29,2),"0%"))</f>
        <v>#N/A</v>
      </c>
    </row>
  </sheetData>
  <sheetProtection algorithmName="SHA-512" hashValue="cF30W9L08aNqZPQBc46uCjwupxq7tkY35jOwJ0FGMkSOpjckugPHgD/Wner/FU9GDFRt2WVSikFnIomHMKxGaw==" saltValue="iPLluHLQ0W2a8q8NLjbnAA==" spinCount="100000" sheet="1" objects="1" scenarios="1"/>
  <pageMargins left="0.7" right="0.7" top="0.75" bottom="0.75" header="0.3" footer="0.3"/>
  <pageSetup orientation="portrai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20"/>
  <sheetViews>
    <sheetView workbookViewId="0"/>
  </sheetViews>
  <sheetFormatPr baseColWidth="10" defaultColWidth="8.83203125" defaultRowHeight="15" x14ac:dyDescent="0.2"/>
  <sheetData>
    <row r="1" spans="1:2" x14ac:dyDescent="0.2">
      <c r="A1" t="s">
        <v>103</v>
      </c>
      <c r="B1" s="38" t="s">
        <v>104</v>
      </c>
    </row>
    <row r="2" spans="1:2" x14ac:dyDescent="0.2">
      <c r="A2" t="s">
        <v>106</v>
      </c>
      <c r="B2" s="38" t="s">
        <v>105</v>
      </c>
    </row>
    <row r="3" spans="1:2" x14ac:dyDescent="0.2">
      <c r="A3" t="s">
        <v>107</v>
      </c>
      <c r="B3" s="38" t="s">
        <v>108</v>
      </c>
    </row>
    <row r="4" spans="1:2" x14ac:dyDescent="0.2">
      <c r="A4" t="s">
        <v>91</v>
      </c>
      <c r="B4" s="38" t="s">
        <v>92</v>
      </c>
    </row>
    <row r="5" spans="1:2" x14ac:dyDescent="0.2">
      <c r="A5" t="s">
        <v>86</v>
      </c>
      <c r="B5" s="38" t="s">
        <v>85</v>
      </c>
    </row>
    <row r="6" spans="1:2" x14ac:dyDescent="0.2">
      <c r="A6" t="s">
        <v>93</v>
      </c>
      <c r="B6" s="38" t="s">
        <v>94</v>
      </c>
    </row>
    <row r="7" spans="1:2" x14ac:dyDescent="0.2">
      <c r="A7" t="s">
        <v>95</v>
      </c>
      <c r="B7" s="38" t="s">
        <v>96</v>
      </c>
    </row>
    <row r="8" spans="1:2" x14ac:dyDescent="0.2">
      <c r="A8" t="s">
        <v>97</v>
      </c>
      <c r="B8" s="38" t="s">
        <v>98</v>
      </c>
    </row>
    <row r="9" spans="1:2" x14ac:dyDescent="0.2">
      <c r="A9" t="s">
        <v>99</v>
      </c>
      <c r="B9" s="38" t="s">
        <v>100</v>
      </c>
    </row>
    <row r="10" spans="1:2" x14ac:dyDescent="0.2">
      <c r="A10" t="s">
        <v>102</v>
      </c>
      <c r="B10" s="38" t="s">
        <v>101</v>
      </c>
    </row>
    <row r="11" spans="1:2" x14ac:dyDescent="0.2">
      <c r="A11" t="s">
        <v>63</v>
      </c>
      <c r="B11" s="38" t="s">
        <v>53</v>
      </c>
    </row>
    <row r="12" spans="1:2" x14ac:dyDescent="0.2">
      <c r="A12" t="s">
        <v>64</v>
      </c>
      <c r="B12" s="38" t="s">
        <v>54</v>
      </c>
    </row>
    <row r="13" spans="1:2" x14ac:dyDescent="0.2">
      <c r="A13" t="s">
        <v>65</v>
      </c>
      <c r="B13" s="38" t="s">
        <v>55</v>
      </c>
    </row>
    <row r="14" spans="1:2" x14ac:dyDescent="0.2">
      <c r="A14" t="s">
        <v>66</v>
      </c>
      <c r="B14" s="38" t="s">
        <v>56</v>
      </c>
    </row>
    <row r="15" spans="1:2" x14ac:dyDescent="0.2">
      <c r="A15" t="s">
        <v>67</v>
      </c>
      <c r="B15" s="38" t="s">
        <v>57</v>
      </c>
    </row>
    <row r="16" spans="1:2" x14ac:dyDescent="0.2">
      <c r="A16" t="s">
        <v>68</v>
      </c>
      <c r="B16" s="38" t="s">
        <v>58</v>
      </c>
    </row>
    <row r="17" spans="1:2" x14ac:dyDescent="0.2">
      <c r="A17" t="s">
        <v>69</v>
      </c>
      <c r="B17" s="38" t="s">
        <v>59</v>
      </c>
    </row>
    <row r="18" spans="1:2" x14ac:dyDescent="0.2">
      <c r="A18" t="s">
        <v>70</v>
      </c>
      <c r="B18" s="38" t="s">
        <v>60</v>
      </c>
    </row>
    <row r="19" spans="1:2" x14ac:dyDescent="0.2">
      <c r="A19" t="s">
        <v>71</v>
      </c>
      <c r="B19" s="38" t="s">
        <v>61</v>
      </c>
    </row>
    <row r="20" spans="1:2" x14ac:dyDescent="0.2">
      <c r="A20" t="s">
        <v>72</v>
      </c>
      <c r="B20" s="38" t="s">
        <v>62</v>
      </c>
    </row>
  </sheetData>
  <sheetProtection algorithmName="SHA-512" hashValue="z3WZjiHQ02Z4KcbDArOuQZIJaboXHYlHO+cjfmObJqtzMG4yI79I0qh8AnqtRKH2mdL0U+SgAwsuvJ9sa9Oa3A==" saltValue="MOAKo8MZc+OFNfiUFSseew==" spinCount="100000" sheet="1" objects="1" scenarios="1"/>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Q29"/>
  <sheetViews>
    <sheetView workbookViewId="0">
      <selection activeCell="N22" sqref="N22"/>
    </sheetView>
  </sheetViews>
  <sheetFormatPr baseColWidth="10" defaultColWidth="8.83203125" defaultRowHeight="15" x14ac:dyDescent="0.2"/>
  <cols>
    <col min="1" max="1" width="18.5" bestFit="1" customWidth="1"/>
    <col min="4" max="4" width="9.6640625" bestFit="1" customWidth="1"/>
  </cols>
  <sheetData>
    <row r="1" spans="2:17" x14ac:dyDescent="0.2">
      <c r="B1" t="s">
        <v>11</v>
      </c>
      <c r="K1" t="s">
        <v>12</v>
      </c>
    </row>
    <row r="3" spans="2:17" x14ac:dyDescent="0.2">
      <c r="B3" s="4" t="s">
        <v>5</v>
      </c>
      <c r="C3" s="4" t="s">
        <v>35</v>
      </c>
      <c r="D3" s="4" t="s">
        <v>19</v>
      </c>
      <c r="E3" s="4" t="s">
        <v>0</v>
      </c>
      <c r="F3" s="4" t="s">
        <v>20</v>
      </c>
      <c r="G3" s="4" t="s">
        <v>36</v>
      </c>
      <c r="H3" s="4"/>
      <c r="K3" s="4" t="s">
        <v>5</v>
      </c>
      <c r="L3" s="4" t="s">
        <v>18</v>
      </c>
      <c r="M3" s="4" t="s">
        <v>19</v>
      </c>
      <c r="N3" s="4" t="s">
        <v>0</v>
      </c>
      <c r="O3" s="4" t="s">
        <v>20</v>
      </c>
      <c r="P3" s="4" t="s">
        <v>36</v>
      </c>
      <c r="Q3" s="4"/>
    </row>
    <row r="4" spans="2:17" x14ac:dyDescent="0.2">
      <c r="B4" s="4">
        <v>0</v>
      </c>
      <c r="C4" s="4"/>
      <c r="D4" s="4"/>
      <c r="E4" s="4"/>
      <c r="F4" s="4"/>
      <c r="G4" s="4"/>
      <c r="H4" s="4"/>
      <c r="K4" s="4">
        <v>0</v>
      </c>
      <c r="L4" s="4"/>
      <c r="M4" s="4"/>
      <c r="N4" s="4"/>
      <c r="O4" s="4"/>
      <c r="P4" s="4"/>
      <c r="Q4" s="4"/>
    </row>
    <row r="5" spans="2:17" ht="16" x14ac:dyDescent="0.25">
      <c r="B5" s="4">
        <v>0.3</v>
      </c>
      <c r="C5" s="4">
        <v>0</v>
      </c>
      <c r="D5" s="4">
        <v>0.39784946236559099</v>
      </c>
      <c r="E5" s="4">
        <v>0.45936395759717302</v>
      </c>
      <c r="F5" s="4">
        <v>0.53741496598639404</v>
      </c>
      <c r="G5" s="4">
        <v>0.61325966850828695</v>
      </c>
      <c r="H5" s="3">
        <v>1</v>
      </c>
      <c r="I5" s="1"/>
      <c r="K5" s="4">
        <v>0.3</v>
      </c>
      <c r="L5" s="4">
        <v>0</v>
      </c>
      <c r="M5" s="4">
        <v>0.30476190476190401</v>
      </c>
      <c r="N5" s="4">
        <v>0.35199999999999998</v>
      </c>
      <c r="O5" s="4">
        <v>0.39506172839506098</v>
      </c>
      <c r="P5" s="4">
        <v>0.48226950354609899</v>
      </c>
      <c r="Q5" s="3">
        <v>1</v>
      </c>
    </row>
    <row r="6" spans="2:17" ht="16" x14ac:dyDescent="0.25">
      <c r="B6" s="4">
        <v>0.4</v>
      </c>
      <c r="C6" s="4">
        <v>0</v>
      </c>
      <c r="D6" s="4">
        <v>0.47590361445783103</v>
      </c>
      <c r="E6" s="4">
        <v>0.53892215568862201</v>
      </c>
      <c r="F6" s="4">
        <v>0.59433962264150897</v>
      </c>
      <c r="G6" s="4">
        <v>0.66666666666666596</v>
      </c>
      <c r="H6" s="3">
        <v>1</v>
      </c>
      <c r="I6" s="1"/>
      <c r="K6" s="4">
        <v>0.4</v>
      </c>
      <c r="L6" s="4">
        <v>0</v>
      </c>
      <c r="M6" s="4">
        <v>0.376811594202898</v>
      </c>
      <c r="N6" s="4">
        <v>0.434285714285714</v>
      </c>
      <c r="O6" s="4">
        <v>0.490566037735849</v>
      </c>
      <c r="P6" s="4">
        <v>0.54857142857142804</v>
      </c>
      <c r="Q6" s="3">
        <v>1</v>
      </c>
    </row>
    <row r="7" spans="2:17" ht="16" x14ac:dyDescent="0.25">
      <c r="B7" s="4">
        <v>0.45</v>
      </c>
      <c r="C7" s="4">
        <v>0</v>
      </c>
      <c r="D7" s="4">
        <v>0.53448275862068895</v>
      </c>
      <c r="E7" s="4">
        <v>0.60106382978723405</v>
      </c>
      <c r="F7" s="4">
        <v>0.65178571428571397</v>
      </c>
      <c r="G7" s="4">
        <v>0.72881355932203296</v>
      </c>
      <c r="H7" s="3">
        <v>1</v>
      </c>
      <c r="I7" s="1"/>
      <c r="K7" s="4">
        <v>0.45</v>
      </c>
      <c r="L7" s="4">
        <v>0</v>
      </c>
      <c r="M7" s="4">
        <v>0.44897959183673403</v>
      </c>
      <c r="N7" s="4">
        <v>0.50662251655629098</v>
      </c>
      <c r="O7" s="4">
        <v>0.56226415094339599</v>
      </c>
      <c r="P7" s="4">
        <v>0.63228699551569501</v>
      </c>
      <c r="Q7" s="3">
        <v>1</v>
      </c>
    </row>
    <row r="8" spans="2:17" ht="16" x14ac:dyDescent="0.25">
      <c r="B8" s="4">
        <v>0.5</v>
      </c>
      <c r="C8" s="4">
        <v>0</v>
      </c>
      <c r="D8" s="4">
        <v>0.56999999999999995</v>
      </c>
      <c r="E8" s="4">
        <v>0.62987012987012903</v>
      </c>
      <c r="F8" s="4">
        <v>0.69298245614035003</v>
      </c>
      <c r="G8" s="4">
        <v>0.74509803921568596</v>
      </c>
      <c r="H8" s="3">
        <v>1</v>
      </c>
      <c r="I8" s="1"/>
      <c r="K8" s="4">
        <v>0.5</v>
      </c>
      <c r="L8" s="4">
        <v>0</v>
      </c>
      <c r="M8" s="4">
        <v>0.49074074074073998</v>
      </c>
      <c r="N8" s="4">
        <v>0.55200000000000005</v>
      </c>
      <c r="O8" s="4">
        <v>0.60465116279069697</v>
      </c>
      <c r="P8" s="4">
        <v>0.66071428571428503</v>
      </c>
      <c r="Q8" s="3">
        <v>1</v>
      </c>
    </row>
    <row r="9" spans="2:17" ht="16" x14ac:dyDescent="0.25">
      <c r="B9" s="4">
        <v>0.55000000000000004</v>
      </c>
      <c r="C9" s="4">
        <v>0</v>
      </c>
      <c r="D9" s="4">
        <v>0.58620689655172398</v>
      </c>
      <c r="E9" s="4">
        <v>0.65217391304347805</v>
      </c>
      <c r="F9" s="4">
        <v>0.70854271356783904</v>
      </c>
      <c r="G9" s="4">
        <v>0.76388888888888795</v>
      </c>
      <c r="H9" s="3">
        <v>1</v>
      </c>
      <c r="I9" s="1"/>
      <c r="K9" s="4">
        <v>0.55000000000000004</v>
      </c>
      <c r="L9" s="4">
        <v>0</v>
      </c>
      <c r="M9" s="4">
        <v>0.52419354838709598</v>
      </c>
      <c r="N9" s="4">
        <v>0.58620689655172398</v>
      </c>
      <c r="O9" s="4">
        <v>0.63851351351351304</v>
      </c>
      <c r="P9" s="4">
        <v>0.68786127167629996</v>
      </c>
      <c r="Q9" s="3">
        <v>1</v>
      </c>
    </row>
    <row r="10" spans="2:17" ht="16" x14ac:dyDescent="0.25">
      <c r="B10" s="4">
        <v>0.6</v>
      </c>
      <c r="C10" s="4">
        <v>0</v>
      </c>
      <c r="D10" s="4">
        <v>0.63392857142857095</v>
      </c>
      <c r="E10" s="4">
        <v>0.69662921348314599</v>
      </c>
      <c r="F10" s="4">
        <v>0.73584905660377298</v>
      </c>
      <c r="G10" s="4">
        <v>0.79047619047619</v>
      </c>
      <c r="H10" s="3">
        <v>1</v>
      </c>
      <c r="I10" s="1"/>
      <c r="K10" s="4">
        <v>0.6</v>
      </c>
      <c r="L10" s="4">
        <v>0</v>
      </c>
      <c r="M10" s="4">
        <v>0.56756756756756699</v>
      </c>
      <c r="N10" s="4">
        <v>0.62765957446808496</v>
      </c>
      <c r="O10" s="4">
        <v>0.67664670658682602</v>
      </c>
      <c r="P10" s="4">
        <v>0.73076923076922995</v>
      </c>
      <c r="Q10" s="3">
        <v>1</v>
      </c>
    </row>
    <row r="11" spans="2:17" ht="16" x14ac:dyDescent="0.25">
      <c r="B11" s="4">
        <v>0.7</v>
      </c>
      <c r="C11" s="4">
        <v>0</v>
      </c>
      <c r="D11" s="4">
        <v>0.68348623853210999</v>
      </c>
      <c r="E11" s="4">
        <v>0.73770491803278604</v>
      </c>
      <c r="F11" s="4">
        <v>0.78160919540229801</v>
      </c>
      <c r="G11" s="4">
        <v>0.82978723404255295</v>
      </c>
      <c r="H11" s="3">
        <v>1</v>
      </c>
      <c r="I11" s="1"/>
      <c r="K11" s="4">
        <v>0.7</v>
      </c>
      <c r="L11" s="4">
        <v>0</v>
      </c>
      <c r="M11" s="4">
        <v>0.63013698630136905</v>
      </c>
      <c r="N11" s="4">
        <v>0.68493150684931503</v>
      </c>
      <c r="O11" s="4">
        <v>0.73015873015873001</v>
      </c>
      <c r="P11" s="4">
        <v>0.77889447236180898</v>
      </c>
      <c r="Q11" s="3">
        <v>1</v>
      </c>
    </row>
    <row r="12" spans="2:17" ht="16" x14ac:dyDescent="0.25">
      <c r="B12" s="4">
        <v>0.8</v>
      </c>
      <c r="C12" s="4">
        <v>0</v>
      </c>
      <c r="D12" s="4">
        <v>0.74013157894736803</v>
      </c>
      <c r="E12" s="4">
        <v>0.79470198675496595</v>
      </c>
      <c r="F12" s="4">
        <v>0.83928571428571397</v>
      </c>
      <c r="G12" s="4">
        <v>0.87982832618025697</v>
      </c>
      <c r="H12" s="3">
        <v>1</v>
      </c>
      <c r="I12" s="1"/>
      <c r="K12" s="4">
        <v>0.8</v>
      </c>
      <c r="L12" s="4">
        <v>0</v>
      </c>
      <c r="M12" s="4">
        <v>0.71341463414634099</v>
      </c>
      <c r="N12" s="4">
        <v>0.76271186440677896</v>
      </c>
      <c r="O12" s="4">
        <v>0.79824561403508698</v>
      </c>
      <c r="P12" s="4">
        <v>0.84459459459459396</v>
      </c>
      <c r="Q12" s="3">
        <v>1</v>
      </c>
    </row>
    <row r="13" spans="2:17" ht="16" x14ac:dyDescent="0.25">
      <c r="B13" s="4">
        <v>0.9</v>
      </c>
      <c r="C13" s="4">
        <v>0</v>
      </c>
      <c r="D13" s="4">
        <v>0.82352941176470495</v>
      </c>
      <c r="E13" s="4">
        <v>0.86516853932584203</v>
      </c>
      <c r="F13" s="4">
        <v>0.89714285714285702</v>
      </c>
      <c r="G13" s="4">
        <v>0.92233009708737801</v>
      </c>
      <c r="H13" s="3">
        <v>1</v>
      </c>
      <c r="I13" s="1"/>
      <c r="K13" s="4">
        <v>0.9</v>
      </c>
      <c r="L13" s="4">
        <v>0</v>
      </c>
      <c r="M13" s="4">
        <v>0.80745341614906796</v>
      </c>
      <c r="N13" s="4">
        <v>0.84269662921348298</v>
      </c>
      <c r="O13" s="4">
        <v>0.86772486772486701</v>
      </c>
      <c r="P13" s="4">
        <v>0.90169491525423695</v>
      </c>
      <c r="Q13" s="3">
        <v>1</v>
      </c>
    </row>
    <row r="14" spans="2:17" ht="16" x14ac:dyDescent="0.25">
      <c r="B14" s="4">
        <v>1</v>
      </c>
      <c r="C14" s="4">
        <v>0</v>
      </c>
      <c r="D14" s="4">
        <v>0.89705882352941102</v>
      </c>
      <c r="E14" s="4">
        <v>0.91538461538461502</v>
      </c>
      <c r="F14" s="4">
        <v>0.94416243654822296</v>
      </c>
      <c r="G14" s="4">
        <v>0.95789473684210502</v>
      </c>
      <c r="H14" s="3">
        <v>1</v>
      </c>
      <c r="I14" s="1"/>
      <c r="K14" s="4">
        <v>1</v>
      </c>
      <c r="L14" s="4">
        <v>0</v>
      </c>
      <c r="M14" s="4">
        <v>0.86697247706421998</v>
      </c>
      <c r="N14" s="4">
        <v>0.9</v>
      </c>
      <c r="O14" s="4">
        <v>0.91818181818181799</v>
      </c>
      <c r="P14" s="4">
        <v>0.95</v>
      </c>
      <c r="Q14" s="3">
        <v>1</v>
      </c>
    </row>
    <row r="15" spans="2:17" ht="16" x14ac:dyDescent="0.25">
      <c r="B15" s="6"/>
      <c r="C15" s="6"/>
      <c r="D15" s="6"/>
      <c r="E15" s="6"/>
      <c r="F15" s="6"/>
      <c r="G15" s="6"/>
      <c r="H15" s="7"/>
      <c r="I15" s="1"/>
      <c r="K15" s="6"/>
      <c r="L15" s="6"/>
      <c r="M15" s="6"/>
      <c r="N15" s="6"/>
      <c r="O15" s="6"/>
      <c r="P15" s="6"/>
      <c r="Q15" s="7"/>
    </row>
    <row r="16" spans="2:17" ht="16" x14ac:dyDescent="0.25">
      <c r="B16" s="6"/>
      <c r="C16" s="6"/>
      <c r="D16" s="6"/>
      <c r="E16" s="6"/>
      <c r="F16" s="6"/>
      <c r="G16" s="6"/>
      <c r="H16" s="7"/>
      <c r="I16" s="1"/>
      <c r="K16" s="6"/>
      <c r="L16" s="6"/>
      <c r="M16" s="6"/>
      <c r="N16" s="6"/>
      <c r="O16" s="6"/>
      <c r="P16" s="6"/>
      <c r="Q16" s="7"/>
    </row>
    <row r="17" spans="1:11" x14ac:dyDescent="0.2">
      <c r="A17" t="s">
        <v>15</v>
      </c>
      <c r="B17" t="e">
        <f>IF(BOY_agg="",NA(),BOY_agg)</f>
        <v>#N/A</v>
      </c>
      <c r="C17" t="e">
        <f>IF(OR(B17="",B17&lt;0,B17&gt;1),NA(),IF(B17=0,0.001,B17))</f>
        <v>#N/A</v>
      </c>
    </row>
    <row r="18" spans="1:11" x14ac:dyDescent="0.2">
      <c r="A18" t="s">
        <v>16</v>
      </c>
      <c r="B18" t="e">
        <f>IF(EOY_agg="",NA(),EOY_agg)</f>
        <v>#N/A</v>
      </c>
      <c r="C18" t="e">
        <f>IF(OR(B18="",B18&lt;0,B18&gt;1),NA(),IF(B18=1,0.999,B18))</f>
        <v>#N/A</v>
      </c>
    </row>
    <row r="19" spans="1:11" x14ac:dyDescent="0.2">
      <c r="A19" t="s">
        <v>17</v>
      </c>
      <c r="B19" t="e">
        <f>IF(goal_BOY_agg="",NA(),goal_BOY_agg)</f>
        <v>#N/A</v>
      </c>
      <c r="C19" t="e">
        <f>IF(OR(B19="",B19&lt;0,B19&gt;1),NA(),IF(B19=0,0.001,B19))</f>
        <v>#N/A</v>
      </c>
    </row>
    <row r="21" spans="1:11" x14ac:dyDescent="0.2">
      <c r="A21" s="5" t="s">
        <v>13</v>
      </c>
    </row>
    <row r="22" spans="1:11" ht="16" x14ac:dyDescent="0.25">
      <c r="A22" s="2" t="s">
        <v>7</v>
      </c>
      <c r="B22" s="1" t="e">
        <f>SUMPRODUCT((B3:B13&lt;$C$17)*(B4:B14&gt;=$C$17),(B4:B14))</f>
        <v>#N/A</v>
      </c>
      <c r="C22" t="e">
        <f>VLOOKUP($B$22,$B$5:$H$14,2,FALSE)</f>
        <v>#N/A</v>
      </c>
      <c r="D22" t="e">
        <f>VLOOKUP($B$22,$B$5:$H$14,3,FALSE)</f>
        <v>#N/A</v>
      </c>
      <c r="E22" t="e">
        <f>VLOOKUP($B$22,$B$5:$H$14,4,FALSE)</f>
        <v>#N/A</v>
      </c>
      <c r="F22" t="e">
        <f>VLOOKUP($B$22,$B$5:$H$14,5,FALSE)</f>
        <v>#N/A</v>
      </c>
      <c r="G22" t="e">
        <f>VLOOKUP($B$22,$B$5:$H$14,6,FALSE)</f>
        <v>#N/A</v>
      </c>
      <c r="H22" t="e">
        <f>VLOOKUP($B$22,$B$5:$H$14,7,FALSE)</f>
        <v>#N/A</v>
      </c>
      <c r="K22" s="1"/>
    </row>
    <row r="23" spans="1:11" ht="16" x14ac:dyDescent="0.25">
      <c r="A23" s="2" t="s">
        <v>8</v>
      </c>
      <c r="B23" s="1" t="e">
        <f ca="1">OFFSET(A3,0,SUMPRODUCT((C22:G22&lt;=$C$18)*(D22:H22&gt;$C$18),COLUMN(B22:F22)))</f>
        <v>#N/A</v>
      </c>
      <c r="J23" s="2"/>
      <c r="K23" s="1"/>
    </row>
    <row r="24" spans="1:11" ht="16" x14ac:dyDescent="0.25">
      <c r="A24" s="2"/>
      <c r="B24" s="1"/>
      <c r="J24" s="2"/>
      <c r="K24" s="1"/>
    </row>
    <row r="25" spans="1:11" ht="16" x14ac:dyDescent="0.25">
      <c r="A25" s="5" t="s">
        <v>14</v>
      </c>
      <c r="B25" s="1"/>
      <c r="J25" s="2"/>
    </row>
    <row r="26" spans="1:11" ht="16" x14ac:dyDescent="0.25">
      <c r="A26" s="2" t="s">
        <v>7</v>
      </c>
      <c r="B26" s="1" t="e">
        <f>SUMPRODUCT((B3:B13&lt;$C$19)*(B4:B14&gt;=$C$19),(B4:B14))</f>
        <v>#N/A</v>
      </c>
      <c r="C26" t="e">
        <f>VLOOKUP($B$26,$B$5:$H$14,2,FALSE)</f>
        <v>#N/A</v>
      </c>
      <c r="D26" t="e">
        <f>VLOOKUP($B$26,$B$5:$H$14,3,FALSE)</f>
        <v>#N/A</v>
      </c>
      <c r="E26" t="e">
        <f>VLOOKUP($B$26,$B$5:$H$14,4,FALSE)</f>
        <v>#N/A</v>
      </c>
      <c r="F26" t="e">
        <f>VLOOKUP($B$26,$B$5:$H$14,5,FALSE)</f>
        <v>#N/A</v>
      </c>
      <c r="G26" t="e">
        <f>VLOOKUP($B$26,$B$5:$H$14,6,FALSE)</f>
        <v>#N/A</v>
      </c>
      <c r="H26" t="e">
        <f>VLOOKUP($B$26,$B$5:$H$14,7,FALSE)</f>
        <v>#N/A</v>
      </c>
      <c r="J26" s="2"/>
      <c r="K26" s="1"/>
    </row>
    <row r="27" spans="1:11" ht="16" x14ac:dyDescent="0.25">
      <c r="A27" s="2" t="s">
        <v>10</v>
      </c>
      <c r="B27" s="1"/>
      <c r="C27" t="e">
        <f>VLOOKUP($B$26,$K$5:$Q$14,2,FALSE)</f>
        <v>#N/A</v>
      </c>
      <c r="D27" t="e">
        <f>VLOOKUP($B$26,$K$5:$Q$14,3,FALSE)</f>
        <v>#N/A</v>
      </c>
      <c r="E27" t="e">
        <f>VLOOKUP($B$26,$K$5:$Q$14,4,FALSE)</f>
        <v>#N/A</v>
      </c>
      <c r="F27" t="e">
        <f>VLOOKUP($B$26,$K$5:$Q$14,5,FALSE)</f>
        <v>#N/A</v>
      </c>
      <c r="G27" t="e">
        <f>VLOOKUP($B$26,$K$5:$Q$14,6,FALSE)</f>
        <v>#N/A</v>
      </c>
      <c r="H27" t="e">
        <f>VLOOKUP($B$26,$K$5:$Q$14,7,FALSE)</f>
        <v>#N/A</v>
      </c>
      <c r="J27" s="2"/>
    </row>
    <row r="28" spans="1:11" x14ac:dyDescent="0.2">
      <c r="A28" s="2" t="s">
        <v>6</v>
      </c>
      <c r="B28" t="e">
        <f ca="1">OFFSET(A26,0,MATCH(goal_agg,$B$3:$H$3,FALSE))</f>
        <v>#N/A</v>
      </c>
      <c r="C28" t="e">
        <f ca="1">OFFSET(A26,0,MATCH(goal_agg,$B$3:$H$3,FALSE)+1)</f>
        <v>#N/A</v>
      </c>
      <c r="D28" t="e">
        <f ca="1">CONCATENATE(TEXT(ROUND($B$28,2)*100,"0")," - ",TEXT(ROUND($C$28,2),"0%"))</f>
        <v>#N/A</v>
      </c>
      <c r="J28" s="2"/>
    </row>
    <row r="29" spans="1:11" x14ac:dyDescent="0.2">
      <c r="A29" s="2" t="s">
        <v>9</v>
      </c>
      <c r="B29" t="e">
        <f ca="1">OFFSET(A27,0,MATCH(goal_agg,$K$3:$Q$3,FALSE))</f>
        <v>#N/A</v>
      </c>
      <c r="C29" t="e">
        <f ca="1">OFFSET(A27,0,MATCH(goal_agg,$K$3:$Q$3,FALSE)+1)</f>
        <v>#N/A</v>
      </c>
      <c r="D29" t="e">
        <f ca="1">CONCATENATE(TEXT(ROUND($B$29,2)*100,"0")," - ",TEXT(ROUND($C$29,2),"0%"))</f>
        <v>#N/A</v>
      </c>
    </row>
  </sheetData>
  <sheetProtection algorithmName="SHA-512" hashValue="omUije4T9ZibgT8tbcXIMMvzJzEAuBp1EMQt81l60v4Fa8IMeHsLPm/nMMSKBxezfiIyXN36mFC4eQodb43yYQ==" saltValue="OsR6SJBlStkxx+8RK8pBdA==" spinCount="100000" sheet="1" objects="1" scenarios="1"/>
  <pageMargins left="0.7" right="0.7" top="0.75" bottom="0.75" header="0.3" footer="0.3"/>
  <pageSetup orientation="portrai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Q29"/>
  <sheetViews>
    <sheetView workbookViewId="0">
      <selection activeCell="K7" sqref="K7"/>
    </sheetView>
  </sheetViews>
  <sheetFormatPr baseColWidth="10" defaultColWidth="8.83203125" defaultRowHeight="15" x14ac:dyDescent="0.2"/>
  <cols>
    <col min="1" max="1" width="18.5" bestFit="1" customWidth="1"/>
    <col min="4" max="4" width="9.6640625" bestFit="1" customWidth="1"/>
  </cols>
  <sheetData>
    <row r="1" spans="2:17" x14ac:dyDescent="0.2">
      <c r="B1" t="s">
        <v>11</v>
      </c>
      <c r="K1" t="s">
        <v>12</v>
      </c>
    </row>
    <row r="3" spans="2:17" x14ac:dyDescent="0.2">
      <c r="B3" s="4" t="s">
        <v>5</v>
      </c>
      <c r="C3" s="4" t="s">
        <v>35</v>
      </c>
      <c r="D3" s="4" t="s">
        <v>19</v>
      </c>
      <c r="E3" s="4" t="s">
        <v>0</v>
      </c>
      <c r="F3" s="4" t="s">
        <v>20</v>
      </c>
      <c r="G3" s="4" t="s">
        <v>36</v>
      </c>
      <c r="H3" s="4"/>
      <c r="K3" s="4" t="s">
        <v>5</v>
      </c>
      <c r="L3" s="4" t="s">
        <v>35</v>
      </c>
      <c r="M3" s="4" t="s">
        <v>19</v>
      </c>
      <c r="N3" s="4" t="s">
        <v>0</v>
      </c>
      <c r="O3" s="4" t="s">
        <v>20</v>
      </c>
      <c r="P3" s="4" t="s">
        <v>36</v>
      </c>
      <c r="Q3" s="4"/>
    </row>
    <row r="4" spans="2:17" x14ac:dyDescent="0.2">
      <c r="B4" s="4">
        <v>0</v>
      </c>
      <c r="C4" s="4"/>
      <c r="D4" s="4"/>
      <c r="E4" s="4"/>
      <c r="F4" s="4"/>
      <c r="G4" s="4"/>
      <c r="H4" s="4"/>
      <c r="K4" s="4">
        <v>0</v>
      </c>
      <c r="L4" s="4"/>
      <c r="M4" s="4"/>
      <c r="N4" s="4"/>
      <c r="O4" s="4"/>
      <c r="P4" s="4"/>
      <c r="Q4" s="4"/>
    </row>
    <row r="5" spans="2:17" ht="16" x14ac:dyDescent="0.25">
      <c r="B5" s="4">
        <v>0.3</v>
      </c>
      <c r="C5" s="4">
        <v>0</v>
      </c>
      <c r="D5" s="44">
        <v>0.26881720430107497</v>
      </c>
      <c r="E5" s="44">
        <v>0.322033898305084</v>
      </c>
      <c r="F5" s="44">
        <v>0.38400000000000001</v>
      </c>
      <c r="G5" s="44">
        <v>0.40909090909090901</v>
      </c>
      <c r="H5" s="3">
        <v>1</v>
      </c>
      <c r="I5" s="1"/>
      <c r="K5" s="4">
        <v>0.3</v>
      </c>
      <c r="L5" s="4">
        <v>0</v>
      </c>
      <c r="M5" s="44">
        <v>0.231527093596059</v>
      </c>
      <c r="N5" s="44">
        <v>0.27184466019417403</v>
      </c>
      <c r="O5" s="44">
        <v>0.29957805907172902</v>
      </c>
      <c r="P5" s="44">
        <v>0.35915492957746398</v>
      </c>
      <c r="Q5" s="3">
        <v>1</v>
      </c>
    </row>
    <row r="6" spans="2:17" ht="16" x14ac:dyDescent="0.25">
      <c r="B6" s="4">
        <v>0.4</v>
      </c>
      <c r="C6" s="4">
        <v>0</v>
      </c>
      <c r="D6" s="44">
        <v>0.35096153846153799</v>
      </c>
      <c r="E6" s="44">
        <v>0.39910313901345201</v>
      </c>
      <c r="F6" s="44">
        <v>0.45544554455445502</v>
      </c>
      <c r="G6" s="44">
        <v>0.51351351351351304</v>
      </c>
      <c r="H6" s="3">
        <v>1</v>
      </c>
      <c r="I6" s="1"/>
      <c r="K6" s="4">
        <v>0.4</v>
      </c>
      <c r="L6" s="4">
        <v>0</v>
      </c>
      <c r="M6" s="44">
        <v>0.329670329670329</v>
      </c>
      <c r="N6" s="44">
        <v>0.38260869565217298</v>
      </c>
      <c r="O6" s="44">
        <v>0.41791044776119401</v>
      </c>
      <c r="P6" s="44">
        <v>0.47826086956521702</v>
      </c>
      <c r="Q6" s="3">
        <v>1</v>
      </c>
    </row>
    <row r="7" spans="2:17" ht="16" x14ac:dyDescent="0.25">
      <c r="B7" s="4">
        <v>0.45</v>
      </c>
      <c r="C7" s="4">
        <v>0</v>
      </c>
      <c r="D7" s="44">
        <v>0.42045454545454503</v>
      </c>
      <c r="E7" s="44">
        <v>0.46103896103896103</v>
      </c>
      <c r="F7" s="44">
        <v>0.490566037735849</v>
      </c>
      <c r="G7" s="44">
        <v>0.52908587257617701</v>
      </c>
      <c r="H7" s="3">
        <v>1</v>
      </c>
      <c r="I7" s="1"/>
      <c r="K7" s="4">
        <v>0.45</v>
      </c>
      <c r="L7" s="4">
        <v>0</v>
      </c>
      <c r="M7" s="44">
        <v>0.39743589743589702</v>
      </c>
      <c r="N7" s="44">
        <v>0.42384105960264901</v>
      </c>
      <c r="O7" s="44">
        <v>0.45333333333333298</v>
      </c>
      <c r="P7" s="44">
        <v>0.49473684210526298</v>
      </c>
      <c r="Q7" s="3">
        <v>1</v>
      </c>
    </row>
    <row r="8" spans="2:17" ht="16" x14ac:dyDescent="0.25">
      <c r="B8" s="4">
        <v>0.5</v>
      </c>
      <c r="C8" s="4">
        <v>0</v>
      </c>
      <c r="D8" s="44">
        <v>0.46017699115044203</v>
      </c>
      <c r="E8" s="44">
        <v>0.50617283950617198</v>
      </c>
      <c r="F8" s="44">
        <v>0.54887218045112696</v>
      </c>
      <c r="G8" s="44">
        <v>0.58957654723126995</v>
      </c>
      <c r="H8" s="3">
        <v>1</v>
      </c>
      <c r="I8" s="1"/>
      <c r="K8" s="4">
        <v>0.5</v>
      </c>
      <c r="L8" s="4">
        <v>0</v>
      </c>
      <c r="M8" s="44">
        <v>0.465034965034965</v>
      </c>
      <c r="N8" s="44">
        <v>0.49315068493150599</v>
      </c>
      <c r="O8" s="44">
        <v>0.52702702702702697</v>
      </c>
      <c r="P8" s="44">
        <v>0.55238095238095197</v>
      </c>
      <c r="Q8" s="3">
        <v>1</v>
      </c>
    </row>
    <row r="9" spans="2:17" ht="16" x14ac:dyDescent="0.25">
      <c r="B9" s="4">
        <v>0.55000000000000004</v>
      </c>
      <c r="C9" s="4">
        <v>0</v>
      </c>
      <c r="D9" s="44">
        <v>0.51764705882352902</v>
      </c>
      <c r="E9" s="44">
        <v>0.55528846153846101</v>
      </c>
      <c r="F9" s="44">
        <v>0.58563535911602205</v>
      </c>
      <c r="G9" s="44">
        <v>0.63350785340314097</v>
      </c>
      <c r="H9" s="3">
        <v>1</v>
      </c>
      <c r="I9" s="1"/>
      <c r="K9" s="4">
        <v>0.55000000000000004</v>
      </c>
      <c r="L9" s="4">
        <v>0</v>
      </c>
      <c r="M9" s="44">
        <v>0.50624999999999998</v>
      </c>
      <c r="N9" s="44">
        <v>0.54393305439330497</v>
      </c>
      <c r="O9" s="44">
        <v>0.57068062827225097</v>
      </c>
      <c r="P9" s="44">
        <v>0.60687022900763299</v>
      </c>
      <c r="Q9" s="3">
        <v>1</v>
      </c>
    </row>
    <row r="10" spans="2:17" ht="16" x14ac:dyDescent="0.25">
      <c r="B10" s="4">
        <v>0.6</v>
      </c>
      <c r="C10" s="4">
        <v>0</v>
      </c>
      <c r="D10" s="44">
        <v>0.55691056910569103</v>
      </c>
      <c r="E10" s="44">
        <v>0.59602649006622499</v>
      </c>
      <c r="F10" s="44">
        <v>0.63228699551569501</v>
      </c>
      <c r="G10" s="44">
        <v>0.67136150234741698</v>
      </c>
      <c r="H10" s="3">
        <v>1</v>
      </c>
      <c r="I10" s="1"/>
      <c r="K10" s="4">
        <v>0.6</v>
      </c>
      <c r="L10" s="4">
        <v>0</v>
      </c>
      <c r="M10" s="44">
        <v>0.54618473895582298</v>
      </c>
      <c r="N10" s="44">
        <v>0.58602150537634401</v>
      </c>
      <c r="O10" s="44">
        <v>0.61188811188811099</v>
      </c>
      <c r="P10" s="44">
        <v>0.65079365079365004</v>
      </c>
      <c r="Q10" s="3">
        <v>1</v>
      </c>
    </row>
    <row r="11" spans="2:17" ht="16" x14ac:dyDescent="0.25">
      <c r="B11" s="4">
        <v>0.7</v>
      </c>
      <c r="C11" s="4">
        <v>0</v>
      </c>
      <c r="D11" s="44">
        <v>0.6328125</v>
      </c>
      <c r="E11" s="44">
        <v>0.67175572519083904</v>
      </c>
      <c r="F11" s="44">
        <v>0.70175438596491202</v>
      </c>
      <c r="G11" s="44">
        <v>0.73863636363636298</v>
      </c>
      <c r="H11" s="3">
        <v>1</v>
      </c>
      <c r="I11" s="1"/>
      <c r="K11" s="4">
        <v>0.7</v>
      </c>
      <c r="L11" s="4">
        <v>0</v>
      </c>
      <c r="M11" s="44">
        <v>0.61904761904761896</v>
      </c>
      <c r="N11" s="44">
        <v>0.658415841584158</v>
      </c>
      <c r="O11" s="44">
        <v>0.68571428571428505</v>
      </c>
      <c r="P11" s="44">
        <v>0.71889400921658897</v>
      </c>
      <c r="Q11" s="3">
        <v>1</v>
      </c>
    </row>
    <row r="12" spans="2:17" ht="16" x14ac:dyDescent="0.25">
      <c r="B12" s="4">
        <v>0.8</v>
      </c>
      <c r="C12" s="4">
        <v>0</v>
      </c>
      <c r="D12" s="44">
        <v>0.72767857142857095</v>
      </c>
      <c r="E12" s="44">
        <v>0.76351351351351304</v>
      </c>
      <c r="F12" s="44">
        <v>0.79139072847682101</v>
      </c>
      <c r="G12" s="44">
        <v>0.82165605095541405</v>
      </c>
      <c r="H12" s="3">
        <v>1</v>
      </c>
      <c r="I12" s="1"/>
      <c r="K12" s="4">
        <v>0.8</v>
      </c>
      <c r="L12" s="4">
        <v>0</v>
      </c>
      <c r="M12" s="44">
        <v>0.71751412429378503</v>
      </c>
      <c r="N12" s="44">
        <v>0.75119617224880297</v>
      </c>
      <c r="O12" s="44">
        <v>0.777464788732394</v>
      </c>
      <c r="P12" s="44">
        <v>0.80701754385964897</v>
      </c>
      <c r="Q12" s="3">
        <v>1</v>
      </c>
    </row>
    <row r="13" spans="2:17" ht="16" x14ac:dyDescent="0.25">
      <c r="B13" s="4">
        <v>0.9</v>
      </c>
      <c r="C13" s="4">
        <v>0</v>
      </c>
      <c r="D13" s="44">
        <v>0.82101167315175005</v>
      </c>
      <c r="E13" s="44">
        <v>0.84697508896797102</v>
      </c>
      <c r="F13" s="44">
        <v>0.87347931873479301</v>
      </c>
      <c r="G13" s="44">
        <v>0.90277777777777701</v>
      </c>
      <c r="H13" s="3">
        <v>1</v>
      </c>
      <c r="I13" s="1"/>
      <c r="K13" s="4">
        <v>0.9</v>
      </c>
      <c r="L13" s="4">
        <v>0</v>
      </c>
      <c r="M13" s="44">
        <v>0.81818181818181801</v>
      </c>
      <c r="N13" s="44">
        <v>0.84065934065934</v>
      </c>
      <c r="O13" s="44">
        <v>0.86786786786786696</v>
      </c>
      <c r="P13" s="44">
        <v>0.89779005524861799</v>
      </c>
      <c r="Q13" s="3">
        <v>1</v>
      </c>
    </row>
    <row r="14" spans="2:17" ht="16" x14ac:dyDescent="0.25">
      <c r="B14" s="4">
        <v>1</v>
      </c>
      <c r="C14" s="4">
        <v>0</v>
      </c>
      <c r="D14" s="44">
        <v>0.90140845070422504</v>
      </c>
      <c r="E14" s="44">
        <v>0.92800000000000005</v>
      </c>
      <c r="F14" s="44">
        <v>0.93835616438356095</v>
      </c>
      <c r="G14" s="44">
        <v>0.95454545454545403</v>
      </c>
      <c r="H14" s="3">
        <v>1</v>
      </c>
      <c r="I14" s="1"/>
      <c r="K14" s="4">
        <v>1</v>
      </c>
      <c r="L14" s="4">
        <v>0</v>
      </c>
      <c r="M14" s="44">
        <v>0.90461538461538404</v>
      </c>
      <c r="N14" s="44">
        <v>0.92006802721088399</v>
      </c>
      <c r="O14" s="44">
        <v>0.94177215189873398</v>
      </c>
      <c r="P14" s="44">
        <v>0.95584988962472395</v>
      </c>
      <c r="Q14" s="3">
        <v>1</v>
      </c>
    </row>
    <row r="15" spans="2:17" ht="16" x14ac:dyDescent="0.25">
      <c r="B15" s="6"/>
      <c r="C15" s="6"/>
      <c r="D15" s="6"/>
      <c r="E15" s="6"/>
      <c r="F15" s="6"/>
      <c r="G15" s="6"/>
      <c r="H15" s="7"/>
      <c r="I15" s="1"/>
      <c r="K15" s="6"/>
      <c r="L15" s="6"/>
      <c r="M15" s="6"/>
      <c r="N15" s="6"/>
      <c r="O15" s="6"/>
      <c r="P15" s="6"/>
      <c r="Q15" s="7"/>
    </row>
    <row r="17" spans="1:11" x14ac:dyDescent="0.2">
      <c r="A17" t="s">
        <v>15</v>
      </c>
      <c r="B17" s="39" t="e">
        <f>IF(BOY_agg="",NA(),BOY_agg)</f>
        <v>#N/A</v>
      </c>
      <c r="C17" t="e">
        <f>IF(OR(B17="",B17&lt;0,B17&gt;1),NA(),IF(B17=0,0.001,B17))</f>
        <v>#N/A</v>
      </c>
    </row>
    <row r="18" spans="1:11" x14ac:dyDescent="0.2">
      <c r="A18" t="s">
        <v>16</v>
      </c>
      <c r="B18" t="e">
        <f>IF(EOY_agg="",NA(),EOY_agg)</f>
        <v>#N/A</v>
      </c>
      <c r="C18" t="e">
        <f>IF(OR(B18="",B18&lt;0,B18&gt;1),NA(),IF(B18=1,0.999,B18))</f>
        <v>#N/A</v>
      </c>
    </row>
    <row r="19" spans="1:11" x14ac:dyDescent="0.2">
      <c r="A19" t="s">
        <v>17</v>
      </c>
      <c r="B19" t="e">
        <f>IF(goal_BOY_agg="",NA(),goal_BOY_agg)</f>
        <v>#N/A</v>
      </c>
      <c r="C19" t="e">
        <f>IF(OR(B19="",B19&lt;0,B19&gt;1),NA(),IF(B19=0,0.001,B19))</f>
        <v>#N/A</v>
      </c>
    </row>
    <row r="21" spans="1:11" x14ac:dyDescent="0.2">
      <c r="A21" s="5" t="s">
        <v>13</v>
      </c>
    </row>
    <row r="22" spans="1:11" ht="16" x14ac:dyDescent="0.25">
      <c r="A22" s="2" t="s">
        <v>7</v>
      </c>
      <c r="B22" s="1" t="e">
        <f>SUMPRODUCT((B3:B13&lt;$C$17)*(B4:B14&gt;=$C$17),(B4:B14))</f>
        <v>#N/A</v>
      </c>
      <c r="C22" t="e">
        <f>VLOOKUP($B$22,$B$5:$H$14,2,FALSE)</f>
        <v>#N/A</v>
      </c>
      <c r="D22" t="e">
        <f>VLOOKUP($B$22,$B$5:$H$14,3,FALSE)</f>
        <v>#N/A</v>
      </c>
      <c r="E22" t="e">
        <f>VLOOKUP($B$22,$B$5:$H$14,4,FALSE)</f>
        <v>#N/A</v>
      </c>
      <c r="F22" t="e">
        <f>VLOOKUP($B$22,$B$5:$H$14,5,FALSE)</f>
        <v>#N/A</v>
      </c>
      <c r="G22" t="e">
        <f>VLOOKUP($B$22,$B$5:$H$14,6,FALSE)</f>
        <v>#N/A</v>
      </c>
      <c r="H22" t="e">
        <f>VLOOKUP($B$22,$B$5:$H$14,7,FALSE)</f>
        <v>#N/A</v>
      </c>
      <c r="J22" s="2"/>
    </row>
    <row r="23" spans="1:11" ht="16" x14ac:dyDescent="0.25">
      <c r="A23" s="2" t="s">
        <v>8</v>
      </c>
      <c r="B23" s="1" t="e">
        <f ca="1">OFFSET(A3,0,SUMPRODUCT((C22:G22&lt;=$C$18)*(D22:H22&gt;$C$18),COLUMN(B22:F22)))</f>
        <v>#N/A</v>
      </c>
      <c r="J23" s="2"/>
      <c r="K23" s="1"/>
    </row>
    <row r="24" spans="1:11" ht="16" x14ac:dyDescent="0.25">
      <c r="A24" s="2"/>
      <c r="B24" s="1"/>
      <c r="J24" s="2"/>
      <c r="K24" s="1"/>
    </row>
    <row r="25" spans="1:11" ht="16" x14ac:dyDescent="0.25">
      <c r="A25" s="5" t="s">
        <v>14</v>
      </c>
      <c r="B25" s="1"/>
      <c r="J25" s="2"/>
      <c r="K25" s="1"/>
    </row>
    <row r="26" spans="1:11" ht="16" x14ac:dyDescent="0.25">
      <c r="A26" s="2" t="s">
        <v>7</v>
      </c>
      <c r="B26" s="1" t="e">
        <f>SUMPRODUCT((B3:B13&lt;$C$19)*(B4:B14&gt;=$C$19),(B4:B14))</f>
        <v>#N/A</v>
      </c>
      <c r="C26" t="e">
        <f>VLOOKUP($B$26,$B$5:$H$14,2,FALSE)</f>
        <v>#N/A</v>
      </c>
      <c r="D26" t="e">
        <f>VLOOKUP($B$26,$B$5:$H$14,3,FALSE)</f>
        <v>#N/A</v>
      </c>
      <c r="E26" t="e">
        <f>VLOOKUP($B$26,$B$5:$H$14,4,FALSE)</f>
        <v>#N/A</v>
      </c>
      <c r="F26" t="e">
        <f>VLOOKUP($B$26,$B$5:$H$14,5,FALSE)</f>
        <v>#N/A</v>
      </c>
      <c r="G26" t="e">
        <f>VLOOKUP($B$26,$B$5:$H$14,6,FALSE)</f>
        <v>#N/A</v>
      </c>
      <c r="H26" t="e">
        <f>VLOOKUP($B$26,$B$5:$H$14,7,FALSE)</f>
        <v>#N/A</v>
      </c>
      <c r="J26" s="2"/>
    </row>
    <row r="27" spans="1:11" ht="16" x14ac:dyDescent="0.25">
      <c r="A27" s="2" t="s">
        <v>10</v>
      </c>
      <c r="B27" s="1"/>
      <c r="C27" t="e">
        <f>VLOOKUP($B$26,$K$5:$Q$14,2,FALSE)</f>
        <v>#N/A</v>
      </c>
      <c r="D27" t="e">
        <f>VLOOKUP($B$26,$K$5:$Q$14,3,FALSE)</f>
        <v>#N/A</v>
      </c>
      <c r="E27" t="e">
        <f>VLOOKUP($B$26,$K$5:$Q$14,4,FALSE)</f>
        <v>#N/A</v>
      </c>
      <c r="F27" t="e">
        <f>VLOOKUP($B$26,$K$5:$Q$14,5,FALSE)</f>
        <v>#N/A</v>
      </c>
      <c r="G27" t="e">
        <f>VLOOKUP($B$26,$K$5:$Q$14,6,FALSE)</f>
        <v>#N/A</v>
      </c>
      <c r="H27" t="e">
        <f>VLOOKUP($B$26,$K$5:$Q$14,7,FALSE)</f>
        <v>#N/A</v>
      </c>
      <c r="J27" s="2"/>
      <c r="K27" s="1"/>
    </row>
    <row r="28" spans="1:11" x14ac:dyDescent="0.2">
      <c r="A28" s="2" t="s">
        <v>6</v>
      </c>
      <c r="B28" t="e">
        <f ca="1">OFFSET(A26,0,MATCH(goal_agg,$B$3:$H$3,FALSE))</f>
        <v>#N/A</v>
      </c>
      <c r="C28" t="e">
        <f ca="1">OFFSET(A26,0,MATCH(goal_agg,$B$3:$H$3,FALSE)+1)</f>
        <v>#N/A</v>
      </c>
      <c r="D28" t="e">
        <f ca="1">CONCATENATE(TEXT(ROUND($B$28,2)*100,"0")," - ",TEXT(ROUND($C$28,2),"0%"))</f>
        <v>#N/A</v>
      </c>
    </row>
    <row r="29" spans="1:11" x14ac:dyDescent="0.2">
      <c r="A29" s="2" t="s">
        <v>9</v>
      </c>
      <c r="B29" t="e">
        <f ca="1">OFFSET(A27,0,MATCH(goal_agg,$K$3:$Q$3,FALSE))</f>
        <v>#N/A</v>
      </c>
      <c r="C29" t="e">
        <f ca="1">OFFSET(A27,0,MATCH(goal_agg,$K$3:$Q$3,FALSE)+1)</f>
        <v>#N/A</v>
      </c>
      <c r="D29" t="e">
        <f ca="1">CONCATENATE(TEXT(ROUND($B$29,2)*100,"0")," - ",TEXT(ROUND($C$29,2),"0%"))</f>
        <v>#N/A</v>
      </c>
    </row>
  </sheetData>
  <sheetProtection algorithmName="SHA-512" hashValue="ZWENxUzWQDPHLnV38rE57GpAp+IZ/PZKhwFz2GQe9JdEbnvF+cbTMJO9JlGk4WBpNZovFaxKxoyr720nuICuGw==" saltValue="dQ0dOsCxyiYzimBc6vVwgQ==" spinCount="100000" sheet="1" objects="1" scenarios="1"/>
  <pageMargins left="0.7" right="0.7" top="0.75" bottom="0.75" header="0.3" footer="0.3"/>
  <pageSetup orientation="portrai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Q29"/>
  <sheetViews>
    <sheetView workbookViewId="0">
      <selection activeCell="B18" sqref="B18"/>
    </sheetView>
  </sheetViews>
  <sheetFormatPr baseColWidth="10" defaultColWidth="8.83203125" defaultRowHeight="15" x14ac:dyDescent="0.2"/>
  <cols>
    <col min="1" max="1" width="18.5" bestFit="1" customWidth="1"/>
    <col min="4" max="4" width="9.6640625" bestFit="1" customWidth="1"/>
  </cols>
  <sheetData>
    <row r="1" spans="2:17" x14ac:dyDescent="0.2">
      <c r="B1" t="s">
        <v>11</v>
      </c>
      <c r="K1" t="s">
        <v>12</v>
      </c>
    </row>
    <row r="3" spans="2:17" x14ac:dyDescent="0.2">
      <c r="B3" s="4" t="s">
        <v>5</v>
      </c>
      <c r="C3" s="4" t="s">
        <v>35</v>
      </c>
      <c r="D3" s="4" t="s">
        <v>19</v>
      </c>
      <c r="E3" s="4" t="s">
        <v>0</v>
      </c>
      <c r="F3" s="4" t="s">
        <v>20</v>
      </c>
      <c r="G3" s="4" t="s">
        <v>36</v>
      </c>
      <c r="H3" s="4"/>
      <c r="K3" s="4" t="s">
        <v>5</v>
      </c>
      <c r="L3" s="4" t="s">
        <v>35</v>
      </c>
      <c r="M3" s="4" t="s">
        <v>19</v>
      </c>
      <c r="N3" s="4" t="s">
        <v>0</v>
      </c>
      <c r="O3" s="4" t="s">
        <v>20</v>
      </c>
      <c r="P3" s="4" t="s">
        <v>36</v>
      </c>
      <c r="Q3" s="4"/>
    </row>
    <row r="4" spans="2:17" x14ac:dyDescent="0.2">
      <c r="B4" s="4">
        <v>0</v>
      </c>
      <c r="C4" s="4"/>
      <c r="D4" s="4"/>
      <c r="E4" s="4"/>
      <c r="F4" s="4"/>
      <c r="G4" s="4"/>
      <c r="H4" s="4"/>
      <c r="K4" s="4">
        <v>0</v>
      </c>
      <c r="L4" s="4"/>
      <c r="M4" s="4"/>
      <c r="N4" s="4"/>
      <c r="O4" s="4"/>
      <c r="P4" s="4"/>
      <c r="Q4" s="4"/>
    </row>
    <row r="5" spans="2:17" ht="16" x14ac:dyDescent="0.25">
      <c r="B5" s="4">
        <v>0.3</v>
      </c>
      <c r="C5" s="4">
        <v>0</v>
      </c>
      <c r="D5" s="4">
        <v>0.24817518248175099</v>
      </c>
      <c r="E5" s="4">
        <v>0.30188679245283001</v>
      </c>
      <c r="F5" s="4">
        <v>0.33333333333333298</v>
      </c>
      <c r="G5" s="4">
        <v>0.39903846153846101</v>
      </c>
      <c r="H5" s="3">
        <v>1</v>
      </c>
      <c r="I5" s="1"/>
      <c r="K5" s="4">
        <v>0.3</v>
      </c>
      <c r="L5" s="4">
        <v>0</v>
      </c>
      <c r="M5" s="4">
        <v>0.25339366515837097</v>
      </c>
      <c r="N5" s="4">
        <v>0.312925170068027</v>
      </c>
      <c r="O5" s="4">
        <v>0.34883720930232498</v>
      </c>
      <c r="P5" s="4">
        <v>0.42410714285714202</v>
      </c>
      <c r="Q5" s="3">
        <v>1</v>
      </c>
    </row>
    <row r="6" spans="2:17" ht="16" x14ac:dyDescent="0.25">
      <c r="B6" s="4">
        <v>0.4</v>
      </c>
      <c r="C6" s="4">
        <v>0</v>
      </c>
      <c r="D6" s="4">
        <v>0.37777777777777699</v>
      </c>
      <c r="E6" s="4">
        <v>0.42051282051282002</v>
      </c>
      <c r="F6" s="4">
        <v>0.45</v>
      </c>
      <c r="G6" s="4">
        <v>0.50643776824034303</v>
      </c>
      <c r="H6" s="3">
        <v>1</v>
      </c>
      <c r="I6" s="1"/>
      <c r="K6" s="4">
        <v>0.4</v>
      </c>
      <c r="L6" s="4">
        <v>0</v>
      </c>
      <c r="M6" s="4">
        <v>0.36301369863013599</v>
      </c>
      <c r="N6" s="4">
        <v>0.40449438202247101</v>
      </c>
      <c r="O6" s="4">
        <v>0.41871921182265998</v>
      </c>
      <c r="P6" s="4">
        <v>0.469135802469135</v>
      </c>
      <c r="Q6" s="3">
        <v>1</v>
      </c>
    </row>
    <row r="7" spans="2:17" ht="16" x14ac:dyDescent="0.25">
      <c r="B7" s="4">
        <v>0.45</v>
      </c>
      <c r="C7" s="4">
        <v>0</v>
      </c>
      <c r="D7" s="4">
        <v>0.43835616438356101</v>
      </c>
      <c r="E7" s="4">
        <v>0.47337278106508801</v>
      </c>
      <c r="F7" s="4">
        <v>0.50574712643678099</v>
      </c>
      <c r="G7" s="4">
        <v>0.56834532374100699</v>
      </c>
      <c r="H7" s="3">
        <v>1</v>
      </c>
      <c r="I7" s="1"/>
      <c r="K7" s="4">
        <v>0.45</v>
      </c>
      <c r="L7" s="4">
        <v>0</v>
      </c>
      <c r="M7" s="4">
        <v>0.42231075697211101</v>
      </c>
      <c r="N7" s="4">
        <v>0.45754716981131999</v>
      </c>
      <c r="O7" s="4">
        <v>0.50337837837837796</v>
      </c>
      <c r="P7" s="4">
        <v>0.54700854700854695</v>
      </c>
      <c r="Q7" s="3">
        <v>1</v>
      </c>
    </row>
    <row r="8" spans="2:17" ht="16" x14ac:dyDescent="0.25">
      <c r="B8" s="4">
        <v>0.5</v>
      </c>
      <c r="C8" s="4">
        <v>0</v>
      </c>
      <c r="D8" s="4">
        <v>0.45989304812834197</v>
      </c>
      <c r="E8" s="4">
        <v>0.51094890510948898</v>
      </c>
      <c r="F8" s="4">
        <v>0.55752212389380496</v>
      </c>
      <c r="G8" s="4">
        <v>0.59731543624160999</v>
      </c>
      <c r="H8" s="3">
        <v>1</v>
      </c>
      <c r="I8" s="1"/>
      <c r="K8" s="4">
        <v>0.5</v>
      </c>
      <c r="L8" s="4">
        <v>0</v>
      </c>
      <c r="M8" s="4">
        <v>0.46757679180887302</v>
      </c>
      <c r="N8" s="4">
        <v>0.51212938005390796</v>
      </c>
      <c r="O8" s="4">
        <v>0.53623188405797095</v>
      </c>
      <c r="P8" s="4">
        <v>0.57723577235772305</v>
      </c>
      <c r="Q8" s="3">
        <v>1</v>
      </c>
    </row>
    <row r="9" spans="2:17" ht="16" x14ac:dyDescent="0.25">
      <c r="B9" s="4">
        <v>0.55000000000000004</v>
      </c>
      <c r="C9" s="4">
        <v>0</v>
      </c>
      <c r="D9" s="4">
        <v>0.51648351648351598</v>
      </c>
      <c r="E9" s="4">
        <v>0.56953642384105896</v>
      </c>
      <c r="F9" s="4">
        <v>0.60843373493975905</v>
      </c>
      <c r="G9" s="4">
        <v>0.65205479452054704</v>
      </c>
      <c r="H9" s="3">
        <v>1</v>
      </c>
      <c r="I9" s="1"/>
      <c r="K9" s="4">
        <v>0.55000000000000004</v>
      </c>
      <c r="L9" s="4">
        <v>0</v>
      </c>
      <c r="M9" s="4">
        <v>0.52307692307692299</v>
      </c>
      <c r="N9" s="4">
        <v>0.55409836065573703</v>
      </c>
      <c r="O9" s="4">
        <v>0.58426966292134797</v>
      </c>
      <c r="P9" s="4">
        <v>0.625</v>
      </c>
      <c r="Q9" s="3">
        <v>1</v>
      </c>
    </row>
    <row r="10" spans="2:17" ht="16" x14ac:dyDescent="0.25">
      <c r="B10" s="4">
        <v>0.6</v>
      </c>
      <c r="C10" s="4">
        <v>0</v>
      </c>
      <c r="D10" s="4">
        <v>0.54954954954954904</v>
      </c>
      <c r="E10" s="4">
        <v>0.6</v>
      </c>
      <c r="F10" s="4">
        <v>0.63701067615658302</v>
      </c>
      <c r="G10" s="4">
        <v>0.68333333333333302</v>
      </c>
      <c r="H10" s="3">
        <v>1</v>
      </c>
      <c r="I10" s="1"/>
      <c r="K10" s="4">
        <v>0.6</v>
      </c>
      <c r="L10" s="4">
        <v>0</v>
      </c>
      <c r="M10" s="4">
        <v>0.54814814814814805</v>
      </c>
      <c r="N10" s="4">
        <v>0.58938547486033499</v>
      </c>
      <c r="O10" s="4">
        <v>0.62280701754385903</v>
      </c>
      <c r="P10" s="4">
        <v>0.67096774193548303</v>
      </c>
      <c r="Q10" s="3">
        <v>1</v>
      </c>
    </row>
    <row r="11" spans="2:17" ht="16" x14ac:dyDescent="0.25">
      <c r="B11" s="4">
        <v>0.7</v>
      </c>
      <c r="C11" s="4">
        <v>0</v>
      </c>
      <c r="D11" s="4">
        <v>0.63084112149532701</v>
      </c>
      <c r="E11" s="4">
        <v>0.67286245353159801</v>
      </c>
      <c r="F11" s="4">
        <v>0.71044776119402897</v>
      </c>
      <c r="G11" s="4">
        <v>0.74358974358974295</v>
      </c>
      <c r="H11" s="3">
        <v>1</v>
      </c>
      <c r="I11" s="1"/>
      <c r="K11" s="4">
        <v>0.7</v>
      </c>
      <c r="L11" s="4">
        <v>0</v>
      </c>
      <c r="M11" s="4">
        <v>0.63101604278074797</v>
      </c>
      <c r="N11" s="4">
        <v>0.66839378238341896</v>
      </c>
      <c r="O11" s="4">
        <v>0.69321533923303802</v>
      </c>
      <c r="P11" s="4">
        <v>0.72789115646258495</v>
      </c>
      <c r="Q11" s="3">
        <v>1</v>
      </c>
    </row>
    <row r="12" spans="2:17" ht="16" x14ac:dyDescent="0.25">
      <c r="B12" s="4">
        <v>0.8</v>
      </c>
      <c r="C12" s="4">
        <v>0</v>
      </c>
      <c r="D12" s="4">
        <v>0.71760797342192595</v>
      </c>
      <c r="E12" s="4">
        <v>0.75806451612903203</v>
      </c>
      <c r="F12" s="4">
        <v>0.789333333333333</v>
      </c>
      <c r="G12" s="4">
        <v>0.82242990654205606</v>
      </c>
      <c r="H12" s="3">
        <v>1</v>
      </c>
      <c r="I12" s="1"/>
      <c r="K12" s="4">
        <v>0.8</v>
      </c>
      <c r="L12" s="4">
        <v>0</v>
      </c>
      <c r="M12" s="4">
        <v>0.71612903225806401</v>
      </c>
      <c r="N12" s="4">
        <v>0.75280898876404401</v>
      </c>
      <c r="O12" s="4">
        <v>0.78037383177569997</v>
      </c>
      <c r="P12" s="4">
        <v>0.81176470588235194</v>
      </c>
      <c r="Q12" s="3">
        <v>1</v>
      </c>
    </row>
    <row r="13" spans="2:17" ht="16" x14ac:dyDescent="0.25">
      <c r="B13" s="4">
        <v>0.9</v>
      </c>
      <c r="C13" s="4">
        <v>0</v>
      </c>
      <c r="D13" s="4">
        <v>0.81512605042016795</v>
      </c>
      <c r="E13" s="4">
        <v>0.83692307692307599</v>
      </c>
      <c r="F13" s="4">
        <v>0.86772486772486701</v>
      </c>
      <c r="G13" s="4">
        <v>0.89655172413793105</v>
      </c>
      <c r="H13" s="3">
        <v>1</v>
      </c>
      <c r="I13" s="1"/>
      <c r="K13" s="4">
        <v>0.9</v>
      </c>
      <c r="L13" s="4">
        <v>0</v>
      </c>
      <c r="M13" s="4">
        <v>0.80830670926517501</v>
      </c>
      <c r="N13" s="4">
        <v>0.841880341880341</v>
      </c>
      <c r="O13" s="4">
        <v>0.86631016042780695</v>
      </c>
      <c r="P13" s="4">
        <v>0.89417989417989396</v>
      </c>
      <c r="Q13" s="3">
        <v>1</v>
      </c>
    </row>
    <row r="14" spans="2:17" ht="16" x14ac:dyDescent="0.25">
      <c r="B14" s="4">
        <v>1</v>
      </c>
      <c r="C14" s="4">
        <v>0</v>
      </c>
      <c r="D14" s="4">
        <v>0.90963855421686701</v>
      </c>
      <c r="E14" s="4">
        <v>0.91987179487179405</v>
      </c>
      <c r="F14" s="4">
        <v>0.93656716417910402</v>
      </c>
      <c r="G14" s="4">
        <v>0.96232876712328697</v>
      </c>
      <c r="H14" s="3">
        <v>1</v>
      </c>
      <c r="I14" s="1"/>
      <c r="K14" s="4">
        <v>1</v>
      </c>
      <c r="L14" s="4">
        <v>0</v>
      </c>
      <c r="M14" s="4">
        <v>0.90368271954674195</v>
      </c>
      <c r="N14" s="4">
        <v>0.91961414790996698</v>
      </c>
      <c r="O14" s="4">
        <v>0.94</v>
      </c>
      <c r="P14" s="4">
        <v>0.96277915632754296</v>
      </c>
      <c r="Q14" s="3">
        <v>1</v>
      </c>
    </row>
    <row r="15" spans="2:17" ht="16" x14ac:dyDescent="0.25">
      <c r="B15" s="6"/>
      <c r="C15" s="6"/>
      <c r="D15" s="6"/>
      <c r="E15" s="6"/>
      <c r="F15" s="6"/>
      <c r="G15" s="6"/>
      <c r="H15" s="7"/>
      <c r="I15" s="1"/>
      <c r="K15" s="6"/>
      <c r="L15" s="6"/>
      <c r="M15" s="6"/>
      <c r="N15" s="6"/>
      <c r="O15" s="6"/>
      <c r="P15" s="6"/>
      <c r="Q15" s="7"/>
    </row>
    <row r="17" spans="1:11" x14ac:dyDescent="0.2">
      <c r="A17" t="s">
        <v>15</v>
      </c>
      <c r="B17" t="e">
        <f>IF(BOY_agg="",NA(),BOY_agg)</f>
        <v>#N/A</v>
      </c>
      <c r="C17" t="e">
        <f>IF(OR(B17="",B17&lt;0,B17&gt;1),NA(),IF(B17=0,0.001,B17))</f>
        <v>#N/A</v>
      </c>
    </row>
    <row r="18" spans="1:11" x14ac:dyDescent="0.2">
      <c r="A18" t="s">
        <v>16</v>
      </c>
      <c r="B18" t="e">
        <f>IF(EOY_agg="",NA(),EOY_agg)</f>
        <v>#N/A</v>
      </c>
      <c r="C18" t="e">
        <f>IF(OR(B18="",B18&lt;0,B18&gt;1),NA(),IF(B18=1,0.999,B18))</f>
        <v>#N/A</v>
      </c>
    </row>
    <row r="19" spans="1:11" x14ac:dyDescent="0.2">
      <c r="A19" t="s">
        <v>17</v>
      </c>
      <c r="B19" t="e">
        <f>IF(goal_BOY_agg="",NA(),goal_BOY_agg)</f>
        <v>#N/A</v>
      </c>
      <c r="C19" t="e">
        <f>IF(OR(B19="",B19&lt;0,B19&gt;1),NA(),IF(B19=0,0.001,B19))</f>
        <v>#N/A</v>
      </c>
    </row>
    <row r="21" spans="1:11" x14ac:dyDescent="0.2">
      <c r="A21" s="5" t="s">
        <v>13</v>
      </c>
    </row>
    <row r="22" spans="1:11" ht="16" x14ac:dyDescent="0.25">
      <c r="A22" s="2" t="s">
        <v>7</v>
      </c>
      <c r="B22" s="1" t="e">
        <f>SUMPRODUCT((B3:B13&lt;$C$17)*(B4:B14&gt;=$C$17),(B4:B14))</f>
        <v>#N/A</v>
      </c>
      <c r="C22" t="e">
        <f>VLOOKUP($B$22,$B$5:$H$14,2,FALSE)</f>
        <v>#N/A</v>
      </c>
      <c r="D22" t="e">
        <f>VLOOKUP($B$22,$B$5:$H$14,3,FALSE)</f>
        <v>#N/A</v>
      </c>
      <c r="E22" t="e">
        <f>VLOOKUP($B$22,$B$5:$H$14,4,FALSE)</f>
        <v>#N/A</v>
      </c>
      <c r="F22" t="e">
        <f>VLOOKUP($B$22,$B$5:$H$14,5,FALSE)</f>
        <v>#N/A</v>
      </c>
      <c r="G22" t="e">
        <f>VLOOKUP($B$22,$B$5:$H$14,6,FALSE)</f>
        <v>#N/A</v>
      </c>
      <c r="H22" t="e">
        <f>VLOOKUP($B$22,$B$5:$H$14,7,FALSE)</f>
        <v>#N/A</v>
      </c>
      <c r="J22" s="2"/>
    </row>
    <row r="23" spans="1:11" ht="16" x14ac:dyDescent="0.25">
      <c r="A23" s="2" t="s">
        <v>8</v>
      </c>
      <c r="B23" s="1" t="e">
        <f ca="1">OFFSET(A3,0,SUMPRODUCT((C22:G22&lt;=$C$18)*(D22:H22&gt;$C$18),COLUMN(B22:F22)))</f>
        <v>#N/A</v>
      </c>
      <c r="J23" s="2"/>
      <c r="K23" s="1"/>
    </row>
    <row r="24" spans="1:11" ht="16" x14ac:dyDescent="0.25">
      <c r="A24" s="2"/>
      <c r="B24" s="1"/>
      <c r="J24" s="2"/>
      <c r="K24" s="1"/>
    </row>
    <row r="25" spans="1:11" ht="16" x14ac:dyDescent="0.25">
      <c r="A25" s="5" t="s">
        <v>14</v>
      </c>
      <c r="B25" s="1"/>
      <c r="J25" s="2"/>
      <c r="K25" s="1"/>
    </row>
    <row r="26" spans="1:11" ht="16" x14ac:dyDescent="0.25">
      <c r="A26" s="2" t="s">
        <v>7</v>
      </c>
      <c r="B26" s="1" t="e">
        <f>SUMPRODUCT((B3:B13&lt;$C$19)*(B4:B14&gt;=$C$19),(B4:B14))</f>
        <v>#N/A</v>
      </c>
      <c r="C26" t="e">
        <f>VLOOKUP($B$26,$B$5:$H$14,2,FALSE)</f>
        <v>#N/A</v>
      </c>
      <c r="D26" t="e">
        <f>VLOOKUP($B$26,$B$5:$H$14,3,FALSE)</f>
        <v>#N/A</v>
      </c>
      <c r="E26" t="e">
        <f>VLOOKUP($B$26,$B$5:$H$14,4,FALSE)</f>
        <v>#N/A</v>
      </c>
      <c r="F26" t="e">
        <f>VLOOKUP($B$26,$B$5:$H$14,5,FALSE)</f>
        <v>#N/A</v>
      </c>
      <c r="G26" t="e">
        <f>VLOOKUP($B$26,$B$5:$H$14,6,FALSE)</f>
        <v>#N/A</v>
      </c>
      <c r="H26" t="e">
        <f>VLOOKUP($B$26,$B$5:$H$14,7,FALSE)</f>
        <v>#N/A</v>
      </c>
      <c r="J26" s="2"/>
    </row>
    <row r="27" spans="1:11" ht="16" x14ac:dyDescent="0.25">
      <c r="A27" s="2" t="s">
        <v>10</v>
      </c>
      <c r="B27" s="1"/>
      <c r="C27" t="e">
        <f>VLOOKUP($B$26,$K$5:$Q$14,2,FALSE)</f>
        <v>#N/A</v>
      </c>
      <c r="D27" t="e">
        <f>VLOOKUP($B$26,$K$5:$Q$14,3,FALSE)</f>
        <v>#N/A</v>
      </c>
      <c r="E27" t="e">
        <f>VLOOKUP($B$26,$K$5:$Q$14,4,FALSE)</f>
        <v>#N/A</v>
      </c>
      <c r="F27" t="e">
        <f>VLOOKUP($B$26,$K$5:$Q$14,5,FALSE)</f>
        <v>#N/A</v>
      </c>
      <c r="G27" t="e">
        <f>VLOOKUP($B$26,$K$5:$Q$14,6,FALSE)</f>
        <v>#N/A</v>
      </c>
      <c r="H27" t="e">
        <f>VLOOKUP($B$26,$K$5:$Q$14,7,FALSE)</f>
        <v>#N/A</v>
      </c>
      <c r="J27" s="2"/>
      <c r="K27" s="1"/>
    </row>
    <row r="28" spans="1:11" x14ac:dyDescent="0.2">
      <c r="A28" s="2" t="s">
        <v>6</v>
      </c>
      <c r="B28" t="e">
        <f ca="1">OFFSET(A26,0,MATCH(goal_agg,$B$3:$H$3,FALSE))</f>
        <v>#N/A</v>
      </c>
      <c r="C28" t="e">
        <f ca="1">OFFSET(A26,0,MATCH(goal_agg,$B$3:$H$3,FALSE)+1)</f>
        <v>#N/A</v>
      </c>
      <c r="D28" t="e">
        <f ca="1">CONCATENATE(TEXT(ROUND($B$28,2)*100,"0")," - ",TEXT(ROUND($C$28,2),"0%"))</f>
        <v>#N/A</v>
      </c>
    </row>
    <row r="29" spans="1:11" x14ac:dyDescent="0.2">
      <c r="A29" s="2" t="s">
        <v>9</v>
      </c>
      <c r="B29" t="e">
        <f ca="1">OFFSET(A27,0,MATCH(goal_agg,$K$3:$Q$3,FALSE))</f>
        <v>#N/A</v>
      </c>
      <c r="C29" t="e">
        <f ca="1">OFFSET(A27,0,MATCH(goal_agg,$K$3:$Q$3,FALSE)+1)</f>
        <v>#N/A</v>
      </c>
      <c r="D29" t="e">
        <f ca="1">CONCATENATE(TEXT(ROUND($B$29,2)*100,"0")," - ",TEXT(ROUND($C$29,2),"0%"))</f>
        <v>#N/A</v>
      </c>
    </row>
  </sheetData>
  <sheetProtection algorithmName="SHA-512" hashValue="zTle1kleZLdeOQwDN3xsA0UBIp9KxUdC2moXo304Il2SRzS3eRh9qIokMGmXaTyCvQzIIDasNAurn9gQ9yBSfw==" saltValue="lFLvClwqwkWzM6wCuUetyA==" spinCount="100000" sheet="1" objects="1" scenarios="1"/>
  <pageMargins left="0.7" right="0.7" top="0.75" bottom="0.75" header="0.3" footer="0.3"/>
  <pageSetup orientation="portrai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Q29"/>
  <sheetViews>
    <sheetView workbookViewId="0">
      <selection activeCell="B37" sqref="B37"/>
    </sheetView>
  </sheetViews>
  <sheetFormatPr baseColWidth="10" defaultColWidth="8.83203125" defaultRowHeight="15" x14ac:dyDescent="0.2"/>
  <cols>
    <col min="1" max="1" width="14.83203125" bestFit="1" customWidth="1"/>
    <col min="4" max="4" width="9.6640625" bestFit="1" customWidth="1"/>
  </cols>
  <sheetData>
    <row r="1" spans="2:17" x14ac:dyDescent="0.2">
      <c r="B1" t="s">
        <v>11</v>
      </c>
      <c r="K1" t="s">
        <v>12</v>
      </c>
    </row>
    <row r="3" spans="2:17" x14ac:dyDescent="0.2">
      <c r="B3" s="4" t="s">
        <v>5</v>
      </c>
      <c r="C3" s="4" t="s">
        <v>35</v>
      </c>
      <c r="D3" s="4" t="s">
        <v>19</v>
      </c>
      <c r="E3" s="4" t="s">
        <v>0</v>
      </c>
      <c r="F3" s="4" t="s">
        <v>20</v>
      </c>
      <c r="G3" s="4" t="s">
        <v>36</v>
      </c>
      <c r="H3" s="4"/>
      <c r="K3" s="4" t="s">
        <v>5</v>
      </c>
      <c r="L3" s="4" t="s">
        <v>35</v>
      </c>
      <c r="M3" s="4" t="s">
        <v>19</v>
      </c>
      <c r="N3" s="4" t="s">
        <v>0</v>
      </c>
      <c r="O3" s="4" t="s">
        <v>20</v>
      </c>
      <c r="P3" s="4" t="s">
        <v>36</v>
      </c>
      <c r="Q3" s="4"/>
    </row>
    <row r="4" spans="2:17" x14ac:dyDescent="0.2">
      <c r="B4" s="4">
        <v>0</v>
      </c>
      <c r="C4" s="4"/>
      <c r="D4" s="4"/>
      <c r="E4" s="4"/>
      <c r="F4" s="4"/>
      <c r="G4" s="4"/>
      <c r="H4" s="4"/>
      <c r="K4" s="4">
        <v>0</v>
      </c>
      <c r="L4" s="4"/>
      <c r="M4" s="4"/>
      <c r="N4" s="4"/>
      <c r="O4" s="4"/>
      <c r="P4" s="4"/>
      <c r="Q4" s="4"/>
    </row>
    <row r="5" spans="2:17" ht="16" x14ac:dyDescent="0.25">
      <c r="B5" s="4">
        <v>0.2</v>
      </c>
      <c r="C5" s="4">
        <v>0</v>
      </c>
      <c r="D5" s="4">
        <v>0.47368421052631499</v>
      </c>
      <c r="E5" s="4">
        <v>0.64383561643835596</v>
      </c>
      <c r="F5" s="4">
        <v>0.73684210526315697</v>
      </c>
      <c r="G5" s="4">
        <v>0.82926829268292601</v>
      </c>
      <c r="H5" s="3">
        <v>1</v>
      </c>
      <c r="I5" s="1"/>
      <c r="K5" s="4">
        <v>0.2</v>
      </c>
      <c r="L5" s="4">
        <v>0</v>
      </c>
      <c r="M5" s="4">
        <v>0.26388888888888801</v>
      </c>
      <c r="N5" s="4">
        <v>0.36363636363636298</v>
      </c>
      <c r="O5" s="4">
        <v>0.43333333333333302</v>
      </c>
      <c r="P5" s="4">
        <v>0.57894736842105199</v>
      </c>
      <c r="Q5" s="3">
        <v>1</v>
      </c>
    </row>
    <row r="6" spans="2:17" ht="16" x14ac:dyDescent="0.25">
      <c r="B6" s="4">
        <v>0.3</v>
      </c>
      <c r="C6" s="4">
        <v>0</v>
      </c>
      <c r="D6" s="4">
        <v>0.49484536082474201</v>
      </c>
      <c r="E6" s="4">
        <v>0.63043478260869501</v>
      </c>
      <c r="F6" s="4">
        <v>0.73239436619718301</v>
      </c>
      <c r="G6" s="4">
        <v>0.83908045977011403</v>
      </c>
      <c r="H6" s="3">
        <v>1</v>
      </c>
      <c r="I6" s="1"/>
      <c r="K6" s="4">
        <v>0.3</v>
      </c>
      <c r="L6" s="4">
        <v>0</v>
      </c>
      <c r="M6" s="4">
        <v>0.30864197530864101</v>
      </c>
      <c r="N6" s="4">
        <v>0.43333333333333302</v>
      </c>
      <c r="O6" s="4">
        <v>0.53846153846153799</v>
      </c>
      <c r="P6" s="4">
        <v>0.65517241379310298</v>
      </c>
      <c r="Q6" s="3">
        <v>1</v>
      </c>
    </row>
    <row r="7" spans="2:17" ht="16" x14ac:dyDescent="0.25">
      <c r="B7" s="4">
        <v>0.4</v>
      </c>
      <c r="C7" s="4">
        <v>0</v>
      </c>
      <c r="D7" s="4">
        <v>0.54651162790697605</v>
      </c>
      <c r="E7" s="4">
        <v>0.65346534653465305</v>
      </c>
      <c r="F7" s="4">
        <v>0.74358974358974295</v>
      </c>
      <c r="G7" s="4">
        <v>0.81967213114754001</v>
      </c>
      <c r="H7" s="3">
        <v>1</v>
      </c>
      <c r="I7" s="1"/>
      <c r="K7" s="4">
        <v>0.4</v>
      </c>
      <c r="L7" s="4">
        <v>0</v>
      </c>
      <c r="M7" s="4">
        <v>0.40909090909090901</v>
      </c>
      <c r="N7" s="4">
        <v>0.504201680672268</v>
      </c>
      <c r="O7" s="4">
        <v>0.58333333333333304</v>
      </c>
      <c r="P7" s="4">
        <v>0.68604651162790597</v>
      </c>
      <c r="Q7" s="3">
        <v>1</v>
      </c>
    </row>
    <row r="8" spans="2:17" ht="16" x14ac:dyDescent="0.25">
      <c r="B8" s="4">
        <v>0.45</v>
      </c>
      <c r="C8" s="4">
        <v>0</v>
      </c>
      <c r="D8" s="4">
        <v>0.59459459459459396</v>
      </c>
      <c r="E8" s="4">
        <v>0.70652173913043403</v>
      </c>
      <c r="F8" s="4">
        <v>0.77551020408163196</v>
      </c>
      <c r="G8" s="4">
        <v>0.85</v>
      </c>
      <c r="H8" s="3">
        <v>1</v>
      </c>
      <c r="I8" s="1"/>
      <c r="K8" s="4">
        <v>0.45</v>
      </c>
      <c r="L8" s="4">
        <v>0</v>
      </c>
      <c r="M8" s="4">
        <v>0.45882352941176402</v>
      </c>
      <c r="N8" s="4">
        <v>0.530612244897959</v>
      </c>
      <c r="O8" s="4">
        <v>0.60714285714285698</v>
      </c>
      <c r="P8" s="4">
        <v>0.70270270270270196</v>
      </c>
      <c r="Q8" s="3">
        <v>1</v>
      </c>
    </row>
    <row r="9" spans="2:17" ht="16" x14ac:dyDescent="0.25">
      <c r="B9" s="4">
        <v>0.5</v>
      </c>
      <c r="C9" s="4">
        <v>0</v>
      </c>
      <c r="D9" s="4">
        <v>0.6</v>
      </c>
      <c r="E9" s="4">
        <v>0.71830985915492895</v>
      </c>
      <c r="F9" s="4">
        <v>0.78666666666666596</v>
      </c>
      <c r="G9" s="4">
        <v>0.85483870967741904</v>
      </c>
      <c r="H9" s="3">
        <v>1</v>
      </c>
      <c r="I9" s="1"/>
      <c r="K9" s="4">
        <v>0.5</v>
      </c>
      <c r="L9" s="4">
        <v>0</v>
      </c>
      <c r="M9" s="4">
        <v>0.46296296296296202</v>
      </c>
      <c r="N9" s="4">
        <v>0.56321839080459701</v>
      </c>
      <c r="O9" s="4">
        <v>0.65306122448979498</v>
      </c>
      <c r="P9" s="4">
        <v>0.73239436619718301</v>
      </c>
      <c r="Q9" s="3">
        <v>1</v>
      </c>
    </row>
    <row r="10" spans="2:17" ht="16" x14ac:dyDescent="0.25">
      <c r="B10" s="4">
        <v>0.55000000000000004</v>
      </c>
      <c r="C10" s="4">
        <v>0</v>
      </c>
      <c r="D10" s="4">
        <v>0.63309352517985595</v>
      </c>
      <c r="E10" s="4">
        <v>0.73333333333333295</v>
      </c>
      <c r="F10" s="4">
        <v>0.79545454545454497</v>
      </c>
      <c r="G10" s="4">
        <v>0.86021505376343999</v>
      </c>
      <c r="H10" s="3">
        <v>1</v>
      </c>
      <c r="I10" s="1"/>
      <c r="K10" s="4">
        <v>0.55000000000000004</v>
      </c>
      <c r="L10" s="4">
        <v>0</v>
      </c>
      <c r="M10" s="4">
        <v>0.51219512195121897</v>
      </c>
      <c r="N10" s="4">
        <v>0.585365853658536</v>
      </c>
      <c r="O10" s="4">
        <v>0.64864864864864802</v>
      </c>
      <c r="P10" s="4">
        <v>0.74725274725274704</v>
      </c>
      <c r="Q10" s="3">
        <v>1</v>
      </c>
    </row>
    <row r="11" spans="2:17" ht="16" x14ac:dyDescent="0.25">
      <c r="B11" s="4">
        <v>0.6</v>
      </c>
      <c r="C11" s="4">
        <v>0</v>
      </c>
      <c r="D11" s="4">
        <v>0.63636363636363602</v>
      </c>
      <c r="E11" s="4">
        <v>0.72499999999999998</v>
      </c>
      <c r="F11" s="4">
        <v>0.796875</v>
      </c>
      <c r="G11" s="4">
        <v>0.86885245901639296</v>
      </c>
      <c r="H11" s="3">
        <v>1</v>
      </c>
      <c r="I11" s="1"/>
      <c r="K11" s="4">
        <v>0.6</v>
      </c>
      <c r="L11" s="4">
        <v>0</v>
      </c>
      <c r="M11" s="4">
        <v>0.54385964912280704</v>
      </c>
      <c r="N11" s="4">
        <v>0.62790697674418605</v>
      </c>
      <c r="O11" s="4">
        <v>0.7</v>
      </c>
      <c r="P11" s="4">
        <v>0.77777777777777701</v>
      </c>
      <c r="Q11" s="3">
        <v>1</v>
      </c>
    </row>
    <row r="12" spans="2:17" ht="16" x14ac:dyDescent="0.25">
      <c r="B12" s="4">
        <v>0.7</v>
      </c>
      <c r="C12" s="4">
        <v>0</v>
      </c>
      <c r="D12" s="4">
        <v>0.67289719626168198</v>
      </c>
      <c r="E12" s="4">
        <v>0.75757575757575701</v>
      </c>
      <c r="F12" s="4">
        <v>0.82758620689655105</v>
      </c>
      <c r="G12" s="4">
        <v>0.89</v>
      </c>
      <c r="H12" s="3">
        <v>1</v>
      </c>
      <c r="I12" s="1"/>
      <c r="K12" s="4">
        <v>0.7</v>
      </c>
      <c r="L12" s="4">
        <v>0</v>
      </c>
      <c r="M12" s="4">
        <v>0.568965517241379</v>
      </c>
      <c r="N12" s="4">
        <v>0.662337662337662</v>
      </c>
      <c r="O12" s="4">
        <v>0.73469387755102</v>
      </c>
      <c r="P12" s="4">
        <v>0.80281690140844997</v>
      </c>
      <c r="Q12" s="3">
        <v>1</v>
      </c>
    </row>
    <row r="13" spans="2:17" ht="16" x14ac:dyDescent="0.25">
      <c r="B13" s="4">
        <v>0.8</v>
      </c>
      <c r="C13" s="4">
        <v>0</v>
      </c>
      <c r="D13" s="4">
        <v>0.67500000000000004</v>
      </c>
      <c r="E13" s="4">
        <v>0.77551020408163196</v>
      </c>
      <c r="F13" s="4">
        <v>0.84375</v>
      </c>
      <c r="G13" s="4">
        <v>0.91379310344827502</v>
      </c>
      <c r="H13" s="3">
        <v>1</v>
      </c>
      <c r="I13" s="1"/>
      <c r="K13" s="4">
        <v>0.8</v>
      </c>
      <c r="L13" s="4">
        <v>0</v>
      </c>
      <c r="M13" s="4">
        <v>0.64102564102564097</v>
      </c>
      <c r="N13" s="4">
        <v>0.71212121212121204</v>
      </c>
      <c r="O13" s="4">
        <v>0.77419354838709598</v>
      </c>
      <c r="P13" s="4">
        <v>0.83673469387755095</v>
      </c>
      <c r="Q13" s="3">
        <v>1</v>
      </c>
    </row>
    <row r="14" spans="2:17" ht="16" x14ac:dyDescent="0.25">
      <c r="B14" s="4">
        <v>0.9</v>
      </c>
      <c r="C14" s="4">
        <v>0</v>
      </c>
      <c r="D14" s="4">
        <v>0.78160919540229801</v>
      </c>
      <c r="E14" s="4">
        <v>0.84761904761904705</v>
      </c>
      <c r="F14" s="4">
        <v>0.89473684210526305</v>
      </c>
      <c r="G14" s="4">
        <v>0.93333333333333302</v>
      </c>
      <c r="H14" s="3">
        <v>1</v>
      </c>
      <c r="I14" s="1"/>
      <c r="K14" s="4">
        <v>0.9</v>
      </c>
      <c r="L14" s="4">
        <v>0</v>
      </c>
      <c r="M14" s="4">
        <v>0.72413793103448199</v>
      </c>
      <c r="N14" s="4">
        <v>0.79518072289156605</v>
      </c>
      <c r="O14" s="4">
        <v>0.85064935064934999</v>
      </c>
      <c r="P14" s="4">
        <v>0.90425531914893598</v>
      </c>
      <c r="Q14" s="3">
        <v>1</v>
      </c>
    </row>
    <row r="15" spans="2:17" ht="16" x14ac:dyDescent="0.25">
      <c r="B15" s="4">
        <v>1</v>
      </c>
      <c r="C15" s="4">
        <v>0</v>
      </c>
      <c r="D15" s="4">
        <v>0.8125</v>
      </c>
      <c r="E15" s="4">
        <v>0.88505747126436696</v>
      </c>
      <c r="F15" s="4">
        <v>0.91428571428571404</v>
      </c>
      <c r="G15" s="4">
        <v>0.952380952380952</v>
      </c>
      <c r="H15" s="3">
        <v>1</v>
      </c>
      <c r="I15" s="1"/>
      <c r="K15" s="4">
        <v>1</v>
      </c>
      <c r="L15" s="4">
        <v>0</v>
      </c>
      <c r="M15" s="4">
        <v>0.78</v>
      </c>
      <c r="N15" s="4">
        <v>0.82978723404255295</v>
      </c>
      <c r="O15" s="4">
        <v>0.86956521739130399</v>
      </c>
      <c r="P15" s="4">
        <v>0.92156862745098</v>
      </c>
      <c r="Q15" s="3">
        <v>1</v>
      </c>
    </row>
    <row r="16" spans="2:17" ht="16" x14ac:dyDescent="0.25">
      <c r="B16" s="6"/>
      <c r="C16" s="6"/>
      <c r="D16" s="6"/>
      <c r="E16" s="6"/>
      <c r="F16" s="6"/>
      <c r="G16" s="6"/>
      <c r="H16" s="7"/>
      <c r="I16" s="1"/>
      <c r="K16" s="6"/>
      <c r="L16" s="6"/>
      <c r="M16" s="6"/>
      <c r="N16" s="6"/>
      <c r="O16" s="6"/>
      <c r="P16" s="6"/>
      <c r="Q16" s="7"/>
    </row>
    <row r="17" spans="1:17" ht="16" x14ac:dyDescent="0.25">
      <c r="A17" t="s">
        <v>15</v>
      </c>
      <c r="B17" t="e">
        <f>IF(BOY_K="",NA(),BOY_K)</f>
        <v>#N/A</v>
      </c>
      <c r="C17" t="e">
        <f>IF(OR(B17="",B17&lt;0,B17&gt;1),NA(),IF(B17=0,0.001,B17))</f>
        <v>#N/A</v>
      </c>
      <c r="I17" s="1"/>
      <c r="K17" s="6"/>
      <c r="L17" s="6"/>
      <c r="M17" s="6"/>
      <c r="N17" s="6"/>
      <c r="O17" s="6"/>
      <c r="P17" s="6"/>
      <c r="Q17" s="7"/>
    </row>
    <row r="18" spans="1:17" ht="16" x14ac:dyDescent="0.25">
      <c r="A18" t="s">
        <v>16</v>
      </c>
      <c r="B18" t="e">
        <f>IF(EOY_K="",NA(),EOY_K)</f>
        <v>#N/A</v>
      </c>
      <c r="C18" t="e">
        <f>IF(OR(B18="",B18&lt;0,B18&gt;1),NA(),IF(B18=1,0.999,B18))</f>
        <v>#N/A</v>
      </c>
      <c r="I18" s="1"/>
      <c r="K18" s="6"/>
      <c r="L18" s="6"/>
      <c r="M18" s="6"/>
      <c r="N18" s="6"/>
      <c r="O18" s="6"/>
      <c r="P18" s="6"/>
      <c r="Q18" s="7"/>
    </row>
    <row r="19" spans="1:17" ht="16" x14ac:dyDescent="0.25">
      <c r="A19" t="s">
        <v>17</v>
      </c>
      <c r="B19" t="e">
        <f>IF(goal_BOY_K="",NA(),goal_BOY_K)</f>
        <v>#N/A</v>
      </c>
      <c r="C19" t="e">
        <f>IF(OR(B19="",B19&lt;0,B19&gt;1),NA(),IF(B19=0,0.001,B19))</f>
        <v>#N/A</v>
      </c>
      <c r="I19" s="1"/>
      <c r="K19" s="6"/>
      <c r="L19" s="6"/>
      <c r="M19" s="6"/>
      <c r="N19" s="6"/>
      <c r="O19" s="6"/>
      <c r="P19" s="6"/>
      <c r="Q19" s="7"/>
    </row>
    <row r="21" spans="1:17" x14ac:dyDescent="0.2">
      <c r="A21" s="5" t="s">
        <v>13</v>
      </c>
    </row>
    <row r="22" spans="1:17" ht="16" x14ac:dyDescent="0.25">
      <c r="A22" s="2" t="s">
        <v>7</v>
      </c>
      <c r="B22" s="1" t="e">
        <f>SUMPRODUCT((B3:B14&lt;$C$17)*(B4:B15&gt;=$C$17),(B4:B15))</f>
        <v>#N/A</v>
      </c>
      <c r="C22" t="e">
        <f>VLOOKUP($B$22,$B$5:$H$15,2,FALSE)</f>
        <v>#N/A</v>
      </c>
      <c r="D22" t="e">
        <f>VLOOKUP($B$22,$B$5:$H$15,3,FALSE)</f>
        <v>#N/A</v>
      </c>
      <c r="E22" t="e">
        <f>VLOOKUP($B$22,$B$5:$H$15,4,FALSE)</f>
        <v>#N/A</v>
      </c>
      <c r="F22" t="e">
        <f>VLOOKUP($B$22,$B$5:$H$15,5,FALSE)</f>
        <v>#N/A</v>
      </c>
      <c r="G22" t="e">
        <f>VLOOKUP($B$22,$B$5:$H$15,6,FALSE)</f>
        <v>#N/A</v>
      </c>
      <c r="H22" t="e">
        <f>VLOOKUP($B$22,$B$5:$H$15,7,FALSE)</f>
        <v>#N/A</v>
      </c>
      <c r="J22" s="2"/>
    </row>
    <row r="23" spans="1:17" ht="16" x14ac:dyDescent="0.25">
      <c r="A23" s="2" t="s">
        <v>8</v>
      </c>
      <c r="B23" s="1" t="e">
        <f ca="1">OFFSET(A3,0,SUMPRODUCT((C22:G22&lt;=$C$18)*(D22:H22&gt;$C$18),COLUMN(B22:F22)))</f>
        <v>#N/A</v>
      </c>
      <c r="J23" s="2"/>
      <c r="K23" s="1"/>
    </row>
    <row r="24" spans="1:17" ht="16" x14ac:dyDescent="0.25">
      <c r="A24" s="2"/>
      <c r="B24" s="1"/>
      <c r="J24" s="2"/>
      <c r="K24" s="1"/>
    </row>
    <row r="25" spans="1:17" ht="16" x14ac:dyDescent="0.25">
      <c r="A25" s="5" t="s">
        <v>14</v>
      </c>
      <c r="B25" s="1"/>
      <c r="J25" s="2"/>
      <c r="K25" s="1"/>
    </row>
    <row r="26" spans="1:17" ht="16" x14ac:dyDescent="0.25">
      <c r="A26" s="2" t="s">
        <v>7</v>
      </c>
      <c r="B26" s="1" t="e">
        <f>SUMPRODUCT((B3:B14&lt;$C$19)*(B4:B15&gt;=$C$19),(B4:B15))</f>
        <v>#N/A</v>
      </c>
      <c r="C26" t="e">
        <f>VLOOKUP($B$26,$B$5:$H$15,2,FALSE)</f>
        <v>#N/A</v>
      </c>
      <c r="D26" t="e">
        <f>VLOOKUP($B$26,$B$5:$H$15,3,FALSE)</f>
        <v>#N/A</v>
      </c>
      <c r="E26" t="e">
        <f>VLOOKUP($B$26,$B$5:$H$15,4,FALSE)</f>
        <v>#N/A</v>
      </c>
      <c r="F26" t="e">
        <f>VLOOKUP($B$26,$B$5:$H$15,5,FALSE)</f>
        <v>#N/A</v>
      </c>
      <c r="G26" t="e">
        <f>VLOOKUP($B$26,$B$5:$H$15,6,FALSE)</f>
        <v>#N/A</v>
      </c>
      <c r="H26" t="e">
        <f>VLOOKUP($B$26,$B$5:$H$15,7,FALSE)</f>
        <v>#N/A</v>
      </c>
      <c r="J26" s="2"/>
    </row>
    <row r="27" spans="1:17" ht="16" x14ac:dyDescent="0.25">
      <c r="A27" s="2" t="s">
        <v>10</v>
      </c>
      <c r="B27" s="1"/>
      <c r="C27" t="e">
        <f>VLOOKUP($B$26,$K$5:$Q$15,2,FALSE)</f>
        <v>#N/A</v>
      </c>
      <c r="D27" t="e">
        <f>VLOOKUP($B$26,$K$5:$Q$15,3,FALSE)</f>
        <v>#N/A</v>
      </c>
      <c r="E27" t="e">
        <f>VLOOKUP($B$26,$K$5:$Q$15,4,FALSE)</f>
        <v>#N/A</v>
      </c>
      <c r="F27" t="e">
        <f>VLOOKUP($B$26,$K$5:$Q$15,5,FALSE)</f>
        <v>#N/A</v>
      </c>
      <c r="G27" t="e">
        <f>VLOOKUP($B$26,$K$5:$Q$15,6,FALSE)</f>
        <v>#N/A</v>
      </c>
      <c r="H27" t="e">
        <f>VLOOKUP($B$26,$K$5:$Q$15,7,FALSE)</f>
        <v>#N/A</v>
      </c>
      <c r="J27" s="2"/>
      <c r="K27" s="1"/>
    </row>
    <row r="28" spans="1:17" x14ac:dyDescent="0.2">
      <c r="A28" s="2" t="s">
        <v>6</v>
      </c>
      <c r="B28" t="e">
        <f ca="1">OFFSET(A26,0,MATCH(goal_K,$B$3:$H$3,FALSE))</f>
        <v>#N/A</v>
      </c>
      <c r="C28" t="e">
        <f ca="1">OFFSET(A26,0,MATCH(goal_K,$B$3:$H$3,FALSE)+1)</f>
        <v>#N/A</v>
      </c>
      <c r="D28" t="e">
        <f ca="1">CONCATENATE(TEXT(ROUND($B$28,2)*100,"0")," - ",TEXT(ROUND($C$28,2),"0%"))</f>
        <v>#N/A</v>
      </c>
    </row>
    <row r="29" spans="1:17" x14ac:dyDescent="0.2">
      <c r="A29" s="2" t="s">
        <v>9</v>
      </c>
      <c r="B29" t="e">
        <f ca="1">OFFSET(A27,0,MATCH(goal_K,$K$3:$Q$3,FALSE))</f>
        <v>#N/A</v>
      </c>
      <c r="C29" t="e">
        <f ca="1">OFFSET(A27,0,MATCH(goal_K,$K$3:$Q$3,FALSE)+1)</f>
        <v>#N/A</v>
      </c>
      <c r="D29" t="e">
        <f ca="1">CONCATENATE(TEXT(ROUND($B$29,2)*100,"0")," - ",TEXT(ROUND($C$29,2),"0%"))</f>
        <v>#N/A</v>
      </c>
    </row>
  </sheetData>
  <sheetProtection algorithmName="SHA-512" hashValue="sTu2RwWKdLllRFJTHHva+itrYw/Cmvxvo4sBDiBszSA1pHSlFS8uVdSx3rKh8F/A7U8Ni8FA7tOChJ45kvR+pg==" saltValue="EZA3sQvJ8h/zz1s1/y7lLA==" spinCount="100000" sheet="1" objects="1" scenarios="1"/>
  <pageMargins left="0.7" right="0.7" top="0.75" bottom="0.75" header="0.3" footer="0.3"/>
  <pageSetup orientation="portrait"/>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Q29"/>
  <sheetViews>
    <sheetView workbookViewId="0">
      <selection activeCell="B29" sqref="B29"/>
    </sheetView>
  </sheetViews>
  <sheetFormatPr baseColWidth="10" defaultColWidth="8.83203125" defaultRowHeight="15" x14ac:dyDescent="0.2"/>
  <cols>
    <col min="1" max="1" width="18.5" bestFit="1" customWidth="1"/>
    <col min="4" max="4" width="9.6640625" bestFit="1" customWidth="1"/>
  </cols>
  <sheetData>
    <row r="1" spans="2:17" x14ac:dyDescent="0.2">
      <c r="B1" t="s">
        <v>11</v>
      </c>
      <c r="K1" t="s">
        <v>12</v>
      </c>
    </row>
    <row r="3" spans="2:17" x14ac:dyDescent="0.2">
      <c r="B3" s="4" t="s">
        <v>5</v>
      </c>
      <c r="C3" s="4" t="s">
        <v>35</v>
      </c>
      <c r="D3" s="4" t="s">
        <v>19</v>
      </c>
      <c r="E3" s="4" t="s">
        <v>0</v>
      </c>
      <c r="F3" s="4" t="s">
        <v>20</v>
      </c>
      <c r="G3" s="4" t="s">
        <v>36</v>
      </c>
      <c r="H3" s="4"/>
      <c r="K3" s="4" t="s">
        <v>5</v>
      </c>
      <c r="L3" s="4" t="s">
        <v>35</v>
      </c>
      <c r="M3" s="4" t="s">
        <v>19</v>
      </c>
      <c r="N3" s="4" t="s">
        <v>0</v>
      </c>
      <c r="O3" s="4" t="s">
        <v>20</v>
      </c>
      <c r="P3" s="4" t="s">
        <v>36</v>
      </c>
      <c r="Q3" s="4"/>
    </row>
    <row r="4" spans="2:17" x14ac:dyDescent="0.2">
      <c r="B4" s="4">
        <v>0</v>
      </c>
      <c r="C4" s="4"/>
      <c r="D4" s="4"/>
      <c r="E4" s="4"/>
      <c r="F4" s="4"/>
      <c r="G4" s="4"/>
      <c r="H4" s="4"/>
      <c r="K4" s="4">
        <v>0</v>
      </c>
      <c r="L4" s="4"/>
      <c r="M4" s="4"/>
      <c r="N4" s="4"/>
      <c r="O4" s="4"/>
      <c r="P4" s="4"/>
      <c r="Q4" s="4"/>
    </row>
    <row r="5" spans="2:17" ht="16" x14ac:dyDescent="0.25">
      <c r="B5" s="4">
        <v>0.3</v>
      </c>
      <c r="C5" s="4">
        <v>0</v>
      </c>
      <c r="D5" s="44">
        <v>0.31279620853080498</v>
      </c>
      <c r="E5" s="44">
        <v>0.34347826086956501</v>
      </c>
      <c r="F5" s="44">
        <v>0.42514970059880203</v>
      </c>
      <c r="G5" s="44">
        <v>0.47096774193548302</v>
      </c>
      <c r="H5" s="3">
        <v>1</v>
      </c>
      <c r="I5" s="1"/>
      <c r="K5" s="4">
        <v>0.3</v>
      </c>
      <c r="L5" s="4">
        <v>0</v>
      </c>
      <c r="M5" s="44">
        <v>0.21287128712871201</v>
      </c>
      <c r="N5" s="44">
        <v>0.27091633466135401</v>
      </c>
      <c r="O5" s="44">
        <v>0.320754716981132</v>
      </c>
      <c r="P5" s="44">
        <v>0.37873754152823902</v>
      </c>
      <c r="Q5" s="3">
        <v>1</v>
      </c>
    </row>
    <row r="6" spans="2:17" ht="16" x14ac:dyDescent="0.25">
      <c r="B6" s="4">
        <v>0.4</v>
      </c>
      <c r="C6" s="4">
        <v>0</v>
      </c>
      <c r="D6" s="44">
        <v>0.413953488372093</v>
      </c>
      <c r="E6" s="44">
        <v>0.45967741935483802</v>
      </c>
      <c r="F6" s="44">
        <v>0.49843260188087701</v>
      </c>
      <c r="G6" s="44">
        <v>0.56227758007117401</v>
      </c>
      <c r="H6" s="3">
        <v>1</v>
      </c>
      <c r="I6" s="1"/>
      <c r="K6" s="4">
        <v>0.4</v>
      </c>
      <c r="L6" s="4">
        <v>0</v>
      </c>
      <c r="M6" s="44">
        <v>0.35714285714285698</v>
      </c>
      <c r="N6" s="44">
        <v>0.39583333333333298</v>
      </c>
      <c r="O6" s="44">
        <v>0.42622950819672101</v>
      </c>
      <c r="P6" s="44">
        <v>0.47278911564625797</v>
      </c>
      <c r="Q6" s="3">
        <v>1</v>
      </c>
    </row>
    <row r="7" spans="2:17" ht="16" x14ac:dyDescent="0.25">
      <c r="B7" s="4">
        <v>0.45</v>
      </c>
      <c r="C7" s="4">
        <v>0</v>
      </c>
      <c r="D7" s="44">
        <v>0.46651270207852102</v>
      </c>
      <c r="E7" s="44">
        <v>0.52364864864864802</v>
      </c>
      <c r="F7" s="44">
        <v>0.56232686980609403</v>
      </c>
      <c r="G7" s="44">
        <v>0.60309278350515405</v>
      </c>
      <c r="H7" s="3">
        <v>1</v>
      </c>
      <c r="I7" s="1"/>
      <c r="K7" s="4">
        <v>0.45</v>
      </c>
      <c r="L7" s="4">
        <v>0</v>
      </c>
      <c r="M7" s="44">
        <v>0.43950617283950599</v>
      </c>
      <c r="N7" s="44">
        <v>0.47297297297297197</v>
      </c>
      <c r="O7" s="44">
        <v>0.50251256281406997</v>
      </c>
      <c r="P7" s="44">
        <v>0.54599406528189898</v>
      </c>
      <c r="Q7" s="3">
        <v>1</v>
      </c>
    </row>
    <row r="8" spans="2:17" ht="16" x14ac:dyDescent="0.25">
      <c r="B8" s="4">
        <v>0.5</v>
      </c>
      <c r="C8" s="4">
        <v>0</v>
      </c>
      <c r="D8" s="44">
        <v>0.51323828920570203</v>
      </c>
      <c r="E8" s="44">
        <v>0.55191256830600999</v>
      </c>
      <c r="F8" s="44">
        <v>0.58783783783783705</v>
      </c>
      <c r="G8" s="44">
        <v>0.62831858407079599</v>
      </c>
      <c r="H8" s="3">
        <v>1</v>
      </c>
      <c r="I8" s="1"/>
      <c r="K8" s="4">
        <v>0.5</v>
      </c>
      <c r="L8" s="4">
        <v>0</v>
      </c>
      <c r="M8" s="44">
        <v>0.47337278106508801</v>
      </c>
      <c r="N8" s="44">
        <v>0.51418439716312003</v>
      </c>
      <c r="O8" s="44">
        <v>0.54358974358974299</v>
      </c>
      <c r="P8" s="44">
        <v>0.577181208053691</v>
      </c>
      <c r="Q8" s="3">
        <v>1</v>
      </c>
    </row>
    <row r="9" spans="2:17" ht="16" x14ac:dyDescent="0.25">
      <c r="B9" s="4">
        <v>0.55000000000000004</v>
      </c>
      <c r="C9" s="4">
        <v>0</v>
      </c>
      <c r="D9" s="44">
        <v>0.56591639871382604</v>
      </c>
      <c r="E9" s="44">
        <v>0.61025641025640998</v>
      </c>
      <c r="F9" s="44">
        <v>0.64583333333333304</v>
      </c>
      <c r="G9" s="44">
        <v>0.683544303797468</v>
      </c>
      <c r="H9" s="3">
        <v>1</v>
      </c>
      <c r="I9" s="1"/>
      <c r="K9" s="4">
        <v>0.55000000000000004</v>
      </c>
      <c r="L9" s="4">
        <v>0</v>
      </c>
      <c r="M9" s="44">
        <v>0.52857142857142803</v>
      </c>
      <c r="N9" s="44">
        <v>0.56227758007117401</v>
      </c>
      <c r="O9" s="44">
        <v>0.59788359788359702</v>
      </c>
      <c r="P9" s="44">
        <v>0.63698630136986301</v>
      </c>
      <c r="Q9" s="3">
        <v>1</v>
      </c>
    </row>
    <row r="10" spans="2:17" ht="16" x14ac:dyDescent="0.25">
      <c r="B10" s="4">
        <v>0.6</v>
      </c>
      <c r="C10" s="4">
        <v>0</v>
      </c>
      <c r="D10" s="44">
        <v>0.61599999999999999</v>
      </c>
      <c r="E10" s="44">
        <v>0.66051660516605104</v>
      </c>
      <c r="F10" s="44">
        <v>0.69037656903765598</v>
      </c>
      <c r="G10" s="44">
        <v>0.72350230414746497</v>
      </c>
      <c r="H10" s="3">
        <v>1</v>
      </c>
      <c r="I10" s="1"/>
      <c r="K10" s="4">
        <v>0.6</v>
      </c>
      <c r="L10" s="4">
        <v>0</v>
      </c>
      <c r="M10" s="44">
        <v>0.57446808510638203</v>
      </c>
      <c r="N10" s="44">
        <v>0.61187214611872098</v>
      </c>
      <c r="O10" s="44">
        <v>0.64285714285714202</v>
      </c>
      <c r="P10" s="44">
        <v>0.67326732673267298</v>
      </c>
      <c r="Q10" s="3">
        <v>1</v>
      </c>
    </row>
    <row r="11" spans="2:17" ht="16" x14ac:dyDescent="0.25">
      <c r="B11" s="4">
        <v>0.7</v>
      </c>
      <c r="C11" s="4">
        <v>0</v>
      </c>
      <c r="D11" s="44">
        <v>0.67527675276752697</v>
      </c>
      <c r="E11" s="44">
        <v>0.70967741935483797</v>
      </c>
      <c r="F11" s="44">
        <v>0.74336283185840701</v>
      </c>
      <c r="G11" s="44">
        <v>0.77959183673469301</v>
      </c>
      <c r="H11" s="3">
        <v>1</v>
      </c>
      <c r="I11" s="1"/>
      <c r="K11" s="4">
        <v>0.7</v>
      </c>
      <c r="L11" s="4">
        <v>0</v>
      </c>
      <c r="M11" s="44">
        <v>0.643243243243243</v>
      </c>
      <c r="N11" s="44">
        <v>0.67830423940149598</v>
      </c>
      <c r="O11" s="44">
        <v>0.70559610705596099</v>
      </c>
      <c r="P11" s="44">
        <v>0.73926380368098099</v>
      </c>
      <c r="Q11" s="3">
        <v>1</v>
      </c>
    </row>
    <row r="12" spans="2:17" ht="16" x14ac:dyDescent="0.25">
      <c r="B12" s="4">
        <v>0.8</v>
      </c>
      <c r="C12" s="4">
        <v>0</v>
      </c>
      <c r="D12" s="44">
        <v>0.75757575757575701</v>
      </c>
      <c r="E12" s="44">
        <v>0.79166666666666596</v>
      </c>
      <c r="F12" s="44">
        <v>0.81699346405228701</v>
      </c>
      <c r="G12" s="44">
        <v>0.84813753581661799</v>
      </c>
      <c r="H12" s="3">
        <v>1</v>
      </c>
      <c r="I12" s="1"/>
      <c r="K12" s="4">
        <v>0.8</v>
      </c>
      <c r="L12" s="4">
        <v>0</v>
      </c>
      <c r="M12" s="44">
        <v>0.73634204275534398</v>
      </c>
      <c r="N12" s="44">
        <v>0.76494023904382402</v>
      </c>
      <c r="O12" s="44">
        <v>0.78888888888888797</v>
      </c>
      <c r="P12" s="44">
        <v>0.81434599156118104</v>
      </c>
      <c r="Q12" s="3">
        <v>1</v>
      </c>
    </row>
    <row r="13" spans="2:17" ht="16" x14ac:dyDescent="0.25">
      <c r="B13" s="4">
        <v>0.9</v>
      </c>
      <c r="C13" s="4">
        <v>0</v>
      </c>
      <c r="D13" s="44">
        <v>0.83870967741935398</v>
      </c>
      <c r="E13" s="44">
        <v>0.86876640419947504</v>
      </c>
      <c r="F13" s="44">
        <v>0.89105058365758705</v>
      </c>
      <c r="G13" s="44">
        <v>0.91576086956521696</v>
      </c>
      <c r="H13" s="3">
        <v>1</v>
      </c>
      <c r="I13" s="1"/>
      <c r="K13" s="4">
        <v>0.9</v>
      </c>
      <c r="L13" s="4">
        <v>0</v>
      </c>
      <c r="M13" s="44">
        <v>0.82573726541554904</v>
      </c>
      <c r="N13" s="44">
        <v>0.85365853658536495</v>
      </c>
      <c r="O13" s="44">
        <v>0.87017001545594996</v>
      </c>
      <c r="P13" s="44">
        <v>0.89617486338797803</v>
      </c>
      <c r="Q13" s="3">
        <v>1</v>
      </c>
    </row>
    <row r="14" spans="2:17" ht="16" x14ac:dyDescent="0.25">
      <c r="B14" s="4">
        <v>1</v>
      </c>
      <c r="C14" s="4">
        <v>0</v>
      </c>
      <c r="D14" s="44">
        <v>0.92134831460674105</v>
      </c>
      <c r="E14" s="44">
        <v>0.93487394957983105</v>
      </c>
      <c r="F14" s="44">
        <v>0.94736842105263097</v>
      </c>
      <c r="G14" s="44">
        <v>0.96451612903225803</v>
      </c>
      <c r="H14" s="3">
        <v>1</v>
      </c>
      <c r="I14" s="1"/>
      <c r="K14" s="4">
        <v>1</v>
      </c>
      <c r="L14" s="4">
        <v>0</v>
      </c>
      <c r="M14" s="44">
        <v>0.91505791505791501</v>
      </c>
      <c r="N14" s="44">
        <v>0.92295597484276704</v>
      </c>
      <c r="O14" s="44">
        <v>0.93890675241157495</v>
      </c>
      <c r="P14" s="44">
        <v>0.96097560975609697</v>
      </c>
      <c r="Q14" s="3">
        <v>1</v>
      </c>
    </row>
    <row r="15" spans="2:17" ht="16" x14ac:dyDescent="0.25">
      <c r="B15" s="6"/>
      <c r="C15" s="6"/>
      <c r="D15" s="6"/>
      <c r="E15" s="6"/>
      <c r="F15" s="6"/>
      <c r="G15" s="6"/>
      <c r="H15" s="7"/>
      <c r="I15" s="1"/>
      <c r="K15" s="6"/>
      <c r="L15" s="6"/>
      <c r="M15" s="6"/>
      <c r="N15" s="6"/>
      <c r="O15" s="6"/>
      <c r="P15" s="6"/>
      <c r="Q15" s="7"/>
    </row>
    <row r="17" spans="1:11" x14ac:dyDescent="0.2">
      <c r="A17" t="s">
        <v>15</v>
      </c>
      <c r="B17" t="e">
        <f>IF(BOY_agg="",NA(),BOY_agg)</f>
        <v>#N/A</v>
      </c>
      <c r="C17" t="e">
        <f>IF(OR(B17="",B17&lt;0,B17&gt;1),NA(),IF(B17=0,0.001,B17))</f>
        <v>#N/A</v>
      </c>
    </row>
    <row r="18" spans="1:11" x14ac:dyDescent="0.2">
      <c r="A18" t="s">
        <v>16</v>
      </c>
      <c r="B18" t="e">
        <f>IF(EOY_agg="",NA(),EOY_agg)</f>
        <v>#N/A</v>
      </c>
      <c r="C18" t="e">
        <f>IF(OR(B18="",B18&lt;0,B18&gt;1),NA(),IF(B18=1,0.999,B18))</f>
        <v>#N/A</v>
      </c>
    </row>
    <row r="19" spans="1:11" x14ac:dyDescent="0.2">
      <c r="A19" t="s">
        <v>17</v>
      </c>
      <c r="B19" t="e">
        <f>IF(goal_BOY_agg="",NA(),goal_BOY_agg)</f>
        <v>#N/A</v>
      </c>
      <c r="C19" t="e">
        <f>IF(OR(B19="",B19&lt;0,B19&gt;1),NA(),IF(B19=0,0.001,B19))</f>
        <v>#N/A</v>
      </c>
    </row>
    <row r="21" spans="1:11" x14ac:dyDescent="0.2">
      <c r="A21" s="5" t="s">
        <v>13</v>
      </c>
    </row>
    <row r="22" spans="1:11" ht="16" x14ac:dyDescent="0.25">
      <c r="A22" s="2" t="s">
        <v>7</v>
      </c>
      <c r="B22" s="1" t="e">
        <f>SUMPRODUCT((B3:B13&lt;$C$17)*(B4:B14&gt;=$C$17),(B4:B14))</f>
        <v>#N/A</v>
      </c>
      <c r="C22" t="e">
        <f>VLOOKUP($B$22,$B$5:$H$14,2,FALSE)</f>
        <v>#N/A</v>
      </c>
      <c r="D22" t="e">
        <f>VLOOKUP($B$22,$B$5:$H$14,3,FALSE)</f>
        <v>#N/A</v>
      </c>
      <c r="E22" t="e">
        <f>VLOOKUP($B$22,$B$5:$H$14,4,FALSE)</f>
        <v>#N/A</v>
      </c>
      <c r="F22" t="e">
        <f>VLOOKUP($B$22,$B$5:$H$14,5,FALSE)</f>
        <v>#N/A</v>
      </c>
      <c r="G22" t="e">
        <f>VLOOKUP($B$22,$B$5:$H$14,6,FALSE)</f>
        <v>#N/A</v>
      </c>
      <c r="H22" t="e">
        <f>VLOOKUP($B$22,$B$5:$H$14,7,FALSE)</f>
        <v>#N/A</v>
      </c>
      <c r="J22" s="2"/>
    </row>
    <row r="23" spans="1:11" ht="16" x14ac:dyDescent="0.25">
      <c r="A23" s="2" t="s">
        <v>8</v>
      </c>
      <c r="B23" s="1" t="e">
        <f ca="1">OFFSET(A3,0,SUMPRODUCT((C22:G22&lt;=$C$18)*(D22:H22&gt;$C$18),COLUMN(B22:F22)))</f>
        <v>#N/A</v>
      </c>
      <c r="J23" s="2"/>
      <c r="K23" s="1"/>
    </row>
    <row r="24" spans="1:11" ht="16" x14ac:dyDescent="0.25">
      <c r="A24" s="2"/>
      <c r="B24" s="1"/>
      <c r="J24" s="2"/>
      <c r="K24" s="1"/>
    </row>
    <row r="25" spans="1:11" ht="16" x14ac:dyDescent="0.25">
      <c r="A25" s="5" t="s">
        <v>14</v>
      </c>
      <c r="B25" s="1"/>
      <c r="J25" s="2"/>
      <c r="K25" s="1"/>
    </row>
    <row r="26" spans="1:11" ht="16" x14ac:dyDescent="0.25">
      <c r="A26" s="2" t="s">
        <v>7</v>
      </c>
      <c r="B26" s="1" t="e">
        <f>SUMPRODUCT((B3:B13&lt;$C$19)*(B4:B14&gt;=$C$19),(B4:B14))</f>
        <v>#N/A</v>
      </c>
      <c r="C26" t="e">
        <f>VLOOKUP($B$26,$B$5:$H$14,2,FALSE)</f>
        <v>#N/A</v>
      </c>
      <c r="D26" t="e">
        <f>VLOOKUP($B$26,$B$5:$H$14,3,FALSE)</f>
        <v>#N/A</v>
      </c>
      <c r="E26" t="e">
        <f>VLOOKUP($B$26,$B$5:$H$14,4,FALSE)</f>
        <v>#N/A</v>
      </c>
      <c r="F26" t="e">
        <f>VLOOKUP($B$26,$B$5:$H$14,5,FALSE)</f>
        <v>#N/A</v>
      </c>
      <c r="G26" t="e">
        <f>VLOOKUP($B$26,$B$5:$H$14,6,FALSE)</f>
        <v>#N/A</v>
      </c>
      <c r="H26" t="e">
        <f>VLOOKUP($B$26,$B$5:$H$14,7,FALSE)</f>
        <v>#N/A</v>
      </c>
      <c r="J26" s="2"/>
    </row>
    <row r="27" spans="1:11" ht="16" x14ac:dyDescent="0.25">
      <c r="A27" s="2" t="s">
        <v>10</v>
      </c>
      <c r="B27" s="1"/>
      <c r="C27" t="e">
        <f>VLOOKUP($B$26,$K$5:$Q$14,2,FALSE)</f>
        <v>#N/A</v>
      </c>
      <c r="D27" t="e">
        <f>VLOOKUP($B$26,$K$5:$Q$14,3,FALSE)</f>
        <v>#N/A</v>
      </c>
      <c r="E27" t="e">
        <f>VLOOKUP($B$26,$K$5:$Q$14,4,FALSE)</f>
        <v>#N/A</v>
      </c>
      <c r="F27" t="e">
        <f>VLOOKUP($B$26,$K$5:$Q$14,5,FALSE)</f>
        <v>#N/A</v>
      </c>
      <c r="G27" t="e">
        <f>VLOOKUP($B$26,$K$5:$Q$14,6,FALSE)</f>
        <v>#N/A</v>
      </c>
      <c r="H27" t="e">
        <f>VLOOKUP($B$26,$K$5:$Q$14,7,FALSE)</f>
        <v>#N/A</v>
      </c>
      <c r="J27" s="2"/>
      <c r="K27" s="1"/>
    </row>
    <row r="28" spans="1:11" x14ac:dyDescent="0.2">
      <c r="A28" s="2" t="s">
        <v>6</v>
      </c>
      <c r="B28" t="e">
        <f ca="1">OFFSET(A26,0,MATCH(goal_agg,$B$3:$H$3,FALSE))</f>
        <v>#N/A</v>
      </c>
      <c r="C28" t="e">
        <f ca="1">OFFSET(A26,0,MATCH(goal_agg,$B$3:$H$3,FALSE)+1)</f>
        <v>#N/A</v>
      </c>
      <c r="D28" t="e">
        <f ca="1">CONCATENATE(TEXT(ROUND($B$28,2)*100,"0")," - ",TEXT(ROUND($C$28,2),"0%"))</f>
        <v>#N/A</v>
      </c>
    </row>
    <row r="29" spans="1:11" x14ac:dyDescent="0.2">
      <c r="A29" s="2" t="s">
        <v>9</v>
      </c>
      <c r="B29" t="e">
        <f ca="1">OFFSET(A27,0,MATCH(goal_agg,$K$3:$Q$3,FALSE))</f>
        <v>#N/A</v>
      </c>
      <c r="C29" t="e">
        <f ca="1">OFFSET(A27,0,MATCH(goal_agg,$K$3:$Q$3,FALSE)+1)</f>
        <v>#N/A</v>
      </c>
      <c r="D29" t="e">
        <f ca="1">CONCATENATE(TEXT(ROUND($B$29,2)*100,"0")," - ",TEXT(ROUND($C$29,2),"0%"))</f>
        <v>#N/A</v>
      </c>
    </row>
  </sheetData>
  <sheetProtection algorithmName="SHA-512" hashValue="m0HBq9xld9NTaJXKCiQjHfKWLrmNGbZkiG6Q0bxUv9Cui+iIumW9GbAItQFvGpkzi1kvsSsoddUk4BjqjVJlRg==" saltValue="CCyGmhUyMJIMp/HhAx6bFA==" spinCount="100000" sheet="1" objects="1" scenarios="1"/>
  <pageMargins left="0.7" right="0.7" top="0.75" bottom="0.75" header="0.3" footer="0.3"/>
  <pageSetup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Q29"/>
  <sheetViews>
    <sheetView workbookViewId="0">
      <selection activeCell="C22" sqref="C22"/>
    </sheetView>
  </sheetViews>
  <sheetFormatPr baseColWidth="10" defaultColWidth="8.83203125" defaultRowHeight="15" x14ac:dyDescent="0.2"/>
  <cols>
    <col min="1" max="1" width="18.5" bestFit="1" customWidth="1"/>
    <col min="4" max="4" width="9.6640625" bestFit="1" customWidth="1"/>
  </cols>
  <sheetData>
    <row r="1" spans="2:17" x14ac:dyDescent="0.2">
      <c r="B1" t="s">
        <v>11</v>
      </c>
      <c r="K1" t="s">
        <v>12</v>
      </c>
    </row>
    <row r="3" spans="2:17" x14ac:dyDescent="0.2">
      <c r="B3" s="4" t="s">
        <v>5</v>
      </c>
      <c r="C3" s="4" t="s">
        <v>35</v>
      </c>
      <c r="D3" s="4" t="s">
        <v>19</v>
      </c>
      <c r="E3" s="4" t="s">
        <v>0</v>
      </c>
      <c r="F3" s="4" t="s">
        <v>20</v>
      </c>
      <c r="G3" s="4" t="s">
        <v>36</v>
      </c>
      <c r="H3" s="4"/>
      <c r="K3" s="4" t="s">
        <v>5</v>
      </c>
      <c r="L3" s="4" t="s">
        <v>35</v>
      </c>
      <c r="M3" s="4" t="s">
        <v>19</v>
      </c>
      <c r="N3" s="4" t="s">
        <v>0</v>
      </c>
      <c r="O3" s="4" t="s">
        <v>20</v>
      </c>
      <c r="P3" s="4" t="s">
        <v>36</v>
      </c>
      <c r="Q3" s="4"/>
    </row>
    <row r="4" spans="2:17" x14ac:dyDescent="0.2">
      <c r="B4" s="4">
        <v>0</v>
      </c>
      <c r="C4" s="4"/>
      <c r="D4" s="4"/>
      <c r="E4" s="4"/>
      <c r="F4" s="4"/>
      <c r="G4" s="4"/>
      <c r="H4" s="4"/>
      <c r="K4" s="4">
        <v>0</v>
      </c>
      <c r="L4" s="4"/>
      <c r="M4" s="4"/>
      <c r="N4" s="4"/>
      <c r="O4" s="4"/>
      <c r="P4" s="4"/>
      <c r="Q4" s="4"/>
    </row>
    <row r="5" spans="2:17" ht="16" x14ac:dyDescent="0.25">
      <c r="B5" s="4">
        <v>0.3</v>
      </c>
      <c r="C5" s="4">
        <v>0</v>
      </c>
      <c r="D5" s="4">
        <v>0.33333333333333298</v>
      </c>
      <c r="E5" s="4">
        <v>0.36805555555555503</v>
      </c>
      <c r="F5" s="4">
        <v>0.43427230046948301</v>
      </c>
      <c r="G5" s="4">
        <v>0.49431818181818099</v>
      </c>
      <c r="H5" s="3">
        <v>1</v>
      </c>
      <c r="I5" s="1"/>
      <c r="K5" s="4">
        <v>0.3</v>
      </c>
      <c r="L5" s="4">
        <v>0</v>
      </c>
      <c r="M5" s="4">
        <v>0.29479768786127097</v>
      </c>
      <c r="N5" s="4">
        <v>0.336842105263157</v>
      </c>
      <c r="O5" s="4">
        <v>0.36842105263157798</v>
      </c>
      <c r="P5" s="4">
        <v>0.40625</v>
      </c>
      <c r="Q5" s="3">
        <v>1</v>
      </c>
    </row>
    <row r="6" spans="2:17" ht="16" x14ac:dyDescent="0.25">
      <c r="B6" s="4">
        <v>0.4</v>
      </c>
      <c r="C6" s="4">
        <v>0</v>
      </c>
      <c r="D6" s="4">
        <v>0.41758241758241699</v>
      </c>
      <c r="E6" s="4">
        <v>0.47169811320754701</v>
      </c>
      <c r="F6" s="4">
        <v>0.52777777777777701</v>
      </c>
      <c r="G6" s="4">
        <v>0.58940397350993301</v>
      </c>
      <c r="H6" s="3">
        <v>1</v>
      </c>
      <c r="I6" s="1"/>
      <c r="K6" s="4">
        <v>0.4</v>
      </c>
      <c r="L6" s="4">
        <v>0</v>
      </c>
      <c r="M6" s="4">
        <v>0.36641221374045801</v>
      </c>
      <c r="N6" s="4">
        <v>0.41417910447761103</v>
      </c>
      <c r="O6" s="4">
        <v>0.44961240310077499</v>
      </c>
      <c r="P6" s="4">
        <v>0.50877192982456099</v>
      </c>
      <c r="Q6" s="3">
        <v>1</v>
      </c>
    </row>
    <row r="7" spans="2:17" ht="16" x14ac:dyDescent="0.25">
      <c r="B7" s="4">
        <v>0.45</v>
      </c>
      <c r="C7" s="4">
        <v>0</v>
      </c>
      <c r="D7" s="4">
        <v>0.47058823529411697</v>
      </c>
      <c r="E7" s="4">
        <v>0.53030303030303005</v>
      </c>
      <c r="F7" s="4">
        <v>0.57079646017699104</v>
      </c>
      <c r="G7" s="4">
        <v>0.61846153846153795</v>
      </c>
      <c r="H7" s="3">
        <v>1</v>
      </c>
      <c r="I7" s="1"/>
      <c r="K7" s="4">
        <v>0.45</v>
      </c>
      <c r="L7" s="4">
        <v>0</v>
      </c>
      <c r="M7" s="4">
        <v>0.43373493975903599</v>
      </c>
      <c r="N7" s="4">
        <v>0.47843137254901902</v>
      </c>
      <c r="O7" s="4">
        <v>0.51515151515151503</v>
      </c>
      <c r="P7" s="4">
        <v>0.56000000000000005</v>
      </c>
      <c r="Q7" s="3">
        <v>1</v>
      </c>
    </row>
    <row r="8" spans="2:17" ht="16" x14ac:dyDescent="0.25">
      <c r="B8" s="4">
        <v>0.5</v>
      </c>
      <c r="C8" s="4">
        <v>0</v>
      </c>
      <c r="D8" s="4">
        <v>0.528517110266159</v>
      </c>
      <c r="E8" s="4">
        <v>0.58073654390934804</v>
      </c>
      <c r="F8" s="4">
        <v>0.62626262626262597</v>
      </c>
      <c r="G8" s="4">
        <v>0.67032967032966995</v>
      </c>
      <c r="H8" s="3">
        <v>1</v>
      </c>
      <c r="I8" s="1"/>
      <c r="K8" s="4">
        <v>0.5</v>
      </c>
      <c r="L8" s="4">
        <v>0</v>
      </c>
      <c r="M8" s="4">
        <v>0.487922705314009</v>
      </c>
      <c r="N8" s="4">
        <v>0.52692307692307605</v>
      </c>
      <c r="O8" s="4">
        <v>0.56140350877192902</v>
      </c>
      <c r="P8" s="4">
        <v>0.62195121951219501</v>
      </c>
      <c r="Q8" s="3">
        <v>1</v>
      </c>
    </row>
    <row r="9" spans="2:17" ht="16" x14ac:dyDescent="0.25">
      <c r="B9" s="4">
        <v>0.55000000000000004</v>
      </c>
      <c r="C9" s="4">
        <v>0</v>
      </c>
      <c r="D9" s="4">
        <v>0.57692307692307598</v>
      </c>
      <c r="E9" s="4">
        <v>0.62801932367149704</v>
      </c>
      <c r="F9" s="4">
        <v>0.67045454545454497</v>
      </c>
      <c r="G9" s="4">
        <v>0.72251308900523503</v>
      </c>
      <c r="H9" s="3">
        <v>1</v>
      </c>
      <c r="I9" s="1"/>
      <c r="K9" s="4">
        <v>0.55000000000000004</v>
      </c>
      <c r="L9" s="4">
        <v>0</v>
      </c>
      <c r="M9" s="4">
        <v>0.53521126760563298</v>
      </c>
      <c r="N9" s="4">
        <v>0.57879656160458404</v>
      </c>
      <c r="O9" s="4">
        <v>0.61494252873563204</v>
      </c>
      <c r="P9" s="4">
        <v>0.66101694915254205</v>
      </c>
      <c r="Q9" s="3">
        <v>1</v>
      </c>
    </row>
    <row r="10" spans="2:17" ht="16" x14ac:dyDescent="0.25">
      <c r="B10" s="4">
        <v>0.6</v>
      </c>
      <c r="C10" s="4">
        <v>0</v>
      </c>
      <c r="D10" s="4">
        <v>0.61083743842364502</v>
      </c>
      <c r="E10" s="4">
        <v>0.66093366093366002</v>
      </c>
      <c r="F10" s="4">
        <v>0.69895287958115104</v>
      </c>
      <c r="G10" s="4">
        <v>0.73786407766990203</v>
      </c>
      <c r="H10" s="3">
        <v>1</v>
      </c>
      <c r="I10" s="1"/>
      <c r="K10" s="4">
        <v>0.6</v>
      </c>
      <c r="L10" s="4">
        <v>0</v>
      </c>
      <c r="M10" s="4">
        <v>0.57360406091370497</v>
      </c>
      <c r="N10" s="4">
        <v>0.62201834862385297</v>
      </c>
      <c r="O10" s="4">
        <v>0.65923566878980799</v>
      </c>
      <c r="P10" s="4">
        <v>0.69642857142857095</v>
      </c>
      <c r="Q10" s="3">
        <v>1</v>
      </c>
    </row>
    <row r="11" spans="2:17" ht="16" x14ac:dyDescent="0.25">
      <c r="B11" s="4">
        <v>0.7</v>
      </c>
      <c r="C11" s="4">
        <v>0</v>
      </c>
      <c r="D11" s="4">
        <v>0.67063492063492003</v>
      </c>
      <c r="E11" s="4">
        <v>0.72118959107806602</v>
      </c>
      <c r="F11" s="4">
        <v>0.75392670157067998</v>
      </c>
      <c r="G11" s="4">
        <v>0.79</v>
      </c>
      <c r="H11" s="3">
        <v>1</v>
      </c>
      <c r="I11" s="1"/>
      <c r="K11" s="4">
        <v>0.7</v>
      </c>
      <c r="L11" s="4">
        <v>0</v>
      </c>
      <c r="M11" s="4">
        <v>0.64338235294117596</v>
      </c>
      <c r="N11" s="4">
        <v>0.68578553615960003</v>
      </c>
      <c r="O11" s="4">
        <v>0.72</v>
      </c>
      <c r="P11" s="4">
        <v>0.75665399239543696</v>
      </c>
      <c r="Q11" s="3">
        <v>1</v>
      </c>
    </row>
    <row r="12" spans="2:17" ht="16" x14ac:dyDescent="0.25">
      <c r="B12" s="4">
        <v>0.8</v>
      </c>
      <c r="C12" s="4">
        <v>0</v>
      </c>
      <c r="D12" s="4">
        <v>0.75115207373271797</v>
      </c>
      <c r="E12" s="4">
        <v>0.79039301310043597</v>
      </c>
      <c r="F12" s="4">
        <v>0.820754716981132</v>
      </c>
      <c r="G12" s="4">
        <v>0.85614849187935005</v>
      </c>
      <c r="H12" s="3">
        <v>1</v>
      </c>
      <c r="I12" s="1"/>
      <c r="K12" s="4">
        <v>0.8</v>
      </c>
      <c r="L12" s="4">
        <v>0</v>
      </c>
      <c r="M12" s="4">
        <v>0.73469387755102</v>
      </c>
      <c r="N12" s="4">
        <v>0.76963350785340301</v>
      </c>
      <c r="O12" s="4">
        <v>0.798013245033112</v>
      </c>
      <c r="P12" s="4">
        <v>0.82847896440129398</v>
      </c>
      <c r="Q12" s="3">
        <v>1</v>
      </c>
    </row>
    <row r="13" spans="2:17" ht="16" x14ac:dyDescent="0.25">
      <c r="B13" s="4">
        <v>0.9</v>
      </c>
      <c r="C13" s="4">
        <v>0</v>
      </c>
      <c r="D13" s="4">
        <v>0.82564102564102504</v>
      </c>
      <c r="E13" s="4">
        <v>0.86444444444444402</v>
      </c>
      <c r="F13" s="4">
        <v>0.88855421686746905</v>
      </c>
      <c r="G13" s="4">
        <v>0.91525423728813504</v>
      </c>
      <c r="H13" s="3">
        <v>1</v>
      </c>
      <c r="I13" s="1"/>
      <c r="K13" s="4">
        <v>0.9</v>
      </c>
      <c r="L13" s="4">
        <v>0</v>
      </c>
      <c r="M13" s="4">
        <v>0.81886792452830104</v>
      </c>
      <c r="N13" s="4">
        <v>0.84745762711864403</v>
      </c>
      <c r="O13" s="4">
        <v>0.87359550561797705</v>
      </c>
      <c r="P13" s="4">
        <v>0.89937106918238896</v>
      </c>
      <c r="Q13" s="3">
        <v>1</v>
      </c>
    </row>
    <row r="14" spans="2:17" ht="16" x14ac:dyDescent="0.25">
      <c r="B14" s="4">
        <v>1</v>
      </c>
      <c r="C14" s="4">
        <v>0</v>
      </c>
      <c r="D14" s="4">
        <v>0.90390390390390296</v>
      </c>
      <c r="E14" s="4">
        <v>0.92490118577074998</v>
      </c>
      <c r="F14" s="4">
        <v>0.94242424242424205</v>
      </c>
      <c r="G14" s="4">
        <v>0.96240601503759304</v>
      </c>
      <c r="H14" s="3">
        <v>1</v>
      </c>
      <c r="I14" s="1"/>
      <c r="K14" s="4">
        <v>1</v>
      </c>
      <c r="L14" s="4">
        <v>0</v>
      </c>
      <c r="M14" s="4">
        <v>0.88856304985337198</v>
      </c>
      <c r="N14" s="4">
        <v>0.90038314176245204</v>
      </c>
      <c r="O14" s="4">
        <v>0.92371134020618495</v>
      </c>
      <c r="P14" s="4">
        <v>0.95759717314487602</v>
      </c>
      <c r="Q14" s="3">
        <v>1</v>
      </c>
    </row>
    <row r="15" spans="2:17" ht="16" x14ac:dyDescent="0.25">
      <c r="B15" s="6"/>
      <c r="C15" s="6"/>
      <c r="D15" s="6"/>
      <c r="E15" s="6"/>
      <c r="F15" s="6"/>
      <c r="G15" s="6"/>
      <c r="H15" s="7"/>
      <c r="I15" s="1"/>
      <c r="K15" s="6"/>
      <c r="L15" s="6"/>
      <c r="M15" s="6"/>
      <c r="N15" s="6"/>
      <c r="O15" s="6"/>
      <c r="P15" s="6"/>
      <c r="Q15" s="7"/>
    </row>
    <row r="17" spans="1:11" x14ac:dyDescent="0.2">
      <c r="A17" t="s">
        <v>15</v>
      </c>
      <c r="B17" t="e">
        <f>IF(BOY_agg="",NA(),BOY_agg)</f>
        <v>#N/A</v>
      </c>
      <c r="C17" t="e">
        <f>IF(OR(B17="",B17&lt;0,B17&gt;1),NA(),IF(B17=0,0.001,B17))</f>
        <v>#N/A</v>
      </c>
    </row>
    <row r="18" spans="1:11" x14ac:dyDescent="0.2">
      <c r="A18" t="s">
        <v>16</v>
      </c>
      <c r="B18" t="e">
        <f>IF(EOY_agg="",NA(),EOY_agg)</f>
        <v>#N/A</v>
      </c>
      <c r="C18" t="e">
        <f>IF(OR(B18="",B18&lt;0,B18&gt;1),NA(),IF(B18=1,0.999,B18))</f>
        <v>#N/A</v>
      </c>
    </row>
    <row r="19" spans="1:11" x14ac:dyDescent="0.2">
      <c r="A19" t="s">
        <v>17</v>
      </c>
      <c r="B19" t="e">
        <f>IF(goal_BOY_agg="",NA(),goal_BOY_agg)</f>
        <v>#N/A</v>
      </c>
      <c r="C19" t="e">
        <f>IF(OR(B19="",B19&lt;0,B19&gt;1),NA(),IF(B19=0,0.001,B19))</f>
        <v>#N/A</v>
      </c>
    </row>
    <row r="21" spans="1:11" x14ac:dyDescent="0.2">
      <c r="A21" s="5" t="s">
        <v>13</v>
      </c>
    </row>
    <row r="22" spans="1:11" ht="16" x14ac:dyDescent="0.25">
      <c r="A22" s="2" t="s">
        <v>7</v>
      </c>
      <c r="B22" s="1" t="e">
        <f>SUMPRODUCT((B3:B13&lt;$C$17)*(B4:B14&gt;=$C$17),(B4:B14))</f>
        <v>#N/A</v>
      </c>
      <c r="C22" t="e">
        <f>VLOOKUP($B$22,$B$5:$H$14,2,FALSE)</f>
        <v>#N/A</v>
      </c>
      <c r="D22" t="e">
        <f>VLOOKUP($B$22,$B$5:$H$14,3,FALSE)</f>
        <v>#N/A</v>
      </c>
      <c r="E22" t="e">
        <f>VLOOKUP($B$22,$B$5:$H$14,4,FALSE)</f>
        <v>#N/A</v>
      </c>
      <c r="F22" t="e">
        <f>VLOOKUP($B$22,$B$5:$H$14,5,FALSE)</f>
        <v>#N/A</v>
      </c>
      <c r="G22" t="e">
        <f>VLOOKUP($B$22,$B$5:$H$14,6,FALSE)</f>
        <v>#N/A</v>
      </c>
      <c r="H22" t="e">
        <f>VLOOKUP($B$22,$B$5:$H$14,7,FALSE)</f>
        <v>#N/A</v>
      </c>
      <c r="J22" s="2"/>
    </row>
    <row r="23" spans="1:11" ht="16" x14ac:dyDescent="0.25">
      <c r="A23" s="2" t="s">
        <v>8</v>
      </c>
      <c r="B23" s="1" t="e">
        <f ca="1">OFFSET(A3,0,SUMPRODUCT((C22:G22&lt;=$C$18)*(D22:H22&gt;$C$18),COLUMN(B22:F22)))</f>
        <v>#N/A</v>
      </c>
      <c r="J23" s="2"/>
      <c r="K23" s="1"/>
    </row>
    <row r="24" spans="1:11" ht="16" x14ac:dyDescent="0.25">
      <c r="A24" s="2"/>
      <c r="B24" s="1"/>
      <c r="J24" s="2"/>
      <c r="K24" s="1"/>
    </row>
    <row r="25" spans="1:11" ht="16" x14ac:dyDescent="0.25">
      <c r="A25" s="5" t="s">
        <v>14</v>
      </c>
      <c r="B25" s="1"/>
      <c r="J25" s="2"/>
      <c r="K25" s="1"/>
    </row>
    <row r="26" spans="1:11" ht="16" x14ac:dyDescent="0.25">
      <c r="A26" s="2" t="s">
        <v>7</v>
      </c>
      <c r="B26" s="1" t="e">
        <f>SUMPRODUCT((B3:B13&lt;$C$19)*(B4:B14&gt;=$C$19),(B4:B14))</f>
        <v>#N/A</v>
      </c>
      <c r="C26" t="e">
        <f>VLOOKUP($B$26,$B$5:$H$14,2,FALSE)</f>
        <v>#N/A</v>
      </c>
      <c r="D26" t="e">
        <f>VLOOKUP($B$26,$B$5:$H$14,3,FALSE)</f>
        <v>#N/A</v>
      </c>
      <c r="E26" t="e">
        <f>VLOOKUP($B$26,$B$5:$H$14,4,FALSE)</f>
        <v>#N/A</v>
      </c>
      <c r="F26" t="e">
        <f>VLOOKUP($B$26,$B$5:$H$14,5,FALSE)</f>
        <v>#N/A</v>
      </c>
      <c r="G26" t="e">
        <f>VLOOKUP($B$26,$B$5:$H$14,6,FALSE)</f>
        <v>#N/A</v>
      </c>
      <c r="H26" t="e">
        <f>VLOOKUP($B$26,$B$5:$H$14,7,FALSE)</f>
        <v>#N/A</v>
      </c>
      <c r="J26" s="2"/>
    </row>
    <row r="27" spans="1:11" ht="16" x14ac:dyDescent="0.25">
      <c r="A27" s="2" t="s">
        <v>10</v>
      </c>
      <c r="B27" s="1"/>
      <c r="C27" t="e">
        <f>VLOOKUP($B$26,$K$5:$Q$14,2,FALSE)</f>
        <v>#N/A</v>
      </c>
      <c r="D27" t="e">
        <f>VLOOKUP($B$26,$K$5:$Q$14,3,FALSE)</f>
        <v>#N/A</v>
      </c>
      <c r="E27" t="e">
        <f>VLOOKUP($B$26,$K$5:$Q$14,4,FALSE)</f>
        <v>#N/A</v>
      </c>
      <c r="F27" t="e">
        <f>VLOOKUP($B$26,$K$5:$Q$14,5,FALSE)</f>
        <v>#N/A</v>
      </c>
      <c r="G27" t="e">
        <f>VLOOKUP($B$26,$K$5:$Q$14,6,FALSE)</f>
        <v>#N/A</v>
      </c>
      <c r="H27" t="e">
        <f>VLOOKUP($B$26,$K$5:$Q$14,7,FALSE)</f>
        <v>#N/A</v>
      </c>
      <c r="J27" s="2"/>
      <c r="K27" s="1"/>
    </row>
    <row r="28" spans="1:11" x14ac:dyDescent="0.2">
      <c r="A28" s="2" t="s">
        <v>6</v>
      </c>
      <c r="B28" t="e">
        <f ca="1">OFFSET(A26,0,MATCH(goal_agg,$B$3:$H$3,FALSE))</f>
        <v>#N/A</v>
      </c>
      <c r="C28" t="e">
        <f ca="1">OFFSET(A26,0,MATCH(goal_agg,$B$3:$H$3,FALSE)+1)</f>
        <v>#N/A</v>
      </c>
      <c r="D28" t="e">
        <f ca="1">CONCATENATE(TEXT(ROUND($B$28,2)*100,"0")," - ",TEXT(ROUND($C$28,2),"0%"))</f>
        <v>#N/A</v>
      </c>
    </row>
    <row r="29" spans="1:11" x14ac:dyDescent="0.2">
      <c r="A29" s="2" t="s">
        <v>9</v>
      </c>
      <c r="B29" t="e">
        <f ca="1">OFFSET(A27,0,MATCH(goal_agg,$K$3:$Q$3,FALSE))</f>
        <v>#N/A</v>
      </c>
      <c r="C29" t="e">
        <f ca="1">OFFSET(A27,0,MATCH(goal_agg,$K$3:$Q$3,FALSE)+1)</f>
        <v>#N/A</v>
      </c>
      <c r="D29" t="e">
        <f ca="1">CONCATENATE(TEXT(ROUND($B$29,2)*100,"0")," - ",TEXT(ROUND($C$29,2),"0%"))</f>
        <v>#N/A</v>
      </c>
    </row>
  </sheetData>
  <sheetProtection algorithmName="SHA-512" hashValue="I4ORXTrEvkLrcqR/p1NzHSysFNNvCpCXuXBpEelqpUwr6ehUTHWrk2/VoTQIa2Cjcd+g7mH6JOsb5lt3KsGc9A==" saltValue="t/eVuz7BqhW0qcM8lNsRoA==" spinCount="100000" sheet="1" objects="1" scenarios="1"/>
  <pageMargins left="0.7" right="0.7" top="0.75" bottom="0.75" header="0.3" footer="0.3"/>
  <pageSetup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Q29"/>
  <sheetViews>
    <sheetView workbookViewId="0">
      <selection activeCell="H23" sqref="H23"/>
    </sheetView>
  </sheetViews>
  <sheetFormatPr baseColWidth="10" defaultColWidth="8.83203125" defaultRowHeight="15" x14ac:dyDescent="0.2"/>
  <cols>
    <col min="1" max="1" width="18.5" bestFit="1" customWidth="1"/>
    <col min="4" max="4" width="9.6640625" bestFit="1" customWidth="1"/>
  </cols>
  <sheetData>
    <row r="1" spans="2:17" x14ac:dyDescent="0.2">
      <c r="B1" t="s">
        <v>11</v>
      </c>
      <c r="K1" t="s">
        <v>12</v>
      </c>
    </row>
    <row r="3" spans="2:17" x14ac:dyDescent="0.2">
      <c r="B3" s="4" t="s">
        <v>5</v>
      </c>
      <c r="C3" s="4" t="s">
        <v>35</v>
      </c>
      <c r="D3" s="4" t="s">
        <v>19</v>
      </c>
      <c r="E3" s="4" t="s">
        <v>0</v>
      </c>
      <c r="F3" s="4" t="s">
        <v>20</v>
      </c>
      <c r="G3" s="4" t="s">
        <v>36</v>
      </c>
      <c r="H3" s="4"/>
      <c r="K3" s="4" t="s">
        <v>5</v>
      </c>
      <c r="L3" s="4" t="s">
        <v>35</v>
      </c>
      <c r="M3" s="4" t="s">
        <v>19</v>
      </c>
      <c r="N3" s="4" t="s">
        <v>0</v>
      </c>
      <c r="O3" s="4" t="s">
        <v>20</v>
      </c>
      <c r="P3" s="4" t="s">
        <v>36</v>
      </c>
      <c r="Q3" s="4"/>
    </row>
    <row r="4" spans="2:17" x14ac:dyDescent="0.2">
      <c r="B4" s="4">
        <v>0</v>
      </c>
      <c r="C4" s="4"/>
      <c r="D4" s="4"/>
      <c r="E4" s="4"/>
      <c r="F4" s="4"/>
      <c r="G4" s="4"/>
      <c r="H4" s="4"/>
      <c r="K4" s="4">
        <v>0</v>
      </c>
      <c r="L4" s="4"/>
      <c r="M4" s="4"/>
      <c r="N4" s="4"/>
      <c r="O4" s="4"/>
      <c r="P4" s="4"/>
      <c r="Q4" s="4"/>
    </row>
    <row r="5" spans="2:17" ht="16" x14ac:dyDescent="0.25">
      <c r="B5" s="4">
        <v>0.3</v>
      </c>
      <c r="C5" s="4">
        <v>0</v>
      </c>
      <c r="D5" s="4">
        <v>0.28169014084506999</v>
      </c>
      <c r="E5" s="4">
        <v>0.36877076411960102</v>
      </c>
      <c r="F5" s="4">
        <v>0.44339622641509402</v>
      </c>
      <c r="G5" s="4">
        <v>0.51864406779660999</v>
      </c>
      <c r="H5" s="3">
        <v>1</v>
      </c>
      <c r="K5" s="4">
        <v>0.3</v>
      </c>
      <c r="L5" s="4">
        <v>0</v>
      </c>
      <c r="M5" s="4">
        <v>0.306397306397306</v>
      </c>
      <c r="N5" s="4">
        <v>0.340425531914893</v>
      </c>
      <c r="O5" s="4">
        <v>0.35546875</v>
      </c>
      <c r="P5" s="4">
        <v>0.38571428571428501</v>
      </c>
      <c r="Q5" s="3">
        <v>1</v>
      </c>
    </row>
    <row r="6" spans="2:17" ht="16" x14ac:dyDescent="0.25">
      <c r="B6" s="4">
        <v>0.4</v>
      </c>
      <c r="C6" s="4">
        <v>0</v>
      </c>
      <c r="D6" s="4">
        <v>0.43019943019943002</v>
      </c>
      <c r="E6" s="4">
        <v>0.47911547911547903</v>
      </c>
      <c r="F6" s="4">
        <v>0.51644736842105199</v>
      </c>
      <c r="G6" s="4">
        <v>0.55675675675675595</v>
      </c>
      <c r="H6" s="3">
        <v>1</v>
      </c>
      <c r="I6" s="1"/>
      <c r="K6" s="4">
        <v>0.4</v>
      </c>
      <c r="L6" s="4">
        <v>0</v>
      </c>
      <c r="M6" s="4">
        <v>0.38793103448275801</v>
      </c>
      <c r="N6" s="4">
        <v>0.41401273885350298</v>
      </c>
      <c r="O6" s="4">
        <v>0.436708860759493</v>
      </c>
      <c r="P6" s="4">
        <v>0.47674418604651098</v>
      </c>
      <c r="Q6" s="3">
        <v>1</v>
      </c>
    </row>
    <row r="7" spans="2:17" ht="16" x14ac:dyDescent="0.25">
      <c r="B7" s="4">
        <v>0.45</v>
      </c>
      <c r="C7" s="4">
        <v>0</v>
      </c>
      <c r="D7" s="4">
        <v>0.46850393700787402</v>
      </c>
      <c r="E7" s="4">
        <v>0.51923076923076905</v>
      </c>
      <c r="F7" s="4">
        <v>0.56000000000000005</v>
      </c>
      <c r="G7" s="4">
        <v>0.60317460317460303</v>
      </c>
      <c r="H7" s="3">
        <v>1</v>
      </c>
      <c r="I7" s="1"/>
      <c r="K7" s="4">
        <v>0.45</v>
      </c>
      <c r="L7" s="4">
        <v>0</v>
      </c>
      <c r="M7" s="4">
        <v>0.43259557344064298</v>
      </c>
      <c r="N7" s="4">
        <v>0.472622478386167</v>
      </c>
      <c r="O7" s="4">
        <v>0.497695852534562</v>
      </c>
      <c r="P7" s="4">
        <v>0.53754940711462396</v>
      </c>
      <c r="Q7" s="3">
        <v>1</v>
      </c>
    </row>
    <row r="8" spans="2:17" ht="16" x14ac:dyDescent="0.25">
      <c r="B8" s="4">
        <v>0.5</v>
      </c>
      <c r="C8" s="4">
        <v>0</v>
      </c>
      <c r="D8" s="4">
        <v>0.53070175438596401</v>
      </c>
      <c r="E8" s="4">
        <v>0.57083333333333297</v>
      </c>
      <c r="F8" s="4">
        <v>0.60135135135135098</v>
      </c>
      <c r="G8" s="4">
        <v>0.63888888888888795</v>
      </c>
      <c r="H8" s="3">
        <v>1</v>
      </c>
      <c r="I8" s="1"/>
      <c r="K8" s="4">
        <v>0.5</v>
      </c>
      <c r="L8" s="4">
        <v>0</v>
      </c>
      <c r="M8" s="4">
        <v>0.48611111111111099</v>
      </c>
      <c r="N8" s="4">
        <v>0.52542372881355903</v>
      </c>
      <c r="O8" s="4">
        <v>0.55014326647564404</v>
      </c>
      <c r="P8" s="4">
        <v>0.58208955223880499</v>
      </c>
      <c r="Q8" s="3">
        <v>1</v>
      </c>
    </row>
    <row r="9" spans="2:17" ht="16" x14ac:dyDescent="0.25">
      <c r="B9" s="4">
        <v>0.55000000000000004</v>
      </c>
      <c r="C9" s="4">
        <v>0</v>
      </c>
      <c r="D9" s="4">
        <v>0.55555555555555503</v>
      </c>
      <c r="E9" s="4">
        <v>0.61237785016286606</v>
      </c>
      <c r="F9" s="4">
        <v>0.64400000000000002</v>
      </c>
      <c r="G9" s="4">
        <v>0.68320610687022898</v>
      </c>
      <c r="H9" s="3">
        <v>1</v>
      </c>
      <c r="I9" s="1"/>
      <c r="K9" s="4">
        <v>0.55000000000000004</v>
      </c>
      <c r="L9" s="4">
        <v>0</v>
      </c>
      <c r="M9" s="4">
        <v>0.531645569620253</v>
      </c>
      <c r="N9" s="4">
        <v>0.56976744186046502</v>
      </c>
      <c r="O9" s="4">
        <v>0.60526315789473595</v>
      </c>
      <c r="P9" s="4">
        <v>0.64197530864197505</v>
      </c>
      <c r="Q9" s="3">
        <v>1</v>
      </c>
    </row>
    <row r="10" spans="2:17" ht="16" x14ac:dyDescent="0.25">
      <c r="B10" s="4">
        <v>0.6</v>
      </c>
      <c r="C10" s="4">
        <v>0</v>
      </c>
      <c r="D10" s="4">
        <v>0.60617760617760597</v>
      </c>
      <c r="E10" s="4">
        <v>0.653950953678474</v>
      </c>
      <c r="F10" s="4">
        <v>0.68553459119496796</v>
      </c>
      <c r="G10" s="4">
        <v>0.72559366754617405</v>
      </c>
      <c r="H10" s="3">
        <v>1</v>
      </c>
      <c r="I10" s="1"/>
      <c r="K10" s="4">
        <v>0.6</v>
      </c>
      <c r="L10" s="4">
        <v>0</v>
      </c>
      <c r="M10" s="4">
        <v>0.57266435986159103</v>
      </c>
      <c r="N10" s="4">
        <v>0.61363636363636298</v>
      </c>
      <c r="O10" s="4">
        <v>0.64304461942257196</v>
      </c>
      <c r="P10" s="4">
        <v>0.67647058823529405</v>
      </c>
      <c r="Q10" s="3">
        <v>1</v>
      </c>
    </row>
    <row r="11" spans="2:17" ht="16" x14ac:dyDescent="0.25">
      <c r="B11" s="4">
        <v>0.7</v>
      </c>
      <c r="C11" s="4">
        <v>0</v>
      </c>
      <c r="D11" s="4">
        <v>0.66666666666666596</v>
      </c>
      <c r="E11" s="4">
        <v>0.70909090909090899</v>
      </c>
      <c r="F11" s="4">
        <v>0.73756906077347995</v>
      </c>
      <c r="G11" s="4">
        <v>0.77115987460815005</v>
      </c>
      <c r="H11" s="3">
        <v>1</v>
      </c>
      <c r="I11" s="1"/>
      <c r="K11" s="4">
        <v>0.7</v>
      </c>
      <c r="L11" s="4">
        <v>0</v>
      </c>
      <c r="M11" s="4">
        <v>0.64137931034482698</v>
      </c>
      <c r="N11" s="4">
        <v>0.67491166077738496</v>
      </c>
      <c r="O11" s="4">
        <v>0.70384615384615301</v>
      </c>
      <c r="P11" s="4">
        <v>0.73540856031128399</v>
      </c>
      <c r="Q11" s="3">
        <v>1</v>
      </c>
    </row>
    <row r="12" spans="2:17" ht="16" x14ac:dyDescent="0.25">
      <c r="B12" s="4">
        <v>0.8</v>
      </c>
      <c r="C12" s="4">
        <v>0</v>
      </c>
      <c r="D12" s="4">
        <v>0.74425287356321801</v>
      </c>
      <c r="E12" s="4">
        <v>0.78125</v>
      </c>
      <c r="F12" s="4">
        <v>0.80916030534351102</v>
      </c>
      <c r="G12" s="4">
        <v>0.84543325526932001</v>
      </c>
      <c r="H12" s="3">
        <v>1</v>
      </c>
      <c r="I12" s="1"/>
      <c r="K12" s="4">
        <v>0.8</v>
      </c>
      <c r="L12" s="4">
        <v>0</v>
      </c>
      <c r="M12" s="4">
        <v>0.73127753303964704</v>
      </c>
      <c r="N12" s="4">
        <v>0.76190476190476097</v>
      </c>
      <c r="O12" s="4">
        <v>0.78846153846153799</v>
      </c>
      <c r="P12" s="4">
        <v>0.81944444444444398</v>
      </c>
      <c r="Q12" s="3">
        <v>1</v>
      </c>
    </row>
    <row r="13" spans="2:17" ht="16" x14ac:dyDescent="0.25">
      <c r="B13" s="4">
        <v>0.9</v>
      </c>
      <c r="C13" s="4">
        <v>0</v>
      </c>
      <c r="D13" s="4">
        <v>0.82666666666666599</v>
      </c>
      <c r="E13" s="4">
        <v>0.85567010309278302</v>
      </c>
      <c r="F13" s="4">
        <v>0.88235294117647001</v>
      </c>
      <c r="G13" s="4">
        <v>0.91275167785234801</v>
      </c>
      <c r="H13" s="3">
        <v>1</v>
      </c>
      <c r="I13" s="1"/>
      <c r="K13" s="4">
        <v>0.9</v>
      </c>
      <c r="L13" s="4">
        <v>0</v>
      </c>
      <c r="M13" s="4">
        <v>0.81364392678868502</v>
      </c>
      <c r="N13" s="4">
        <v>0.84532374100719399</v>
      </c>
      <c r="O13" s="4">
        <v>0.87154150197628399</v>
      </c>
      <c r="P13" s="4">
        <v>0.89251439539347399</v>
      </c>
      <c r="Q13" s="3">
        <v>1</v>
      </c>
    </row>
    <row r="14" spans="2:17" ht="16" x14ac:dyDescent="0.25">
      <c r="B14" s="4">
        <v>1</v>
      </c>
      <c r="C14" s="4">
        <v>0</v>
      </c>
      <c r="D14" s="4">
        <v>0.91196388261851002</v>
      </c>
      <c r="E14" s="4">
        <v>0.93617021276595702</v>
      </c>
      <c r="F14" s="4">
        <v>0.94339622641509402</v>
      </c>
      <c r="G14" s="4">
        <v>0.96354166666666596</v>
      </c>
      <c r="H14" s="3">
        <v>1</v>
      </c>
      <c r="I14" s="1"/>
      <c r="K14" s="4">
        <v>1</v>
      </c>
      <c r="L14" s="4">
        <v>0</v>
      </c>
      <c r="M14" s="4">
        <v>0.88951841359773298</v>
      </c>
      <c r="N14" s="4">
        <v>0.91176470588235203</v>
      </c>
      <c r="O14" s="4">
        <v>0.92780337941628199</v>
      </c>
      <c r="P14" s="4">
        <v>0.95512820512820495</v>
      </c>
      <c r="Q14" s="3">
        <v>1</v>
      </c>
    </row>
    <row r="15" spans="2:17" ht="16" x14ac:dyDescent="0.25">
      <c r="B15" s="6"/>
      <c r="C15" s="6"/>
      <c r="D15" s="6"/>
      <c r="E15" s="6"/>
      <c r="F15" s="6"/>
      <c r="G15" s="6"/>
      <c r="H15" s="7"/>
      <c r="I15" s="1"/>
      <c r="K15" s="6"/>
      <c r="L15" s="6"/>
      <c r="M15" s="6"/>
      <c r="N15" s="6"/>
      <c r="O15" s="6"/>
      <c r="P15" s="6"/>
      <c r="Q15" s="7"/>
    </row>
    <row r="17" spans="1:11" x14ac:dyDescent="0.2">
      <c r="A17" t="s">
        <v>15</v>
      </c>
      <c r="B17" t="e">
        <f>IF(BOY_agg="",NA(),BOY_agg)</f>
        <v>#N/A</v>
      </c>
      <c r="C17" t="e">
        <f>IF(OR(B17="",B17&lt;0,B17&gt;1),NA(),IF(B17=0,0.001,B17))</f>
        <v>#N/A</v>
      </c>
    </row>
    <row r="18" spans="1:11" x14ac:dyDescent="0.2">
      <c r="A18" t="s">
        <v>16</v>
      </c>
      <c r="B18" t="e">
        <f>IF(EOY_agg="",NA(),EOY_agg)</f>
        <v>#N/A</v>
      </c>
      <c r="C18" t="e">
        <f>IF(OR(B18="",B18&lt;0,B18&gt;1),NA(),IF(B18=1,0.999,B18))</f>
        <v>#N/A</v>
      </c>
    </row>
    <row r="19" spans="1:11" x14ac:dyDescent="0.2">
      <c r="A19" t="s">
        <v>17</v>
      </c>
      <c r="B19" t="e">
        <f>IF(goal_BOY_agg="",NA(),goal_BOY_agg)</f>
        <v>#N/A</v>
      </c>
      <c r="C19" t="e">
        <f>IF(OR(B19="",B19&lt;0,B19&gt;1),NA(),IF(B19=0,0.001,B19))</f>
        <v>#N/A</v>
      </c>
    </row>
    <row r="21" spans="1:11" x14ac:dyDescent="0.2">
      <c r="A21" s="5" t="s">
        <v>13</v>
      </c>
    </row>
    <row r="22" spans="1:11" ht="16" x14ac:dyDescent="0.25">
      <c r="A22" s="2" t="s">
        <v>7</v>
      </c>
      <c r="B22" s="1" t="e">
        <f>SUMPRODUCT((B3:B13&lt;$C$17)*(B4:B14&gt;=$C$17),(B4:B14))</f>
        <v>#N/A</v>
      </c>
      <c r="C22" t="e">
        <f>VLOOKUP($B$22,$B$5:$H$14,2,FALSE)</f>
        <v>#N/A</v>
      </c>
      <c r="D22" t="e">
        <f>VLOOKUP($B$22,$B$5:$H$14,3,FALSE)</f>
        <v>#N/A</v>
      </c>
      <c r="E22" t="e">
        <f>VLOOKUP($B$22,$B$5:$H$14,4,FALSE)</f>
        <v>#N/A</v>
      </c>
      <c r="F22" t="e">
        <f>VLOOKUP($B$22,$B$5:$H$14,5,FALSE)</f>
        <v>#N/A</v>
      </c>
      <c r="G22" t="e">
        <f>VLOOKUP($B$22,$B$5:$H$14,6,FALSE)</f>
        <v>#N/A</v>
      </c>
      <c r="H22" t="e">
        <f>VLOOKUP($B$22,$B$5:$H$14,7,FALSE)</f>
        <v>#N/A</v>
      </c>
      <c r="J22" s="2"/>
    </row>
    <row r="23" spans="1:11" ht="16" x14ac:dyDescent="0.25">
      <c r="A23" s="2" t="s">
        <v>8</v>
      </c>
      <c r="B23" s="1" t="e">
        <f ca="1">OFFSET(A3,0,SUMPRODUCT((C22:G22&lt;=$C$18)*(D22:H22&gt;$C$18),COLUMN(B22:F22)))</f>
        <v>#N/A</v>
      </c>
      <c r="J23" s="2"/>
      <c r="K23" s="1"/>
    </row>
    <row r="24" spans="1:11" ht="16" x14ac:dyDescent="0.25">
      <c r="A24" s="2"/>
      <c r="B24" s="1"/>
      <c r="J24" s="2"/>
      <c r="K24" s="1"/>
    </row>
    <row r="25" spans="1:11" ht="16" x14ac:dyDescent="0.25">
      <c r="A25" s="5" t="s">
        <v>14</v>
      </c>
      <c r="B25" s="1"/>
      <c r="J25" s="2"/>
      <c r="K25" s="1"/>
    </row>
    <row r="26" spans="1:11" ht="16" x14ac:dyDescent="0.25">
      <c r="A26" s="2" t="s">
        <v>7</v>
      </c>
      <c r="B26" s="1" t="e">
        <f>SUMPRODUCT((B3:B13&lt;$C$19)*(B4:B14&gt;=$C$19),(B4:B14))</f>
        <v>#N/A</v>
      </c>
      <c r="C26" t="e">
        <f>VLOOKUP($B$26,$B$6:$H$14,2,FALSE)</f>
        <v>#N/A</v>
      </c>
      <c r="D26" t="e">
        <f>VLOOKUP($B$26,$B$6:$H$14,3,FALSE)</f>
        <v>#N/A</v>
      </c>
      <c r="E26" t="e">
        <f>VLOOKUP($B$26,$B$6:$H$14,4,FALSE)</f>
        <v>#N/A</v>
      </c>
      <c r="F26" t="e">
        <f>VLOOKUP($B$26,$B$6:$H$14,5,FALSE)</f>
        <v>#N/A</v>
      </c>
      <c r="G26" t="e">
        <f>VLOOKUP($B$26,$B$6:$H$14,6,FALSE)</f>
        <v>#N/A</v>
      </c>
      <c r="H26" t="e">
        <f>VLOOKUP($B$26,$B$6:$H$14,7,FALSE)</f>
        <v>#N/A</v>
      </c>
      <c r="J26" s="2"/>
    </row>
    <row r="27" spans="1:11" ht="16" x14ac:dyDescent="0.25">
      <c r="A27" s="2" t="s">
        <v>10</v>
      </c>
      <c r="B27" s="1"/>
      <c r="C27" t="e">
        <f>VLOOKUP($B$26,$K$6:$Q$14,2,FALSE)</f>
        <v>#N/A</v>
      </c>
      <c r="D27" t="e">
        <f>VLOOKUP($B$26,$K$6:$Q$14,3,FALSE)</f>
        <v>#N/A</v>
      </c>
      <c r="E27" t="e">
        <f>VLOOKUP($B$26,$K$6:$Q$14,4,FALSE)</f>
        <v>#N/A</v>
      </c>
      <c r="F27" t="e">
        <f>VLOOKUP($B$26,$K$6:$Q$14,5,FALSE)</f>
        <v>#N/A</v>
      </c>
      <c r="G27" t="e">
        <f>VLOOKUP($B$26,$K$6:$Q$14,6,FALSE)</f>
        <v>#N/A</v>
      </c>
      <c r="H27" t="e">
        <f>VLOOKUP($B$26,$K$6:$Q$14,7,FALSE)</f>
        <v>#N/A</v>
      </c>
      <c r="J27" s="2"/>
      <c r="K27" s="1"/>
    </row>
    <row r="28" spans="1:11" x14ac:dyDescent="0.2">
      <c r="A28" s="2" t="s">
        <v>6</v>
      </c>
      <c r="B28" t="e">
        <f ca="1">OFFSET(A26,0,MATCH(goal_agg,$B$3:$H$3,FALSE))</f>
        <v>#N/A</v>
      </c>
      <c r="C28" t="e">
        <f ca="1">OFFSET(A26,0,MATCH(goal_agg,$B$3:$H$3,FALSE)+1)</f>
        <v>#N/A</v>
      </c>
      <c r="D28" t="e">
        <f ca="1">CONCATENATE(TEXT(ROUND($B$28,2)*100,"0")," - ",TEXT(ROUND($C$28,2),"0%"))</f>
        <v>#N/A</v>
      </c>
    </row>
    <row r="29" spans="1:11" x14ac:dyDescent="0.2">
      <c r="A29" s="2" t="s">
        <v>9</v>
      </c>
      <c r="B29" t="e">
        <f ca="1">OFFSET(A27,0,MATCH(goal_agg,$K$3:$Q$3,FALSE))</f>
        <v>#N/A</v>
      </c>
      <c r="C29" t="e">
        <f ca="1">OFFSET(A27,0,MATCH(goal_agg,$K$3:$Q$3,FALSE)+1)</f>
        <v>#N/A</v>
      </c>
      <c r="D29" t="e">
        <f ca="1">CONCATENATE(TEXT(ROUND($B$29,2)*100,"0")," - ",TEXT(ROUND($C$29,2),"0%"))</f>
        <v>#N/A</v>
      </c>
    </row>
  </sheetData>
  <sheetProtection algorithmName="SHA-512" hashValue="HafqWaouqF/KHLbPn3koqvOSQkcyxiJSbdsNM+/oynjPAoeG4IKycjiYAaVbpgfiuMRosSLYAFoEI2oOKIy3gA==" saltValue="+RYEndnX18N3Is7VERk8DA==" spinCount="100000" sheet="1" objects="1" scenarios="1"/>
  <pageMargins left="0.7" right="0.7" top="0.75" bottom="0.75" header="0.3" footer="0.3"/>
  <pageSetup orientation="portrait"/>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9D323C-EEE4-0C4F-9994-5B9523B6A2A1}">
  <dimension ref="A1:Q29"/>
  <sheetViews>
    <sheetView topLeftCell="Y1" workbookViewId="0">
      <selection activeCell="I14" sqref="I14"/>
    </sheetView>
  </sheetViews>
  <sheetFormatPr baseColWidth="10" defaultColWidth="8.83203125" defaultRowHeight="15" x14ac:dyDescent="0.2"/>
  <cols>
    <col min="1" max="1" width="14.83203125" bestFit="1" customWidth="1"/>
    <col min="4" max="4" width="9.6640625" bestFit="1" customWidth="1"/>
  </cols>
  <sheetData>
    <row r="1" spans="2:17" x14ac:dyDescent="0.2">
      <c r="B1" t="s">
        <v>11</v>
      </c>
      <c r="K1" t="s">
        <v>12</v>
      </c>
    </row>
    <row r="3" spans="2:17" x14ac:dyDescent="0.2">
      <c r="B3" s="4" t="s">
        <v>5</v>
      </c>
      <c r="C3" s="4" t="s">
        <v>35</v>
      </c>
      <c r="D3" s="4" t="s">
        <v>19</v>
      </c>
      <c r="E3" s="4" t="s">
        <v>0</v>
      </c>
      <c r="F3" s="4" t="s">
        <v>20</v>
      </c>
      <c r="G3" s="4" t="s">
        <v>36</v>
      </c>
      <c r="H3" s="4"/>
      <c r="K3" s="4" t="s">
        <v>5</v>
      </c>
      <c r="L3" s="4" t="s">
        <v>35</v>
      </c>
      <c r="M3" s="4" t="s">
        <v>19</v>
      </c>
      <c r="N3" s="4" t="s">
        <v>0</v>
      </c>
      <c r="O3" s="4" t="s">
        <v>20</v>
      </c>
      <c r="P3" s="4" t="s">
        <v>36</v>
      </c>
      <c r="Q3" s="4"/>
    </row>
    <row r="4" spans="2:17" x14ac:dyDescent="0.2">
      <c r="B4" s="4">
        <v>0</v>
      </c>
      <c r="C4" s="4"/>
      <c r="D4" s="4"/>
      <c r="E4" s="4"/>
      <c r="F4" s="4"/>
      <c r="G4" s="4"/>
      <c r="H4" s="4"/>
      <c r="K4" s="4">
        <v>0</v>
      </c>
      <c r="L4" s="4"/>
      <c r="M4" s="4"/>
      <c r="N4" s="4"/>
      <c r="O4" s="4"/>
      <c r="P4" s="4"/>
      <c r="Q4" s="4"/>
    </row>
    <row r="5" spans="2:17" ht="16" x14ac:dyDescent="0.25">
      <c r="B5" s="4">
        <v>0.2</v>
      </c>
      <c r="C5" s="4">
        <v>0</v>
      </c>
      <c r="D5" s="44">
        <v>0.15094339622641501</v>
      </c>
      <c r="E5" s="44">
        <v>0.233333333333333</v>
      </c>
      <c r="F5" s="44">
        <v>0.29166666666666602</v>
      </c>
      <c r="G5" s="44">
        <v>0.390625</v>
      </c>
      <c r="H5" s="3">
        <v>1</v>
      </c>
      <c r="I5" s="1"/>
      <c r="K5" s="4">
        <v>0.2</v>
      </c>
      <c r="L5" s="4">
        <v>0</v>
      </c>
      <c r="M5" s="44">
        <v>0.14457831325301199</v>
      </c>
      <c r="N5" s="44">
        <v>0.21052631578947301</v>
      </c>
      <c r="O5" s="44">
        <v>0.27027027027027001</v>
      </c>
      <c r="P5" s="44">
        <v>0.34</v>
      </c>
      <c r="Q5" s="3">
        <v>1</v>
      </c>
    </row>
    <row r="6" spans="2:17" ht="16" x14ac:dyDescent="0.25">
      <c r="B6" s="4">
        <v>0.3</v>
      </c>
      <c r="C6" s="4">
        <v>0</v>
      </c>
      <c r="D6" s="44">
        <v>0.30555555555555503</v>
      </c>
      <c r="E6" s="44">
        <v>0.36363636363636298</v>
      </c>
      <c r="F6" s="44">
        <v>0.43396226415094302</v>
      </c>
      <c r="G6" s="44">
        <v>0.51111111111111096</v>
      </c>
      <c r="H6" s="3">
        <v>1</v>
      </c>
      <c r="I6" s="1"/>
      <c r="K6" s="4">
        <v>0.3</v>
      </c>
      <c r="L6" s="4">
        <v>0</v>
      </c>
      <c r="M6" s="44">
        <v>0.28846153846153799</v>
      </c>
      <c r="N6" s="44">
        <v>0.34615384615384598</v>
      </c>
      <c r="O6" s="44">
        <v>0.39506172839506098</v>
      </c>
      <c r="P6" s="44">
        <v>0.452380952380952</v>
      </c>
      <c r="Q6" s="3">
        <v>1</v>
      </c>
    </row>
    <row r="7" spans="2:17" ht="16" x14ac:dyDescent="0.25">
      <c r="B7" s="4">
        <v>0.4</v>
      </c>
      <c r="C7" s="4">
        <v>0</v>
      </c>
      <c r="D7" s="44">
        <v>0.40425531914893598</v>
      </c>
      <c r="E7" s="44">
        <v>0.46875</v>
      </c>
      <c r="F7" s="44">
        <v>0.51428571428571401</v>
      </c>
      <c r="G7" s="44">
        <v>0.60784313725490102</v>
      </c>
      <c r="H7" s="3">
        <v>1</v>
      </c>
      <c r="I7" s="1"/>
      <c r="K7" s="4">
        <v>0.4</v>
      </c>
      <c r="L7" s="4">
        <v>0</v>
      </c>
      <c r="M7" s="44">
        <v>0.37755102040816302</v>
      </c>
      <c r="N7" s="44">
        <v>0.44444444444444398</v>
      </c>
      <c r="O7" s="44">
        <v>0.48863636363636298</v>
      </c>
      <c r="P7" s="44">
        <v>0.55102040816326503</v>
      </c>
      <c r="Q7" s="3">
        <v>1</v>
      </c>
    </row>
    <row r="8" spans="2:17" ht="16" x14ac:dyDescent="0.25">
      <c r="B8" s="4">
        <v>0.45</v>
      </c>
      <c r="C8" s="4">
        <v>0</v>
      </c>
      <c r="D8" s="44">
        <v>0.50980392156862697</v>
      </c>
      <c r="E8" s="44">
        <v>0.55714285714285705</v>
      </c>
      <c r="F8" s="44">
        <v>0.6</v>
      </c>
      <c r="G8" s="44">
        <v>0.64864864864864802</v>
      </c>
      <c r="H8" s="3">
        <v>1</v>
      </c>
      <c r="I8" s="1"/>
      <c r="K8" s="4">
        <v>0.45</v>
      </c>
      <c r="L8" s="4">
        <v>0</v>
      </c>
      <c r="M8" s="44">
        <v>0.45945945945945899</v>
      </c>
      <c r="N8" s="44">
        <v>0.50588235294117601</v>
      </c>
      <c r="O8" s="44">
        <v>0.54444444444444395</v>
      </c>
      <c r="P8" s="44">
        <v>0.59649122807017496</v>
      </c>
      <c r="Q8" s="3">
        <v>1</v>
      </c>
    </row>
    <row r="9" spans="2:17" ht="16" x14ac:dyDescent="0.25">
      <c r="B9" s="4">
        <v>0.5</v>
      </c>
      <c r="C9" s="4">
        <v>0</v>
      </c>
      <c r="D9" s="44">
        <v>0.51315789473684204</v>
      </c>
      <c r="E9" s="44">
        <v>0.57692307692307598</v>
      </c>
      <c r="F9" s="44">
        <v>0.64197530864197505</v>
      </c>
      <c r="G9" s="44">
        <v>0.71590909090909005</v>
      </c>
      <c r="H9" s="3">
        <v>1</v>
      </c>
      <c r="I9" s="1"/>
      <c r="K9" s="4">
        <v>0.5</v>
      </c>
      <c r="L9" s="4">
        <v>0</v>
      </c>
      <c r="M9" s="44">
        <v>0.51578947368421002</v>
      </c>
      <c r="N9" s="44">
        <v>0.5625</v>
      </c>
      <c r="O9" s="44">
        <v>0.61176470588235199</v>
      </c>
      <c r="P9" s="44">
        <v>0.67346938775510201</v>
      </c>
      <c r="Q9" s="3">
        <v>1</v>
      </c>
    </row>
    <row r="10" spans="2:17" ht="16" x14ac:dyDescent="0.25">
      <c r="B10" s="4">
        <v>0.55000000000000004</v>
      </c>
      <c r="C10" s="4">
        <v>0</v>
      </c>
      <c r="D10" s="44">
        <v>0.531645569620253</v>
      </c>
      <c r="E10" s="44">
        <v>0.6</v>
      </c>
      <c r="F10" s="44">
        <v>0.64285714285714202</v>
      </c>
      <c r="G10" s="44">
        <v>0.68965517241379304</v>
      </c>
      <c r="H10" s="3">
        <v>1</v>
      </c>
      <c r="I10" s="1"/>
      <c r="K10" s="4">
        <v>0.55000000000000004</v>
      </c>
      <c r="L10" s="4">
        <v>0</v>
      </c>
      <c r="M10" s="44">
        <v>0.54081632653061196</v>
      </c>
      <c r="N10" s="44">
        <v>0.59701492537313405</v>
      </c>
      <c r="O10" s="44">
        <v>0.63265306122448906</v>
      </c>
      <c r="P10" s="44">
        <v>0.68032786885245899</v>
      </c>
      <c r="Q10" s="3">
        <v>1</v>
      </c>
    </row>
    <row r="11" spans="2:17" ht="16" x14ac:dyDescent="0.25">
      <c r="B11" s="4">
        <v>0.6</v>
      </c>
      <c r="C11" s="4">
        <v>0</v>
      </c>
      <c r="D11" s="44">
        <v>0.61224489795918302</v>
      </c>
      <c r="E11" s="44">
        <v>0.67045454545454497</v>
      </c>
      <c r="F11" s="44">
        <v>0.71875</v>
      </c>
      <c r="G11" s="44">
        <v>0.77777777777777701</v>
      </c>
      <c r="H11" s="3">
        <v>1</v>
      </c>
      <c r="I11" s="1"/>
      <c r="K11" s="4">
        <v>0.6</v>
      </c>
      <c r="L11" s="4">
        <v>0</v>
      </c>
      <c r="M11" s="44">
        <v>0.59813084112149495</v>
      </c>
      <c r="N11" s="44">
        <v>0.63888888888888795</v>
      </c>
      <c r="O11" s="44">
        <v>0.671875</v>
      </c>
      <c r="P11" s="44">
        <v>0.71794871794871695</v>
      </c>
      <c r="Q11" s="3">
        <v>1</v>
      </c>
    </row>
    <row r="12" spans="2:17" ht="16" x14ac:dyDescent="0.25">
      <c r="B12" s="4">
        <v>0.7</v>
      </c>
      <c r="C12" s="4">
        <v>0</v>
      </c>
      <c r="D12" s="44">
        <v>0.67441860465116199</v>
      </c>
      <c r="E12" s="44">
        <v>0.71739130434782605</v>
      </c>
      <c r="F12" s="44">
        <v>0.752941176470588</v>
      </c>
      <c r="G12" s="44">
        <v>0.8</v>
      </c>
      <c r="H12" s="3">
        <v>1</v>
      </c>
      <c r="I12" s="1"/>
      <c r="K12" s="4">
        <v>0.7</v>
      </c>
      <c r="L12" s="4">
        <v>0</v>
      </c>
      <c r="M12" s="44">
        <v>0.67424242424242398</v>
      </c>
      <c r="N12" s="44">
        <v>0.70512820512820495</v>
      </c>
      <c r="O12" s="44">
        <v>0.73737373737373701</v>
      </c>
      <c r="P12" s="44">
        <v>0.78787878787878696</v>
      </c>
      <c r="Q12" s="3">
        <v>1</v>
      </c>
    </row>
    <row r="13" spans="2:17" ht="16" x14ac:dyDescent="0.25">
      <c r="B13" s="4">
        <v>0.8</v>
      </c>
      <c r="C13" s="4">
        <v>0</v>
      </c>
      <c r="D13" s="44">
        <v>0.76851851851851805</v>
      </c>
      <c r="E13" s="44">
        <v>0.79411764705882304</v>
      </c>
      <c r="F13" s="44">
        <v>0.82692307692307598</v>
      </c>
      <c r="G13" s="44">
        <v>0.85714285714285698</v>
      </c>
      <c r="H13" s="3">
        <v>1</v>
      </c>
      <c r="I13" s="1"/>
      <c r="K13" s="4">
        <v>0.8</v>
      </c>
      <c r="L13" s="4">
        <v>0</v>
      </c>
      <c r="M13" s="44">
        <v>0.75</v>
      </c>
      <c r="N13" s="44">
        <v>0.78947368421052599</v>
      </c>
      <c r="O13" s="44">
        <v>0.82653061224489699</v>
      </c>
      <c r="P13" s="44">
        <v>0.86363636363636298</v>
      </c>
      <c r="Q13" s="3">
        <v>1</v>
      </c>
    </row>
    <row r="14" spans="2:17" ht="16" x14ac:dyDescent="0.25">
      <c r="B14" s="4">
        <v>0.9</v>
      </c>
      <c r="C14" s="4">
        <v>0</v>
      </c>
      <c r="D14" s="44">
        <v>0.84375</v>
      </c>
      <c r="E14" s="44">
        <v>0.87037037037037002</v>
      </c>
      <c r="F14" s="44">
        <v>0.89</v>
      </c>
      <c r="G14" s="44">
        <v>0.91011235955056102</v>
      </c>
      <c r="H14" s="3">
        <v>1</v>
      </c>
      <c r="I14" s="1"/>
      <c r="K14" s="4">
        <v>0.9</v>
      </c>
      <c r="L14" s="4">
        <v>0</v>
      </c>
      <c r="M14" s="44">
        <v>0.82758620689655105</v>
      </c>
      <c r="N14" s="44">
        <v>0.859649122807017</v>
      </c>
      <c r="O14" s="44">
        <v>0.88805970149253699</v>
      </c>
      <c r="P14" s="44">
        <v>0.91176470588235203</v>
      </c>
      <c r="Q14" s="3">
        <v>1</v>
      </c>
    </row>
    <row r="15" spans="2:17" ht="16" x14ac:dyDescent="0.25">
      <c r="B15" s="4">
        <v>1</v>
      </c>
      <c r="C15" s="4">
        <v>0</v>
      </c>
      <c r="D15" s="44">
        <v>0.9</v>
      </c>
      <c r="E15" s="44">
        <v>0.91275167785234801</v>
      </c>
      <c r="F15" s="44">
        <v>0.94827586206896497</v>
      </c>
      <c r="G15" s="44">
        <v>1</v>
      </c>
      <c r="H15" s="3">
        <v>1</v>
      </c>
      <c r="I15" s="1"/>
      <c r="K15" s="4">
        <v>1</v>
      </c>
      <c r="L15" s="4">
        <v>0</v>
      </c>
      <c r="M15" s="44">
        <v>0.91397849462365499</v>
      </c>
      <c r="N15" s="44">
        <v>0.921875</v>
      </c>
      <c r="O15" s="44">
        <v>0.96</v>
      </c>
      <c r="P15" s="44">
        <v>0.98305084745762705</v>
      </c>
      <c r="Q15" s="3">
        <v>1</v>
      </c>
    </row>
    <row r="16" spans="2:17" ht="16" x14ac:dyDescent="0.25">
      <c r="B16" s="6"/>
      <c r="C16" s="6"/>
      <c r="D16" s="6"/>
      <c r="E16" s="6"/>
      <c r="F16" s="6"/>
      <c r="G16" s="6"/>
      <c r="H16" s="7"/>
      <c r="I16" s="1"/>
      <c r="K16" s="6"/>
      <c r="L16" s="6"/>
      <c r="M16" s="6"/>
      <c r="N16" s="6"/>
      <c r="O16" s="6"/>
      <c r="P16" s="6"/>
      <c r="Q16" s="7"/>
    </row>
    <row r="17" spans="1:17" ht="16" x14ac:dyDescent="0.25">
      <c r="A17" t="s">
        <v>15</v>
      </c>
      <c r="B17" t="e">
        <f>IF(BOY_5="",NA(),BOY_5)</f>
        <v>#N/A</v>
      </c>
      <c r="C17" t="e">
        <f>IF(OR(B17="",B17&lt;0,B17&gt;1),NA(),IF(B17=0,0.001,B17))</f>
        <v>#N/A</v>
      </c>
      <c r="I17" s="1"/>
      <c r="K17" s="6"/>
      <c r="L17" s="6"/>
      <c r="M17" s="6"/>
      <c r="N17" s="6"/>
      <c r="O17" s="6"/>
      <c r="P17" s="6"/>
      <c r="Q17" s="7"/>
    </row>
    <row r="18" spans="1:17" ht="16" x14ac:dyDescent="0.25">
      <c r="A18" t="s">
        <v>16</v>
      </c>
      <c r="B18" t="e">
        <f>IF(EOY_5="",NA(),EOY_5)</f>
        <v>#N/A</v>
      </c>
      <c r="C18" t="e">
        <f>IF(OR(B18="",B18&lt;0,B18&gt;1),NA(),IF(B18=1,0.999,B18))</f>
        <v>#N/A</v>
      </c>
      <c r="I18" s="1"/>
      <c r="K18" s="6"/>
      <c r="L18" s="6"/>
      <c r="M18" s="6"/>
      <c r="N18" s="6"/>
      <c r="O18" s="6"/>
      <c r="P18" s="6"/>
      <c r="Q18" s="7"/>
    </row>
    <row r="19" spans="1:17" ht="16" x14ac:dyDescent="0.25">
      <c r="A19" t="s">
        <v>17</v>
      </c>
      <c r="B19" t="e">
        <f>IF(goal_BOY_5="",NA(),goal_BOY_5)</f>
        <v>#N/A</v>
      </c>
      <c r="C19" t="e">
        <f>IF(OR(B19="",B19&lt;0,B19&gt;1),NA(),IF(B19=0,0.001,B19))</f>
        <v>#N/A</v>
      </c>
      <c r="I19" s="1"/>
      <c r="K19" s="6"/>
      <c r="L19" s="6"/>
      <c r="M19" s="6"/>
      <c r="N19" s="6"/>
      <c r="O19" s="6"/>
      <c r="P19" s="6"/>
      <c r="Q19" s="7"/>
    </row>
    <row r="21" spans="1:17" x14ac:dyDescent="0.2">
      <c r="A21" s="5" t="s">
        <v>13</v>
      </c>
    </row>
    <row r="22" spans="1:17" ht="16" x14ac:dyDescent="0.25">
      <c r="A22" s="2" t="s">
        <v>7</v>
      </c>
      <c r="B22" s="1" t="e">
        <f>SUMPRODUCT((B3:B14&lt;$C$17)*(B4:B15&gt;=$C$17),(B4:B15))</f>
        <v>#N/A</v>
      </c>
      <c r="C22" t="e">
        <f>VLOOKUP($B$22,$B$5:$H$15,2,FALSE)</f>
        <v>#N/A</v>
      </c>
      <c r="D22" t="e">
        <f>VLOOKUP($B$22,$B$5:$H$15,3,FALSE)</f>
        <v>#N/A</v>
      </c>
      <c r="E22" t="e">
        <f>VLOOKUP($B$22,$B$5:$H$15,4,FALSE)</f>
        <v>#N/A</v>
      </c>
      <c r="F22" t="e">
        <f>VLOOKUP($B$22,$B$5:$H$15,5,FALSE)</f>
        <v>#N/A</v>
      </c>
      <c r="G22" t="e">
        <f>VLOOKUP($B$22,$B$5:$H$15,6,FALSE)</f>
        <v>#N/A</v>
      </c>
      <c r="H22" t="e">
        <f>VLOOKUP($B$22,$B$5:$H$15,7,FALSE)</f>
        <v>#N/A</v>
      </c>
      <c r="J22" s="2"/>
    </row>
    <row r="23" spans="1:17" ht="16" x14ac:dyDescent="0.25">
      <c r="A23" s="2" t="s">
        <v>8</v>
      </c>
      <c r="B23" s="1" t="e">
        <f ca="1">OFFSET(A3,0,SUMPRODUCT((C22:G22&lt;=$C$18)*(D22:H22&gt;$C$18),COLUMN(B22:F22)))</f>
        <v>#N/A</v>
      </c>
      <c r="J23" s="2"/>
      <c r="K23" s="1"/>
    </row>
    <row r="24" spans="1:17" ht="16" x14ac:dyDescent="0.25">
      <c r="A24" s="2"/>
      <c r="B24" s="1"/>
      <c r="J24" s="2"/>
      <c r="K24" s="1"/>
    </row>
    <row r="25" spans="1:17" ht="16" x14ac:dyDescent="0.25">
      <c r="A25" s="5" t="s">
        <v>14</v>
      </c>
      <c r="B25" s="1"/>
      <c r="J25" s="2"/>
      <c r="K25" s="1"/>
    </row>
    <row r="26" spans="1:17" ht="16" x14ac:dyDescent="0.25">
      <c r="A26" s="2" t="s">
        <v>7</v>
      </c>
      <c r="B26" s="1" t="e">
        <f>SUMPRODUCT((B3:B14&lt;$C$19)*(B4:B15&gt;=$C$19),(B4:B15))</f>
        <v>#N/A</v>
      </c>
      <c r="C26" t="e">
        <f>VLOOKUP($B$26,$B$5:$H$15,2,FALSE)</f>
        <v>#N/A</v>
      </c>
      <c r="D26" t="e">
        <f>VLOOKUP($B$26,$B$5:$H$15,3,FALSE)</f>
        <v>#N/A</v>
      </c>
      <c r="E26" t="e">
        <f>VLOOKUP($B$26,$B$5:$H$15,4,FALSE)</f>
        <v>#N/A</v>
      </c>
      <c r="F26" t="e">
        <f>VLOOKUP($B$26,$B$5:$H$15,5,FALSE)</f>
        <v>#N/A</v>
      </c>
      <c r="G26" t="e">
        <f>VLOOKUP($B$26,$B$5:$H$15,6,FALSE)</f>
        <v>#N/A</v>
      </c>
      <c r="H26" t="e">
        <f>VLOOKUP($B$26,$B$5:$H$15,7,FALSE)</f>
        <v>#N/A</v>
      </c>
      <c r="J26" s="2"/>
    </row>
    <row r="27" spans="1:17" ht="16" x14ac:dyDescent="0.25">
      <c r="A27" s="2" t="s">
        <v>10</v>
      </c>
      <c r="B27" s="1"/>
      <c r="C27" t="e">
        <f>VLOOKUP($B$26,$K$5:$Q$15,2,FALSE)</f>
        <v>#N/A</v>
      </c>
      <c r="D27" t="e">
        <f>VLOOKUP($B$26,$K$5:$Q$15,3,FALSE)</f>
        <v>#N/A</v>
      </c>
      <c r="E27" t="e">
        <f>VLOOKUP($B$26,$K$5:$Q$15,4,FALSE)</f>
        <v>#N/A</v>
      </c>
      <c r="F27" t="e">
        <f>VLOOKUP($B$26,$K$5:$Q$15,5,FALSE)</f>
        <v>#N/A</v>
      </c>
      <c r="G27" t="e">
        <f>VLOOKUP($B$26,$K$5:$Q$15,6,FALSE)</f>
        <v>#N/A</v>
      </c>
      <c r="H27" t="e">
        <f>VLOOKUP($B$26,$K$5:$Q$15,7,FALSE)</f>
        <v>#N/A</v>
      </c>
      <c r="J27" s="2"/>
      <c r="K27" s="1"/>
    </row>
    <row r="28" spans="1:17" x14ac:dyDescent="0.2">
      <c r="A28" s="2" t="s">
        <v>6</v>
      </c>
      <c r="B28" t="e">
        <f ca="1">OFFSET(A26,0,MATCH(goal_5,$B$3:$H$3,FALSE))</f>
        <v>#N/A</v>
      </c>
      <c r="C28" t="e">
        <f ca="1">OFFSET(A26,0,MATCH(goal_5,$B$3:$H$3,FALSE)+1)</f>
        <v>#N/A</v>
      </c>
      <c r="D28" t="e">
        <f ca="1">CONCATENATE(TEXT(ROUND($B$28,2)*100,"0")," - ",TEXT(ROUND($C$28,2),"0%"))</f>
        <v>#N/A</v>
      </c>
    </row>
    <row r="29" spans="1:17" x14ac:dyDescent="0.2">
      <c r="A29" s="2" t="s">
        <v>9</v>
      </c>
      <c r="B29" t="e">
        <f ca="1">OFFSET(A27,0,MATCH(goal_5,$K$3:$Q$3,FALSE))</f>
        <v>#N/A</v>
      </c>
      <c r="C29" t="e">
        <f ca="1">OFFSET(A27,0,MATCH(goal_5,$K$3:$Q$3,FALSE)+1)</f>
        <v>#N/A</v>
      </c>
      <c r="D29" t="e">
        <f ca="1">CONCATENATE(TEXT(ROUND($B$29,2)*100,"0")," - ",TEXT(ROUND($C$29,2),"0%"))</f>
        <v>#N/A</v>
      </c>
    </row>
  </sheetData>
  <sheetProtection algorithmName="SHA-512" hashValue="rI7YeUUlKb21cqCvBvgGaBafJdIeYjQkt4TbM5qcSMtUJ1GlujCr4QfP54z1QHhouvYZeKo9CJE3JIDJDpAR5A==" saltValue="ykVuXGWsY4QqQ3Y7EEfTGw==" spinCount="100000" sheet="1" objects="1" scenarios="1"/>
  <pageMargins left="0.7" right="0.7" top="0.75" bottom="0.75" header="0.3" footer="0.3"/>
  <pageSetup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Q29"/>
  <sheetViews>
    <sheetView topLeftCell="A10" workbookViewId="0">
      <selection activeCell="M5" sqref="M5:P15"/>
    </sheetView>
  </sheetViews>
  <sheetFormatPr baseColWidth="10" defaultColWidth="8.83203125" defaultRowHeight="15" x14ac:dyDescent="0.2"/>
  <cols>
    <col min="1" max="1" width="14.83203125" bestFit="1" customWidth="1"/>
    <col min="4" max="4" width="9.6640625" bestFit="1" customWidth="1"/>
  </cols>
  <sheetData>
    <row r="1" spans="2:17" x14ac:dyDescent="0.2">
      <c r="B1" t="s">
        <v>11</v>
      </c>
      <c r="K1" t="s">
        <v>12</v>
      </c>
    </row>
    <row r="3" spans="2:17" x14ac:dyDescent="0.2">
      <c r="B3" s="4" t="s">
        <v>5</v>
      </c>
      <c r="C3" s="4" t="s">
        <v>35</v>
      </c>
      <c r="D3" s="4" t="s">
        <v>19</v>
      </c>
      <c r="E3" s="4" t="s">
        <v>0</v>
      </c>
      <c r="F3" s="4" t="s">
        <v>20</v>
      </c>
      <c r="G3" s="4" t="s">
        <v>36</v>
      </c>
      <c r="H3" s="4"/>
      <c r="K3" s="4" t="s">
        <v>5</v>
      </c>
      <c r="L3" s="4" t="s">
        <v>35</v>
      </c>
      <c r="M3" s="4" t="s">
        <v>19</v>
      </c>
      <c r="N3" s="4" t="s">
        <v>0</v>
      </c>
      <c r="O3" s="4" t="s">
        <v>20</v>
      </c>
      <c r="P3" s="4" t="s">
        <v>36</v>
      </c>
      <c r="Q3" s="4"/>
    </row>
    <row r="4" spans="2:17" x14ac:dyDescent="0.2">
      <c r="B4" s="4">
        <v>0</v>
      </c>
      <c r="C4" s="4"/>
      <c r="D4" s="4"/>
      <c r="E4" s="4"/>
      <c r="F4" s="4"/>
      <c r="G4" s="4"/>
      <c r="H4" s="4"/>
      <c r="K4" s="4">
        <v>0</v>
      </c>
      <c r="L4" s="4"/>
      <c r="M4" s="4"/>
      <c r="N4" s="4"/>
      <c r="O4" s="4"/>
      <c r="P4" s="4"/>
      <c r="Q4" s="4"/>
    </row>
    <row r="5" spans="2:17" ht="16" x14ac:dyDescent="0.25">
      <c r="B5" s="4">
        <v>0.2</v>
      </c>
      <c r="C5" s="4">
        <v>0</v>
      </c>
      <c r="D5" s="4">
        <v>0.19047619047618999</v>
      </c>
      <c r="E5" s="4">
        <v>0.27272727272727199</v>
      </c>
      <c r="F5" s="4">
        <v>0.35714285714285698</v>
      </c>
      <c r="G5" s="4">
        <v>0.44927536231884002</v>
      </c>
      <c r="H5" s="3">
        <v>1</v>
      </c>
      <c r="I5" s="1"/>
      <c r="K5" s="4">
        <v>0.2</v>
      </c>
      <c r="L5" s="4">
        <v>0</v>
      </c>
      <c r="M5" s="4">
        <v>0.18</v>
      </c>
      <c r="N5" s="4">
        <v>0.253164556962025</v>
      </c>
      <c r="O5" s="4">
        <v>0.32467532467532401</v>
      </c>
      <c r="P5" s="4">
        <v>0.38636363636363602</v>
      </c>
      <c r="Q5" s="3">
        <v>1</v>
      </c>
    </row>
    <row r="6" spans="2:17" ht="16" x14ac:dyDescent="0.25">
      <c r="B6" s="4">
        <v>0.3</v>
      </c>
      <c r="C6" s="4">
        <v>0</v>
      </c>
      <c r="D6" s="4">
        <v>0.29824561403508698</v>
      </c>
      <c r="E6" s="4">
        <v>0.4</v>
      </c>
      <c r="F6" s="4">
        <v>0.44827586206896503</v>
      </c>
      <c r="G6" s="4">
        <v>0.52083333333333304</v>
      </c>
      <c r="H6" s="3">
        <v>1</v>
      </c>
      <c r="I6" s="1"/>
      <c r="K6" s="4">
        <v>0.3</v>
      </c>
      <c r="L6" s="4">
        <v>0</v>
      </c>
      <c r="M6" s="4">
        <v>0.265306122448979</v>
      </c>
      <c r="N6" s="4">
        <v>0.34375</v>
      </c>
      <c r="O6" s="4">
        <v>0.38333333333333303</v>
      </c>
      <c r="P6" s="4">
        <v>0.439024390243902</v>
      </c>
      <c r="Q6" s="3">
        <v>1</v>
      </c>
    </row>
    <row r="7" spans="2:17" ht="16" x14ac:dyDescent="0.25">
      <c r="B7" s="4">
        <v>0.4</v>
      </c>
      <c r="C7" s="4">
        <v>0</v>
      </c>
      <c r="D7" s="4">
        <v>0.4</v>
      </c>
      <c r="E7" s="4">
        <v>0.45833333333333298</v>
      </c>
      <c r="F7" s="4">
        <v>0.52</v>
      </c>
      <c r="G7" s="4">
        <v>0.6</v>
      </c>
      <c r="H7" s="3">
        <v>1</v>
      </c>
      <c r="I7" s="1"/>
      <c r="K7" s="4">
        <v>0.4</v>
      </c>
      <c r="L7" s="4">
        <v>0</v>
      </c>
      <c r="M7" s="4">
        <v>0.40816326530612201</v>
      </c>
      <c r="N7" s="4">
        <v>0.45454545454545398</v>
      </c>
      <c r="O7" s="4">
        <v>0.50704225352112597</v>
      </c>
      <c r="P7" s="4">
        <v>0.56756756756756699</v>
      </c>
      <c r="Q7" s="3">
        <v>1</v>
      </c>
    </row>
    <row r="8" spans="2:17" ht="16" x14ac:dyDescent="0.25">
      <c r="B8" s="4">
        <v>0.45</v>
      </c>
      <c r="C8" s="4">
        <v>0</v>
      </c>
      <c r="D8" s="4">
        <v>0.48979591836734598</v>
      </c>
      <c r="E8" s="4">
        <v>0.56923076923076898</v>
      </c>
      <c r="F8" s="4">
        <v>0.63013698630136905</v>
      </c>
      <c r="G8" s="4">
        <v>0.67058823529411704</v>
      </c>
      <c r="H8" s="3">
        <v>1</v>
      </c>
      <c r="I8" s="1"/>
      <c r="K8" s="4">
        <v>0.45</v>
      </c>
      <c r="L8" s="4">
        <v>0</v>
      </c>
      <c r="M8" s="4">
        <v>0.48611111111111099</v>
      </c>
      <c r="N8" s="4">
        <v>0.530612244897959</v>
      </c>
      <c r="O8" s="4">
        <v>0.56779661016949101</v>
      </c>
      <c r="P8" s="4">
        <v>0.58865248226950295</v>
      </c>
      <c r="Q8" s="3">
        <v>1</v>
      </c>
    </row>
    <row r="9" spans="2:17" ht="16" x14ac:dyDescent="0.25">
      <c r="B9" s="4">
        <v>0.5</v>
      </c>
      <c r="C9" s="4">
        <v>0</v>
      </c>
      <c r="D9" s="4">
        <v>0.54022988505747105</v>
      </c>
      <c r="E9" s="4">
        <v>0.60256410256410198</v>
      </c>
      <c r="F9" s="4">
        <v>0.64516129032257996</v>
      </c>
      <c r="G9" s="4">
        <v>0.707317073170731</v>
      </c>
      <c r="H9" s="3">
        <v>1</v>
      </c>
      <c r="I9" s="1"/>
      <c r="K9" s="4">
        <v>0.5</v>
      </c>
      <c r="L9" s="4">
        <v>0</v>
      </c>
      <c r="M9" s="4">
        <v>0.52525252525252497</v>
      </c>
      <c r="N9" s="4">
        <v>0.56818181818181801</v>
      </c>
      <c r="O9" s="4">
        <v>0.59139784946236496</v>
      </c>
      <c r="P9" s="4">
        <v>0.65</v>
      </c>
      <c r="Q9" s="3">
        <v>1</v>
      </c>
    </row>
    <row r="10" spans="2:17" ht="16" x14ac:dyDescent="0.25">
      <c r="B10" s="4">
        <v>0.55000000000000004</v>
      </c>
      <c r="C10" s="4">
        <v>0</v>
      </c>
      <c r="D10" s="4">
        <v>0.58064516129032195</v>
      </c>
      <c r="E10" s="4">
        <v>0.61764705882352899</v>
      </c>
      <c r="F10" s="4">
        <v>0.67948717948717896</v>
      </c>
      <c r="G10" s="4">
        <v>0.71311475409836</v>
      </c>
      <c r="H10" s="3">
        <v>1</v>
      </c>
      <c r="I10" s="1"/>
      <c r="K10" s="4">
        <v>0.55000000000000004</v>
      </c>
      <c r="L10" s="4">
        <v>0</v>
      </c>
      <c r="M10" s="4">
        <v>0.5625</v>
      </c>
      <c r="N10" s="4">
        <v>0.60563380281690105</v>
      </c>
      <c r="O10" s="4">
        <v>0.63636363636363602</v>
      </c>
      <c r="P10" s="4">
        <v>0.67768595041322299</v>
      </c>
      <c r="Q10" s="3">
        <v>1</v>
      </c>
    </row>
    <row r="11" spans="2:17" ht="16" x14ac:dyDescent="0.25">
      <c r="B11" s="4">
        <v>0.6</v>
      </c>
      <c r="C11" s="4">
        <v>0</v>
      </c>
      <c r="D11" s="4">
        <v>0.60638297872340396</v>
      </c>
      <c r="E11" s="4">
        <v>0.67010309278350499</v>
      </c>
      <c r="F11" s="4">
        <v>0.70769230769230695</v>
      </c>
      <c r="G11" s="4">
        <v>0.75925925925925897</v>
      </c>
      <c r="H11" s="3">
        <v>1</v>
      </c>
      <c r="I11" s="1"/>
      <c r="K11" s="4">
        <v>0.6</v>
      </c>
      <c r="L11" s="4">
        <v>0</v>
      </c>
      <c r="M11" s="4">
        <v>0.60655737704918</v>
      </c>
      <c r="N11" s="4">
        <v>0.63888888888888795</v>
      </c>
      <c r="O11" s="4">
        <v>0.67289719626168198</v>
      </c>
      <c r="P11" s="4">
        <v>0.702380952380952</v>
      </c>
      <c r="Q11" s="3">
        <v>1</v>
      </c>
    </row>
    <row r="12" spans="2:17" ht="16" x14ac:dyDescent="0.25">
      <c r="B12" s="4">
        <v>0.7</v>
      </c>
      <c r="C12" s="4">
        <v>0</v>
      </c>
      <c r="D12" s="4">
        <v>0.67346938775510201</v>
      </c>
      <c r="E12" s="4">
        <v>0.70833333333333304</v>
      </c>
      <c r="F12" s="4">
        <v>0.74712643678160895</v>
      </c>
      <c r="G12" s="4">
        <v>0.80952380952380898</v>
      </c>
      <c r="H12" s="3">
        <v>1</v>
      </c>
      <c r="I12" s="1"/>
      <c r="K12" s="4">
        <v>0.7</v>
      </c>
      <c r="L12" s="4">
        <v>0</v>
      </c>
      <c r="M12" s="4">
        <v>0.67272727272727195</v>
      </c>
      <c r="N12" s="4">
        <v>0.70491803278688503</v>
      </c>
      <c r="O12" s="4">
        <v>0.74468085106382897</v>
      </c>
      <c r="P12" s="4">
        <v>0.79411764705882304</v>
      </c>
      <c r="Q12" s="3">
        <v>1</v>
      </c>
    </row>
    <row r="13" spans="2:17" ht="16" x14ac:dyDescent="0.25">
      <c r="B13" s="4">
        <v>0.8</v>
      </c>
      <c r="C13" s="4">
        <v>0</v>
      </c>
      <c r="D13" s="4">
        <v>0.76086956521739102</v>
      </c>
      <c r="E13" s="4">
        <v>0.78571428571428503</v>
      </c>
      <c r="F13" s="4">
        <v>0.828125</v>
      </c>
      <c r="G13" s="4">
        <v>0.86567164179104406</v>
      </c>
      <c r="H13" s="3">
        <v>1</v>
      </c>
      <c r="I13" s="1"/>
      <c r="K13" s="4">
        <v>0.8</v>
      </c>
      <c r="L13" s="4">
        <v>0</v>
      </c>
      <c r="M13" s="4">
        <v>0.74712643678160895</v>
      </c>
      <c r="N13" s="4">
        <v>0.78409090909090895</v>
      </c>
      <c r="O13" s="4">
        <v>0.80821917808219101</v>
      </c>
      <c r="P13" s="4">
        <v>0.841584158415841</v>
      </c>
      <c r="Q13" s="3">
        <v>1</v>
      </c>
    </row>
    <row r="14" spans="2:17" ht="16" x14ac:dyDescent="0.25">
      <c r="B14" s="4">
        <v>0.9</v>
      </c>
      <c r="C14" s="4">
        <v>0</v>
      </c>
      <c r="D14" s="4">
        <v>0.78181818181818097</v>
      </c>
      <c r="E14" s="4">
        <v>0.84</v>
      </c>
      <c r="F14" s="4">
        <v>0.86111111111111105</v>
      </c>
      <c r="G14" s="4">
        <v>0.91304347826086896</v>
      </c>
      <c r="H14" s="3">
        <v>1</v>
      </c>
      <c r="I14" s="1"/>
      <c r="K14" s="4">
        <v>0.9</v>
      </c>
      <c r="L14" s="4">
        <v>0</v>
      </c>
      <c r="M14" s="4">
        <v>0.81818181818181801</v>
      </c>
      <c r="N14" s="4">
        <v>0.86956521739130399</v>
      </c>
      <c r="O14" s="4">
        <v>0.89473684210526305</v>
      </c>
      <c r="P14" s="4">
        <v>0.92105263157894701</v>
      </c>
      <c r="Q14" s="3">
        <v>1</v>
      </c>
    </row>
    <row r="15" spans="2:17" ht="16" x14ac:dyDescent="0.25">
      <c r="B15" s="4">
        <v>1</v>
      </c>
      <c r="C15" s="4">
        <v>0</v>
      </c>
      <c r="D15" s="4">
        <v>0.870588235294117</v>
      </c>
      <c r="E15" s="4">
        <v>0.90400000000000003</v>
      </c>
      <c r="F15" s="4">
        <v>0.94897959183673397</v>
      </c>
      <c r="G15" s="4">
        <v>0.96774193548387</v>
      </c>
      <c r="H15" s="3">
        <v>1</v>
      </c>
      <c r="I15" s="1"/>
      <c r="K15" s="4">
        <v>1</v>
      </c>
      <c r="L15" s="4">
        <v>0</v>
      </c>
      <c r="M15" s="4">
        <v>0.88571428571428501</v>
      </c>
      <c r="N15" s="4">
        <v>0.93103448275862</v>
      </c>
      <c r="O15" s="4">
        <v>0.95081967213114704</v>
      </c>
      <c r="P15" s="4">
        <v>0.95833333333333304</v>
      </c>
      <c r="Q15" s="3">
        <v>1</v>
      </c>
    </row>
    <row r="16" spans="2:17" ht="16" x14ac:dyDescent="0.25">
      <c r="B16" s="6"/>
      <c r="C16" s="6"/>
      <c r="D16" s="6"/>
      <c r="E16" s="6"/>
      <c r="F16" s="6"/>
      <c r="G16" s="6"/>
      <c r="H16" s="7"/>
      <c r="I16" s="1"/>
      <c r="K16" s="6"/>
      <c r="L16" s="6"/>
      <c r="M16" s="6"/>
      <c r="N16" s="6"/>
      <c r="O16" s="6"/>
      <c r="P16" s="6"/>
      <c r="Q16" s="7"/>
    </row>
    <row r="17" spans="1:17" ht="16" x14ac:dyDescent="0.25">
      <c r="A17" t="s">
        <v>15</v>
      </c>
      <c r="B17" t="e">
        <f>IF(BOY_5="",NA(),BOY_5)</f>
        <v>#N/A</v>
      </c>
      <c r="C17" t="e">
        <f>IF(OR(B17="",B17&lt;0,B17&gt;1),NA(),IF(B17=0,0.001,B17))</f>
        <v>#N/A</v>
      </c>
      <c r="I17" s="1"/>
      <c r="K17" s="6"/>
      <c r="L17" s="6"/>
      <c r="M17" s="6"/>
      <c r="N17" s="6"/>
      <c r="O17" s="6"/>
      <c r="P17" s="6"/>
      <c r="Q17" s="7"/>
    </row>
    <row r="18" spans="1:17" ht="16" x14ac:dyDescent="0.25">
      <c r="A18" t="s">
        <v>16</v>
      </c>
      <c r="B18" t="e">
        <f>IF(EOY_5="",NA(),EOY_5)</f>
        <v>#N/A</v>
      </c>
      <c r="C18" t="e">
        <f>IF(OR(B18="",B18&lt;0,B18&gt;1),NA(),IF(B18=1,0.999,B18))</f>
        <v>#N/A</v>
      </c>
      <c r="I18" s="1"/>
      <c r="K18" s="6"/>
      <c r="L18" s="6"/>
      <c r="M18" s="6"/>
      <c r="N18" s="6"/>
      <c r="O18" s="6"/>
      <c r="P18" s="6"/>
      <c r="Q18" s="7"/>
    </row>
    <row r="19" spans="1:17" ht="16" x14ac:dyDescent="0.25">
      <c r="A19" t="s">
        <v>17</v>
      </c>
      <c r="B19" t="e">
        <f>IF(goal_BOY_5="",NA(),goal_BOY_5)</f>
        <v>#N/A</v>
      </c>
      <c r="C19" t="e">
        <f>IF(OR(B19="",B19&lt;0,B19&gt;1),NA(),IF(B19=0,0.001,B19))</f>
        <v>#N/A</v>
      </c>
      <c r="I19" s="1"/>
      <c r="K19" s="6"/>
      <c r="L19" s="6"/>
      <c r="M19" s="6"/>
      <c r="N19" s="6"/>
      <c r="O19" s="6"/>
      <c r="P19" s="6"/>
      <c r="Q19" s="7"/>
    </row>
    <row r="21" spans="1:17" x14ac:dyDescent="0.2">
      <c r="A21" s="5" t="s">
        <v>13</v>
      </c>
    </row>
    <row r="22" spans="1:17" ht="16" x14ac:dyDescent="0.25">
      <c r="A22" s="2" t="s">
        <v>7</v>
      </c>
      <c r="B22" s="1" t="e">
        <f>SUMPRODUCT((B3:B14&lt;$C$17)*(B4:B15&gt;=$C$17),(B4:B15))</f>
        <v>#N/A</v>
      </c>
      <c r="C22" t="e">
        <f>VLOOKUP($B$22,$B$5:$H$15,2,FALSE)</f>
        <v>#N/A</v>
      </c>
      <c r="D22" t="e">
        <f>VLOOKUP($B$22,$B$5:$H$15,3,FALSE)</f>
        <v>#N/A</v>
      </c>
      <c r="E22" t="e">
        <f>VLOOKUP($B$22,$B$5:$H$15,4,FALSE)</f>
        <v>#N/A</v>
      </c>
      <c r="F22" t="e">
        <f>VLOOKUP($B$22,$B$5:$H$15,5,FALSE)</f>
        <v>#N/A</v>
      </c>
      <c r="G22" t="e">
        <f>VLOOKUP($B$22,$B$5:$H$15,6,FALSE)</f>
        <v>#N/A</v>
      </c>
      <c r="H22" t="e">
        <f>VLOOKUP($B$22,$B$5:$H$15,7,FALSE)</f>
        <v>#N/A</v>
      </c>
      <c r="J22" s="2"/>
    </row>
    <row r="23" spans="1:17" ht="16" x14ac:dyDescent="0.25">
      <c r="A23" s="2" t="s">
        <v>8</v>
      </c>
      <c r="B23" s="1" t="e">
        <f ca="1">OFFSET(A3,0,SUMPRODUCT((C22:G22&lt;=$C$18)*(D22:H22&gt;$C$18),COLUMN(B22:F22)))</f>
        <v>#N/A</v>
      </c>
      <c r="J23" s="2"/>
      <c r="K23" s="1"/>
    </row>
    <row r="24" spans="1:17" ht="16" x14ac:dyDescent="0.25">
      <c r="A24" s="2"/>
      <c r="B24" s="1"/>
      <c r="J24" s="2"/>
      <c r="K24" s="1"/>
    </row>
    <row r="25" spans="1:17" ht="16" x14ac:dyDescent="0.25">
      <c r="A25" s="5" t="s">
        <v>14</v>
      </c>
      <c r="B25" s="1"/>
      <c r="J25" s="2"/>
      <c r="K25" s="1"/>
    </row>
    <row r="26" spans="1:17" ht="16" x14ac:dyDescent="0.25">
      <c r="A26" s="2" t="s">
        <v>7</v>
      </c>
      <c r="B26" s="1" t="e">
        <f>SUMPRODUCT((B3:B14&lt;$C$19)*(B4:B15&gt;=$C$19),(B4:B15))</f>
        <v>#N/A</v>
      </c>
      <c r="C26" t="e">
        <f>VLOOKUP($B$26,$B$5:$H$15,2,FALSE)</f>
        <v>#N/A</v>
      </c>
      <c r="D26" t="e">
        <f>VLOOKUP($B$26,$B$5:$H$15,3,FALSE)</f>
        <v>#N/A</v>
      </c>
      <c r="E26" t="e">
        <f>VLOOKUP($B$26,$B$5:$H$15,4,FALSE)</f>
        <v>#N/A</v>
      </c>
      <c r="F26" t="e">
        <f>VLOOKUP($B$26,$B$5:$H$15,5,FALSE)</f>
        <v>#N/A</v>
      </c>
      <c r="G26" t="e">
        <f>VLOOKUP($B$26,$B$5:$H$15,6,FALSE)</f>
        <v>#N/A</v>
      </c>
      <c r="H26" t="e">
        <f>VLOOKUP($B$26,$B$5:$H$15,7,FALSE)</f>
        <v>#N/A</v>
      </c>
      <c r="J26" s="2"/>
    </row>
    <row r="27" spans="1:17" ht="16" x14ac:dyDescent="0.25">
      <c r="A27" s="2" t="s">
        <v>10</v>
      </c>
      <c r="B27" s="1"/>
      <c r="C27" t="e">
        <f>VLOOKUP($B$26,$K$5:$Q$15,2,FALSE)</f>
        <v>#N/A</v>
      </c>
      <c r="D27" t="e">
        <f>VLOOKUP($B$26,$K$5:$Q$15,3,FALSE)</f>
        <v>#N/A</v>
      </c>
      <c r="E27" t="e">
        <f>VLOOKUP($B$26,$K$5:$Q$15,4,FALSE)</f>
        <v>#N/A</v>
      </c>
      <c r="F27" t="e">
        <f>VLOOKUP($B$26,$K$5:$Q$15,5,FALSE)</f>
        <v>#N/A</v>
      </c>
      <c r="G27" t="e">
        <f>VLOOKUP($B$26,$K$5:$Q$15,6,FALSE)</f>
        <v>#N/A</v>
      </c>
      <c r="H27" t="e">
        <f>VLOOKUP($B$26,$K$5:$Q$15,7,FALSE)</f>
        <v>#N/A</v>
      </c>
      <c r="J27" s="2"/>
      <c r="K27" s="1"/>
    </row>
    <row r="28" spans="1:17" x14ac:dyDescent="0.2">
      <c r="A28" s="2" t="s">
        <v>6</v>
      </c>
      <c r="B28" t="e">
        <f ca="1">OFFSET(A26,0,MATCH(goal_5,$B$3:$H$3,FALSE))</f>
        <v>#N/A</v>
      </c>
      <c r="C28" t="e">
        <f ca="1">OFFSET(A26,0,MATCH(goal_5,$B$3:$H$3,FALSE)+1)</f>
        <v>#N/A</v>
      </c>
      <c r="D28" t="e">
        <f ca="1">CONCATENATE(TEXT(ROUND($B$28,2)*100,"0")," - ",TEXT(ROUND($C$28,2),"0%"))</f>
        <v>#N/A</v>
      </c>
    </row>
    <row r="29" spans="1:17" x14ac:dyDescent="0.2">
      <c r="A29" s="2" t="s">
        <v>9</v>
      </c>
      <c r="B29" t="e">
        <f ca="1">OFFSET(A27,0,MATCH(goal_5,$K$3:$Q$3,FALSE))</f>
        <v>#N/A</v>
      </c>
      <c r="C29" t="e">
        <f ca="1">OFFSET(A27,0,MATCH(goal_5,$K$3:$Q$3,FALSE)+1)</f>
        <v>#N/A</v>
      </c>
      <c r="D29" t="e">
        <f ca="1">CONCATENATE(TEXT(ROUND($B$29,2)*100,"0")," - ",TEXT(ROUND($C$29,2),"0%"))</f>
        <v>#N/A</v>
      </c>
    </row>
  </sheetData>
  <sheetProtection algorithmName="SHA-512" hashValue="RgxK723K102syxTygWtSstD0+XLOBkd8MsfiWo6TWzjx/lc3Pevhz8R6HYoIZ6oj9UmmYQX7UiglggaGxt5a6Q==" saltValue="2hQb0P4QSOzoU86X4HlJ7A==" spinCount="100000" sheet="1" objects="1" scenarios="1"/>
  <pageMargins left="0.7" right="0.7" top="0.75" bottom="0.75" header="0.3" footer="0.3"/>
  <pageSetup orientation="portrai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3EA492-5221-A744-9C79-FA548C2E777B}">
  <dimension ref="A1:Q29"/>
  <sheetViews>
    <sheetView workbookViewId="0">
      <selection activeCell="M15" sqref="M15"/>
    </sheetView>
  </sheetViews>
  <sheetFormatPr baseColWidth="10" defaultColWidth="8.83203125" defaultRowHeight="15" x14ac:dyDescent="0.2"/>
  <cols>
    <col min="1" max="1" width="14.83203125" bestFit="1" customWidth="1"/>
    <col min="4" max="4" width="9.6640625" bestFit="1" customWidth="1"/>
  </cols>
  <sheetData>
    <row r="1" spans="2:17" x14ac:dyDescent="0.2">
      <c r="B1" t="s">
        <v>11</v>
      </c>
      <c r="K1" t="s">
        <v>12</v>
      </c>
    </row>
    <row r="3" spans="2:17" x14ac:dyDescent="0.2">
      <c r="B3" s="4" t="s">
        <v>5</v>
      </c>
      <c r="C3" s="4" t="s">
        <v>35</v>
      </c>
      <c r="D3" s="4" t="s">
        <v>19</v>
      </c>
      <c r="E3" s="4" t="s">
        <v>0</v>
      </c>
      <c r="F3" s="4" t="s">
        <v>20</v>
      </c>
      <c r="G3" s="4" t="s">
        <v>36</v>
      </c>
      <c r="H3" s="4"/>
      <c r="K3" s="4" t="s">
        <v>5</v>
      </c>
      <c r="L3" s="4" t="s">
        <v>35</v>
      </c>
      <c r="M3" s="4" t="s">
        <v>19</v>
      </c>
      <c r="N3" s="4" t="s">
        <v>0</v>
      </c>
      <c r="O3" s="4" t="s">
        <v>20</v>
      </c>
      <c r="P3" s="4" t="s">
        <v>36</v>
      </c>
      <c r="Q3" s="4"/>
    </row>
    <row r="4" spans="2:17" x14ac:dyDescent="0.2">
      <c r="B4" s="4">
        <v>0</v>
      </c>
      <c r="C4" s="4"/>
      <c r="D4" s="4"/>
      <c r="E4" s="4"/>
      <c r="F4" s="4"/>
      <c r="G4" s="4"/>
      <c r="H4" s="4"/>
      <c r="K4" s="4">
        <v>0</v>
      </c>
      <c r="L4" s="4"/>
      <c r="M4" s="4"/>
      <c r="N4" s="4"/>
      <c r="O4" s="4"/>
      <c r="P4" s="4"/>
      <c r="Q4" s="4"/>
    </row>
    <row r="5" spans="2:17" ht="16" x14ac:dyDescent="0.25">
      <c r="B5" s="4">
        <v>0.2</v>
      </c>
      <c r="C5" s="4">
        <v>0</v>
      </c>
      <c r="D5" s="44">
        <v>0.16666666666666599</v>
      </c>
      <c r="E5" s="44">
        <v>0.22033898305084701</v>
      </c>
      <c r="F5" s="44">
        <v>0.31147540983606498</v>
      </c>
      <c r="G5" s="44">
        <v>0.41666666666666602</v>
      </c>
      <c r="H5" s="3">
        <v>1</v>
      </c>
      <c r="I5" s="1"/>
      <c r="K5" s="4">
        <v>0.2</v>
      </c>
      <c r="L5" s="4">
        <v>0</v>
      </c>
      <c r="M5" s="44">
        <v>0.11111111111111099</v>
      </c>
      <c r="N5" s="44">
        <v>0.17647058823529399</v>
      </c>
      <c r="O5" s="44">
        <v>0.236363636363636</v>
      </c>
      <c r="P5" s="44">
        <v>0.30303030303030298</v>
      </c>
      <c r="Q5" s="3">
        <v>1</v>
      </c>
    </row>
    <row r="6" spans="2:17" ht="16" x14ac:dyDescent="0.25">
      <c r="B6" s="4">
        <v>0.3</v>
      </c>
      <c r="C6" s="4">
        <v>0</v>
      </c>
      <c r="D6" s="44">
        <v>0.25</v>
      </c>
      <c r="E6" s="44">
        <v>0.29090909090909001</v>
      </c>
      <c r="F6" s="44">
        <v>0.35483870967741898</v>
      </c>
      <c r="G6" s="44">
        <v>0.41666666666666602</v>
      </c>
      <c r="H6" s="3">
        <v>1</v>
      </c>
      <c r="I6" s="1"/>
      <c r="K6" s="4">
        <v>0.3</v>
      </c>
      <c r="L6" s="4">
        <v>0</v>
      </c>
      <c r="M6" s="44">
        <v>0.21212121212121199</v>
      </c>
      <c r="N6" s="44">
        <v>0.26358695652173902</v>
      </c>
      <c r="O6" s="44">
        <v>0.28846153846153799</v>
      </c>
      <c r="P6" s="44">
        <v>0.35294117647058798</v>
      </c>
      <c r="Q6" s="3">
        <v>1</v>
      </c>
    </row>
    <row r="7" spans="2:17" ht="16" x14ac:dyDescent="0.25">
      <c r="B7" s="4">
        <v>0.4</v>
      </c>
      <c r="C7" s="4">
        <v>0</v>
      </c>
      <c r="D7" s="44">
        <v>0.38333333333333303</v>
      </c>
      <c r="E7" s="44">
        <v>0.45</v>
      </c>
      <c r="F7" s="44">
        <v>0.50746268656716398</v>
      </c>
      <c r="G7" s="44">
        <v>0.57333333333333303</v>
      </c>
      <c r="H7" s="3">
        <v>1</v>
      </c>
      <c r="I7" s="1"/>
      <c r="K7" s="4">
        <v>0.4</v>
      </c>
      <c r="L7" s="4">
        <v>0</v>
      </c>
      <c r="M7" s="44">
        <v>0.34567901234567899</v>
      </c>
      <c r="N7" s="44">
        <v>0.38095238095237999</v>
      </c>
      <c r="O7" s="44">
        <v>0.42528735632183901</v>
      </c>
      <c r="P7" s="44">
        <v>0.47826086956521702</v>
      </c>
      <c r="Q7" s="3">
        <v>1</v>
      </c>
    </row>
    <row r="8" spans="2:17" ht="16" x14ac:dyDescent="0.25">
      <c r="B8" s="4">
        <v>0.45</v>
      </c>
      <c r="C8" s="4">
        <v>0</v>
      </c>
      <c r="D8" s="44">
        <v>0.42857142857142799</v>
      </c>
      <c r="E8" s="44">
        <v>0.50757575757575701</v>
      </c>
      <c r="F8" s="44">
        <v>0.55102040816326503</v>
      </c>
      <c r="G8" s="44">
        <v>0.60638297872340396</v>
      </c>
      <c r="H8" s="3">
        <v>1</v>
      </c>
      <c r="I8" s="1"/>
      <c r="K8" s="4">
        <v>0.45</v>
      </c>
      <c r="L8" s="4">
        <v>0</v>
      </c>
      <c r="M8" s="44">
        <v>0.4</v>
      </c>
      <c r="N8" s="44">
        <v>0.44</v>
      </c>
      <c r="O8" s="44">
        <v>0.48076923076923</v>
      </c>
      <c r="P8" s="44">
        <v>0.52</v>
      </c>
      <c r="Q8" s="3">
        <v>1</v>
      </c>
    </row>
    <row r="9" spans="2:17" ht="16" x14ac:dyDescent="0.25">
      <c r="B9" s="4">
        <v>0.5</v>
      </c>
      <c r="C9" s="4">
        <v>0</v>
      </c>
      <c r="D9" s="44">
        <v>0.48226950354609899</v>
      </c>
      <c r="E9" s="44">
        <v>0.53676470588235203</v>
      </c>
      <c r="F9" s="44">
        <v>0.58333333333333304</v>
      </c>
      <c r="G9" s="44">
        <v>0.64935064935064901</v>
      </c>
      <c r="H9" s="3">
        <v>1</v>
      </c>
      <c r="I9" s="1"/>
      <c r="K9" s="4">
        <v>0.5</v>
      </c>
      <c r="L9" s="4">
        <v>0</v>
      </c>
      <c r="M9" s="44">
        <v>0.455696202531645</v>
      </c>
      <c r="N9" s="44">
        <v>0.490566037735849</v>
      </c>
      <c r="O9" s="44">
        <v>0.52238805970149205</v>
      </c>
      <c r="P9" s="44">
        <v>0.56521739130434701</v>
      </c>
      <c r="Q9" s="3">
        <v>1</v>
      </c>
    </row>
    <row r="10" spans="2:17" ht="16" x14ac:dyDescent="0.25">
      <c r="B10" s="4">
        <v>0.55000000000000004</v>
      </c>
      <c r="C10" s="4">
        <v>0</v>
      </c>
      <c r="D10" s="44">
        <v>0.51923076923076905</v>
      </c>
      <c r="E10" s="44">
        <v>0.56756756756756699</v>
      </c>
      <c r="F10" s="44">
        <v>0.62365591397849396</v>
      </c>
      <c r="G10" s="44">
        <v>0.68571428571428505</v>
      </c>
      <c r="H10" s="3">
        <v>1</v>
      </c>
      <c r="I10" s="1"/>
      <c r="K10" s="4">
        <v>0.55000000000000004</v>
      </c>
      <c r="L10" s="4">
        <v>0</v>
      </c>
      <c r="M10" s="44">
        <v>0.47663551401869098</v>
      </c>
      <c r="N10" s="44">
        <v>0.52941176470588203</v>
      </c>
      <c r="O10" s="44">
        <v>0.57471264367816</v>
      </c>
      <c r="P10" s="44">
        <v>0.62244897959183598</v>
      </c>
      <c r="Q10" s="3">
        <v>1</v>
      </c>
    </row>
    <row r="11" spans="2:17" ht="16" x14ac:dyDescent="0.25">
      <c r="B11" s="4">
        <v>0.6</v>
      </c>
      <c r="C11" s="4">
        <v>0</v>
      </c>
      <c r="D11" s="44">
        <v>0.56923076923076898</v>
      </c>
      <c r="E11" s="44">
        <v>0.62105263157894697</v>
      </c>
      <c r="F11" s="44">
        <v>0.659574468085106</v>
      </c>
      <c r="G11" s="44">
        <v>0.71171171171171099</v>
      </c>
      <c r="H11" s="3">
        <v>1</v>
      </c>
      <c r="I11" s="1"/>
      <c r="K11" s="4">
        <v>0.6</v>
      </c>
      <c r="L11" s="4">
        <v>0</v>
      </c>
      <c r="M11" s="44">
        <v>0.53030303030303005</v>
      </c>
      <c r="N11" s="44">
        <v>0.57971014492753603</v>
      </c>
      <c r="O11" s="44">
        <v>0.61333333333333295</v>
      </c>
      <c r="P11" s="44">
        <v>0.65909090909090895</v>
      </c>
      <c r="Q11" s="3">
        <v>1</v>
      </c>
    </row>
    <row r="12" spans="2:17" ht="16" x14ac:dyDescent="0.25">
      <c r="B12" s="4">
        <v>0.7</v>
      </c>
      <c r="C12" s="4">
        <v>0</v>
      </c>
      <c r="D12" s="44">
        <v>0.628571428571428</v>
      </c>
      <c r="E12" s="44">
        <v>0.68656716417910402</v>
      </c>
      <c r="F12" s="44">
        <v>0.72340425531914798</v>
      </c>
      <c r="G12" s="44">
        <v>0.77419354838709598</v>
      </c>
      <c r="H12" s="3">
        <v>1</v>
      </c>
      <c r="I12" s="1"/>
      <c r="K12" s="4">
        <v>0.7</v>
      </c>
      <c r="L12" s="4">
        <v>0</v>
      </c>
      <c r="M12" s="44">
        <v>0.59701492537313405</v>
      </c>
      <c r="N12" s="44">
        <v>0.64150943396226401</v>
      </c>
      <c r="O12" s="44">
        <v>0.67857142857142805</v>
      </c>
      <c r="P12" s="44">
        <v>0.72307692307692295</v>
      </c>
      <c r="Q12" s="3">
        <v>1</v>
      </c>
    </row>
    <row r="13" spans="2:17" ht="16" x14ac:dyDescent="0.25">
      <c r="B13" s="4">
        <v>0.8</v>
      </c>
      <c r="C13" s="4">
        <v>0</v>
      </c>
      <c r="D13" s="44">
        <v>0.71739130434782605</v>
      </c>
      <c r="E13" s="44">
        <v>0.76851851851851805</v>
      </c>
      <c r="F13" s="44">
        <v>0.79738562091503196</v>
      </c>
      <c r="G13" s="44">
        <v>0.84545454545454501</v>
      </c>
      <c r="H13" s="3">
        <v>1</v>
      </c>
      <c r="I13" s="1"/>
      <c r="K13" s="4">
        <v>0.8</v>
      </c>
      <c r="L13" s="4">
        <v>0</v>
      </c>
      <c r="M13" s="44">
        <v>0.69642857142857095</v>
      </c>
      <c r="N13" s="44">
        <v>0.73076923076922995</v>
      </c>
      <c r="O13" s="44">
        <v>0.76800000000000002</v>
      </c>
      <c r="P13" s="44">
        <v>0.80246913580246904</v>
      </c>
      <c r="Q13" s="3">
        <v>1</v>
      </c>
    </row>
    <row r="14" spans="2:17" ht="16" x14ac:dyDescent="0.25">
      <c r="B14" s="4">
        <v>0.9</v>
      </c>
      <c r="C14" s="4">
        <v>0</v>
      </c>
      <c r="D14" s="44">
        <v>0.81355932203389802</v>
      </c>
      <c r="E14" s="44">
        <v>0.85454545454545405</v>
      </c>
      <c r="F14" s="44">
        <v>0.86842105263157798</v>
      </c>
      <c r="G14" s="44">
        <v>0.91111111111111098</v>
      </c>
      <c r="H14" s="3">
        <v>1</v>
      </c>
      <c r="I14" s="1"/>
      <c r="K14" s="4">
        <v>0.9</v>
      </c>
      <c r="L14" s="4">
        <v>0</v>
      </c>
      <c r="M14" s="44">
        <v>0.79629629629629595</v>
      </c>
      <c r="N14" s="44">
        <v>0.83157894736842097</v>
      </c>
      <c r="O14" s="44">
        <v>0.85915492957746398</v>
      </c>
      <c r="P14" s="44">
        <v>0.88181818181818095</v>
      </c>
      <c r="Q14" s="3">
        <v>1</v>
      </c>
    </row>
    <row r="15" spans="2:17" ht="16" x14ac:dyDescent="0.25">
      <c r="B15" s="4">
        <v>1</v>
      </c>
      <c r="C15" s="4">
        <v>0</v>
      </c>
      <c r="D15" s="44">
        <v>0.924050632911392</v>
      </c>
      <c r="E15" s="44">
        <v>0.93984962406015005</v>
      </c>
      <c r="F15" s="44">
        <v>0.95121951219512102</v>
      </c>
      <c r="G15" s="44">
        <v>0.97959183673469297</v>
      </c>
      <c r="H15" s="3">
        <v>1</v>
      </c>
      <c r="I15" s="1"/>
      <c r="K15" s="4">
        <v>1</v>
      </c>
      <c r="L15" s="4">
        <v>0</v>
      </c>
      <c r="M15" s="44">
        <v>0.88095238095238004</v>
      </c>
      <c r="N15" s="44">
        <v>0.91954022988505701</v>
      </c>
      <c r="O15" s="44">
        <v>0.92941176470588205</v>
      </c>
      <c r="P15" s="44">
        <v>0.96</v>
      </c>
      <c r="Q15" s="3">
        <v>1</v>
      </c>
    </row>
    <row r="16" spans="2:17" ht="16" x14ac:dyDescent="0.25">
      <c r="B16" s="6"/>
      <c r="C16" s="6"/>
      <c r="D16" s="6"/>
      <c r="E16" s="6"/>
      <c r="F16" s="6"/>
      <c r="G16" s="6"/>
      <c r="H16" s="7"/>
      <c r="I16" s="1"/>
      <c r="K16" s="6"/>
      <c r="L16" s="6"/>
      <c r="M16" s="6"/>
      <c r="N16" s="6"/>
      <c r="O16" s="6"/>
      <c r="P16" s="6"/>
      <c r="Q16" s="7"/>
    </row>
    <row r="17" spans="1:17" ht="16" x14ac:dyDescent="0.25">
      <c r="A17" t="s">
        <v>15</v>
      </c>
      <c r="B17" t="e">
        <f>IF(BOY_4="",NA(),BOY_4)</f>
        <v>#N/A</v>
      </c>
      <c r="C17" t="e">
        <f>IF(OR(B17="",B17&lt;0,B17&gt;1),NA(),IF(B17=0,0.001,B17))</f>
        <v>#N/A</v>
      </c>
      <c r="I17" s="1"/>
      <c r="K17" s="6"/>
      <c r="L17" s="6"/>
      <c r="M17" s="6"/>
      <c r="N17" s="6"/>
      <c r="O17" s="6"/>
      <c r="P17" s="6"/>
      <c r="Q17" s="7"/>
    </row>
    <row r="18" spans="1:17" ht="16" x14ac:dyDescent="0.25">
      <c r="A18" t="s">
        <v>16</v>
      </c>
      <c r="B18" t="e">
        <f>IF(EOY_4="",NA(),EOY_4)</f>
        <v>#N/A</v>
      </c>
      <c r="C18" t="e">
        <f>IF(OR(B18="",B18&lt;0,B18&gt;1),NA(),IF(B18=1,0.999,B18))</f>
        <v>#N/A</v>
      </c>
      <c r="I18" s="1"/>
      <c r="K18" s="6"/>
      <c r="L18" s="6"/>
      <c r="M18" s="6"/>
      <c r="N18" s="6"/>
      <c r="O18" s="6"/>
      <c r="P18" s="6"/>
      <c r="Q18" s="7"/>
    </row>
    <row r="19" spans="1:17" ht="16" x14ac:dyDescent="0.25">
      <c r="A19" t="s">
        <v>17</v>
      </c>
      <c r="B19" t="e">
        <f>IF(goal_BOY_4="",NA(),goal_BOY_4)</f>
        <v>#N/A</v>
      </c>
      <c r="C19" t="e">
        <f>IF(OR(B19="",B19&lt;0,B19&gt;1),NA(),IF(B19=0,0.001,B19))</f>
        <v>#N/A</v>
      </c>
      <c r="I19" s="1"/>
      <c r="K19" s="6"/>
      <c r="L19" s="6"/>
      <c r="M19" s="6"/>
      <c r="N19" s="6"/>
      <c r="O19" s="6"/>
      <c r="P19" s="6"/>
      <c r="Q19" s="7"/>
    </row>
    <row r="21" spans="1:17" x14ac:dyDescent="0.2">
      <c r="A21" s="5" t="s">
        <v>13</v>
      </c>
    </row>
    <row r="22" spans="1:17" ht="16" x14ac:dyDescent="0.25">
      <c r="A22" s="2" t="s">
        <v>7</v>
      </c>
      <c r="B22" s="1" t="e">
        <f>SUMPRODUCT((B3:B14&lt;$C$17)*(B4:B15&gt;=$C$17),(B4:B15))</f>
        <v>#N/A</v>
      </c>
      <c r="C22" t="e">
        <f>VLOOKUP($B$22,$B$5:$H$15,2,FALSE)</f>
        <v>#N/A</v>
      </c>
      <c r="D22" t="e">
        <f>VLOOKUP($B$22,$B$5:$H$15,3,FALSE)</f>
        <v>#N/A</v>
      </c>
      <c r="E22" t="e">
        <f>VLOOKUP($B$22,$B$5:$H$15,4,FALSE)</f>
        <v>#N/A</v>
      </c>
      <c r="F22" t="e">
        <f>VLOOKUP($B$22,$B$5:$H$15,5,FALSE)</f>
        <v>#N/A</v>
      </c>
      <c r="G22" t="e">
        <f>VLOOKUP($B$22,$B$5:$H$15,6,FALSE)</f>
        <v>#N/A</v>
      </c>
      <c r="H22" t="e">
        <f>VLOOKUP($B$22,$B$5:$H$15,7,FALSE)</f>
        <v>#N/A</v>
      </c>
      <c r="J22" s="2"/>
    </row>
    <row r="23" spans="1:17" ht="16" x14ac:dyDescent="0.25">
      <c r="A23" s="2" t="s">
        <v>8</v>
      </c>
      <c r="B23" s="1" t="e">
        <f ca="1">OFFSET(A3,0,SUMPRODUCT((C22:G22&lt;=$C$18)*(D22:H22&gt;$C$18),COLUMN(B22:F22)))</f>
        <v>#N/A</v>
      </c>
      <c r="J23" s="2"/>
      <c r="K23" s="1"/>
    </row>
    <row r="24" spans="1:17" ht="16" x14ac:dyDescent="0.25">
      <c r="A24" s="2"/>
      <c r="B24" s="1"/>
      <c r="J24" s="2"/>
      <c r="K24" s="1"/>
    </row>
    <row r="25" spans="1:17" ht="16" x14ac:dyDescent="0.25">
      <c r="A25" s="5" t="s">
        <v>14</v>
      </c>
      <c r="B25" s="1"/>
      <c r="J25" s="2"/>
      <c r="K25" s="1"/>
    </row>
    <row r="26" spans="1:17" ht="16" x14ac:dyDescent="0.25">
      <c r="A26" s="2" t="s">
        <v>7</v>
      </c>
      <c r="B26" s="1" t="e">
        <f>SUMPRODUCT((B3:B14&lt;$C$19)*(B4:B15&gt;=$C$19),(B4:B15))</f>
        <v>#N/A</v>
      </c>
      <c r="C26" t="e">
        <f>VLOOKUP($B$26,$B$5:$H$15,2,FALSE)</f>
        <v>#N/A</v>
      </c>
      <c r="D26" t="e">
        <f>VLOOKUP($B$26,$B$5:$H$15,3,FALSE)</f>
        <v>#N/A</v>
      </c>
      <c r="E26" t="e">
        <f>VLOOKUP($B$26,$B$5:$H$15,4,FALSE)</f>
        <v>#N/A</v>
      </c>
      <c r="F26" t="e">
        <f>VLOOKUP($B$26,$B$5:$H$15,5,FALSE)</f>
        <v>#N/A</v>
      </c>
      <c r="G26" t="e">
        <f>VLOOKUP($B$26,$B$5:$H$15,6,FALSE)</f>
        <v>#N/A</v>
      </c>
      <c r="H26" t="e">
        <f>VLOOKUP($B$26,$B$5:$H$15,7,FALSE)</f>
        <v>#N/A</v>
      </c>
      <c r="J26" s="2"/>
    </row>
    <row r="27" spans="1:17" ht="16" x14ac:dyDescent="0.25">
      <c r="A27" s="2" t="s">
        <v>10</v>
      </c>
      <c r="B27" s="1"/>
      <c r="C27" t="e">
        <f>VLOOKUP($B$26,$K$5:$Q$15,2,FALSE)</f>
        <v>#N/A</v>
      </c>
      <c r="D27" t="e">
        <f>VLOOKUP($B$26,$K$5:$Q$15,3,FALSE)</f>
        <v>#N/A</v>
      </c>
      <c r="E27" t="e">
        <f>VLOOKUP($B$26,$K$5:$Q$15,4,FALSE)</f>
        <v>#N/A</v>
      </c>
      <c r="F27" t="e">
        <f>VLOOKUP($B$26,$K$5:$Q$15,5,FALSE)</f>
        <v>#N/A</v>
      </c>
      <c r="G27" t="e">
        <f>VLOOKUP($B$26,$K$5:$Q$15,6,FALSE)</f>
        <v>#N/A</v>
      </c>
      <c r="H27" t="e">
        <f>VLOOKUP($B$26,$K$5:$Q$15,7,FALSE)</f>
        <v>#N/A</v>
      </c>
      <c r="J27" s="2"/>
      <c r="K27" s="1"/>
    </row>
    <row r="28" spans="1:17" x14ac:dyDescent="0.2">
      <c r="A28" s="2" t="s">
        <v>6</v>
      </c>
      <c r="B28" t="e">
        <f ca="1">OFFSET(A26,0,MATCH(goal_4,$B$3:$H$3,FALSE))</f>
        <v>#N/A</v>
      </c>
      <c r="C28" t="e">
        <f ca="1">OFFSET(A26,0,MATCH(goal_4,$B$3:$H$3,FALSE)+1)</f>
        <v>#N/A</v>
      </c>
      <c r="D28" t="e">
        <f ca="1">CONCATENATE(TEXT(ROUND($B$28,2)*100,"0")," - ",TEXT(ROUND($C$28,2),"0%"))</f>
        <v>#N/A</v>
      </c>
    </row>
    <row r="29" spans="1:17" x14ac:dyDescent="0.2">
      <c r="A29" s="2" t="s">
        <v>9</v>
      </c>
      <c r="B29" t="e">
        <f ca="1">OFFSET(A27,0,MATCH(goal_4,$K$3:$Q$3,FALSE))</f>
        <v>#N/A</v>
      </c>
      <c r="C29" t="e">
        <f ca="1">OFFSET(A27,0,MATCH(goal_4,$K$3:$Q$3,FALSE)+1)</f>
        <v>#N/A</v>
      </c>
      <c r="D29" t="e">
        <f ca="1">CONCATENATE(TEXT(ROUND($B$29,2)*100,"0")," - ",TEXT(ROUND($C$29,2),"0%"))</f>
        <v>#N/A</v>
      </c>
    </row>
  </sheetData>
  <sheetProtection algorithmName="SHA-512" hashValue="gfblQK+wTCqrZxtEG5yTQpCGWot95hcFpulWzqb4hSgGgWClWSHSC3HRT3/N4bd4KLr/keT9EILgQwIwHWtFfg==" saltValue="FeN1xGkhKh4r3I2EC+mlSA==" spinCount="100000" sheet="1" objects="1" scenarios="1"/>
  <pageMargins left="0.7" right="0.7" top="0.75" bottom="0.75" header="0.3" footer="0.3"/>
  <pageSetup orientation="portrai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Q29"/>
  <sheetViews>
    <sheetView workbookViewId="0">
      <selection activeCell="M5" sqref="M5:P15"/>
    </sheetView>
  </sheetViews>
  <sheetFormatPr baseColWidth="10" defaultColWidth="8.83203125" defaultRowHeight="15" x14ac:dyDescent="0.2"/>
  <cols>
    <col min="1" max="1" width="14.83203125" bestFit="1" customWidth="1"/>
    <col min="4" max="4" width="9.6640625" bestFit="1" customWidth="1"/>
  </cols>
  <sheetData>
    <row r="1" spans="2:17" x14ac:dyDescent="0.2">
      <c r="B1" t="s">
        <v>11</v>
      </c>
      <c r="K1" t="s">
        <v>12</v>
      </c>
    </row>
    <row r="3" spans="2:17" x14ac:dyDescent="0.2">
      <c r="B3" s="4" t="s">
        <v>5</v>
      </c>
      <c r="C3" s="4" t="s">
        <v>35</v>
      </c>
      <c r="D3" s="4" t="s">
        <v>19</v>
      </c>
      <c r="E3" s="4" t="s">
        <v>0</v>
      </c>
      <c r="F3" s="4" t="s">
        <v>20</v>
      </c>
      <c r="G3" s="4" t="s">
        <v>36</v>
      </c>
      <c r="H3" s="4"/>
      <c r="K3" s="4" t="s">
        <v>5</v>
      </c>
      <c r="L3" s="4" t="s">
        <v>35</v>
      </c>
      <c r="M3" s="4" t="s">
        <v>19</v>
      </c>
      <c r="N3" s="4" t="s">
        <v>0</v>
      </c>
      <c r="O3" s="4" t="s">
        <v>20</v>
      </c>
      <c r="P3" s="4" t="s">
        <v>36</v>
      </c>
      <c r="Q3" s="4"/>
    </row>
    <row r="4" spans="2:17" x14ac:dyDescent="0.2">
      <c r="B4" s="4">
        <v>0</v>
      </c>
      <c r="C4" s="4"/>
      <c r="D4" s="4"/>
      <c r="E4" s="4"/>
      <c r="F4" s="4"/>
      <c r="G4" s="4"/>
      <c r="H4" s="4"/>
      <c r="K4" s="4">
        <v>0</v>
      </c>
      <c r="L4" s="4"/>
      <c r="M4" s="4"/>
      <c r="N4" s="4"/>
      <c r="O4" s="4"/>
      <c r="P4" s="4"/>
      <c r="Q4" s="4"/>
    </row>
    <row r="5" spans="2:17" ht="16" x14ac:dyDescent="0.25">
      <c r="B5" s="4">
        <v>0.2</v>
      </c>
      <c r="C5" s="4">
        <v>0</v>
      </c>
      <c r="D5" s="4">
        <v>0.233333333333333</v>
      </c>
      <c r="E5" s="4">
        <v>0.3</v>
      </c>
      <c r="F5" s="4">
        <v>0.36206896551724099</v>
      </c>
      <c r="G5" s="4">
        <v>0.40845070422535201</v>
      </c>
      <c r="H5" s="3">
        <v>1</v>
      </c>
      <c r="I5" s="1"/>
      <c r="K5" s="4">
        <v>0.2</v>
      </c>
      <c r="L5" s="4">
        <v>0</v>
      </c>
      <c r="M5" s="4">
        <v>0.125</v>
      </c>
      <c r="N5" s="4">
        <v>0.19047619047618999</v>
      </c>
      <c r="O5" s="4">
        <v>0.25806451612903197</v>
      </c>
      <c r="P5" s="4">
        <v>0.33333333333333298</v>
      </c>
      <c r="Q5" s="3">
        <v>1</v>
      </c>
    </row>
    <row r="6" spans="2:17" ht="16" x14ac:dyDescent="0.25">
      <c r="B6" s="4">
        <v>0.3</v>
      </c>
      <c r="C6" s="4">
        <v>0</v>
      </c>
      <c r="D6" s="4">
        <v>0.26829268292682901</v>
      </c>
      <c r="E6" s="4">
        <v>0.309859154929577</v>
      </c>
      <c r="F6" s="4">
        <v>0.38095238095237999</v>
      </c>
      <c r="G6" s="4">
        <v>0.5</v>
      </c>
      <c r="H6" s="3">
        <v>1</v>
      </c>
      <c r="I6" s="1"/>
      <c r="K6" s="4">
        <v>0.3</v>
      </c>
      <c r="L6" s="4">
        <v>0</v>
      </c>
      <c r="M6" s="4">
        <v>0.246753246753246</v>
      </c>
      <c r="N6" s="4">
        <v>0.29545454545454503</v>
      </c>
      <c r="O6" s="4">
        <v>0.34545454545454501</v>
      </c>
      <c r="P6" s="4">
        <v>0.39583333333333298</v>
      </c>
      <c r="Q6" s="3">
        <v>1</v>
      </c>
    </row>
    <row r="7" spans="2:17" ht="16" x14ac:dyDescent="0.25">
      <c r="B7" s="4">
        <v>0.4</v>
      </c>
      <c r="C7" s="4">
        <v>0</v>
      </c>
      <c r="D7" s="4">
        <v>0.38613861386138598</v>
      </c>
      <c r="E7" s="4">
        <v>0.45454545454545398</v>
      </c>
      <c r="F7" s="4">
        <v>0.51162790697674398</v>
      </c>
      <c r="G7" s="4">
        <v>0.56521739130434701</v>
      </c>
      <c r="H7" s="3">
        <v>1</v>
      </c>
      <c r="I7" s="1"/>
      <c r="K7" s="4">
        <v>0.4</v>
      </c>
      <c r="L7" s="4">
        <v>0</v>
      </c>
      <c r="M7" s="4">
        <v>0.32500000000000001</v>
      </c>
      <c r="N7" s="4">
        <v>0.38888888888888801</v>
      </c>
      <c r="O7" s="4">
        <v>0.41379310344827502</v>
      </c>
      <c r="P7" s="4">
        <v>0.46153846153846101</v>
      </c>
      <c r="Q7" s="3">
        <v>1</v>
      </c>
    </row>
    <row r="8" spans="2:17" ht="16" x14ac:dyDescent="0.25">
      <c r="B8" s="4">
        <v>0.45</v>
      </c>
      <c r="C8" s="4">
        <v>0</v>
      </c>
      <c r="D8" s="4">
        <v>0.41666666666666602</v>
      </c>
      <c r="E8" s="4">
        <v>0.48314606741573002</v>
      </c>
      <c r="F8" s="4">
        <v>0.53703703703703698</v>
      </c>
      <c r="G8" s="4">
        <v>0.61764705882352899</v>
      </c>
      <c r="H8" s="3">
        <v>1</v>
      </c>
      <c r="I8" s="1"/>
      <c r="K8" s="4">
        <v>0.45</v>
      </c>
      <c r="L8" s="4">
        <v>0</v>
      </c>
      <c r="M8" s="4">
        <v>0.394736842105263</v>
      </c>
      <c r="N8" s="4">
        <v>0.44155844155844098</v>
      </c>
      <c r="O8" s="4">
        <v>0.47297297297297197</v>
      </c>
      <c r="P8" s="4">
        <v>0.52564102564102499</v>
      </c>
      <c r="Q8" s="3">
        <v>1</v>
      </c>
    </row>
    <row r="9" spans="2:17" ht="16" x14ac:dyDescent="0.25">
      <c r="B9" s="4">
        <v>0.5</v>
      </c>
      <c r="C9" s="4">
        <v>0</v>
      </c>
      <c r="D9" s="4">
        <v>0.49425287356321801</v>
      </c>
      <c r="E9" s="4">
        <v>0.56410256410256399</v>
      </c>
      <c r="F9" s="4">
        <v>0.60526315789473595</v>
      </c>
      <c r="G9" s="4">
        <v>0.67441860465116199</v>
      </c>
      <c r="H9" s="3">
        <v>1</v>
      </c>
      <c r="I9" s="1"/>
      <c r="K9" s="4">
        <v>0.5</v>
      </c>
      <c r="L9" s="4">
        <v>0</v>
      </c>
      <c r="M9" s="4">
        <v>0.439393939393939</v>
      </c>
      <c r="N9" s="4">
        <v>0.49659863945578198</v>
      </c>
      <c r="O9" s="4">
        <v>0.54807692307692302</v>
      </c>
      <c r="P9" s="4">
        <v>0.59756097560975596</v>
      </c>
      <c r="Q9" s="3">
        <v>1</v>
      </c>
    </row>
    <row r="10" spans="2:17" ht="16" x14ac:dyDescent="0.25">
      <c r="B10" s="4">
        <v>0.55000000000000004</v>
      </c>
      <c r="C10" s="4">
        <v>0</v>
      </c>
      <c r="D10" s="4">
        <v>0.54545454545454497</v>
      </c>
      <c r="E10" s="4">
        <v>0.608108108108108</v>
      </c>
      <c r="F10" s="4">
        <v>0.66265060240963802</v>
      </c>
      <c r="G10" s="4">
        <v>0.707317073170731</v>
      </c>
      <c r="H10" s="3">
        <v>1</v>
      </c>
      <c r="I10" s="1"/>
      <c r="K10" s="4">
        <v>0.55000000000000004</v>
      </c>
      <c r="L10" s="4">
        <v>0</v>
      </c>
      <c r="M10" s="4">
        <v>0.50746268656716398</v>
      </c>
      <c r="N10" s="4">
        <v>0.55882352941176405</v>
      </c>
      <c r="O10" s="4">
        <v>0.594936708860759</v>
      </c>
      <c r="P10" s="4">
        <v>0.63934426229508101</v>
      </c>
      <c r="Q10" s="3">
        <v>1</v>
      </c>
    </row>
    <row r="11" spans="2:17" ht="16" x14ac:dyDescent="0.25">
      <c r="B11" s="4">
        <v>0.6</v>
      </c>
      <c r="C11" s="4">
        <v>0</v>
      </c>
      <c r="D11" s="4">
        <v>0.58241758241758201</v>
      </c>
      <c r="E11" s="4">
        <v>0.63432835820895495</v>
      </c>
      <c r="F11" s="4">
        <v>0.69911504424778703</v>
      </c>
      <c r="G11" s="4">
        <v>0.73529411764705799</v>
      </c>
      <c r="H11" s="3">
        <v>1</v>
      </c>
      <c r="I11" s="1"/>
      <c r="K11" s="4">
        <v>0.6</v>
      </c>
      <c r="L11" s="4">
        <v>0</v>
      </c>
      <c r="M11" s="4">
        <v>0.52112676056338003</v>
      </c>
      <c r="N11" s="4">
        <v>0.58823529411764697</v>
      </c>
      <c r="O11" s="4">
        <v>0.62</v>
      </c>
      <c r="P11" s="4">
        <v>0.67326732673267298</v>
      </c>
      <c r="Q11" s="3">
        <v>1</v>
      </c>
    </row>
    <row r="12" spans="2:17" ht="16" x14ac:dyDescent="0.25">
      <c r="B12" s="4">
        <v>0.7</v>
      </c>
      <c r="C12" s="4">
        <v>0</v>
      </c>
      <c r="D12" s="4">
        <v>0.65151515151515105</v>
      </c>
      <c r="E12" s="4">
        <v>0.69791666666666596</v>
      </c>
      <c r="F12" s="4">
        <v>0.73076923076922995</v>
      </c>
      <c r="G12" s="4">
        <v>0.77777777777777701</v>
      </c>
      <c r="H12" s="3">
        <v>1</v>
      </c>
      <c r="I12" s="1"/>
      <c r="K12" s="4">
        <v>0.7</v>
      </c>
      <c r="L12" s="4">
        <v>0</v>
      </c>
      <c r="M12" s="4">
        <v>0.60493827160493796</v>
      </c>
      <c r="N12" s="4">
        <v>0.65333333333333299</v>
      </c>
      <c r="O12" s="4">
        <v>0.69035532994923798</v>
      </c>
      <c r="P12" s="4">
        <v>0.73333333333333295</v>
      </c>
      <c r="Q12" s="3">
        <v>1</v>
      </c>
    </row>
    <row r="13" spans="2:17" ht="16" x14ac:dyDescent="0.25">
      <c r="B13" s="4">
        <v>0.8</v>
      </c>
      <c r="C13" s="4">
        <v>0</v>
      </c>
      <c r="D13" s="4">
        <v>0.72549019607843102</v>
      </c>
      <c r="E13" s="4">
        <v>0.76521739130434696</v>
      </c>
      <c r="F13" s="4">
        <v>0.79824561403508698</v>
      </c>
      <c r="G13" s="4">
        <v>0.83505154639175205</v>
      </c>
      <c r="H13" s="3">
        <v>1</v>
      </c>
      <c r="I13" s="1"/>
      <c r="K13" s="4">
        <v>0.8</v>
      </c>
      <c r="L13" s="4">
        <v>0</v>
      </c>
      <c r="M13" s="4">
        <v>0.70270270270270196</v>
      </c>
      <c r="N13" s="4">
        <v>0.73599999999999999</v>
      </c>
      <c r="O13" s="4">
        <v>0.77192982456140302</v>
      </c>
      <c r="P13" s="4">
        <v>0.8125</v>
      </c>
      <c r="Q13" s="3">
        <v>1</v>
      </c>
    </row>
    <row r="14" spans="2:17" ht="16" x14ac:dyDescent="0.25">
      <c r="B14" s="4">
        <v>0.9</v>
      </c>
      <c r="C14" s="4">
        <v>0</v>
      </c>
      <c r="D14" s="4">
        <v>0.80303030303030298</v>
      </c>
      <c r="E14" s="4">
        <v>0.83760683760683696</v>
      </c>
      <c r="F14" s="4">
        <v>0.87288135593220295</v>
      </c>
      <c r="G14" s="4">
        <v>0.90476190476190399</v>
      </c>
      <c r="H14" s="3">
        <v>1</v>
      </c>
      <c r="I14" s="1"/>
      <c r="K14" s="4">
        <v>0.9</v>
      </c>
      <c r="L14" s="4">
        <v>0</v>
      </c>
      <c r="M14" s="4">
        <v>0.80219780219780201</v>
      </c>
      <c r="N14" s="4">
        <v>0.83673469387755095</v>
      </c>
      <c r="O14" s="4">
        <v>0.85294117647058798</v>
      </c>
      <c r="P14" s="4">
        <v>0.88541666666666596</v>
      </c>
      <c r="Q14" s="3">
        <v>1</v>
      </c>
    </row>
    <row r="15" spans="2:17" ht="16" x14ac:dyDescent="0.25">
      <c r="B15" s="4">
        <v>1</v>
      </c>
      <c r="C15" s="4">
        <v>0</v>
      </c>
      <c r="D15" s="4">
        <v>0.90322580645161199</v>
      </c>
      <c r="E15" s="4">
        <v>0.91011235955056102</v>
      </c>
      <c r="F15" s="4">
        <v>0.92857142857142805</v>
      </c>
      <c r="G15" s="4">
        <v>0.96341463414634099</v>
      </c>
      <c r="H15" s="3">
        <v>1</v>
      </c>
      <c r="I15" s="1"/>
      <c r="K15" s="4">
        <v>1</v>
      </c>
      <c r="L15" s="4">
        <v>0</v>
      </c>
      <c r="M15" s="4">
        <v>0.90196078431372495</v>
      </c>
      <c r="N15" s="4">
        <v>0.92156862745098</v>
      </c>
      <c r="O15" s="4">
        <v>0.94186046511627897</v>
      </c>
      <c r="P15" s="4">
        <v>0.96296296296296202</v>
      </c>
      <c r="Q15" s="3">
        <v>1</v>
      </c>
    </row>
    <row r="16" spans="2:17" ht="16" x14ac:dyDescent="0.25">
      <c r="B16" s="6"/>
      <c r="C16" s="6"/>
      <c r="D16" s="6"/>
      <c r="E16" s="6"/>
      <c r="F16" s="6"/>
      <c r="G16" s="6"/>
      <c r="H16" s="7"/>
      <c r="I16" s="1"/>
      <c r="K16" s="6"/>
      <c r="L16" s="6"/>
      <c r="M16" s="6"/>
      <c r="N16" s="6"/>
      <c r="O16" s="6"/>
      <c r="P16" s="6"/>
      <c r="Q16" s="7"/>
    </row>
    <row r="17" spans="1:17" ht="16" x14ac:dyDescent="0.25">
      <c r="A17" t="s">
        <v>15</v>
      </c>
      <c r="B17" t="e">
        <f>IF(BOY_4="",NA(),BOY_4)</f>
        <v>#N/A</v>
      </c>
      <c r="C17" t="e">
        <f>IF(OR(B17="",B17&lt;0,B17&gt;1),NA(),IF(B17=0,0.001,B17))</f>
        <v>#N/A</v>
      </c>
      <c r="I17" s="1"/>
      <c r="K17" s="6"/>
      <c r="L17" s="6"/>
      <c r="M17" s="6"/>
      <c r="N17" s="6"/>
      <c r="O17" s="6"/>
      <c r="P17" s="6"/>
      <c r="Q17" s="7"/>
    </row>
    <row r="18" spans="1:17" ht="16" x14ac:dyDescent="0.25">
      <c r="A18" t="s">
        <v>16</v>
      </c>
      <c r="B18" t="e">
        <f>IF(EOY_4="",NA(),EOY_4)</f>
        <v>#N/A</v>
      </c>
      <c r="C18" t="e">
        <f>IF(OR(B18="",B18&lt;0,B18&gt;1),NA(),IF(B18=1,0.999,B18))</f>
        <v>#N/A</v>
      </c>
      <c r="I18" s="1"/>
      <c r="K18" s="6"/>
      <c r="L18" s="6"/>
      <c r="M18" s="6"/>
      <c r="N18" s="6"/>
      <c r="O18" s="6"/>
      <c r="P18" s="6"/>
      <c r="Q18" s="7"/>
    </row>
    <row r="19" spans="1:17" ht="16" x14ac:dyDescent="0.25">
      <c r="A19" t="s">
        <v>17</v>
      </c>
      <c r="B19" t="e">
        <f>IF(goal_BOY_4="",NA(),goal_BOY_4)</f>
        <v>#N/A</v>
      </c>
      <c r="C19" t="e">
        <f>IF(OR(B19="",B19&lt;0,B19&gt;1),NA(),IF(B19=0,0.001,B19))</f>
        <v>#N/A</v>
      </c>
      <c r="I19" s="1"/>
      <c r="K19" s="6"/>
      <c r="L19" s="6"/>
      <c r="M19" s="6"/>
      <c r="N19" s="6"/>
      <c r="O19" s="6"/>
      <c r="P19" s="6"/>
      <c r="Q19" s="7"/>
    </row>
    <row r="21" spans="1:17" x14ac:dyDescent="0.2">
      <c r="A21" s="5" t="s">
        <v>13</v>
      </c>
    </row>
    <row r="22" spans="1:17" ht="16" x14ac:dyDescent="0.25">
      <c r="A22" s="2" t="s">
        <v>7</v>
      </c>
      <c r="B22" s="1" t="e">
        <f>SUMPRODUCT((B3:B14&lt;$C$17)*(B4:B15&gt;=$C$17),(B4:B15))</f>
        <v>#N/A</v>
      </c>
      <c r="C22" t="e">
        <f>VLOOKUP($B$22,$B$5:$H$15,2,FALSE)</f>
        <v>#N/A</v>
      </c>
      <c r="D22" t="e">
        <f>VLOOKUP($B$22,$B$5:$H$15,3,FALSE)</f>
        <v>#N/A</v>
      </c>
      <c r="E22" t="e">
        <f>VLOOKUP($B$22,$B$5:$H$15,4,FALSE)</f>
        <v>#N/A</v>
      </c>
      <c r="F22" t="e">
        <f>VLOOKUP($B$22,$B$5:$H$15,5,FALSE)</f>
        <v>#N/A</v>
      </c>
      <c r="G22" t="e">
        <f>VLOOKUP($B$22,$B$5:$H$15,6,FALSE)</f>
        <v>#N/A</v>
      </c>
      <c r="H22" t="e">
        <f>VLOOKUP($B$22,$B$5:$H$15,7,FALSE)</f>
        <v>#N/A</v>
      </c>
      <c r="J22" s="2"/>
    </row>
    <row r="23" spans="1:17" ht="16" x14ac:dyDescent="0.25">
      <c r="A23" s="2" t="s">
        <v>8</v>
      </c>
      <c r="B23" s="1" t="e">
        <f ca="1">OFFSET(A3,0,SUMPRODUCT((C22:G22&lt;=$C$18)*(D22:H22&gt;$C$18),COLUMN(B22:F22)))</f>
        <v>#N/A</v>
      </c>
      <c r="J23" s="2"/>
      <c r="K23" s="1"/>
    </row>
    <row r="24" spans="1:17" ht="16" x14ac:dyDescent="0.25">
      <c r="A24" s="2"/>
      <c r="B24" s="1"/>
      <c r="J24" s="2"/>
      <c r="K24" s="1"/>
    </row>
    <row r="25" spans="1:17" ht="16" x14ac:dyDescent="0.25">
      <c r="A25" s="5" t="s">
        <v>14</v>
      </c>
      <c r="B25" s="1"/>
      <c r="J25" s="2"/>
      <c r="K25" s="1"/>
    </row>
    <row r="26" spans="1:17" ht="16" x14ac:dyDescent="0.25">
      <c r="A26" s="2" t="s">
        <v>7</v>
      </c>
      <c r="B26" s="1" t="e">
        <f>SUMPRODUCT((B3:B14&lt;$C$19)*(B4:B15&gt;=$C$19),(B4:B15))</f>
        <v>#N/A</v>
      </c>
      <c r="C26" t="e">
        <f>VLOOKUP($B$26,$B$5:$H$15,2,FALSE)</f>
        <v>#N/A</v>
      </c>
      <c r="D26" t="e">
        <f>VLOOKUP($B$26,$B$5:$H$15,3,FALSE)</f>
        <v>#N/A</v>
      </c>
      <c r="E26" t="e">
        <f>VLOOKUP($B$26,$B$5:$H$15,4,FALSE)</f>
        <v>#N/A</v>
      </c>
      <c r="F26" t="e">
        <f>VLOOKUP($B$26,$B$5:$H$15,5,FALSE)</f>
        <v>#N/A</v>
      </c>
      <c r="G26" t="e">
        <f>VLOOKUP($B$26,$B$5:$H$15,6,FALSE)</f>
        <v>#N/A</v>
      </c>
      <c r="H26" t="e">
        <f>VLOOKUP($B$26,$B$5:$H$15,7,FALSE)</f>
        <v>#N/A</v>
      </c>
      <c r="J26" s="2"/>
    </row>
    <row r="27" spans="1:17" ht="16" x14ac:dyDescent="0.25">
      <c r="A27" s="2" t="s">
        <v>10</v>
      </c>
      <c r="B27" s="1"/>
      <c r="C27" t="e">
        <f>VLOOKUP($B$26,$K$5:$Q$15,2,FALSE)</f>
        <v>#N/A</v>
      </c>
      <c r="D27" t="e">
        <f>VLOOKUP($B$26,$K$5:$Q$15,3,FALSE)</f>
        <v>#N/A</v>
      </c>
      <c r="E27" t="e">
        <f>VLOOKUP($B$26,$K$5:$Q$15,4,FALSE)</f>
        <v>#N/A</v>
      </c>
      <c r="F27" t="e">
        <f>VLOOKUP($B$26,$K$5:$Q$15,5,FALSE)</f>
        <v>#N/A</v>
      </c>
      <c r="G27" t="e">
        <f>VLOOKUP($B$26,$K$5:$Q$15,6,FALSE)</f>
        <v>#N/A</v>
      </c>
      <c r="H27" t="e">
        <f>VLOOKUP($B$26,$K$5:$Q$15,7,FALSE)</f>
        <v>#N/A</v>
      </c>
      <c r="J27" s="2"/>
      <c r="K27" s="1"/>
    </row>
    <row r="28" spans="1:17" x14ac:dyDescent="0.2">
      <c r="A28" s="2" t="s">
        <v>6</v>
      </c>
      <c r="B28" t="e">
        <f ca="1">OFFSET(A26,0,MATCH(goal_4,$B$3:$H$3,FALSE))</f>
        <v>#N/A</v>
      </c>
      <c r="C28" t="e">
        <f ca="1">OFFSET(A26,0,MATCH(goal_4,$B$3:$H$3,FALSE)+1)</f>
        <v>#N/A</v>
      </c>
      <c r="D28" t="e">
        <f ca="1">CONCATENATE(TEXT(ROUND($B$28,2)*100,"0")," - ",TEXT(ROUND($C$28,2),"0%"))</f>
        <v>#N/A</v>
      </c>
    </row>
    <row r="29" spans="1:17" x14ac:dyDescent="0.2">
      <c r="A29" s="2" t="s">
        <v>9</v>
      </c>
      <c r="B29" t="e">
        <f ca="1">OFFSET(A27,0,MATCH(goal_4,$K$3:$Q$3,FALSE))</f>
        <v>#N/A</v>
      </c>
      <c r="C29" t="e">
        <f ca="1">OFFSET(A27,0,MATCH(goal_4,$K$3:$Q$3,FALSE)+1)</f>
        <v>#N/A</v>
      </c>
      <c r="D29" t="e">
        <f ca="1">CONCATENATE(TEXT(ROUND($B$29,2)*100,"0")," - ",TEXT(ROUND($C$29,2),"0%"))</f>
        <v>#N/A</v>
      </c>
    </row>
  </sheetData>
  <sheetProtection algorithmName="SHA-512" hashValue="lH6SCwq2bzKsjwKxRdRXqcvOpm3uitrACeQ8lYKu88eveE7j+Mq3It+4KxD2UokyqwK0IcJs/6A0AciYGcVdfQ==" saltValue="xm0uMRm8Vxri8i/z766hDA==" spinCount="100000" sheet="1" objects="1" scenarios="1"/>
  <pageMargins left="0.7" right="0.7" top="0.75" bottom="0.75" header="0.3" footer="0.3"/>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24</vt:i4>
      </vt:variant>
      <vt:variant>
        <vt:lpstr>Named Ranges</vt:lpstr>
      </vt:variant>
      <vt:variant>
        <vt:i4>44</vt:i4>
      </vt:variant>
    </vt:vector>
  </HeadingPairs>
  <TitlesOfParts>
    <vt:vector size="68" baseType="lpstr">
      <vt:lpstr>Progress Planning Tool</vt:lpstr>
      <vt:lpstr>1819_K1</vt:lpstr>
      <vt:lpstr>1819_K3</vt:lpstr>
      <vt:lpstr>1718_K2</vt:lpstr>
      <vt:lpstr>1718_K3</vt:lpstr>
      <vt:lpstr>1819_5</vt:lpstr>
      <vt:lpstr>1718_5</vt:lpstr>
      <vt:lpstr>1819_4</vt:lpstr>
      <vt:lpstr>1718_4</vt:lpstr>
      <vt:lpstr>1819_3</vt:lpstr>
      <vt:lpstr>1718_3</vt:lpstr>
      <vt:lpstr>1819_K</vt:lpstr>
      <vt:lpstr>1819_2</vt:lpstr>
      <vt:lpstr>1718_2</vt:lpstr>
      <vt:lpstr>Progress Ranges</vt:lpstr>
      <vt:lpstr>Data validation</vt:lpstr>
      <vt:lpstr>1819_1</vt:lpstr>
      <vt:lpstr>1718_1</vt:lpstr>
      <vt:lpstr>1819_K2</vt:lpstr>
      <vt:lpstr>tabs lookup</vt:lpstr>
      <vt:lpstr>1718_K1</vt:lpstr>
      <vt:lpstr>1819_13</vt:lpstr>
      <vt:lpstr>1718_13</vt:lpstr>
      <vt:lpstr>1718_K</vt:lpstr>
      <vt:lpstr>'Progress Ranges'!BOY_1</vt:lpstr>
      <vt:lpstr>BOY_1</vt:lpstr>
      <vt:lpstr>'Progress Ranges'!BOY_2</vt:lpstr>
      <vt:lpstr>BOY_2</vt:lpstr>
      <vt:lpstr>'Progress Ranges'!BOY_3</vt:lpstr>
      <vt:lpstr>BOY_3</vt:lpstr>
      <vt:lpstr>'Progress Ranges'!BOY_4</vt:lpstr>
      <vt:lpstr>BOY_4</vt:lpstr>
      <vt:lpstr>'Progress Ranges'!BOY_5</vt:lpstr>
      <vt:lpstr>BOY_5</vt:lpstr>
      <vt:lpstr>'Progress Ranges'!BOY_agg</vt:lpstr>
      <vt:lpstr>BOY_agg</vt:lpstr>
      <vt:lpstr>'Progress Ranges'!BOY_K</vt:lpstr>
      <vt:lpstr>BOY_K</vt:lpstr>
      <vt:lpstr>'Progress Ranges'!EOY_1</vt:lpstr>
      <vt:lpstr>EOY_1</vt:lpstr>
      <vt:lpstr>'Progress Ranges'!EOY_2</vt:lpstr>
      <vt:lpstr>EOY_2</vt:lpstr>
      <vt:lpstr>'Progress Ranges'!EOY_3</vt:lpstr>
      <vt:lpstr>EOY_3</vt:lpstr>
      <vt:lpstr>'Progress Ranges'!EOY_4</vt:lpstr>
      <vt:lpstr>EOY_4</vt:lpstr>
      <vt:lpstr>'Progress Ranges'!EOY_5</vt:lpstr>
      <vt:lpstr>EOY_5</vt:lpstr>
      <vt:lpstr>'Progress Ranges'!EOY_agg</vt:lpstr>
      <vt:lpstr>EOY_agg</vt:lpstr>
      <vt:lpstr>'Progress Ranges'!EOY_K</vt:lpstr>
      <vt:lpstr>EOY_K</vt:lpstr>
      <vt:lpstr>goal_1</vt:lpstr>
      <vt:lpstr>goal_2</vt:lpstr>
      <vt:lpstr>goal_3</vt:lpstr>
      <vt:lpstr>goal_4</vt:lpstr>
      <vt:lpstr>goal_5</vt:lpstr>
      <vt:lpstr>goal_agg</vt:lpstr>
      <vt:lpstr>goal_BOY_1</vt:lpstr>
      <vt:lpstr>goal_BOY_2</vt:lpstr>
      <vt:lpstr>goal_BOY_3</vt:lpstr>
      <vt:lpstr>goal_BOY_4</vt:lpstr>
      <vt:lpstr>goal_BOY_5</vt:lpstr>
      <vt:lpstr>goal_BOY_agg</vt:lpstr>
      <vt:lpstr>goal_BOY_K</vt:lpstr>
      <vt:lpstr>goal_K</vt:lpstr>
      <vt:lpstr>'Progress Planning Tool'!Print_Area</vt:lpstr>
      <vt:lpstr>'Progress Ranges'!Print_Area</vt:lpstr>
    </vt:vector>
  </TitlesOfParts>
  <Company>Wireless Generation,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Jennifer Baldor</dc:creator>
  <cp:lastModifiedBy>Microsoft Office User</cp:lastModifiedBy>
  <cp:lastPrinted>2014-09-25T21:17:43Z</cp:lastPrinted>
  <dcterms:created xsi:type="dcterms:W3CDTF">2014-07-16T21:34:26Z</dcterms:created>
  <dcterms:modified xsi:type="dcterms:W3CDTF">2018-09-12T15:44:30Z</dcterms:modified>
</cp:coreProperties>
</file>