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ESSA-NCLB Distributions\"/>
    </mc:Choice>
  </mc:AlternateContent>
  <bookViews>
    <workbookView xWindow="120" yWindow="540" windowWidth="16488" windowHeight="8892" tabRatio="950" activeTab="7"/>
  </bookViews>
  <sheets>
    <sheet name="SUMMARY OF FORMULA GRANT" sheetId="7" r:id="rId1"/>
    <sheet name="NCLB Title IA Formula" sheetId="20" r:id="rId2"/>
    <sheet name="NCLB Title I-C Migrant" sheetId="8" r:id="rId3"/>
    <sheet name="NCLB Title I-Delinquent" sheetId="10" r:id="rId4"/>
    <sheet name="StateAgenciesTitle I-Delinquent" sheetId="11" r:id="rId5"/>
    <sheet name="NCLB Title II-A Formula" sheetId="14" r:id="rId6"/>
    <sheet name="NCLB Title III-A " sheetId="3" r:id="rId7"/>
    <sheet name="NCLB Title III SAI" sheetId="4" r:id="rId8"/>
    <sheet name="NCLB Title VI Rural LI" sheetId="5" r:id="rId9"/>
    <sheet name="NCLB Allocations" sheetId="17" state="hidden" r:id="rId10"/>
  </sheets>
  <definedNames>
    <definedName name="_xlnm._FilterDatabase" localSheetId="5" hidden="1">'NCLB Title II-A Formula'!$A$8:$AH$195</definedName>
    <definedName name="_xlnm._FilterDatabase" localSheetId="6" hidden="1">'NCLB Title III-A '!$A$12:$AK$197</definedName>
  </definedNames>
  <calcPr calcId="152511"/>
</workbook>
</file>

<file path=xl/calcChain.xml><?xml version="1.0" encoding="utf-8"?>
<calcChain xmlns="http://schemas.openxmlformats.org/spreadsheetml/2006/main">
  <c r="AF24" i="4" l="1"/>
  <c r="AI197" i="14" l="1"/>
  <c r="AJ197" i="14"/>
  <c r="F193" i="14"/>
  <c r="F37" i="4" l="1"/>
  <c r="F194" i="20" l="1"/>
  <c r="F195" i="20"/>
  <c r="D193" i="7" l="1"/>
  <c r="D192" i="7"/>
  <c r="AH16" i="4" l="1"/>
  <c r="Q27" i="10" l="1"/>
  <c r="C8" i="7" l="1"/>
  <c r="C9" i="7"/>
  <c r="C17" i="7"/>
  <c r="C25" i="7"/>
  <c r="C32" i="7"/>
  <c r="C33" i="7"/>
  <c r="C48" i="7"/>
  <c r="C51" i="7"/>
  <c r="C80" i="7"/>
  <c r="C84" i="7"/>
  <c r="C85" i="7"/>
  <c r="C86" i="7"/>
  <c r="C87" i="7"/>
  <c r="C88" i="7"/>
  <c r="C102" i="7"/>
  <c r="C103" i="7"/>
  <c r="C104" i="7"/>
  <c r="C106" i="7"/>
  <c r="C107" i="7"/>
  <c r="C108" i="7"/>
  <c r="C119" i="7"/>
  <c r="C121" i="7"/>
  <c r="C122" i="7"/>
  <c r="C134" i="7"/>
  <c r="C156" i="7"/>
  <c r="C157" i="7"/>
  <c r="C162" i="7"/>
  <c r="C163" i="7"/>
  <c r="C164" i="7"/>
  <c r="C165" i="7"/>
  <c r="C166" i="7"/>
  <c r="C172" i="7"/>
  <c r="C175" i="7"/>
  <c r="C176" i="7"/>
  <c r="C177" i="7"/>
  <c r="C180" i="7"/>
  <c r="C181" i="7"/>
  <c r="S12" i="14"/>
  <c r="G193" i="20" l="1"/>
  <c r="C184" i="7" s="1"/>
  <c r="G191" i="20"/>
  <c r="C182" i="7" s="1"/>
  <c r="G187" i="20"/>
  <c r="C178" i="7" s="1"/>
  <c r="G179" i="20"/>
  <c r="C170" i="7" s="1"/>
  <c r="G177" i="20"/>
  <c r="C168" i="7" s="1"/>
  <c r="G141" i="20"/>
  <c r="C132" i="7" s="1"/>
  <c r="G139" i="20"/>
  <c r="C130" i="7" s="1"/>
  <c r="G137" i="20"/>
  <c r="C128" i="7" s="1"/>
  <c r="G135" i="20"/>
  <c r="C126" i="7" s="1"/>
  <c r="G133" i="20"/>
  <c r="C124" i="7" s="1"/>
  <c r="G129" i="20"/>
  <c r="C120" i="7" s="1"/>
  <c r="G109" i="20"/>
  <c r="C100" i="7" s="1"/>
  <c r="G107" i="20"/>
  <c r="C98" i="7" s="1"/>
  <c r="G105" i="20"/>
  <c r="C96" i="7" s="1"/>
  <c r="G103" i="20"/>
  <c r="C94" i="7" s="1"/>
  <c r="G101" i="20"/>
  <c r="C92" i="7" s="1"/>
  <c r="G99" i="20"/>
  <c r="C90" i="7" s="1"/>
  <c r="G87" i="20"/>
  <c r="C78" i="7" s="1"/>
  <c r="G85" i="20"/>
  <c r="C76" i="7" s="1"/>
  <c r="G83" i="20"/>
  <c r="C74" i="7" s="1"/>
  <c r="G81" i="20"/>
  <c r="C72" i="7" s="1"/>
  <c r="G79" i="20"/>
  <c r="C70" i="7" s="1"/>
  <c r="G77" i="20"/>
  <c r="C68" i="7" s="1"/>
  <c r="G75" i="20"/>
  <c r="C66" i="7" s="1"/>
  <c r="G73" i="20"/>
  <c r="C64" i="7" s="1"/>
  <c r="G71" i="20"/>
  <c r="C62" i="7" s="1"/>
  <c r="G69" i="20"/>
  <c r="C60" i="7" s="1"/>
  <c r="G67" i="20"/>
  <c r="C58" i="7" s="1"/>
  <c r="G65" i="20"/>
  <c r="C56" i="7" s="1"/>
  <c r="G63" i="20"/>
  <c r="C54" i="7" s="1"/>
  <c r="G61" i="20"/>
  <c r="C52" i="7" s="1"/>
  <c r="G55" i="20"/>
  <c r="C46" i="7" s="1"/>
  <c r="G53" i="20"/>
  <c r="C44" i="7" s="1"/>
  <c r="G51" i="20"/>
  <c r="C42" i="7" s="1"/>
  <c r="G49" i="20"/>
  <c r="C40" i="7" s="1"/>
  <c r="G47" i="20"/>
  <c r="C38" i="7" s="1"/>
  <c r="G45" i="20"/>
  <c r="C36" i="7" s="1"/>
  <c r="G43" i="20"/>
  <c r="C34" i="7" s="1"/>
  <c r="G39" i="20"/>
  <c r="C30" i="7" s="1"/>
  <c r="G37" i="20"/>
  <c r="C28" i="7" s="1"/>
  <c r="G35" i="20"/>
  <c r="C26" i="7" s="1"/>
  <c r="G25" i="20"/>
  <c r="C16" i="7" s="1"/>
  <c r="G23" i="20"/>
  <c r="C14" i="7" s="1"/>
  <c r="G21" i="20"/>
  <c r="C12" i="7" s="1"/>
  <c r="G19" i="20"/>
  <c r="C10" i="7" s="1"/>
  <c r="G15" i="20"/>
  <c r="C6" i="7" s="1"/>
  <c r="G13" i="20"/>
  <c r="C4" i="7" s="1"/>
  <c r="F196" i="20"/>
  <c r="G196" i="20" s="1"/>
  <c r="C191" i="7" s="1"/>
  <c r="G195" i="20"/>
  <c r="C186" i="7" s="1"/>
  <c r="G194" i="20"/>
  <c r="F193" i="20"/>
  <c r="F192" i="20"/>
  <c r="G192" i="20" s="1"/>
  <c r="C183" i="7" s="1"/>
  <c r="F191" i="20"/>
  <c r="F190" i="20"/>
  <c r="F189" i="20"/>
  <c r="F188" i="20"/>
  <c r="G188" i="20" s="1"/>
  <c r="C179" i="7" s="1"/>
  <c r="F187" i="20"/>
  <c r="F186" i="20"/>
  <c r="F185" i="20"/>
  <c r="F184" i="20"/>
  <c r="F183" i="20"/>
  <c r="G183" i="20" s="1"/>
  <c r="C174" i="7" s="1"/>
  <c r="F182" i="20"/>
  <c r="G182" i="20" s="1"/>
  <c r="C173" i="7" s="1"/>
  <c r="F181" i="20"/>
  <c r="F180" i="20"/>
  <c r="G180" i="20" s="1"/>
  <c r="C171" i="7" s="1"/>
  <c r="F179" i="20"/>
  <c r="F178" i="20"/>
  <c r="G178" i="20" s="1"/>
  <c r="C169" i="7" s="1"/>
  <c r="F177" i="20"/>
  <c r="F176" i="20"/>
  <c r="G176" i="20" s="1"/>
  <c r="C167" i="7" s="1"/>
  <c r="F175" i="20"/>
  <c r="F174" i="20"/>
  <c r="F173" i="20"/>
  <c r="F172" i="20"/>
  <c r="F171" i="20"/>
  <c r="F170" i="20"/>
  <c r="G170" i="20" s="1"/>
  <c r="C161" i="7" s="1"/>
  <c r="F169" i="20"/>
  <c r="G169" i="20" s="1"/>
  <c r="C160" i="7" s="1"/>
  <c r="F168" i="20"/>
  <c r="G168" i="20" s="1"/>
  <c r="C159" i="7" s="1"/>
  <c r="F167" i="20"/>
  <c r="G167" i="20" s="1"/>
  <c r="C158" i="7" s="1"/>
  <c r="F166" i="20"/>
  <c r="F165" i="20"/>
  <c r="F164" i="20"/>
  <c r="G164" i="20" s="1"/>
  <c r="C155" i="7" s="1"/>
  <c r="F163" i="20"/>
  <c r="G163" i="20" s="1"/>
  <c r="C154" i="7" s="1"/>
  <c r="F162" i="20"/>
  <c r="G162" i="20" s="1"/>
  <c r="C153" i="7" s="1"/>
  <c r="F161" i="20"/>
  <c r="G161" i="20" s="1"/>
  <c r="C152" i="7" s="1"/>
  <c r="F160" i="20"/>
  <c r="G160" i="20" s="1"/>
  <c r="C151" i="7" s="1"/>
  <c r="F159" i="20"/>
  <c r="G159" i="20" s="1"/>
  <c r="C150" i="7" s="1"/>
  <c r="F158" i="20"/>
  <c r="G158" i="20" s="1"/>
  <c r="C149" i="7" s="1"/>
  <c r="F157" i="20"/>
  <c r="G157" i="20" s="1"/>
  <c r="C148" i="7" s="1"/>
  <c r="F156" i="20"/>
  <c r="G156" i="20" s="1"/>
  <c r="C147" i="7" s="1"/>
  <c r="F155" i="20"/>
  <c r="G155" i="20" s="1"/>
  <c r="C146" i="7" s="1"/>
  <c r="F154" i="20"/>
  <c r="G154" i="20" s="1"/>
  <c r="C145" i="7" s="1"/>
  <c r="F153" i="20"/>
  <c r="G153" i="20" s="1"/>
  <c r="C144" i="7" s="1"/>
  <c r="F152" i="20"/>
  <c r="G152" i="20" s="1"/>
  <c r="C143" i="7" s="1"/>
  <c r="F151" i="20"/>
  <c r="G151" i="20" s="1"/>
  <c r="C142" i="7" s="1"/>
  <c r="F150" i="20"/>
  <c r="G150" i="20" s="1"/>
  <c r="C141" i="7" s="1"/>
  <c r="F149" i="20"/>
  <c r="G149" i="20" s="1"/>
  <c r="C140" i="7" s="1"/>
  <c r="F148" i="20"/>
  <c r="G148" i="20" s="1"/>
  <c r="C139" i="7" s="1"/>
  <c r="F147" i="20"/>
  <c r="G147" i="20" s="1"/>
  <c r="C138" i="7" s="1"/>
  <c r="F146" i="20"/>
  <c r="G146" i="20" s="1"/>
  <c r="C137" i="7" s="1"/>
  <c r="F145" i="20"/>
  <c r="G145" i="20" s="1"/>
  <c r="C136" i="7" s="1"/>
  <c r="F144" i="20"/>
  <c r="G144" i="20" s="1"/>
  <c r="C135" i="7" s="1"/>
  <c r="F143" i="20"/>
  <c r="F142" i="20"/>
  <c r="G142" i="20" s="1"/>
  <c r="C133" i="7" s="1"/>
  <c r="F141" i="20"/>
  <c r="F140" i="20"/>
  <c r="G140" i="20" s="1"/>
  <c r="C131" i="7" s="1"/>
  <c r="F139" i="20"/>
  <c r="F138" i="20"/>
  <c r="G138" i="20" s="1"/>
  <c r="C129" i="7" s="1"/>
  <c r="F137" i="20"/>
  <c r="F136" i="20"/>
  <c r="G136" i="20" s="1"/>
  <c r="C127" i="7" s="1"/>
  <c r="F135" i="20"/>
  <c r="F134" i="20"/>
  <c r="G134" i="20" s="1"/>
  <c r="C125" i="7" s="1"/>
  <c r="F133" i="20"/>
  <c r="F132" i="20"/>
  <c r="G132" i="20" s="1"/>
  <c r="C123" i="7" s="1"/>
  <c r="F131" i="20"/>
  <c r="F130" i="20"/>
  <c r="F129" i="20"/>
  <c r="F128" i="20"/>
  <c r="F127" i="20"/>
  <c r="G127" i="20" s="1"/>
  <c r="C118" i="7" s="1"/>
  <c r="F126" i="20"/>
  <c r="G126" i="20" s="1"/>
  <c r="C117" i="7" s="1"/>
  <c r="F125" i="20"/>
  <c r="G125" i="20" s="1"/>
  <c r="C116" i="7" s="1"/>
  <c r="F124" i="20"/>
  <c r="G124" i="20" s="1"/>
  <c r="C115" i="7" s="1"/>
  <c r="F123" i="20"/>
  <c r="G123" i="20" s="1"/>
  <c r="C114" i="7" s="1"/>
  <c r="F122" i="20"/>
  <c r="G122" i="20" s="1"/>
  <c r="C113" i="7" s="1"/>
  <c r="F121" i="20"/>
  <c r="G121" i="20" s="1"/>
  <c r="C112" i="7" s="1"/>
  <c r="F120" i="20"/>
  <c r="G120" i="20" s="1"/>
  <c r="C111" i="7" s="1"/>
  <c r="F119" i="20"/>
  <c r="G119" i="20" s="1"/>
  <c r="C110" i="7" s="1"/>
  <c r="F118" i="20"/>
  <c r="G118" i="20" s="1"/>
  <c r="C109" i="7" s="1"/>
  <c r="F117" i="20"/>
  <c r="F116" i="20"/>
  <c r="F115" i="20"/>
  <c r="F114" i="20"/>
  <c r="G114" i="20" s="1"/>
  <c r="C105" i="7" s="1"/>
  <c r="F113" i="20"/>
  <c r="F112" i="20"/>
  <c r="F111" i="20"/>
  <c r="F110" i="20"/>
  <c r="G110" i="20" s="1"/>
  <c r="C101" i="7" s="1"/>
  <c r="F109" i="20"/>
  <c r="F108" i="20"/>
  <c r="G108" i="20" s="1"/>
  <c r="C99" i="7" s="1"/>
  <c r="F107" i="20"/>
  <c r="F106" i="20"/>
  <c r="G106" i="20" s="1"/>
  <c r="C97" i="7" s="1"/>
  <c r="F105" i="20"/>
  <c r="F104" i="20"/>
  <c r="G104" i="20" s="1"/>
  <c r="C95" i="7" s="1"/>
  <c r="F103" i="20"/>
  <c r="F102" i="20"/>
  <c r="G102" i="20" s="1"/>
  <c r="C93" i="7" s="1"/>
  <c r="F101" i="20"/>
  <c r="F100" i="20"/>
  <c r="G100" i="20" s="1"/>
  <c r="C91" i="7" s="1"/>
  <c r="F99" i="20"/>
  <c r="F98" i="20"/>
  <c r="G98" i="20" s="1"/>
  <c r="C89" i="7" s="1"/>
  <c r="F97" i="20"/>
  <c r="F96" i="20"/>
  <c r="F95" i="20"/>
  <c r="F94" i="20"/>
  <c r="F93" i="20"/>
  <c r="F92" i="20"/>
  <c r="G92" i="20" s="1"/>
  <c r="C83" i="7" s="1"/>
  <c r="F91" i="20"/>
  <c r="G91" i="20" s="1"/>
  <c r="C82" i="7" s="1"/>
  <c r="F90" i="20"/>
  <c r="G90" i="20" s="1"/>
  <c r="C81" i="7" s="1"/>
  <c r="F89" i="20"/>
  <c r="F88" i="20"/>
  <c r="G88" i="20" s="1"/>
  <c r="C79" i="7" s="1"/>
  <c r="F87" i="20"/>
  <c r="F86" i="20"/>
  <c r="G86" i="20" s="1"/>
  <c r="C77" i="7" s="1"/>
  <c r="F85" i="20"/>
  <c r="F84" i="20"/>
  <c r="G84" i="20" s="1"/>
  <c r="C75" i="7" s="1"/>
  <c r="F83" i="20"/>
  <c r="F82" i="20"/>
  <c r="G82" i="20" s="1"/>
  <c r="C73" i="7" s="1"/>
  <c r="F81" i="20"/>
  <c r="F80" i="20"/>
  <c r="G80" i="20" s="1"/>
  <c r="C71" i="7" s="1"/>
  <c r="F79" i="20"/>
  <c r="F78" i="20"/>
  <c r="G78" i="20" s="1"/>
  <c r="C69" i="7" s="1"/>
  <c r="F77" i="20"/>
  <c r="F76" i="20"/>
  <c r="G76" i="20" s="1"/>
  <c r="C67" i="7" s="1"/>
  <c r="F75" i="20"/>
  <c r="F74" i="20"/>
  <c r="G74" i="20" s="1"/>
  <c r="C65" i="7" s="1"/>
  <c r="F73" i="20"/>
  <c r="F72" i="20"/>
  <c r="G72" i="20" s="1"/>
  <c r="C63" i="7" s="1"/>
  <c r="F71" i="20"/>
  <c r="F70" i="20"/>
  <c r="G70" i="20" s="1"/>
  <c r="C61" i="7" s="1"/>
  <c r="F69" i="20"/>
  <c r="F68" i="20"/>
  <c r="G68" i="20" s="1"/>
  <c r="C59" i="7" s="1"/>
  <c r="F67" i="20"/>
  <c r="F66" i="20"/>
  <c r="G66" i="20" s="1"/>
  <c r="C57" i="7" s="1"/>
  <c r="F65" i="20"/>
  <c r="F64" i="20"/>
  <c r="G64" i="20" s="1"/>
  <c r="C55" i="7" s="1"/>
  <c r="F63" i="20"/>
  <c r="F62" i="20"/>
  <c r="G62" i="20" s="1"/>
  <c r="C53" i="7" s="1"/>
  <c r="F61" i="20"/>
  <c r="F60" i="20"/>
  <c r="F59" i="20"/>
  <c r="G59" i="20" s="1"/>
  <c r="C50" i="7" s="1"/>
  <c r="F58" i="20"/>
  <c r="G58" i="20" s="1"/>
  <c r="C49" i="7" s="1"/>
  <c r="F57" i="20"/>
  <c r="F56" i="20"/>
  <c r="G56" i="20" s="1"/>
  <c r="C47" i="7" s="1"/>
  <c r="F55" i="20"/>
  <c r="F54" i="20"/>
  <c r="G54" i="20" s="1"/>
  <c r="C45" i="7" s="1"/>
  <c r="F53" i="20"/>
  <c r="F52" i="20"/>
  <c r="G52" i="20" s="1"/>
  <c r="C43" i="7" s="1"/>
  <c r="F51" i="20"/>
  <c r="F50" i="20"/>
  <c r="G50" i="20" s="1"/>
  <c r="C41" i="7" s="1"/>
  <c r="F49" i="20"/>
  <c r="F48" i="20"/>
  <c r="G48" i="20" s="1"/>
  <c r="C39" i="7" s="1"/>
  <c r="F47" i="20"/>
  <c r="F46" i="20"/>
  <c r="G46" i="20" s="1"/>
  <c r="C37" i="7" s="1"/>
  <c r="F45" i="20"/>
  <c r="F44" i="20"/>
  <c r="G44" i="20" s="1"/>
  <c r="C35" i="7" s="1"/>
  <c r="F43" i="20"/>
  <c r="F42" i="20"/>
  <c r="F41" i="20"/>
  <c r="F40" i="20"/>
  <c r="G40" i="20" s="1"/>
  <c r="C31" i="7" s="1"/>
  <c r="F39" i="20"/>
  <c r="F38" i="20"/>
  <c r="G38" i="20" s="1"/>
  <c r="C29" i="7" s="1"/>
  <c r="F37" i="20"/>
  <c r="F36" i="20"/>
  <c r="G36" i="20" s="1"/>
  <c r="C27" i="7" s="1"/>
  <c r="F35" i="20"/>
  <c r="F34" i="20"/>
  <c r="F33" i="20"/>
  <c r="G33" i="20" s="1"/>
  <c r="C24" i="7" s="1"/>
  <c r="F32" i="20"/>
  <c r="G32" i="20" s="1"/>
  <c r="C23" i="7" s="1"/>
  <c r="F31" i="20"/>
  <c r="G31" i="20" s="1"/>
  <c r="C22" i="7" s="1"/>
  <c r="F30" i="20"/>
  <c r="G30" i="20" s="1"/>
  <c r="C21" i="7" s="1"/>
  <c r="F29" i="20"/>
  <c r="G29" i="20" s="1"/>
  <c r="C20" i="7" s="1"/>
  <c r="F28" i="20"/>
  <c r="G28" i="20" s="1"/>
  <c r="C19" i="7" s="1"/>
  <c r="F27" i="20"/>
  <c r="G27" i="20" s="1"/>
  <c r="C18" i="7" s="1"/>
  <c r="F26" i="20"/>
  <c r="F25" i="20"/>
  <c r="F24" i="20"/>
  <c r="G24" i="20" s="1"/>
  <c r="C15" i="7" s="1"/>
  <c r="F23" i="20"/>
  <c r="F22" i="20"/>
  <c r="G22" i="20" s="1"/>
  <c r="C13" i="7" s="1"/>
  <c r="F21" i="20"/>
  <c r="F20" i="20"/>
  <c r="G20" i="20" s="1"/>
  <c r="C11" i="7" s="1"/>
  <c r="F19" i="20"/>
  <c r="F18" i="20"/>
  <c r="F17" i="20"/>
  <c r="F16" i="20"/>
  <c r="G16" i="20" s="1"/>
  <c r="C7" i="7" s="1"/>
  <c r="F15" i="20"/>
  <c r="F14" i="20"/>
  <c r="G14" i="20" s="1"/>
  <c r="C5" i="7" s="1"/>
  <c r="F13" i="20"/>
  <c r="C185" i="7" l="1"/>
  <c r="C193" i="7" s="1"/>
  <c r="C376" i="7" s="1"/>
  <c r="G198" i="20"/>
  <c r="F12" i="14"/>
  <c r="G12" i="14" s="1"/>
  <c r="F196" i="14" l="1"/>
  <c r="F195" i="14"/>
  <c r="F194" i="14"/>
  <c r="F192" i="14"/>
  <c r="F191" i="14"/>
  <c r="F190" i="14"/>
  <c r="F189" i="14"/>
  <c r="F188" i="14"/>
  <c r="F186" i="14"/>
  <c r="F185" i="14"/>
  <c r="F184" i="14"/>
  <c r="F183" i="14"/>
  <c r="F182" i="14"/>
  <c r="F181" i="14"/>
  <c r="F180" i="14"/>
  <c r="F179" i="14"/>
  <c r="F178" i="14"/>
  <c r="F176" i="14"/>
  <c r="F174" i="14"/>
  <c r="F173" i="14"/>
  <c r="F172" i="14"/>
  <c r="F171" i="14"/>
  <c r="F170" i="14"/>
  <c r="F169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2" i="14"/>
  <c r="F151" i="14"/>
  <c r="F150" i="14"/>
  <c r="F149" i="14"/>
  <c r="F148" i="14"/>
  <c r="F147" i="14"/>
  <c r="F146" i="14"/>
  <c r="F144" i="14"/>
  <c r="F143" i="14"/>
  <c r="F142" i="14"/>
  <c r="F141" i="14"/>
  <c r="F140" i="14"/>
  <c r="F139" i="14"/>
  <c r="F138" i="14"/>
  <c r="F137" i="14"/>
  <c r="F135" i="14"/>
  <c r="F134" i="14"/>
  <c r="F133" i="14"/>
  <c r="F132" i="14"/>
  <c r="F131" i="14"/>
  <c r="F130" i="14"/>
  <c r="F129" i="14"/>
  <c r="F127" i="14"/>
  <c r="F126" i="14"/>
  <c r="F125" i="14"/>
  <c r="F124" i="14"/>
  <c r="F123" i="14"/>
  <c r="F122" i="14"/>
  <c r="F121" i="14"/>
  <c r="F120" i="14"/>
  <c r="F118" i="14"/>
  <c r="F117" i="14"/>
  <c r="F116" i="14"/>
  <c r="F115" i="14"/>
  <c r="F114" i="14"/>
  <c r="F113" i="14"/>
  <c r="G113" i="14" s="1"/>
  <c r="F112" i="14"/>
  <c r="F111" i="14"/>
  <c r="F110" i="14"/>
  <c r="F109" i="14"/>
  <c r="F108" i="14"/>
  <c r="F107" i="14"/>
  <c r="F106" i="14"/>
  <c r="F105" i="14"/>
  <c r="F104" i="14"/>
  <c r="F103" i="14"/>
  <c r="F101" i="14"/>
  <c r="F100" i="14"/>
  <c r="F99" i="14"/>
  <c r="F97" i="14"/>
  <c r="F96" i="14"/>
  <c r="F95" i="14"/>
  <c r="F94" i="14"/>
  <c r="F93" i="14"/>
  <c r="F92" i="14"/>
  <c r="F91" i="14"/>
  <c r="F90" i="14"/>
  <c r="F88" i="14"/>
  <c r="F87" i="14"/>
  <c r="F86" i="14"/>
  <c r="F85" i="14"/>
  <c r="F84" i="14"/>
  <c r="F83" i="14"/>
  <c r="F82" i="14"/>
  <c r="F81" i="14"/>
  <c r="F80" i="14"/>
  <c r="F78" i="14"/>
  <c r="F77" i="14"/>
  <c r="F76" i="14"/>
  <c r="F75" i="14"/>
  <c r="F74" i="14"/>
  <c r="F73" i="14"/>
  <c r="F72" i="14"/>
  <c r="F71" i="14"/>
  <c r="F70" i="14"/>
  <c r="F69" i="14"/>
  <c r="F68" i="14"/>
  <c r="F65" i="14"/>
  <c r="F64" i="14"/>
  <c r="F63" i="14"/>
  <c r="F62" i="14"/>
  <c r="F60" i="14"/>
  <c r="F59" i="14"/>
  <c r="F58" i="14"/>
  <c r="F57" i="14"/>
  <c r="F56" i="14"/>
  <c r="F55" i="14"/>
  <c r="F53" i="14"/>
  <c r="F52" i="14"/>
  <c r="F49" i="14"/>
  <c r="F48" i="14"/>
  <c r="F47" i="14"/>
  <c r="F46" i="14"/>
  <c r="F45" i="14"/>
  <c r="F44" i="14"/>
  <c r="F43" i="14"/>
  <c r="F42" i="14"/>
  <c r="F41" i="14"/>
  <c r="F40" i="14"/>
  <c r="F38" i="14"/>
  <c r="F37" i="14"/>
  <c r="F36" i="14"/>
  <c r="F35" i="14"/>
  <c r="F34" i="14"/>
  <c r="F33" i="14"/>
  <c r="F32" i="14"/>
  <c r="F31" i="14"/>
  <c r="F30" i="14"/>
  <c r="F27" i="14"/>
  <c r="F26" i="14"/>
  <c r="F25" i="14"/>
  <c r="F20" i="14"/>
  <c r="F19" i="14"/>
  <c r="F17" i="14"/>
  <c r="F16" i="14"/>
  <c r="F15" i="14"/>
  <c r="F13" i="14"/>
  <c r="D52" i="5" l="1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AG193" i="5" l="1"/>
  <c r="AI51" i="4" l="1"/>
  <c r="G14" i="4"/>
  <c r="G15" i="4"/>
  <c r="G19" i="4"/>
  <c r="G20" i="4"/>
  <c r="G22" i="4"/>
  <c r="F14" i="4"/>
  <c r="F15" i="4"/>
  <c r="F17" i="4"/>
  <c r="G17" i="4" s="1"/>
  <c r="F18" i="4"/>
  <c r="F19" i="4"/>
  <c r="F20" i="4"/>
  <c r="F21" i="4"/>
  <c r="G21" i="4" s="1"/>
  <c r="F22" i="4"/>
  <c r="F24" i="4"/>
  <c r="G24" i="4" s="1"/>
  <c r="F25" i="4"/>
  <c r="F26" i="4"/>
  <c r="G26" i="4" s="1"/>
  <c r="F27" i="4"/>
  <c r="G27" i="4" s="1"/>
  <c r="F28" i="4"/>
  <c r="G28" i="4" s="1"/>
  <c r="F29" i="4"/>
  <c r="G29" i="4" s="1"/>
  <c r="F30" i="4"/>
  <c r="F31" i="4"/>
  <c r="G31" i="4" s="1"/>
  <c r="F32" i="4"/>
  <c r="F33" i="4"/>
  <c r="G33" i="4" s="1"/>
  <c r="F34" i="4"/>
  <c r="F35" i="4"/>
  <c r="G35" i="4" s="1"/>
  <c r="F36" i="4"/>
  <c r="F38" i="4"/>
  <c r="F39" i="4"/>
  <c r="G39" i="4" s="1"/>
  <c r="F40" i="4"/>
  <c r="G40" i="4" s="1"/>
  <c r="F41" i="4"/>
  <c r="G41" i="4" s="1"/>
  <c r="F42" i="4"/>
  <c r="G42" i="4" s="1"/>
  <c r="F43" i="4"/>
  <c r="G43" i="4" s="1"/>
  <c r="F44" i="4"/>
  <c r="F46" i="4"/>
  <c r="F47" i="4"/>
  <c r="F48" i="4"/>
  <c r="F49" i="4"/>
  <c r="F13" i="4"/>
  <c r="G34" i="4" l="1"/>
  <c r="F51" i="4"/>
  <c r="G61" i="4" s="1"/>
  <c r="AD51" i="5"/>
  <c r="AE61" i="14" l="1"/>
  <c r="F61" i="14" s="1"/>
  <c r="AF195" i="3" l="1"/>
  <c r="AE25" i="3" l="1"/>
  <c r="AC24" i="14" l="1"/>
  <c r="AB16" i="4" l="1"/>
  <c r="F16" i="4" s="1"/>
  <c r="G16" i="4" s="1"/>
  <c r="S191" i="3" l="1"/>
  <c r="R191" i="3"/>
  <c r="AB120" i="3" l="1"/>
  <c r="Z168" i="14"/>
  <c r="F168" i="14" s="1"/>
  <c r="Z175" i="14" l="1"/>
  <c r="F175" i="14" s="1"/>
  <c r="Z119" i="14"/>
  <c r="F119" i="14" s="1"/>
  <c r="I26" i="3" l="1"/>
  <c r="G17" i="7" s="1"/>
  <c r="I30" i="3"/>
  <c r="G21" i="7" s="1"/>
  <c r="I32" i="3"/>
  <c r="G23" i="7" s="1"/>
  <c r="I35" i="3"/>
  <c r="G26" i="7" s="1"/>
  <c r="I36" i="3"/>
  <c r="G27" i="7" s="1"/>
  <c r="I40" i="3"/>
  <c r="G31" i="7" s="1"/>
  <c r="I41" i="3"/>
  <c r="G32" i="7" s="1"/>
  <c r="I42" i="3"/>
  <c r="G33" i="7" s="1"/>
  <c r="I45" i="3"/>
  <c r="G36" i="7" s="1"/>
  <c r="I46" i="3"/>
  <c r="G37" i="7" s="1"/>
  <c r="I47" i="3"/>
  <c r="G38" i="7" s="1"/>
  <c r="I48" i="3"/>
  <c r="G39" i="7" s="1"/>
  <c r="I56" i="3"/>
  <c r="G47" i="7" s="1"/>
  <c r="I57" i="3"/>
  <c r="G48" i="7" s="1"/>
  <c r="I58" i="3"/>
  <c r="G49" i="7" s="1"/>
  <c r="I69" i="3"/>
  <c r="G60" i="7" s="1"/>
  <c r="I83" i="3"/>
  <c r="G74" i="7" s="1"/>
  <c r="I84" i="3"/>
  <c r="G75" i="7" s="1"/>
  <c r="I87" i="3"/>
  <c r="G78" i="7" s="1"/>
  <c r="I89" i="3"/>
  <c r="G80" i="7" s="1"/>
  <c r="I94" i="3"/>
  <c r="G85" i="7" s="1"/>
  <c r="I95" i="3"/>
  <c r="G86" i="7" s="1"/>
  <c r="I96" i="3"/>
  <c r="G87" i="7" s="1"/>
  <c r="I97" i="3"/>
  <c r="G88" i="7" s="1"/>
  <c r="I112" i="3"/>
  <c r="G103" i="7" s="1"/>
  <c r="I114" i="3"/>
  <c r="G105" i="7" s="1"/>
  <c r="I128" i="3"/>
  <c r="G119" i="7" s="1"/>
  <c r="I131" i="3"/>
  <c r="G122" i="7" s="1"/>
  <c r="I132" i="3"/>
  <c r="G123" i="7" s="1"/>
  <c r="I133" i="3"/>
  <c r="G124" i="7" s="1"/>
  <c r="I142" i="3"/>
  <c r="G133" i="7" s="1"/>
  <c r="I145" i="3"/>
  <c r="G136" i="7" s="1"/>
  <c r="I146" i="3"/>
  <c r="G137" i="7" s="1"/>
  <c r="I147" i="3"/>
  <c r="G138" i="7" s="1"/>
  <c r="I148" i="3"/>
  <c r="G139" i="7" s="1"/>
  <c r="I151" i="3"/>
  <c r="G142" i="7" s="1"/>
  <c r="I153" i="3"/>
  <c r="G144" i="7" s="1"/>
  <c r="I154" i="3"/>
  <c r="G145" i="7" s="1"/>
  <c r="I155" i="3"/>
  <c r="G146" i="7" s="1"/>
  <c r="I156" i="3"/>
  <c r="G147" i="7" s="1"/>
  <c r="I158" i="3"/>
  <c r="G149" i="7" s="1"/>
  <c r="I163" i="3"/>
  <c r="G154" i="7" s="1"/>
  <c r="I165" i="3"/>
  <c r="G156" i="7" s="1"/>
  <c r="I169" i="3"/>
  <c r="G160" i="7" s="1"/>
  <c r="I171" i="3"/>
  <c r="G162" i="7" s="1"/>
  <c r="I174" i="3"/>
  <c r="G165" i="7" s="1"/>
  <c r="I175" i="3"/>
  <c r="G166" i="7" s="1"/>
  <c r="I176" i="3"/>
  <c r="G167" i="7" s="1"/>
  <c r="I178" i="3"/>
  <c r="G169" i="7" s="1"/>
  <c r="I181" i="3"/>
  <c r="G172" i="7" s="1"/>
  <c r="I183" i="3"/>
  <c r="G174" i="7" s="1"/>
  <c r="I184" i="3"/>
  <c r="G175" i="7" s="1"/>
  <c r="I188" i="3"/>
  <c r="G179" i="7" s="1"/>
  <c r="I189" i="3"/>
  <c r="G180" i="7" s="1"/>
  <c r="I21" i="3"/>
  <c r="G12" i="7" s="1"/>
  <c r="I17" i="3"/>
  <c r="G8" i="7" s="1"/>
  <c r="I18" i="3"/>
  <c r="G9" i="7" s="1"/>
  <c r="H180" i="3" l="1"/>
  <c r="E199" i="3"/>
  <c r="H157" i="3"/>
  <c r="AA15" i="3"/>
  <c r="F162" i="3" l="1"/>
  <c r="G162" i="3" s="1"/>
  <c r="D162" i="3" s="1"/>
  <c r="F192" i="3"/>
  <c r="G192" i="3" s="1"/>
  <c r="D192" i="3" s="1"/>
  <c r="F157" i="3"/>
  <c r="G157" i="3" s="1"/>
  <c r="D157" i="3" s="1"/>
  <c r="I157" i="3" s="1"/>
  <c r="G148" i="7" s="1"/>
  <c r="F13" i="3"/>
  <c r="G13" i="3" s="1"/>
  <c r="D13" i="3" s="1"/>
  <c r="F15" i="3"/>
  <c r="G15" i="3" s="1"/>
  <c r="D15" i="3" s="1"/>
  <c r="F154" i="3"/>
  <c r="G154" i="3" s="1"/>
  <c r="D154" i="3" s="1"/>
  <c r="F17" i="3"/>
  <c r="G17" i="3" s="1"/>
  <c r="D17" i="3" s="1"/>
  <c r="F176" i="3"/>
  <c r="G176" i="3" s="1"/>
  <c r="D176" i="3" s="1"/>
  <c r="F184" i="3"/>
  <c r="G184" i="3" s="1"/>
  <c r="D184" i="3" s="1"/>
  <c r="F160" i="3"/>
  <c r="G160" i="3" s="1"/>
  <c r="D160" i="3" s="1"/>
  <c r="F172" i="3"/>
  <c r="G172" i="3" s="1"/>
  <c r="D172" i="3" s="1"/>
  <c r="F188" i="3"/>
  <c r="G188" i="3" s="1"/>
  <c r="D188" i="3" s="1"/>
  <c r="F168" i="3"/>
  <c r="G168" i="3" s="1"/>
  <c r="D168" i="3" s="1"/>
  <c r="F196" i="3"/>
  <c r="F180" i="3"/>
  <c r="G180" i="3" s="1"/>
  <c r="D180" i="3" s="1"/>
  <c r="I180" i="3" s="1"/>
  <c r="G171" i="7" s="1"/>
  <c r="F164" i="3"/>
  <c r="G164" i="3" s="1"/>
  <c r="D164" i="3" s="1"/>
  <c r="F194" i="3"/>
  <c r="F186" i="3"/>
  <c r="G186" i="3" s="1"/>
  <c r="D186" i="3" s="1"/>
  <c r="F178" i="3"/>
  <c r="G178" i="3" s="1"/>
  <c r="D178" i="3" s="1"/>
  <c r="F170" i="3"/>
  <c r="G170" i="3" s="1"/>
  <c r="D170" i="3" s="1"/>
  <c r="F19" i="3"/>
  <c r="G19" i="3" s="1"/>
  <c r="D19" i="3" s="1"/>
  <c r="F23" i="3"/>
  <c r="G23" i="3" s="1"/>
  <c r="D23" i="3" s="1"/>
  <c r="F27" i="3"/>
  <c r="G27" i="3" s="1"/>
  <c r="D27" i="3" s="1"/>
  <c r="F31" i="3"/>
  <c r="G31" i="3" s="1"/>
  <c r="D31" i="3" s="1"/>
  <c r="F35" i="3"/>
  <c r="F39" i="3"/>
  <c r="G39" i="3" s="1"/>
  <c r="D39" i="3" s="1"/>
  <c r="F43" i="3"/>
  <c r="G43" i="3" s="1"/>
  <c r="D43" i="3" s="1"/>
  <c r="F47" i="3"/>
  <c r="G47" i="3" s="1"/>
  <c r="D47" i="3" s="1"/>
  <c r="F51" i="3"/>
  <c r="G51" i="3" s="1"/>
  <c r="D51" i="3" s="1"/>
  <c r="F55" i="3"/>
  <c r="G55" i="3" s="1"/>
  <c r="D55" i="3" s="1"/>
  <c r="F59" i="3"/>
  <c r="G59" i="3" s="1"/>
  <c r="D59" i="3" s="1"/>
  <c r="F63" i="3"/>
  <c r="G63" i="3" s="1"/>
  <c r="D63" i="3" s="1"/>
  <c r="F67" i="3"/>
  <c r="G67" i="3" s="1"/>
  <c r="D67" i="3" s="1"/>
  <c r="F71" i="3"/>
  <c r="G71" i="3" s="1"/>
  <c r="D71" i="3" s="1"/>
  <c r="F75" i="3"/>
  <c r="G75" i="3" s="1"/>
  <c r="D75" i="3" s="1"/>
  <c r="F79" i="3"/>
  <c r="G79" i="3" s="1"/>
  <c r="D79" i="3" s="1"/>
  <c r="F83" i="3"/>
  <c r="G83" i="3" s="1"/>
  <c r="D83" i="3" s="1"/>
  <c r="F87" i="3"/>
  <c r="G87" i="3" s="1"/>
  <c r="D87" i="3" s="1"/>
  <c r="F91" i="3"/>
  <c r="G91" i="3" s="1"/>
  <c r="D91" i="3" s="1"/>
  <c r="F95" i="3"/>
  <c r="G95" i="3" s="1"/>
  <c r="D95" i="3" s="1"/>
  <c r="F99" i="3"/>
  <c r="G99" i="3" s="1"/>
  <c r="D99" i="3" s="1"/>
  <c r="F103" i="3"/>
  <c r="G103" i="3" s="1"/>
  <c r="D103" i="3" s="1"/>
  <c r="F107" i="3"/>
  <c r="G107" i="3" s="1"/>
  <c r="D107" i="3" s="1"/>
  <c r="F111" i="3"/>
  <c r="G111" i="3" s="1"/>
  <c r="D111" i="3" s="1"/>
  <c r="F115" i="3"/>
  <c r="G115" i="3" s="1"/>
  <c r="D115" i="3" s="1"/>
  <c r="F119" i="3"/>
  <c r="G119" i="3" s="1"/>
  <c r="D119" i="3" s="1"/>
  <c r="F123" i="3"/>
  <c r="G123" i="3" s="1"/>
  <c r="D123" i="3" s="1"/>
  <c r="F127" i="3"/>
  <c r="G127" i="3" s="1"/>
  <c r="D127" i="3" s="1"/>
  <c r="F131" i="3"/>
  <c r="G131" i="3" s="1"/>
  <c r="D131" i="3" s="1"/>
  <c r="F135" i="3"/>
  <c r="G135" i="3" s="1"/>
  <c r="D135" i="3" s="1"/>
  <c r="F139" i="3"/>
  <c r="G139" i="3" s="1"/>
  <c r="D139" i="3" s="1"/>
  <c r="F143" i="3"/>
  <c r="G143" i="3" s="1"/>
  <c r="D143" i="3" s="1"/>
  <c r="F147" i="3"/>
  <c r="G147" i="3" s="1"/>
  <c r="D147" i="3" s="1"/>
  <c r="F151" i="3"/>
  <c r="G151" i="3" s="1"/>
  <c r="D151" i="3" s="1"/>
  <c r="F155" i="3"/>
  <c r="G155" i="3" s="1"/>
  <c r="D155" i="3" s="1"/>
  <c r="F159" i="3"/>
  <c r="G159" i="3" s="1"/>
  <c r="D159" i="3" s="1"/>
  <c r="F163" i="3"/>
  <c r="G163" i="3" s="1"/>
  <c r="D163" i="3" s="1"/>
  <c r="F167" i="3"/>
  <c r="G167" i="3" s="1"/>
  <c r="D167" i="3" s="1"/>
  <c r="F171" i="3"/>
  <c r="G171" i="3" s="1"/>
  <c r="D171" i="3" s="1"/>
  <c r="F175" i="3"/>
  <c r="G175" i="3" s="1"/>
  <c r="D175" i="3" s="1"/>
  <c r="F179" i="3"/>
  <c r="G179" i="3" s="1"/>
  <c r="D179" i="3" s="1"/>
  <c r="F183" i="3"/>
  <c r="G183" i="3" s="1"/>
  <c r="D183" i="3" s="1"/>
  <c r="F187" i="3"/>
  <c r="G187" i="3" s="1"/>
  <c r="D187" i="3" s="1"/>
  <c r="F191" i="3"/>
  <c r="G191" i="3" s="1"/>
  <c r="D191" i="3" s="1"/>
  <c r="F195" i="3"/>
  <c r="F14" i="3"/>
  <c r="G14" i="3" s="1"/>
  <c r="D14" i="3" s="1"/>
  <c r="F20" i="3"/>
  <c r="G20" i="3" s="1"/>
  <c r="D20" i="3" s="1"/>
  <c r="F24" i="3"/>
  <c r="G24" i="3" s="1"/>
  <c r="D24" i="3" s="1"/>
  <c r="F28" i="3"/>
  <c r="G28" i="3" s="1"/>
  <c r="D28" i="3" s="1"/>
  <c r="F32" i="3"/>
  <c r="G32" i="3" s="1"/>
  <c r="D32" i="3" s="1"/>
  <c r="F36" i="3"/>
  <c r="G36" i="3" s="1"/>
  <c r="D36" i="3" s="1"/>
  <c r="F40" i="3"/>
  <c r="G40" i="3" s="1"/>
  <c r="D40" i="3" s="1"/>
  <c r="F44" i="3"/>
  <c r="G44" i="3" s="1"/>
  <c r="D44" i="3" s="1"/>
  <c r="F48" i="3"/>
  <c r="G48" i="3" s="1"/>
  <c r="D48" i="3" s="1"/>
  <c r="F52" i="3"/>
  <c r="G52" i="3" s="1"/>
  <c r="D52" i="3" s="1"/>
  <c r="F56" i="3"/>
  <c r="G56" i="3" s="1"/>
  <c r="D56" i="3" s="1"/>
  <c r="F60" i="3"/>
  <c r="G60" i="3" s="1"/>
  <c r="D60" i="3" s="1"/>
  <c r="F64" i="3"/>
  <c r="G64" i="3" s="1"/>
  <c r="D64" i="3" s="1"/>
  <c r="F68" i="3"/>
  <c r="G68" i="3" s="1"/>
  <c r="D68" i="3" s="1"/>
  <c r="F72" i="3"/>
  <c r="G72" i="3" s="1"/>
  <c r="D72" i="3" s="1"/>
  <c r="F76" i="3"/>
  <c r="G76" i="3" s="1"/>
  <c r="D76" i="3" s="1"/>
  <c r="F80" i="3"/>
  <c r="G80" i="3" s="1"/>
  <c r="D80" i="3" s="1"/>
  <c r="F84" i="3"/>
  <c r="G84" i="3" s="1"/>
  <c r="D84" i="3" s="1"/>
  <c r="F88" i="3"/>
  <c r="G88" i="3" s="1"/>
  <c r="D88" i="3" s="1"/>
  <c r="F92" i="3"/>
  <c r="G92" i="3" s="1"/>
  <c r="D92" i="3" s="1"/>
  <c r="F96" i="3"/>
  <c r="G96" i="3" s="1"/>
  <c r="D96" i="3" s="1"/>
  <c r="F100" i="3"/>
  <c r="F104" i="3"/>
  <c r="G104" i="3" s="1"/>
  <c r="D104" i="3" s="1"/>
  <c r="F108" i="3"/>
  <c r="G108" i="3" s="1"/>
  <c r="D108" i="3" s="1"/>
  <c r="F112" i="3"/>
  <c r="G112" i="3" s="1"/>
  <c r="D112" i="3" s="1"/>
  <c r="F116" i="3"/>
  <c r="G116" i="3" s="1"/>
  <c r="D116" i="3" s="1"/>
  <c r="F120" i="3"/>
  <c r="G120" i="3" s="1"/>
  <c r="D120" i="3" s="1"/>
  <c r="F124" i="3"/>
  <c r="G124" i="3" s="1"/>
  <c r="D124" i="3" s="1"/>
  <c r="F128" i="3"/>
  <c r="G128" i="3" s="1"/>
  <c r="D128" i="3" s="1"/>
  <c r="F132" i="3"/>
  <c r="G132" i="3" s="1"/>
  <c r="D132" i="3" s="1"/>
  <c r="F136" i="3"/>
  <c r="G136" i="3" s="1"/>
  <c r="D136" i="3" s="1"/>
  <c r="F140" i="3"/>
  <c r="G140" i="3" s="1"/>
  <c r="D140" i="3" s="1"/>
  <c r="F144" i="3"/>
  <c r="G144" i="3" s="1"/>
  <c r="D144" i="3" s="1"/>
  <c r="F148" i="3"/>
  <c r="G148" i="3" s="1"/>
  <c r="D148" i="3" s="1"/>
  <c r="F152" i="3"/>
  <c r="G152" i="3" s="1"/>
  <c r="D152" i="3" s="1"/>
  <c r="F156" i="3"/>
  <c r="G156" i="3" s="1"/>
  <c r="D156" i="3" s="1"/>
  <c r="F21" i="3"/>
  <c r="G21" i="3" s="1"/>
  <c r="D21" i="3" s="1"/>
  <c r="F25" i="3"/>
  <c r="G25" i="3" s="1"/>
  <c r="D25" i="3" s="1"/>
  <c r="F29" i="3"/>
  <c r="G29" i="3" s="1"/>
  <c r="D29" i="3" s="1"/>
  <c r="F33" i="3"/>
  <c r="F37" i="3"/>
  <c r="G37" i="3" s="1"/>
  <c r="D37" i="3" s="1"/>
  <c r="F41" i="3"/>
  <c r="G41" i="3" s="1"/>
  <c r="D41" i="3" s="1"/>
  <c r="F45" i="3"/>
  <c r="G45" i="3" s="1"/>
  <c r="D45" i="3" s="1"/>
  <c r="F49" i="3"/>
  <c r="G49" i="3" s="1"/>
  <c r="D49" i="3" s="1"/>
  <c r="F53" i="3"/>
  <c r="G53" i="3" s="1"/>
  <c r="D53" i="3" s="1"/>
  <c r="F57" i="3"/>
  <c r="G57" i="3" s="1"/>
  <c r="D57" i="3" s="1"/>
  <c r="F61" i="3"/>
  <c r="G61" i="3" s="1"/>
  <c r="D61" i="3" s="1"/>
  <c r="F65" i="3"/>
  <c r="G65" i="3" s="1"/>
  <c r="D65" i="3" s="1"/>
  <c r="F69" i="3"/>
  <c r="G69" i="3" s="1"/>
  <c r="D69" i="3" s="1"/>
  <c r="F73" i="3"/>
  <c r="G73" i="3" s="1"/>
  <c r="D73" i="3" s="1"/>
  <c r="F77" i="3"/>
  <c r="G77" i="3" s="1"/>
  <c r="D77" i="3" s="1"/>
  <c r="F81" i="3"/>
  <c r="G81" i="3" s="1"/>
  <c r="D81" i="3" s="1"/>
  <c r="F85" i="3"/>
  <c r="G85" i="3" s="1"/>
  <c r="D85" i="3" s="1"/>
  <c r="F89" i="3"/>
  <c r="G89" i="3" s="1"/>
  <c r="D89" i="3" s="1"/>
  <c r="F93" i="3"/>
  <c r="G93" i="3" s="1"/>
  <c r="D93" i="3" s="1"/>
  <c r="F97" i="3"/>
  <c r="G97" i="3" s="1"/>
  <c r="D97" i="3" s="1"/>
  <c r="F101" i="3"/>
  <c r="G101" i="3" s="1"/>
  <c r="D101" i="3" s="1"/>
  <c r="F105" i="3"/>
  <c r="G105" i="3" s="1"/>
  <c r="D105" i="3" s="1"/>
  <c r="F109" i="3"/>
  <c r="G109" i="3" s="1"/>
  <c r="D109" i="3" s="1"/>
  <c r="F113" i="3"/>
  <c r="G113" i="3" s="1"/>
  <c r="D113" i="3" s="1"/>
  <c r="F117" i="3"/>
  <c r="G117" i="3" s="1"/>
  <c r="D117" i="3" s="1"/>
  <c r="F121" i="3"/>
  <c r="F125" i="3"/>
  <c r="G125" i="3" s="1"/>
  <c r="D125" i="3" s="1"/>
  <c r="F129" i="3"/>
  <c r="G129" i="3" s="1"/>
  <c r="D129" i="3" s="1"/>
  <c r="F133" i="3"/>
  <c r="G133" i="3" s="1"/>
  <c r="D133" i="3" s="1"/>
  <c r="F137" i="3"/>
  <c r="G137" i="3" s="1"/>
  <c r="D137" i="3" s="1"/>
  <c r="F141" i="3"/>
  <c r="G141" i="3" s="1"/>
  <c r="D141" i="3" s="1"/>
  <c r="F145" i="3"/>
  <c r="G145" i="3" s="1"/>
  <c r="D145" i="3" s="1"/>
  <c r="F149" i="3"/>
  <c r="G149" i="3" s="1"/>
  <c r="D149" i="3" s="1"/>
  <c r="F153" i="3"/>
  <c r="G153" i="3" s="1"/>
  <c r="D153" i="3" s="1"/>
  <c r="F161" i="3"/>
  <c r="G161" i="3" s="1"/>
  <c r="D161" i="3" s="1"/>
  <c r="F165" i="3"/>
  <c r="G165" i="3" s="1"/>
  <c r="D165" i="3" s="1"/>
  <c r="F169" i="3"/>
  <c r="G169" i="3" s="1"/>
  <c r="D169" i="3" s="1"/>
  <c r="F173" i="3"/>
  <c r="G173" i="3" s="1"/>
  <c r="D173" i="3" s="1"/>
  <c r="F177" i="3"/>
  <c r="G177" i="3" s="1"/>
  <c r="D177" i="3" s="1"/>
  <c r="F181" i="3"/>
  <c r="G181" i="3" s="1"/>
  <c r="D181" i="3" s="1"/>
  <c r="F185" i="3"/>
  <c r="G185" i="3" s="1"/>
  <c r="D185" i="3" s="1"/>
  <c r="F189" i="3"/>
  <c r="G189" i="3" s="1"/>
  <c r="D189" i="3" s="1"/>
  <c r="F193" i="3"/>
  <c r="F197" i="3"/>
  <c r="F16" i="3"/>
  <c r="G16" i="3" s="1"/>
  <c r="D16" i="3" s="1"/>
  <c r="F18" i="3"/>
  <c r="G18" i="3" s="1"/>
  <c r="D18" i="3" s="1"/>
  <c r="F22" i="3"/>
  <c r="G22" i="3" s="1"/>
  <c r="D22" i="3" s="1"/>
  <c r="F26" i="3"/>
  <c r="G26" i="3" s="1"/>
  <c r="D26" i="3" s="1"/>
  <c r="F30" i="3"/>
  <c r="G30" i="3" s="1"/>
  <c r="D30" i="3" s="1"/>
  <c r="F34" i="3"/>
  <c r="F38" i="3"/>
  <c r="G38" i="3" s="1"/>
  <c r="D38" i="3" s="1"/>
  <c r="F42" i="3"/>
  <c r="G42" i="3" s="1"/>
  <c r="D42" i="3" s="1"/>
  <c r="F46" i="3"/>
  <c r="G46" i="3" s="1"/>
  <c r="D46" i="3" s="1"/>
  <c r="F50" i="3"/>
  <c r="G50" i="3" s="1"/>
  <c r="D50" i="3" s="1"/>
  <c r="F54" i="3"/>
  <c r="G54" i="3" s="1"/>
  <c r="D54" i="3" s="1"/>
  <c r="F58" i="3"/>
  <c r="G58" i="3" s="1"/>
  <c r="D58" i="3" s="1"/>
  <c r="F62" i="3"/>
  <c r="G62" i="3" s="1"/>
  <c r="D62" i="3" s="1"/>
  <c r="F66" i="3"/>
  <c r="G66" i="3" s="1"/>
  <c r="D66" i="3" s="1"/>
  <c r="F70" i="3"/>
  <c r="G70" i="3" s="1"/>
  <c r="D70" i="3" s="1"/>
  <c r="F74" i="3"/>
  <c r="G74" i="3" s="1"/>
  <c r="D74" i="3" s="1"/>
  <c r="F78" i="3"/>
  <c r="G78" i="3" s="1"/>
  <c r="D78" i="3" s="1"/>
  <c r="F82" i="3"/>
  <c r="G82" i="3" s="1"/>
  <c r="D82" i="3" s="1"/>
  <c r="F86" i="3"/>
  <c r="G86" i="3" s="1"/>
  <c r="D86" i="3" s="1"/>
  <c r="F90" i="3"/>
  <c r="G90" i="3" s="1"/>
  <c r="D90" i="3" s="1"/>
  <c r="F94" i="3"/>
  <c r="G94" i="3" s="1"/>
  <c r="D94" i="3" s="1"/>
  <c r="F98" i="3"/>
  <c r="G98" i="3" s="1"/>
  <c r="D98" i="3" s="1"/>
  <c r="F102" i="3"/>
  <c r="G102" i="3" s="1"/>
  <c r="D102" i="3" s="1"/>
  <c r="F106" i="3"/>
  <c r="G106" i="3" s="1"/>
  <c r="D106" i="3" s="1"/>
  <c r="F110" i="3"/>
  <c r="G110" i="3" s="1"/>
  <c r="D110" i="3" s="1"/>
  <c r="F114" i="3"/>
  <c r="G114" i="3" s="1"/>
  <c r="D114" i="3" s="1"/>
  <c r="F118" i="3"/>
  <c r="G118" i="3" s="1"/>
  <c r="D118" i="3" s="1"/>
  <c r="F122" i="3"/>
  <c r="F126" i="3"/>
  <c r="G126" i="3" s="1"/>
  <c r="D126" i="3" s="1"/>
  <c r="F130" i="3"/>
  <c r="G130" i="3" s="1"/>
  <c r="D130" i="3" s="1"/>
  <c r="F134" i="3"/>
  <c r="G134" i="3" s="1"/>
  <c r="D134" i="3" s="1"/>
  <c r="F138" i="3"/>
  <c r="G138" i="3" s="1"/>
  <c r="D138" i="3" s="1"/>
  <c r="F142" i="3"/>
  <c r="G142" i="3" s="1"/>
  <c r="D142" i="3" s="1"/>
  <c r="F146" i="3"/>
  <c r="G146" i="3" s="1"/>
  <c r="D146" i="3" s="1"/>
  <c r="F150" i="3"/>
  <c r="G150" i="3" s="1"/>
  <c r="D150" i="3" s="1"/>
  <c r="F190" i="3"/>
  <c r="G190" i="3" s="1"/>
  <c r="D190" i="3" s="1"/>
  <c r="F182" i="3"/>
  <c r="G182" i="3" s="1"/>
  <c r="D182" i="3" s="1"/>
  <c r="F174" i="3"/>
  <c r="G174" i="3" s="1"/>
  <c r="D174" i="3" s="1"/>
  <c r="F166" i="3"/>
  <c r="G166" i="3" s="1"/>
  <c r="D166" i="3" s="1"/>
  <c r="F158" i="3"/>
  <c r="G158" i="3" s="1"/>
  <c r="D158" i="3" s="1"/>
  <c r="Y22" i="14"/>
  <c r="Y177" i="14"/>
  <c r="F177" i="14" s="1"/>
  <c r="Y66" i="14"/>
  <c r="F66" i="14" s="1"/>
  <c r="Y21" i="14"/>
  <c r="F21" i="14" s="1"/>
  <c r="Y14" i="14"/>
  <c r="G197" i="3" l="1"/>
  <c r="D197" i="3" s="1"/>
  <c r="G196" i="3"/>
  <c r="D196" i="3" s="1"/>
  <c r="G193" i="3"/>
  <c r="D193" i="3" s="1"/>
  <c r="G195" i="3"/>
  <c r="D195" i="3" s="1"/>
  <c r="G194" i="3"/>
  <c r="D194" i="3" s="1"/>
  <c r="G121" i="3"/>
  <c r="D121" i="3" s="1"/>
  <c r="G122" i="3"/>
  <c r="D122" i="3" s="1"/>
  <c r="G33" i="3"/>
  <c r="D33" i="3" s="1"/>
  <c r="G35" i="3"/>
  <c r="D35" i="3" s="1"/>
  <c r="G34" i="3"/>
  <c r="D34" i="3" s="1"/>
  <c r="G100" i="3"/>
  <c r="D100" i="3" s="1"/>
  <c r="X18" i="14" l="1"/>
  <c r="X37" i="4" l="1"/>
  <c r="G37" i="4" s="1"/>
  <c r="X23" i="4"/>
  <c r="F23" i="4" s="1"/>
  <c r="G23" i="4" s="1"/>
  <c r="Z129" i="3" l="1"/>
  <c r="Z38" i="3"/>
  <c r="Z19" i="3"/>
  <c r="X128" i="14" l="1"/>
  <c r="X51" i="14"/>
  <c r="U15" i="8" l="1"/>
  <c r="U51" i="5" l="1"/>
  <c r="Y51" i="3"/>
  <c r="W50" i="14" l="1"/>
  <c r="T13" i="8" l="1"/>
  <c r="V167" i="14" l="1"/>
  <c r="V102" i="14"/>
  <c r="F102" i="14" s="1"/>
  <c r="V67" i="14"/>
  <c r="F67" i="14" s="1"/>
  <c r="X103" i="3" l="1"/>
  <c r="C11" i="8" l="1"/>
  <c r="V191" i="3" l="1"/>
  <c r="H191" i="3" s="1"/>
  <c r="I191" i="3" s="1"/>
  <c r="G182" i="7" s="1"/>
  <c r="T45" i="4" l="1"/>
  <c r="F45" i="4" s="1"/>
  <c r="G45" i="4" s="1"/>
  <c r="R11" i="11"/>
  <c r="U37" i="3" l="1"/>
  <c r="U24" i="3"/>
  <c r="U23" i="3"/>
  <c r="U15" i="3"/>
  <c r="S79" i="14"/>
  <c r="F79" i="14" s="1"/>
  <c r="S23" i="14"/>
  <c r="F23" i="14" s="1"/>
  <c r="S22" i="14"/>
  <c r="F22" i="14" s="1"/>
  <c r="S14" i="14"/>
  <c r="S187" i="14" l="1"/>
  <c r="F187" i="14" s="1"/>
  <c r="S98" i="14"/>
  <c r="F98" i="14" s="1"/>
  <c r="Q15" i="8" l="1"/>
  <c r="Q11" i="8" l="1"/>
  <c r="P11" i="8" l="1"/>
  <c r="P14" i="8"/>
  <c r="R29" i="14" l="1"/>
  <c r="F29" i="14" s="1"/>
  <c r="P51" i="5" l="1"/>
  <c r="D51" i="5" s="1"/>
  <c r="T51" i="3"/>
  <c r="R167" i="14"/>
  <c r="F167" i="14" s="1"/>
  <c r="R145" i="14"/>
  <c r="R50" i="14"/>
  <c r="F50" i="14" s="1"/>
  <c r="O11" i="11" l="1"/>
  <c r="O15" i="8" l="1"/>
  <c r="S55" i="3" l="1"/>
  <c r="S52" i="3"/>
  <c r="S199" i="3" s="1"/>
  <c r="Q54" i="14" l="1"/>
  <c r="Q197" i="14" l="1"/>
  <c r="F54" i="14"/>
  <c r="R19" i="3"/>
  <c r="P145" i="14" l="1"/>
  <c r="P18" i="14"/>
  <c r="F18" i="14" s="1"/>
  <c r="L51" i="14" l="1"/>
  <c r="F51" i="14" s="1"/>
  <c r="Q52" i="3" l="1"/>
  <c r="O24" i="14" l="1"/>
  <c r="F24" i="14" s="1"/>
  <c r="N153" i="14" l="1"/>
  <c r="F153" i="14" s="1"/>
  <c r="N145" i="14"/>
  <c r="F145" i="14" s="1"/>
  <c r="N89" i="14"/>
  <c r="F89" i="14" s="1"/>
  <c r="L26" i="10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P120" i="3"/>
  <c r="M14" i="14" l="1"/>
  <c r="F14" i="14" s="1"/>
  <c r="G193" i="5" l="1"/>
  <c r="H193" i="5"/>
  <c r="I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F193" i="5"/>
  <c r="C193" i="5"/>
  <c r="D13" i="5"/>
  <c r="D14" i="5"/>
  <c r="D15" i="5"/>
  <c r="D16" i="5"/>
  <c r="D17" i="5"/>
  <c r="D18" i="5"/>
  <c r="D19" i="5"/>
  <c r="D20" i="5"/>
  <c r="I197" i="14"/>
  <c r="J197" i="14"/>
  <c r="M197" i="14"/>
  <c r="N197" i="14"/>
  <c r="O197" i="14"/>
  <c r="P197" i="14"/>
  <c r="R197" i="14"/>
  <c r="S197" i="14"/>
  <c r="T197" i="14"/>
  <c r="U197" i="14"/>
  <c r="V197" i="14"/>
  <c r="W197" i="14"/>
  <c r="X197" i="14"/>
  <c r="Y197" i="14"/>
  <c r="Z197" i="14"/>
  <c r="AA197" i="14"/>
  <c r="AB197" i="14"/>
  <c r="AC197" i="14"/>
  <c r="AD197" i="14"/>
  <c r="AE197" i="14"/>
  <c r="AF197" i="14"/>
  <c r="AG197" i="14"/>
  <c r="AH197" i="14"/>
  <c r="H197" i="14"/>
  <c r="J126" i="5" l="1"/>
  <c r="D126" i="5" s="1"/>
  <c r="D193" i="5" l="1"/>
  <c r="J193" i="5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H51" i="4"/>
  <c r="N129" i="3" l="1"/>
  <c r="L136" i="14" l="1"/>
  <c r="F136" i="14" s="1"/>
  <c r="L128" i="14"/>
  <c r="F128" i="14" s="1"/>
  <c r="L28" i="14"/>
  <c r="F28" i="14" s="1"/>
  <c r="L197" i="14" l="1"/>
  <c r="C17" i="8" l="1"/>
  <c r="AF17" i="8" l="1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H17" i="8"/>
  <c r="G17" i="8"/>
  <c r="F17" i="8"/>
  <c r="I15" i="8"/>
  <c r="I17" i="8" s="1"/>
  <c r="K39" i="14" l="1"/>
  <c r="K197" i="14" l="1"/>
  <c r="F39" i="14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6" i="7"/>
  <c r="D187" i="7"/>
  <c r="D188" i="7"/>
  <c r="D189" i="7"/>
  <c r="D190" i="7"/>
  <c r="D191" i="7"/>
  <c r="D4" i="7"/>
  <c r="I183" i="7"/>
  <c r="I184" i="7"/>
  <c r="I185" i="7"/>
  <c r="I186" i="7"/>
  <c r="I187" i="7"/>
  <c r="I188" i="7"/>
  <c r="I189" i="7"/>
  <c r="I190" i="7"/>
  <c r="I191" i="7"/>
  <c r="H183" i="7"/>
  <c r="H186" i="7"/>
  <c r="H187" i="7"/>
  <c r="H188" i="7"/>
  <c r="H189" i="7"/>
  <c r="E44" i="4"/>
  <c r="G44" i="4" s="1"/>
  <c r="E38" i="4"/>
  <c r="E36" i="4"/>
  <c r="E32" i="4"/>
  <c r="G32" i="4" s="1"/>
  <c r="E30" i="4"/>
  <c r="E25" i="4"/>
  <c r="G25" i="4" s="1"/>
  <c r="E18" i="4"/>
  <c r="G18" i="4" s="1"/>
  <c r="K199" i="3"/>
  <c r="L199" i="3"/>
  <c r="M199" i="3"/>
  <c r="N199" i="3"/>
  <c r="O199" i="3"/>
  <c r="P199" i="3"/>
  <c r="Q199" i="3"/>
  <c r="R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J199" i="3"/>
  <c r="H192" i="3"/>
  <c r="I192" i="3" s="1"/>
  <c r="G184" i="7" s="1"/>
  <c r="H193" i="3"/>
  <c r="I193" i="3" s="1"/>
  <c r="G185" i="7" s="1"/>
  <c r="H194" i="3"/>
  <c r="I194" i="3" s="1"/>
  <c r="G186" i="7" s="1"/>
  <c r="H195" i="3"/>
  <c r="I195" i="3" s="1"/>
  <c r="G188" i="7" s="1"/>
  <c r="H196" i="3"/>
  <c r="I196" i="3" s="1"/>
  <c r="G190" i="7" s="1"/>
  <c r="H197" i="3"/>
  <c r="I197" i="3" s="1"/>
  <c r="G191" i="7" s="1"/>
  <c r="G191" i="14"/>
  <c r="F183" i="7" s="1"/>
  <c r="E189" i="14"/>
  <c r="E188" i="14"/>
  <c r="E180" i="14"/>
  <c r="E185" i="14"/>
  <c r="E184" i="14"/>
  <c r="E183" i="14"/>
  <c r="E174" i="14"/>
  <c r="E173" i="14"/>
  <c r="E172" i="14"/>
  <c r="E171" i="14"/>
  <c r="E170" i="14"/>
  <c r="E165" i="14"/>
  <c r="E164" i="14"/>
  <c r="E142" i="14"/>
  <c r="E130" i="14"/>
  <c r="E129" i="14"/>
  <c r="E127" i="14"/>
  <c r="E116" i="14"/>
  <c r="E114" i="14"/>
  <c r="E112" i="14"/>
  <c r="E111" i="14"/>
  <c r="E110" i="14"/>
  <c r="E96" i="14"/>
  <c r="E95" i="14"/>
  <c r="E94" i="14"/>
  <c r="E93" i="14"/>
  <c r="E92" i="14"/>
  <c r="E88" i="14"/>
  <c r="C195" i="14" s="1"/>
  <c r="E59" i="14"/>
  <c r="E56" i="14"/>
  <c r="E41" i="14"/>
  <c r="E40" i="14"/>
  <c r="E27" i="14"/>
  <c r="E25" i="14"/>
  <c r="E17" i="14"/>
  <c r="E16" i="14"/>
  <c r="C47" i="4" l="1"/>
  <c r="G47" i="4" s="1"/>
  <c r="H185" i="7" s="1"/>
  <c r="G36" i="4"/>
  <c r="C48" i="4"/>
  <c r="G48" i="4" s="1"/>
  <c r="G38" i="4"/>
  <c r="C49" i="4"/>
  <c r="G49" i="4" s="1"/>
  <c r="H191" i="7" s="1"/>
  <c r="G30" i="4"/>
  <c r="C194" i="14"/>
  <c r="G194" i="14" s="1"/>
  <c r="C193" i="14"/>
  <c r="G193" i="14" s="1"/>
  <c r="C192" i="14"/>
  <c r="G192" i="14" s="1"/>
  <c r="C46" i="4"/>
  <c r="H190" i="7"/>
  <c r="G195" i="14"/>
  <c r="E51" i="4"/>
  <c r="E197" i="14"/>
  <c r="D13" i="8"/>
  <c r="E13" i="8" s="1"/>
  <c r="D11" i="8"/>
  <c r="H184" i="7" l="1"/>
  <c r="G46" i="4"/>
  <c r="C51" i="4"/>
  <c r="C197" i="14"/>
  <c r="E11" i="8"/>
  <c r="H14" i="3"/>
  <c r="I14" i="3" s="1"/>
  <c r="G5" i="7" s="1"/>
  <c r="H15" i="3"/>
  <c r="I15" i="3" s="1"/>
  <c r="G6" i="7" s="1"/>
  <c r="H16" i="3"/>
  <c r="I16" i="3" s="1"/>
  <c r="G7" i="7" s="1"/>
  <c r="H17" i="3"/>
  <c r="H18" i="3"/>
  <c r="H19" i="3"/>
  <c r="I19" i="3" s="1"/>
  <c r="G10" i="7" s="1"/>
  <c r="H20" i="3"/>
  <c r="I20" i="3" s="1"/>
  <c r="G11" i="7" s="1"/>
  <c r="H21" i="3"/>
  <c r="H22" i="3"/>
  <c r="I22" i="3" s="1"/>
  <c r="G13" i="7" s="1"/>
  <c r="H23" i="3"/>
  <c r="I23" i="3" s="1"/>
  <c r="G14" i="7" s="1"/>
  <c r="H24" i="3"/>
  <c r="I24" i="3" s="1"/>
  <c r="G15" i="7" s="1"/>
  <c r="H25" i="3"/>
  <c r="I25" i="3" s="1"/>
  <c r="G16" i="7" s="1"/>
  <c r="H26" i="3"/>
  <c r="H27" i="3"/>
  <c r="I27" i="3" s="1"/>
  <c r="G18" i="7" s="1"/>
  <c r="H28" i="3"/>
  <c r="I28" i="3" s="1"/>
  <c r="G19" i="7" s="1"/>
  <c r="H29" i="3"/>
  <c r="I29" i="3" s="1"/>
  <c r="G20" i="7" s="1"/>
  <c r="H30" i="3"/>
  <c r="H31" i="3"/>
  <c r="I31" i="3" s="1"/>
  <c r="G22" i="7" s="1"/>
  <c r="H32" i="3"/>
  <c r="H33" i="3"/>
  <c r="I33" i="3" s="1"/>
  <c r="G24" i="7" s="1"/>
  <c r="H34" i="3"/>
  <c r="I34" i="3" s="1"/>
  <c r="G25" i="7" s="1"/>
  <c r="H35" i="3"/>
  <c r="H36" i="3"/>
  <c r="H37" i="3"/>
  <c r="I37" i="3" s="1"/>
  <c r="G28" i="7" s="1"/>
  <c r="H38" i="3"/>
  <c r="I38" i="3" s="1"/>
  <c r="G29" i="7" s="1"/>
  <c r="H39" i="3"/>
  <c r="I39" i="3" s="1"/>
  <c r="G30" i="7" s="1"/>
  <c r="H40" i="3"/>
  <c r="H41" i="3"/>
  <c r="H42" i="3"/>
  <c r="H43" i="3"/>
  <c r="I43" i="3" s="1"/>
  <c r="G34" i="7" s="1"/>
  <c r="H44" i="3"/>
  <c r="I44" i="3" s="1"/>
  <c r="G35" i="7" s="1"/>
  <c r="H45" i="3"/>
  <c r="H46" i="3"/>
  <c r="H47" i="3"/>
  <c r="H48" i="3"/>
  <c r="H49" i="3"/>
  <c r="I49" i="3" s="1"/>
  <c r="G40" i="7" s="1"/>
  <c r="H50" i="3"/>
  <c r="I50" i="3" s="1"/>
  <c r="G41" i="7" s="1"/>
  <c r="H51" i="3"/>
  <c r="I51" i="3" s="1"/>
  <c r="G42" i="7" s="1"/>
  <c r="H52" i="3"/>
  <c r="I52" i="3" s="1"/>
  <c r="G43" i="7" s="1"/>
  <c r="H53" i="3"/>
  <c r="I53" i="3" s="1"/>
  <c r="G44" i="7" s="1"/>
  <c r="H54" i="3"/>
  <c r="I54" i="3" s="1"/>
  <c r="G45" i="7" s="1"/>
  <c r="H55" i="3"/>
  <c r="I55" i="3" s="1"/>
  <c r="G46" i="7" s="1"/>
  <c r="H56" i="3"/>
  <c r="H57" i="3"/>
  <c r="H58" i="3"/>
  <c r="H59" i="3"/>
  <c r="I59" i="3" s="1"/>
  <c r="G50" i="7" s="1"/>
  <c r="H60" i="3"/>
  <c r="I60" i="3" s="1"/>
  <c r="G51" i="7" s="1"/>
  <c r="H61" i="3"/>
  <c r="I61" i="3" s="1"/>
  <c r="G52" i="7" s="1"/>
  <c r="H62" i="3"/>
  <c r="I62" i="3" s="1"/>
  <c r="G53" i="7" s="1"/>
  <c r="H63" i="3"/>
  <c r="I63" i="3" s="1"/>
  <c r="G54" i="7" s="1"/>
  <c r="H64" i="3"/>
  <c r="I64" i="3" s="1"/>
  <c r="G55" i="7" s="1"/>
  <c r="H65" i="3"/>
  <c r="I65" i="3" s="1"/>
  <c r="G56" i="7" s="1"/>
  <c r="H66" i="3"/>
  <c r="I66" i="3" s="1"/>
  <c r="G57" i="7" s="1"/>
  <c r="H67" i="3"/>
  <c r="I67" i="3" s="1"/>
  <c r="G58" i="7" s="1"/>
  <c r="H68" i="3"/>
  <c r="I68" i="3" s="1"/>
  <c r="G59" i="7" s="1"/>
  <c r="H69" i="3"/>
  <c r="H70" i="3"/>
  <c r="I70" i="3" s="1"/>
  <c r="G61" i="7" s="1"/>
  <c r="H71" i="3"/>
  <c r="I71" i="3" s="1"/>
  <c r="G62" i="7" s="1"/>
  <c r="H72" i="3"/>
  <c r="I72" i="3" s="1"/>
  <c r="G63" i="7" s="1"/>
  <c r="H73" i="3"/>
  <c r="I73" i="3" s="1"/>
  <c r="G64" i="7" s="1"/>
  <c r="H74" i="3"/>
  <c r="I74" i="3" s="1"/>
  <c r="G65" i="7" s="1"/>
  <c r="H75" i="3"/>
  <c r="I75" i="3" s="1"/>
  <c r="G66" i="7" s="1"/>
  <c r="H76" i="3"/>
  <c r="I76" i="3" s="1"/>
  <c r="G67" i="7" s="1"/>
  <c r="H77" i="3"/>
  <c r="I77" i="3" s="1"/>
  <c r="G68" i="7" s="1"/>
  <c r="H78" i="3"/>
  <c r="I78" i="3" s="1"/>
  <c r="G69" i="7" s="1"/>
  <c r="H79" i="3"/>
  <c r="I79" i="3" s="1"/>
  <c r="G70" i="7" s="1"/>
  <c r="H80" i="3"/>
  <c r="I80" i="3" s="1"/>
  <c r="G71" i="7" s="1"/>
  <c r="H81" i="3"/>
  <c r="I81" i="3" s="1"/>
  <c r="G72" i="7" s="1"/>
  <c r="H82" i="3"/>
  <c r="I82" i="3" s="1"/>
  <c r="G73" i="7" s="1"/>
  <c r="H83" i="3"/>
  <c r="H84" i="3"/>
  <c r="H85" i="3"/>
  <c r="I85" i="3" s="1"/>
  <c r="G76" i="7" s="1"/>
  <c r="H86" i="3"/>
  <c r="I86" i="3" s="1"/>
  <c r="G77" i="7" s="1"/>
  <c r="H87" i="3"/>
  <c r="H88" i="3"/>
  <c r="I88" i="3" s="1"/>
  <c r="G79" i="7" s="1"/>
  <c r="H89" i="3"/>
  <c r="H90" i="3"/>
  <c r="I90" i="3" s="1"/>
  <c r="G81" i="7" s="1"/>
  <c r="H91" i="3"/>
  <c r="I91" i="3" s="1"/>
  <c r="G82" i="7" s="1"/>
  <c r="H92" i="3"/>
  <c r="I92" i="3" s="1"/>
  <c r="G83" i="7" s="1"/>
  <c r="H93" i="3"/>
  <c r="I93" i="3" s="1"/>
  <c r="G84" i="7" s="1"/>
  <c r="H94" i="3"/>
  <c r="H95" i="3"/>
  <c r="H96" i="3"/>
  <c r="H97" i="3"/>
  <c r="H98" i="3"/>
  <c r="I98" i="3" s="1"/>
  <c r="G89" i="7" s="1"/>
  <c r="H99" i="3"/>
  <c r="I99" i="3" s="1"/>
  <c r="G90" i="7" s="1"/>
  <c r="H100" i="3"/>
  <c r="I100" i="3" s="1"/>
  <c r="G91" i="7" s="1"/>
  <c r="H101" i="3"/>
  <c r="I101" i="3" s="1"/>
  <c r="G92" i="7" s="1"/>
  <c r="H102" i="3"/>
  <c r="I102" i="3" s="1"/>
  <c r="G93" i="7" s="1"/>
  <c r="H103" i="3"/>
  <c r="I103" i="3" s="1"/>
  <c r="G94" i="7" s="1"/>
  <c r="H104" i="3"/>
  <c r="I104" i="3" s="1"/>
  <c r="G95" i="7" s="1"/>
  <c r="H105" i="3"/>
  <c r="I105" i="3" s="1"/>
  <c r="G96" i="7" s="1"/>
  <c r="H106" i="3"/>
  <c r="I106" i="3" s="1"/>
  <c r="G97" i="7" s="1"/>
  <c r="H107" i="3"/>
  <c r="I107" i="3" s="1"/>
  <c r="G98" i="7" s="1"/>
  <c r="H108" i="3"/>
  <c r="I108" i="3" s="1"/>
  <c r="G99" i="7" s="1"/>
  <c r="H109" i="3"/>
  <c r="I109" i="3" s="1"/>
  <c r="G100" i="7" s="1"/>
  <c r="H110" i="3"/>
  <c r="I110" i="3" s="1"/>
  <c r="G101" i="7" s="1"/>
  <c r="H111" i="3"/>
  <c r="I111" i="3" s="1"/>
  <c r="G102" i="7" s="1"/>
  <c r="H112" i="3"/>
  <c r="H113" i="3"/>
  <c r="I113" i="3" s="1"/>
  <c r="G104" i="7" s="1"/>
  <c r="H114" i="3"/>
  <c r="H115" i="3"/>
  <c r="I115" i="3" s="1"/>
  <c r="G106" i="7" s="1"/>
  <c r="H116" i="3"/>
  <c r="I116" i="3" s="1"/>
  <c r="G107" i="7" s="1"/>
  <c r="H117" i="3"/>
  <c r="I117" i="3" s="1"/>
  <c r="G108" i="7" s="1"/>
  <c r="H118" i="3"/>
  <c r="I118" i="3" s="1"/>
  <c r="G109" i="7" s="1"/>
  <c r="H119" i="3"/>
  <c r="I119" i="3" s="1"/>
  <c r="G110" i="7" s="1"/>
  <c r="H120" i="3"/>
  <c r="I120" i="3" s="1"/>
  <c r="G111" i="7" s="1"/>
  <c r="H121" i="3"/>
  <c r="I121" i="3" s="1"/>
  <c r="G112" i="7" s="1"/>
  <c r="H122" i="3"/>
  <c r="I122" i="3" s="1"/>
  <c r="G113" i="7" s="1"/>
  <c r="H123" i="3"/>
  <c r="I123" i="3" s="1"/>
  <c r="G114" i="7" s="1"/>
  <c r="H124" i="3"/>
  <c r="I124" i="3" s="1"/>
  <c r="G115" i="7" s="1"/>
  <c r="H125" i="3"/>
  <c r="I125" i="3" s="1"/>
  <c r="G116" i="7" s="1"/>
  <c r="H126" i="3"/>
  <c r="I126" i="3" s="1"/>
  <c r="G117" i="7" s="1"/>
  <c r="H127" i="3"/>
  <c r="I127" i="3" s="1"/>
  <c r="G118" i="7" s="1"/>
  <c r="H128" i="3"/>
  <c r="H129" i="3"/>
  <c r="I129" i="3" s="1"/>
  <c r="G120" i="7" s="1"/>
  <c r="H130" i="3"/>
  <c r="I130" i="3" s="1"/>
  <c r="G121" i="7" s="1"/>
  <c r="H131" i="3"/>
  <c r="H132" i="3"/>
  <c r="H133" i="3"/>
  <c r="H134" i="3"/>
  <c r="I134" i="3" s="1"/>
  <c r="G125" i="7" s="1"/>
  <c r="H135" i="3"/>
  <c r="I135" i="3" s="1"/>
  <c r="G126" i="7" s="1"/>
  <c r="H136" i="3"/>
  <c r="I136" i="3" s="1"/>
  <c r="G127" i="7" s="1"/>
  <c r="H137" i="3"/>
  <c r="I137" i="3" s="1"/>
  <c r="G128" i="7" s="1"/>
  <c r="H138" i="3"/>
  <c r="I138" i="3" s="1"/>
  <c r="G129" i="7" s="1"/>
  <c r="H139" i="3"/>
  <c r="I139" i="3" s="1"/>
  <c r="G130" i="7" s="1"/>
  <c r="H140" i="3"/>
  <c r="I140" i="3" s="1"/>
  <c r="G131" i="7" s="1"/>
  <c r="H141" i="3"/>
  <c r="I141" i="3" s="1"/>
  <c r="G132" i="7" s="1"/>
  <c r="H142" i="3"/>
  <c r="H143" i="3"/>
  <c r="I143" i="3" s="1"/>
  <c r="G134" i="7" s="1"/>
  <c r="H144" i="3"/>
  <c r="I144" i="3" s="1"/>
  <c r="G135" i="7" s="1"/>
  <c r="H145" i="3"/>
  <c r="H146" i="3"/>
  <c r="H147" i="3"/>
  <c r="H148" i="3"/>
  <c r="H149" i="3"/>
  <c r="I149" i="3" s="1"/>
  <c r="G140" i="7" s="1"/>
  <c r="H150" i="3"/>
  <c r="I150" i="3" s="1"/>
  <c r="G141" i="7" s="1"/>
  <c r="H151" i="3"/>
  <c r="H152" i="3"/>
  <c r="I152" i="3" s="1"/>
  <c r="G143" i="7" s="1"/>
  <c r="H153" i="3"/>
  <c r="H154" i="3"/>
  <c r="H155" i="3"/>
  <c r="H156" i="3"/>
  <c r="H158" i="3"/>
  <c r="H159" i="3"/>
  <c r="I159" i="3" s="1"/>
  <c r="G150" i="7" s="1"/>
  <c r="H160" i="3"/>
  <c r="I160" i="3" s="1"/>
  <c r="G151" i="7" s="1"/>
  <c r="H161" i="3"/>
  <c r="I161" i="3" s="1"/>
  <c r="G152" i="7" s="1"/>
  <c r="H162" i="3"/>
  <c r="I162" i="3" s="1"/>
  <c r="G153" i="7" s="1"/>
  <c r="H163" i="3"/>
  <c r="H164" i="3"/>
  <c r="I164" i="3" s="1"/>
  <c r="G155" i="7" s="1"/>
  <c r="H165" i="3"/>
  <c r="H166" i="3"/>
  <c r="I166" i="3" s="1"/>
  <c r="G157" i="7" s="1"/>
  <c r="H167" i="3"/>
  <c r="I167" i="3" s="1"/>
  <c r="G158" i="7" s="1"/>
  <c r="H168" i="3"/>
  <c r="I168" i="3" s="1"/>
  <c r="G159" i="7" s="1"/>
  <c r="H169" i="3"/>
  <c r="H170" i="3"/>
  <c r="I170" i="3" s="1"/>
  <c r="G161" i="7" s="1"/>
  <c r="H171" i="3"/>
  <c r="H172" i="3"/>
  <c r="I172" i="3" s="1"/>
  <c r="G163" i="7" s="1"/>
  <c r="H173" i="3"/>
  <c r="I173" i="3" s="1"/>
  <c r="G164" i="7" s="1"/>
  <c r="H174" i="3"/>
  <c r="H175" i="3"/>
  <c r="H176" i="3"/>
  <c r="H177" i="3"/>
  <c r="I177" i="3" s="1"/>
  <c r="G168" i="7" s="1"/>
  <c r="H178" i="3"/>
  <c r="H179" i="3"/>
  <c r="I179" i="3" s="1"/>
  <c r="G170" i="7" s="1"/>
  <c r="H181" i="3"/>
  <c r="H182" i="3"/>
  <c r="I182" i="3" s="1"/>
  <c r="G173" i="7" s="1"/>
  <c r="H183" i="3"/>
  <c r="H184" i="3"/>
  <c r="H185" i="3"/>
  <c r="I185" i="3" s="1"/>
  <c r="G176" i="7" s="1"/>
  <c r="H186" i="3"/>
  <c r="I186" i="3" s="1"/>
  <c r="G177" i="7" s="1"/>
  <c r="H187" i="3"/>
  <c r="I187" i="3" s="1"/>
  <c r="G178" i="7" s="1"/>
  <c r="H188" i="3"/>
  <c r="H189" i="3"/>
  <c r="H190" i="3"/>
  <c r="I190" i="3" s="1"/>
  <c r="G181" i="7" s="1"/>
  <c r="H13" i="3"/>
  <c r="I13" i="3" s="1"/>
  <c r="G4" i="7" s="1"/>
  <c r="H199" i="3" l="1"/>
  <c r="F197" i="14"/>
  <c r="G200" i="14" s="1"/>
  <c r="D18" i="7"/>
  <c r="E25" i="5"/>
  <c r="I16" i="7" s="1"/>
  <c r="E26" i="5"/>
  <c r="I17" i="7" s="1"/>
  <c r="E27" i="5"/>
  <c r="I18" i="7" s="1"/>
  <c r="E28" i="5"/>
  <c r="I19" i="7" s="1"/>
  <c r="E29" i="5"/>
  <c r="I20" i="7" s="1"/>
  <c r="E30" i="5"/>
  <c r="I21" i="7" s="1"/>
  <c r="E31" i="5"/>
  <c r="I22" i="7" s="1"/>
  <c r="E32" i="5"/>
  <c r="I23" i="7" s="1"/>
  <c r="E33" i="5"/>
  <c r="I24" i="7" s="1"/>
  <c r="E34" i="5"/>
  <c r="I25" i="7" s="1"/>
  <c r="E35" i="5"/>
  <c r="I26" i="7" s="1"/>
  <c r="E36" i="5"/>
  <c r="I27" i="7" s="1"/>
  <c r="E37" i="5"/>
  <c r="I28" i="7" s="1"/>
  <c r="E38" i="5"/>
  <c r="I29" i="7" s="1"/>
  <c r="E39" i="5"/>
  <c r="I30" i="7" s="1"/>
  <c r="E40" i="5"/>
  <c r="I31" i="7" s="1"/>
  <c r="E41" i="5"/>
  <c r="I32" i="7" s="1"/>
  <c r="E42" i="5"/>
  <c r="I33" i="7" s="1"/>
  <c r="E43" i="5"/>
  <c r="I34" i="7" s="1"/>
  <c r="E44" i="5"/>
  <c r="I35" i="7" s="1"/>
  <c r="E45" i="5"/>
  <c r="I36" i="7" s="1"/>
  <c r="E46" i="5"/>
  <c r="I37" i="7" s="1"/>
  <c r="E47" i="5"/>
  <c r="I38" i="7" s="1"/>
  <c r="E48" i="5"/>
  <c r="I39" i="7" s="1"/>
  <c r="E49" i="5"/>
  <c r="I40" i="7" s="1"/>
  <c r="E50" i="5"/>
  <c r="I41" i="7" s="1"/>
  <c r="E51" i="5"/>
  <c r="I42" i="7" s="1"/>
  <c r="E52" i="5"/>
  <c r="I43" i="7" s="1"/>
  <c r="E53" i="5"/>
  <c r="I44" i="7" s="1"/>
  <c r="E54" i="5"/>
  <c r="I45" i="7" s="1"/>
  <c r="E55" i="5"/>
  <c r="I46" i="7" s="1"/>
  <c r="E56" i="5"/>
  <c r="I47" i="7" s="1"/>
  <c r="E57" i="5"/>
  <c r="I48" i="7" s="1"/>
  <c r="E58" i="5"/>
  <c r="I49" i="7" s="1"/>
  <c r="E59" i="5"/>
  <c r="I50" i="7" s="1"/>
  <c r="E60" i="5"/>
  <c r="I51" i="7" s="1"/>
  <c r="E61" i="5"/>
  <c r="I52" i="7" s="1"/>
  <c r="E62" i="5"/>
  <c r="I53" i="7" s="1"/>
  <c r="E63" i="5"/>
  <c r="I54" i="7" s="1"/>
  <c r="E64" i="5"/>
  <c r="I55" i="7" s="1"/>
  <c r="E65" i="5"/>
  <c r="I56" i="7" s="1"/>
  <c r="E66" i="5"/>
  <c r="I57" i="7" s="1"/>
  <c r="E67" i="5"/>
  <c r="I58" i="7" s="1"/>
  <c r="E68" i="5"/>
  <c r="I59" i="7" s="1"/>
  <c r="E69" i="5"/>
  <c r="I60" i="7" s="1"/>
  <c r="E70" i="5"/>
  <c r="I61" i="7" s="1"/>
  <c r="E71" i="5"/>
  <c r="I62" i="7" s="1"/>
  <c r="E72" i="5"/>
  <c r="I63" i="7" s="1"/>
  <c r="E73" i="5"/>
  <c r="I64" i="7" s="1"/>
  <c r="E74" i="5"/>
  <c r="I65" i="7" s="1"/>
  <c r="E75" i="5"/>
  <c r="I66" i="7" s="1"/>
  <c r="E76" i="5"/>
  <c r="I67" i="7" s="1"/>
  <c r="E77" i="5"/>
  <c r="I68" i="7" s="1"/>
  <c r="E78" i="5"/>
  <c r="I69" i="7" s="1"/>
  <c r="E79" i="5"/>
  <c r="I70" i="7" s="1"/>
  <c r="E80" i="5"/>
  <c r="I71" i="7" s="1"/>
  <c r="E81" i="5"/>
  <c r="I72" i="7" s="1"/>
  <c r="E82" i="5"/>
  <c r="I73" i="7" s="1"/>
  <c r="E83" i="5"/>
  <c r="I74" i="7" s="1"/>
  <c r="E84" i="5"/>
  <c r="I75" i="7" s="1"/>
  <c r="E85" i="5"/>
  <c r="I76" i="7" s="1"/>
  <c r="E86" i="5"/>
  <c r="I77" i="7" s="1"/>
  <c r="E87" i="5"/>
  <c r="I78" i="7" s="1"/>
  <c r="E88" i="5"/>
  <c r="I79" i="7" s="1"/>
  <c r="E89" i="5"/>
  <c r="I80" i="7" s="1"/>
  <c r="E90" i="5"/>
  <c r="I81" i="7" s="1"/>
  <c r="E91" i="5"/>
  <c r="I82" i="7" s="1"/>
  <c r="E92" i="5"/>
  <c r="I83" i="7" s="1"/>
  <c r="E93" i="5"/>
  <c r="I84" i="7" s="1"/>
  <c r="E94" i="5"/>
  <c r="I85" i="7" s="1"/>
  <c r="E95" i="5"/>
  <c r="I86" i="7" s="1"/>
  <c r="E96" i="5"/>
  <c r="I87" i="7" s="1"/>
  <c r="E97" i="5"/>
  <c r="I88" i="7" s="1"/>
  <c r="E98" i="5"/>
  <c r="I89" i="7" s="1"/>
  <c r="E99" i="5"/>
  <c r="I90" i="7" s="1"/>
  <c r="E100" i="5"/>
  <c r="I91" i="7" s="1"/>
  <c r="E101" i="5"/>
  <c r="I92" i="7" s="1"/>
  <c r="E102" i="5"/>
  <c r="I93" i="7" s="1"/>
  <c r="E103" i="5"/>
  <c r="I94" i="7" s="1"/>
  <c r="E104" i="5"/>
  <c r="I95" i="7" s="1"/>
  <c r="E105" i="5"/>
  <c r="I96" i="7" s="1"/>
  <c r="E106" i="5"/>
  <c r="I97" i="7" s="1"/>
  <c r="E107" i="5"/>
  <c r="I98" i="7" s="1"/>
  <c r="E108" i="5"/>
  <c r="I99" i="7" s="1"/>
  <c r="E109" i="5"/>
  <c r="I100" i="7" s="1"/>
  <c r="E110" i="5"/>
  <c r="I101" i="7" s="1"/>
  <c r="E111" i="5"/>
  <c r="I102" i="7" s="1"/>
  <c r="E112" i="5"/>
  <c r="I103" i="7" s="1"/>
  <c r="E113" i="5"/>
  <c r="I104" i="7" s="1"/>
  <c r="E114" i="5"/>
  <c r="I105" i="7" s="1"/>
  <c r="E115" i="5"/>
  <c r="I106" i="7" s="1"/>
  <c r="E116" i="5"/>
  <c r="I107" i="7" s="1"/>
  <c r="E117" i="5"/>
  <c r="I108" i="7" s="1"/>
  <c r="E118" i="5"/>
  <c r="I109" i="7" s="1"/>
  <c r="E119" i="5"/>
  <c r="I110" i="7" s="1"/>
  <c r="E120" i="5"/>
  <c r="I111" i="7" s="1"/>
  <c r="E121" i="5"/>
  <c r="I112" i="7" s="1"/>
  <c r="E122" i="5"/>
  <c r="I113" i="7" s="1"/>
  <c r="E123" i="5"/>
  <c r="I114" i="7" s="1"/>
  <c r="E124" i="5"/>
  <c r="I115" i="7" s="1"/>
  <c r="E125" i="5"/>
  <c r="I116" i="7" s="1"/>
  <c r="E126" i="5"/>
  <c r="I117" i="7" s="1"/>
  <c r="E127" i="5"/>
  <c r="I118" i="7" s="1"/>
  <c r="E128" i="5"/>
  <c r="I119" i="7" s="1"/>
  <c r="E129" i="5"/>
  <c r="I120" i="7" s="1"/>
  <c r="E130" i="5"/>
  <c r="I121" i="7" s="1"/>
  <c r="E131" i="5"/>
  <c r="I122" i="7" s="1"/>
  <c r="E132" i="5"/>
  <c r="I123" i="7" s="1"/>
  <c r="E133" i="5"/>
  <c r="I124" i="7" s="1"/>
  <c r="E134" i="5"/>
  <c r="I125" i="7" s="1"/>
  <c r="E135" i="5"/>
  <c r="I126" i="7" s="1"/>
  <c r="E136" i="5"/>
  <c r="I127" i="7" s="1"/>
  <c r="E137" i="5"/>
  <c r="I128" i="7" s="1"/>
  <c r="E138" i="5"/>
  <c r="I129" i="7" s="1"/>
  <c r="E139" i="5"/>
  <c r="I130" i="7" s="1"/>
  <c r="E140" i="5"/>
  <c r="I131" i="7" s="1"/>
  <c r="E141" i="5"/>
  <c r="I132" i="7" s="1"/>
  <c r="E142" i="5"/>
  <c r="I133" i="7" s="1"/>
  <c r="E143" i="5"/>
  <c r="I134" i="7" s="1"/>
  <c r="E144" i="5"/>
  <c r="I135" i="7" s="1"/>
  <c r="E145" i="5"/>
  <c r="I136" i="7" s="1"/>
  <c r="E146" i="5"/>
  <c r="I137" i="7" s="1"/>
  <c r="E147" i="5"/>
  <c r="I138" i="7" s="1"/>
  <c r="E148" i="5"/>
  <c r="I139" i="7" s="1"/>
  <c r="E149" i="5"/>
  <c r="I140" i="7" s="1"/>
  <c r="E150" i="5"/>
  <c r="I141" i="7" s="1"/>
  <c r="E151" i="5"/>
  <c r="I142" i="7" s="1"/>
  <c r="E152" i="5"/>
  <c r="I143" i="7" s="1"/>
  <c r="E153" i="5"/>
  <c r="I144" i="7" s="1"/>
  <c r="E154" i="5"/>
  <c r="I145" i="7" s="1"/>
  <c r="E155" i="5"/>
  <c r="I146" i="7" s="1"/>
  <c r="E156" i="5"/>
  <c r="I147" i="7" s="1"/>
  <c r="E157" i="5"/>
  <c r="I148" i="7" s="1"/>
  <c r="E158" i="5"/>
  <c r="I149" i="7" s="1"/>
  <c r="E159" i="5"/>
  <c r="I150" i="7" s="1"/>
  <c r="E160" i="5"/>
  <c r="I151" i="7" s="1"/>
  <c r="E161" i="5"/>
  <c r="I152" i="7" s="1"/>
  <c r="E162" i="5"/>
  <c r="I153" i="7" s="1"/>
  <c r="E163" i="5"/>
  <c r="I154" i="7" s="1"/>
  <c r="E164" i="5"/>
  <c r="I155" i="7" s="1"/>
  <c r="E165" i="5"/>
  <c r="I156" i="7" s="1"/>
  <c r="E166" i="5"/>
  <c r="I157" i="7" s="1"/>
  <c r="E167" i="5"/>
  <c r="I158" i="7" s="1"/>
  <c r="E168" i="5"/>
  <c r="I159" i="7" s="1"/>
  <c r="E169" i="5"/>
  <c r="I160" i="7" s="1"/>
  <c r="E170" i="5"/>
  <c r="I161" i="7" s="1"/>
  <c r="E171" i="5"/>
  <c r="I162" i="7" s="1"/>
  <c r="E172" i="5"/>
  <c r="I163" i="7" s="1"/>
  <c r="E173" i="5"/>
  <c r="I164" i="7" s="1"/>
  <c r="E174" i="5"/>
  <c r="I165" i="7" s="1"/>
  <c r="E175" i="5"/>
  <c r="I166" i="7" s="1"/>
  <c r="E176" i="5"/>
  <c r="I167" i="7" s="1"/>
  <c r="E177" i="5"/>
  <c r="I168" i="7" s="1"/>
  <c r="E178" i="5"/>
  <c r="I169" i="7" s="1"/>
  <c r="E179" i="5"/>
  <c r="I170" i="7" s="1"/>
  <c r="E180" i="5"/>
  <c r="I171" i="7" s="1"/>
  <c r="E181" i="5"/>
  <c r="I172" i="7" s="1"/>
  <c r="E182" i="5"/>
  <c r="I173" i="7" s="1"/>
  <c r="E183" i="5"/>
  <c r="I174" i="7" s="1"/>
  <c r="E184" i="5"/>
  <c r="I175" i="7" s="1"/>
  <c r="E185" i="5"/>
  <c r="I176" i="7" s="1"/>
  <c r="E186" i="5"/>
  <c r="I177" i="7" s="1"/>
  <c r="E187" i="5"/>
  <c r="I178" i="7" s="1"/>
  <c r="E188" i="5"/>
  <c r="I179" i="7" s="1"/>
  <c r="E189" i="5"/>
  <c r="I180" i="7" s="1"/>
  <c r="E190" i="5"/>
  <c r="I181" i="7" s="1"/>
  <c r="E191" i="5"/>
  <c r="I182" i="7" s="1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120" i="7" l="1"/>
  <c r="H5" i="7"/>
  <c r="G13" i="4" l="1"/>
  <c r="H4" i="7" l="1"/>
  <c r="AD1" i="5"/>
  <c r="W1" i="5"/>
  <c r="P1" i="5"/>
  <c r="H1" i="5" l="1"/>
  <c r="AG2" i="4"/>
  <c r="AG1" i="4"/>
  <c r="AB2" i="4"/>
  <c r="AB1" i="4"/>
  <c r="V2" i="4"/>
  <c r="V1" i="4"/>
  <c r="P2" i="4"/>
  <c r="P1" i="4"/>
  <c r="J2" i="4"/>
  <c r="J1" i="4"/>
  <c r="AI1" i="3"/>
  <c r="AD1" i="3"/>
  <c r="X1" i="3"/>
  <c r="R1" i="3"/>
  <c r="L1" i="3"/>
  <c r="AG1" i="14"/>
  <c r="AB1" i="14"/>
  <c r="V1" i="14"/>
  <c r="P1" i="14"/>
  <c r="J1" i="14"/>
  <c r="AD1" i="11"/>
  <c r="X1" i="11"/>
  <c r="P1" i="11"/>
  <c r="H1" i="11"/>
  <c r="AC1" i="10"/>
  <c r="V1" i="10"/>
  <c r="O1" i="10"/>
  <c r="H1" i="10"/>
  <c r="AC1" i="8"/>
  <c r="V1" i="8"/>
  <c r="O1" i="8"/>
  <c r="H1" i="8"/>
  <c r="G40" i="14" l="1"/>
  <c r="F32" i="7" s="1"/>
  <c r="G48" i="14"/>
  <c r="F40" i="7" s="1"/>
  <c r="F105" i="7"/>
  <c r="G143" i="14"/>
  <c r="F135" i="7" s="1"/>
  <c r="F187" i="7"/>
  <c r="F188" i="7"/>
  <c r="F189" i="7"/>
  <c r="F190" i="7"/>
  <c r="E188" i="7"/>
  <c r="E189" i="7"/>
  <c r="E190" i="7"/>
  <c r="E182" i="7"/>
  <c r="E187" i="7"/>
  <c r="E13" i="5"/>
  <c r="I4" i="7" s="1"/>
  <c r="E14" i="5"/>
  <c r="I5" i="7" s="1"/>
  <c r="E15" i="5"/>
  <c r="I6" i="7" s="1"/>
  <c r="E16" i="5"/>
  <c r="I7" i="7" s="1"/>
  <c r="E17" i="5"/>
  <c r="I8" i="7" s="1"/>
  <c r="E18" i="5"/>
  <c r="I9" i="7" s="1"/>
  <c r="E19" i="5"/>
  <c r="I10" i="7" s="1"/>
  <c r="E20" i="5"/>
  <c r="E21" i="5"/>
  <c r="I12" i="7" s="1"/>
  <c r="E22" i="5"/>
  <c r="I13" i="7" s="1"/>
  <c r="E23" i="5"/>
  <c r="I14" i="7" s="1"/>
  <c r="E24" i="5"/>
  <c r="I15" i="7" s="1"/>
  <c r="E192" i="5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D12" i="8"/>
  <c r="D14" i="8"/>
  <c r="E14" i="8" s="1"/>
  <c r="D185" i="7" s="1"/>
  <c r="D15" i="8"/>
  <c r="E15" i="8" s="1"/>
  <c r="F191" i="7"/>
  <c r="F186" i="7"/>
  <c r="G190" i="14"/>
  <c r="F182" i="7" s="1"/>
  <c r="G189" i="14"/>
  <c r="F181" i="7" s="1"/>
  <c r="G188" i="14"/>
  <c r="F180" i="7" s="1"/>
  <c r="G187" i="14"/>
  <c r="F179" i="7" s="1"/>
  <c r="G186" i="14"/>
  <c r="F178" i="7" s="1"/>
  <c r="G185" i="14"/>
  <c r="F177" i="7" s="1"/>
  <c r="G184" i="14"/>
  <c r="F176" i="7" s="1"/>
  <c r="G183" i="14"/>
  <c r="F175" i="7" s="1"/>
  <c r="G182" i="14"/>
  <c r="F174" i="7" s="1"/>
  <c r="G181" i="14"/>
  <c r="F173" i="7" s="1"/>
  <c r="G180" i="14"/>
  <c r="F172" i="7" s="1"/>
  <c r="G179" i="14"/>
  <c r="F171" i="7" s="1"/>
  <c r="G178" i="14"/>
  <c r="F170" i="7" s="1"/>
  <c r="G176" i="14"/>
  <c r="F168" i="7" s="1"/>
  <c r="G175" i="14"/>
  <c r="F167" i="7" s="1"/>
  <c r="G174" i="14"/>
  <c r="F166" i="7" s="1"/>
  <c r="G173" i="14"/>
  <c r="F165" i="7" s="1"/>
  <c r="G172" i="14"/>
  <c r="F164" i="7" s="1"/>
  <c r="G171" i="14"/>
  <c r="F163" i="7" s="1"/>
  <c r="G170" i="14"/>
  <c r="F162" i="7" s="1"/>
  <c r="G169" i="14"/>
  <c r="F161" i="7" s="1"/>
  <c r="G168" i="14"/>
  <c r="F160" i="7" s="1"/>
  <c r="G167" i="14"/>
  <c r="F159" i="7" s="1"/>
  <c r="G166" i="14"/>
  <c r="F158" i="7" s="1"/>
  <c r="G165" i="14"/>
  <c r="F157" i="7" s="1"/>
  <c r="G164" i="14"/>
  <c r="F156" i="7" s="1"/>
  <c r="G163" i="14"/>
  <c r="F155" i="7" s="1"/>
  <c r="G162" i="14"/>
  <c r="F154" i="7" s="1"/>
  <c r="G160" i="14"/>
  <c r="F152" i="7" s="1"/>
  <c r="G159" i="14"/>
  <c r="F151" i="7" s="1"/>
  <c r="G158" i="14"/>
  <c r="F150" i="7" s="1"/>
  <c r="G157" i="14"/>
  <c r="F149" i="7" s="1"/>
  <c r="G156" i="14"/>
  <c r="F148" i="7" s="1"/>
  <c r="G155" i="14"/>
  <c r="F147" i="7" s="1"/>
  <c r="G154" i="14"/>
  <c r="F146" i="7" s="1"/>
  <c r="G151" i="14"/>
  <c r="F143" i="7" s="1"/>
  <c r="G150" i="14"/>
  <c r="F142" i="7" s="1"/>
  <c r="G149" i="14"/>
  <c r="F141" i="7" s="1"/>
  <c r="G148" i="14"/>
  <c r="F140" i="7" s="1"/>
  <c r="G147" i="14"/>
  <c r="F139" i="7" s="1"/>
  <c r="G146" i="14"/>
  <c r="F138" i="7" s="1"/>
  <c r="G145" i="14"/>
  <c r="F137" i="7" s="1"/>
  <c r="G144" i="14"/>
  <c r="F136" i="7" s="1"/>
  <c r="G142" i="14"/>
  <c r="F134" i="7" s="1"/>
  <c r="G141" i="14"/>
  <c r="F133" i="7" s="1"/>
  <c r="G140" i="14"/>
  <c r="F132" i="7" s="1"/>
  <c r="G139" i="14"/>
  <c r="F131" i="7" s="1"/>
  <c r="G138" i="14"/>
  <c r="F130" i="7" s="1"/>
  <c r="G137" i="14"/>
  <c r="F129" i="7" s="1"/>
  <c r="G134" i="14"/>
  <c r="F126" i="7" s="1"/>
  <c r="G133" i="14"/>
  <c r="F125" i="7" s="1"/>
  <c r="G132" i="14"/>
  <c r="F124" i="7" s="1"/>
  <c r="G131" i="14"/>
  <c r="F123" i="7" s="1"/>
  <c r="G130" i="14"/>
  <c r="F122" i="7" s="1"/>
  <c r="G129" i="14"/>
  <c r="F121" i="7" s="1"/>
  <c r="G127" i="14"/>
  <c r="F119" i="7" s="1"/>
  <c r="G126" i="14"/>
  <c r="F118" i="7" s="1"/>
  <c r="G125" i="14"/>
  <c r="F117" i="7" s="1"/>
  <c r="G124" i="14"/>
  <c r="F116" i="7" s="1"/>
  <c r="G123" i="14"/>
  <c r="F115" i="7" s="1"/>
  <c r="G120" i="14"/>
  <c r="F112" i="7" s="1"/>
  <c r="G119" i="14"/>
  <c r="F111" i="7" s="1"/>
  <c r="G118" i="14"/>
  <c r="F110" i="7" s="1"/>
  <c r="G117" i="14"/>
  <c r="F109" i="7" s="1"/>
  <c r="G116" i="14"/>
  <c r="F108" i="7" s="1"/>
  <c r="G115" i="14"/>
  <c r="F107" i="7" s="1"/>
  <c r="G112" i="14"/>
  <c r="F104" i="7" s="1"/>
  <c r="G111" i="14"/>
  <c r="F103" i="7" s="1"/>
  <c r="G110" i="14"/>
  <c r="F102" i="7" s="1"/>
  <c r="G109" i="14"/>
  <c r="F101" i="7" s="1"/>
  <c r="G108" i="14"/>
  <c r="F100" i="7" s="1"/>
  <c r="G107" i="14"/>
  <c r="F99" i="7" s="1"/>
  <c r="G103" i="14"/>
  <c r="F95" i="7" s="1"/>
  <c r="G102" i="14"/>
  <c r="F94" i="7" s="1"/>
  <c r="G101" i="14"/>
  <c r="F93" i="7" s="1"/>
  <c r="G100" i="14"/>
  <c r="F92" i="7" s="1"/>
  <c r="G99" i="14"/>
  <c r="F91" i="7" s="1"/>
  <c r="G98" i="14"/>
  <c r="F90" i="7" s="1"/>
  <c r="G97" i="14"/>
  <c r="F89" i="7" s="1"/>
  <c r="G96" i="14"/>
  <c r="F88" i="7" s="1"/>
  <c r="G95" i="14"/>
  <c r="F87" i="7" s="1"/>
  <c r="G94" i="14"/>
  <c r="F86" i="7" s="1"/>
  <c r="G93" i="14"/>
  <c r="F85" i="7" s="1"/>
  <c r="G92" i="14"/>
  <c r="F84" i="7" s="1"/>
  <c r="G91" i="14"/>
  <c r="F83" i="7" s="1"/>
  <c r="G90" i="14"/>
  <c r="F82" i="7" s="1"/>
  <c r="G89" i="14"/>
  <c r="F81" i="7" s="1"/>
  <c r="G86" i="14"/>
  <c r="F78" i="7" s="1"/>
  <c r="G85" i="14"/>
  <c r="F77" i="7" s="1"/>
  <c r="G84" i="14"/>
  <c r="F76" i="7" s="1"/>
  <c r="G83" i="14"/>
  <c r="F75" i="7" s="1"/>
  <c r="G82" i="14"/>
  <c r="F74" i="7" s="1"/>
  <c r="G81" i="14"/>
  <c r="F73" i="7" s="1"/>
  <c r="G80" i="14"/>
  <c r="F72" i="7" s="1"/>
  <c r="G78" i="14"/>
  <c r="F70" i="7" s="1"/>
  <c r="G77" i="14"/>
  <c r="F69" i="7" s="1"/>
  <c r="G76" i="14"/>
  <c r="F68" i="7" s="1"/>
  <c r="G75" i="14"/>
  <c r="F67" i="7" s="1"/>
  <c r="G74" i="14"/>
  <c r="F66" i="7" s="1"/>
  <c r="G73" i="14"/>
  <c r="F65" i="7" s="1"/>
  <c r="G69" i="14"/>
  <c r="F61" i="7" s="1"/>
  <c r="G68" i="14"/>
  <c r="F60" i="7" s="1"/>
  <c r="G67" i="14"/>
  <c r="F59" i="7" s="1"/>
  <c r="G66" i="14"/>
  <c r="F58" i="7" s="1"/>
  <c r="G65" i="14"/>
  <c r="F57" i="7" s="1"/>
  <c r="G62" i="14"/>
  <c r="F54" i="7" s="1"/>
  <c r="G61" i="14"/>
  <c r="F53" i="7" s="1"/>
  <c r="G60" i="14"/>
  <c r="F52" i="7" s="1"/>
  <c r="G59" i="14"/>
  <c r="F51" i="7" s="1"/>
  <c r="G58" i="14"/>
  <c r="F50" i="7" s="1"/>
  <c r="G57" i="14"/>
  <c r="F49" i="7" s="1"/>
  <c r="G56" i="14"/>
  <c r="F48" i="7" s="1"/>
  <c r="G55" i="14"/>
  <c r="F47" i="7" s="1"/>
  <c r="G54" i="14"/>
  <c r="F46" i="7" s="1"/>
  <c r="G53" i="14"/>
  <c r="F45" i="7" s="1"/>
  <c r="G52" i="14"/>
  <c r="F44" i="7" s="1"/>
  <c r="G51" i="14"/>
  <c r="F43" i="7" s="1"/>
  <c r="G50" i="14"/>
  <c r="F42" i="7" s="1"/>
  <c r="G49" i="14"/>
  <c r="F41" i="7" s="1"/>
  <c r="G46" i="14"/>
  <c r="F38" i="7" s="1"/>
  <c r="G45" i="14"/>
  <c r="F37" i="7" s="1"/>
  <c r="G44" i="14"/>
  <c r="F36" i="7" s="1"/>
  <c r="G43" i="14"/>
  <c r="F35" i="7" s="1"/>
  <c r="G42" i="14"/>
  <c r="F34" i="7" s="1"/>
  <c r="G38" i="14"/>
  <c r="F30" i="7" s="1"/>
  <c r="G37" i="14"/>
  <c r="F29" i="7" s="1"/>
  <c r="G36" i="14"/>
  <c r="F28" i="7" s="1"/>
  <c r="G35" i="14"/>
  <c r="F27" i="7" s="1"/>
  <c r="G34" i="14"/>
  <c r="F26" i="7" s="1"/>
  <c r="G33" i="14"/>
  <c r="F25" i="7" s="1"/>
  <c r="G31" i="14"/>
  <c r="F23" i="7" s="1"/>
  <c r="G30" i="14"/>
  <c r="F22" i="7" s="1"/>
  <c r="G29" i="14"/>
  <c r="F21" i="7" s="1"/>
  <c r="G28" i="14"/>
  <c r="F20" i="7" s="1"/>
  <c r="G27" i="14"/>
  <c r="F19" i="7" s="1"/>
  <c r="G26" i="14"/>
  <c r="F18" i="7" s="1"/>
  <c r="G25" i="14"/>
  <c r="F17" i="7" s="1"/>
  <c r="G23" i="14"/>
  <c r="F15" i="7" s="1"/>
  <c r="G22" i="14"/>
  <c r="F14" i="7" s="1"/>
  <c r="G20" i="14"/>
  <c r="F12" i="7" s="1"/>
  <c r="G19" i="14"/>
  <c r="F11" i="7" s="1"/>
  <c r="G18" i="14"/>
  <c r="F10" i="7" s="1"/>
  <c r="G17" i="14"/>
  <c r="F9" i="7" s="1"/>
  <c r="G16" i="14"/>
  <c r="F8" i="7" s="1"/>
  <c r="G13" i="14"/>
  <c r="F5" i="7" s="1"/>
  <c r="F4" i="7"/>
  <c r="G21" i="14"/>
  <c r="F13" i="7" s="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P13" i="11"/>
  <c r="O13" i="11"/>
  <c r="N13" i="11"/>
  <c r="M13" i="11"/>
  <c r="K13" i="11"/>
  <c r="J13" i="11"/>
  <c r="I13" i="11"/>
  <c r="H13" i="11"/>
  <c r="G13" i="11"/>
  <c r="F13" i="11"/>
  <c r="D11" i="11"/>
  <c r="E11" i="11" s="1"/>
  <c r="E13" i="11" s="1"/>
  <c r="Q13" i="11"/>
  <c r="L13" i="11"/>
  <c r="C13" i="11"/>
  <c r="E172" i="7"/>
  <c r="E173" i="7"/>
  <c r="E174" i="7"/>
  <c r="E175" i="7"/>
  <c r="E176" i="7"/>
  <c r="E177" i="7"/>
  <c r="E178" i="7"/>
  <c r="E179" i="7"/>
  <c r="E180" i="7"/>
  <c r="E181" i="7"/>
  <c r="E183" i="7"/>
  <c r="E184" i="7"/>
  <c r="E185" i="7"/>
  <c r="E186" i="7"/>
  <c r="E191" i="7"/>
  <c r="M30" i="10"/>
  <c r="F30" i="10"/>
  <c r="G30" i="10"/>
  <c r="H30" i="10"/>
  <c r="I30" i="10"/>
  <c r="J30" i="10"/>
  <c r="K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L30" i="10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2" i="7"/>
  <c r="E91" i="7"/>
  <c r="E89" i="7"/>
  <c r="E88" i="7"/>
  <c r="E87" i="7"/>
  <c r="E86" i="7"/>
  <c r="E85" i="7"/>
  <c r="E84" i="7"/>
  <c r="E83" i="7"/>
  <c r="E82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6" i="7"/>
  <c r="E65" i="7"/>
  <c r="E64" i="7"/>
  <c r="E63" i="7"/>
  <c r="E62" i="7"/>
  <c r="E61" i="7"/>
  <c r="E60" i="7"/>
  <c r="E59" i="7"/>
  <c r="E58" i="7"/>
  <c r="E57" i="7"/>
  <c r="E55" i="7"/>
  <c r="E54" i="7"/>
  <c r="E53" i="7"/>
  <c r="E52" i="7"/>
  <c r="E51" i="7"/>
  <c r="E50" i="7"/>
  <c r="E49" i="7"/>
  <c r="E48" i="7"/>
  <c r="E47" i="7"/>
  <c r="E46" i="7"/>
  <c r="E45" i="7"/>
  <c r="E44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D29" i="10"/>
  <c r="E29" i="10" s="1"/>
  <c r="E23" i="7" s="1"/>
  <c r="D28" i="10"/>
  <c r="D27" i="10"/>
  <c r="D26" i="10"/>
  <c r="D25" i="10"/>
  <c r="D24" i="10"/>
  <c r="D23" i="10"/>
  <c r="D22" i="10"/>
  <c r="D21" i="10"/>
  <c r="D20" i="10"/>
  <c r="D19" i="10"/>
  <c r="E12" i="7"/>
  <c r="D18" i="10"/>
  <c r="D17" i="10"/>
  <c r="E17" i="10" s="1"/>
  <c r="E10" i="7" s="1"/>
  <c r="D16" i="10"/>
  <c r="E16" i="10" s="1"/>
  <c r="E9" i="7" s="1"/>
  <c r="D15" i="10"/>
  <c r="E15" i="10" s="1"/>
  <c r="E8" i="7" s="1"/>
  <c r="D14" i="10"/>
  <c r="E14" i="10" s="1"/>
  <c r="E7" i="7" s="1"/>
  <c r="D13" i="10"/>
  <c r="E13" i="10" s="1"/>
  <c r="E6" i="7" s="1"/>
  <c r="D12" i="10"/>
  <c r="E12" i="10" s="1"/>
  <c r="E5" i="7" s="1"/>
  <c r="D11" i="10"/>
  <c r="E11" i="10" s="1"/>
  <c r="E4" i="7" s="1"/>
  <c r="C30" i="10"/>
  <c r="E18" i="10" l="1"/>
  <c r="E11" i="7" s="1"/>
  <c r="E25" i="10"/>
  <c r="E19" i="7" s="1"/>
  <c r="E22" i="10"/>
  <c r="E16" i="7" s="1"/>
  <c r="E26" i="10"/>
  <c r="E20" i="7" s="1"/>
  <c r="E19" i="10"/>
  <c r="E13" i="7" s="1"/>
  <c r="E23" i="10"/>
  <c r="E17" i="7" s="1"/>
  <c r="E27" i="10"/>
  <c r="E21" i="7" s="1"/>
  <c r="E21" i="10"/>
  <c r="E15" i="7" s="1"/>
  <c r="E20" i="10"/>
  <c r="E14" i="7" s="1"/>
  <c r="E24" i="10"/>
  <c r="E90" i="7" s="1"/>
  <c r="E28" i="10"/>
  <c r="E22" i="7" s="1"/>
  <c r="D13" i="11"/>
  <c r="I11" i="7"/>
  <c r="E193" i="5"/>
  <c r="E12" i="8"/>
  <c r="D17" i="8"/>
  <c r="E56" i="7"/>
  <c r="AC2" i="8"/>
  <c r="H2" i="8"/>
  <c r="V2" i="8"/>
  <c r="O2" i="8"/>
  <c r="AD2" i="11"/>
  <c r="X2" i="11"/>
  <c r="P2" i="11"/>
  <c r="H2" i="11"/>
  <c r="X2" i="3"/>
  <c r="AD2" i="3"/>
  <c r="R2" i="3"/>
  <c r="AI2" i="3"/>
  <c r="L2" i="3"/>
  <c r="AD2" i="5"/>
  <c r="W2" i="5"/>
  <c r="P2" i="5"/>
  <c r="H2" i="5"/>
  <c r="AB2" i="14"/>
  <c r="J2" i="14"/>
  <c r="V2" i="14"/>
  <c r="P2" i="14"/>
  <c r="AG2" i="14"/>
  <c r="AC2" i="10"/>
  <c r="O2" i="10"/>
  <c r="V2" i="10"/>
  <c r="H2" i="10"/>
  <c r="G136" i="14"/>
  <c r="F128" i="7" s="1"/>
  <c r="G135" i="14"/>
  <c r="F127" i="7" s="1"/>
  <c r="G122" i="14"/>
  <c r="F114" i="7" s="1"/>
  <c r="G106" i="14"/>
  <c r="F98" i="7" s="1"/>
  <c r="G105" i="14"/>
  <c r="F97" i="7" s="1"/>
  <c r="G104" i="14"/>
  <c r="F96" i="7" s="1"/>
  <c r="G71" i="14"/>
  <c r="F63" i="7" s="1"/>
  <c r="G14" i="14"/>
  <c r="F6" i="7" s="1"/>
  <c r="G152" i="14"/>
  <c r="F144" i="7" s="1"/>
  <c r="G121" i="14"/>
  <c r="F113" i="7" s="1"/>
  <c r="G87" i="14"/>
  <c r="F79" i="7" s="1"/>
  <c r="G70" i="14"/>
  <c r="F62" i="7" s="1"/>
  <c r="G47" i="14"/>
  <c r="F39" i="7" s="1"/>
  <c r="G32" i="14"/>
  <c r="F24" i="7" s="1"/>
  <c r="G41" i="14"/>
  <c r="F33" i="7" s="1"/>
  <c r="F184" i="7"/>
  <c r="G88" i="14"/>
  <c r="F80" i="7" s="1"/>
  <c r="G24" i="14"/>
  <c r="F16" i="7" s="1"/>
  <c r="G114" i="14"/>
  <c r="F106" i="7" s="1"/>
  <c r="G15" i="14"/>
  <c r="G153" i="14"/>
  <c r="F145" i="7" s="1"/>
  <c r="G39" i="14"/>
  <c r="F31" i="7" s="1"/>
  <c r="G64" i="14"/>
  <c r="F56" i="7" s="1"/>
  <c r="F185" i="7"/>
  <c r="G63" i="14"/>
  <c r="F55" i="7" s="1"/>
  <c r="G72" i="14"/>
  <c r="F64" i="7" s="1"/>
  <c r="G128" i="14"/>
  <c r="F120" i="7" s="1"/>
  <c r="G79" i="14"/>
  <c r="F71" i="7" s="1"/>
  <c r="G161" i="14"/>
  <c r="F153" i="7" s="1"/>
  <c r="G177" i="14"/>
  <c r="F169" i="7" s="1"/>
  <c r="D30" i="10"/>
  <c r="E171" i="7" l="1"/>
  <c r="E67" i="7"/>
  <c r="E81" i="7"/>
  <c r="E43" i="7"/>
  <c r="E111" i="7"/>
  <c r="E18" i="7"/>
  <c r="E30" i="10"/>
  <c r="E140" i="7"/>
  <c r="E93" i="7"/>
  <c r="D111" i="7"/>
  <c r="E17" i="8"/>
  <c r="H6" i="7"/>
  <c r="F7" i="7"/>
  <c r="F193" i="7" s="1"/>
  <c r="G197" i="14"/>
  <c r="G51" i="4"/>
  <c r="I193" i="7"/>
  <c r="E193" i="7" l="1"/>
  <c r="H39" i="7"/>
  <c r="H193" i="7" s="1"/>
  <c r="F199" i="3" l="1"/>
  <c r="D199" i="3" l="1"/>
  <c r="G199" i="3"/>
  <c r="C199" i="3" l="1"/>
  <c r="I199" i="3"/>
  <c r="G193" i="7"/>
</calcChain>
</file>

<file path=xl/comments1.xml><?xml version="1.0" encoding="utf-8"?>
<comments xmlns="http://schemas.openxmlformats.org/spreadsheetml/2006/main">
  <authors>
    <author>Shields, Joseph</author>
  </authors>
  <commentList>
    <comment ref="AD23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32,780
FY1617 = 3
FY1718 = 32,777</t>
        </r>
      </text>
    </comment>
  </commentList>
</comments>
</file>

<file path=xl/comments2.xml><?xml version="1.0" encoding="utf-8"?>
<comments xmlns="http://schemas.openxmlformats.org/spreadsheetml/2006/main">
  <authors>
    <author>Shields, Joseph</author>
    <author>Tim Kahle</author>
  </authors>
  <commentList>
    <comment ref="AF35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6,161
FY1617 =755
FY1718 = 5406</t>
        </r>
      </text>
    </comment>
    <comment ref="AF42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13,300
FY1617 = 2992
FY1718 = 10308</t>
        </r>
      </text>
    </comment>
    <comment ref="L51" authorId="1" shapeId="0">
      <text>
        <r>
          <rPr>
            <b/>
            <sz val="9"/>
            <color indexed="81"/>
            <rFont val="Tahoma"/>
            <family val="2"/>
          </rPr>
          <t>Moved $171,654 from FY1516 to accommodate request from correct FY.</t>
        </r>
      </text>
    </comment>
    <comment ref="AF67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156,674
FY1617 = 17248
FY1718 = 139426
</t>
        </r>
      </text>
    </comment>
    <comment ref="AF104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48,472
FY1617 = 19,765
FY1718 = 28707</t>
        </r>
      </text>
    </comment>
    <comment ref="AF134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13,395
FY1617 = 75
FY1718 = 13,320</t>
        </r>
      </text>
    </comment>
    <comment ref="AF150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21,659
FY1617 = 5,700
FY1718 = 15,959
</t>
        </r>
      </text>
    </comment>
  </commentList>
</comments>
</file>

<file path=xl/comments3.xml><?xml version="1.0" encoding="utf-8"?>
<comments xmlns="http://schemas.openxmlformats.org/spreadsheetml/2006/main">
  <authors>
    <author>Shields, Joseph</author>
    <author>Kahle, Tim</author>
    <author>Mosness, Ron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21,903
FY1617 = 8561
FY1718 = 13342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Shields, Joseph
allocation increased per June 19, 2017 email which includes reconciliation.
$13,212 allocation plus $5,348 carryover from FY14-15</t>
        </r>
      </text>
    </comment>
    <comment ref="AH103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14,119
FY1617 = 1,773
FY1718 = 12,346</t>
        </r>
      </text>
    </comment>
    <comment ref="P136" authorId="1" shapeId="0">
      <text>
        <r>
          <rPr>
            <b/>
            <sz val="9"/>
            <color indexed="81"/>
            <rFont val="Tahoma"/>
            <family val="2"/>
          </rPr>
          <t>Return of funds originally declined by district. 1/26/16</t>
        </r>
      </text>
    </comment>
    <comment ref="W164" authorId="2" shapeId="0">
      <text>
        <r>
          <rPr>
            <sz val="9"/>
            <color indexed="81"/>
            <rFont val="Tahoma"/>
            <family val="2"/>
          </rPr>
          <t>Requested from Title III FY15 intended for SAI FY14 per Allegra M.
Includes $2,320 returned by CSI due to overdraw.</t>
        </r>
      </text>
    </comment>
    <comment ref="AB182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Received funds from Weld 8 returning FY1617 funds</t>
        </r>
      </text>
    </comment>
    <comment ref="R191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January 18, 2018
Partial Payment:
$16,849 in FY1516
$356 in FY1617
CORE has booked entire value to 15/16.  Money is moved to balance allocation and prevent future overdraft.</t>
        </r>
      </text>
    </comment>
    <comment ref="S191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January 18, 2018
Moved payment of $22,557 to FY1617 to balance FY1516 award.
CORE has transaction booked in 316F.</t>
        </r>
      </text>
    </comment>
  </commentList>
</comments>
</file>

<file path=xl/comments4.xml><?xml version="1.0" encoding="utf-8"?>
<comments xmlns="http://schemas.openxmlformats.org/spreadsheetml/2006/main">
  <authors>
    <author>Moreno, Sharon</author>
    <author>Shields, Joseph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Allocs agree with Adb. @ 4-2-13</t>
        </r>
      </text>
    </comment>
    <comment ref="X154" authorId="1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was in the amount of $15,602.00
FY1516 = $4,389
FY1617 = $11,213</t>
        </r>
      </text>
    </comment>
  </commentList>
</comments>
</file>

<file path=xl/sharedStrings.xml><?xml version="1.0" encoding="utf-8"?>
<sst xmlns="http://schemas.openxmlformats.org/spreadsheetml/2006/main" count="3821" uniqueCount="655">
  <si>
    <t>Grant:</t>
  </si>
  <si>
    <t>CFDA #</t>
  </si>
  <si>
    <t>FISCAL YEAR:</t>
  </si>
  <si>
    <t>GRANT NUMBER: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</si>
  <si>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</si>
  <si>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</si>
  <si>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</si>
  <si>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</si>
  <si>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</si>
  <si>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</si>
  <si>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</si>
  <si>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</si>
  <si>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</si>
  <si>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</si>
  <si>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</si>
  <si>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</si>
  <si>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</si>
  <si>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</si>
  <si>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</si>
  <si>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</si>
  <si>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</si>
  <si>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</si>
  <si>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</si>
  <si>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</si>
  <si>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</si>
  <si>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</si>
  <si>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</si>
  <si>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</si>
  <si>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</si>
  <si>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</si>
  <si>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</si>
  <si>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</si>
  <si>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</si>
  <si>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</si>
  <si>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</si>
  <si>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</si>
  <si>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</si>
  <si>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</si>
  <si>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</si>
  <si>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</si>
  <si>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</si>
  <si>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</si>
  <si>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</si>
  <si>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</si>
  <si>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</si>
  <si>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</si>
  <si>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</si>
  <si>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</si>
  <si>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</si>
  <si>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</si>
  <si>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</si>
  <si>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</si>
  <si>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</si>
  <si>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</si>
  <si>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</si>
  <si>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</si>
  <si>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</si>
  <si>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</si>
  <si>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</si>
  <si>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</si>
  <si>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</si>
  <si>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</si>
  <si>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</si>
  <si>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</si>
  <si>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</si>
  <si>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</si>
  <si>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</si>
  <si>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</si>
  <si>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</si>
  <si>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</si>
  <si>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</si>
  <si>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</si>
  <si>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</si>
  <si>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</si>
  <si>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</si>
  <si>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</si>
  <si>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</si>
  <si>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</si>
  <si>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</si>
  <si>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</si>
  <si>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</si>
  <si>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</si>
  <si>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</si>
  <si>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</si>
  <si>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</si>
  <si>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</si>
  <si>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</si>
  <si>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</si>
  <si>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</si>
  <si>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</si>
  <si>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</si>
  <si>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</si>
  <si>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</si>
  <si>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</si>
  <si>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</si>
  <si>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</si>
  <si>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</si>
  <si>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</si>
  <si>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</si>
  <si>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</si>
  <si>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</si>
  <si>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</si>
  <si>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</si>
  <si>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</si>
  <si>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</si>
  <si>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</si>
  <si>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</si>
  <si>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</si>
  <si>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</si>
  <si>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</si>
  <si>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</si>
  <si>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</si>
  <si>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</si>
  <si>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</si>
  <si>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</si>
  <si>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</si>
  <si>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</si>
  <si>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</si>
  <si>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</si>
  <si>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</si>
  <si>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</si>
  <si>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</si>
  <si>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</si>
  <si>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</si>
  <si>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</si>
  <si>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</si>
  <si>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</si>
  <si>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</si>
  <si>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</si>
  <si>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</si>
  <si>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</si>
  <si>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</si>
  <si>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</si>
  <si>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</si>
  <si>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</si>
  <si>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</si>
  <si>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</si>
  <si>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</si>
  <si>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</si>
  <si>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</si>
  <si>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</si>
  <si>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</si>
  <si>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</si>
  <si>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</si>
  <si>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</si>
  <si>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</si>
  <si>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</si>
  <si>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</si>
  <si>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</si>
  <si>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</si>
  <si>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</si>
  <si>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</si>
  <si>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</si>
  <si>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</si>
  <si>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</si>
  <si>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</si>
  <si>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</si>
  <si>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</si>
  <si>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</si>
  <si>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</si>
  <si>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</si>
  <si>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</si>
  <si>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</si>
  <si>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</si>
  <si>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</si>
  <si>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</si>
  <si>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</si>
  <si>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</si>
  <si>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</si>
  <si>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</si>
  <si>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</si>
  <si>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</si>
  <si>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</si>
  <si>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</si>
  <si>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</si>
  <si>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</si>
  <si>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</si>
  <si>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</si>
  <si>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</si>
  <si>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</si>
  <si>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</si>
  <si>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</si>
  <si>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</si>
  <si>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</si>
  <si>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</si>
  <si>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</si>
  <si>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</si>
  <si>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</si>
  <si>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</si>
  <si>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</si>
  <si>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</si>
  <si>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</si>
  <si>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</si>
  <si>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</si>
  <si>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</si>
  <si>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</si>
  <si>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</si>
  <si>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</si>
  <si>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</si>
  <si>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</si>
  <si>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</si>
  <si>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</si>
  <si>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</si>
  <si>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</si>
  <si>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</si>
  <si>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</si>
  <si>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</si>
  <si>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</si>
  <si>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</si>
  <si>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</si>
  <si>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</si>
  <si>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</si>
  <si>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</si>
  <si>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</si>
  <si>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</si>
  <si>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</si>
  <si>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</si>
  <si>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</si>
  <si>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</si>
  <si>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</si>
  <si>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</si>
  <si>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</si>
  <si>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</si>
  <si>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</si>
  <si>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</si>
  <si>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</si>
  <si>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</si>
  <si>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</si>
  <si>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</si>
  <si>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</si>
  <si>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</si>
  <si>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</si>
  <si>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</si>
  <si>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</si>
  <si>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</si>
  <si>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</si>
  <si>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</si>
  <si>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</si>
  <si>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</si>
  <si>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</si>
  <si>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</si>
  <si>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</si>
  <si>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</si>
  <si>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</si>
  <si>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</si>
  <si>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</si>
  <si>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</si>
  <si>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</si>
  <si>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</si>
  <si>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</si>
  <si>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</si>
  <si>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</si>
  <si>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</si>
  <si>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</si>
  <si>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</si>
  <si>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</si>
  <si>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</si>
  <si>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</si>
  <si>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</si>
  <si>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</si>
  <si>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</si>
  <si>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</si>
  <si>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</si>
  <si>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</si>
  <si>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</si>
  <si>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</si>
  <si>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</si>
  <si>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</si>
  <si>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</si>
  <si>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</si>
  <si>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</si>
  <si>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</si>
  <si>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</si>
  <si>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</si>
  <si>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</si>
  <si>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</si>
  <si>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</si>
  <si>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</si>
  <si>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</si>
  <si>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</si>
  <si>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</si>
  <si>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</si>
  <si>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</si>
  <si>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</si>
  <si>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</si>
  <si>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</si>
  <si>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</si>
  <si>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</si>
  <si>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</si>
  <si>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</si>
  <si>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</si>
  <si>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</si>
  <si>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</si>
  <si>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</si>
  <si>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</si>
  <si>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</si>
  <si>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</si>
  <si>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</si>
  <si>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</si>
  <si>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</si>
  <si>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</si>
  <si>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</si>
  <si>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</si>
  <si>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</si>
  <si>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</si>
  <si>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</si>
  <si>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</si>
  <si>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</si>
  <si>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</si>
  <si>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</si>
  <si>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</si>
  <si>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</si>
  <si>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</si>
  <si>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</si>
  <si>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</si>
  <si>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</si>
  <si>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</si>
  <si>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</si>
  <si>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</si>
  <si>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</si>
  <si>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</si>
  <si>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</si>
  <si>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</si>
  <si>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</si>
  <si>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</si>
  <si>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</si>
  <si>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</si>
  <si>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</si>
  <si>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</si>
  <si>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</si>
  <si>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</si>
  <si>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</si>
  <si>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</si>
  <si>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</si>
  <si>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</si>
  <si>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</si>
  <si>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</si>
  <si>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</si>
  <si>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</si>
  <si>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</si>
  <si>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</si>
  <si>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</si>
  <si>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</si>
  <si>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</si>
  <si>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</si>
  <si>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</si>
  <si>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</si>
  <si>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</si>
  <si>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</si>
  <si>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</si>
  <si>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</si>
  <si>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</si>
  <si>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</si>
  <si>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</si>
  <si>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</si>
  <si>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</si>
  <si>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</si>
  <si>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</si>
  <si>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</si>
  <si>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</si>
  <si>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</si>
  <si>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*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</si>
  <si>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</si>
  <si>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</si>
  <si>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</si>
  <si>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</si>
  <si>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</si>
  <si>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</si>
  <si>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</si>
  <si>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</si>
  <si>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</si>
  <si>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</si>
  <si>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</si>
  <si>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</si>
  <si>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</si>
  <si>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</si>
  <si>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</si>
  <si>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</si>
  <si>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</si>
  <si>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</si>
  <si>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</si>
  <si>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</si>
  <si>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</si>
  <si>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>Title I-D Delinquent</t>
  </si>
  <si>
    <t xml:space="preserve">7010 for LEA   </t>
  </si>
  <si>
    <t>Title I-C Migrant</t>
  </si>
  <si>
    <t>Signed Over to BOCES</t>
  </si>
  <si>
    <t xml:space="preserve"> </t>
  </si>
  <si>
    <t>Declined Funds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</si>
  <si>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</si>
  <si>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</si>
  <si>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</si>
  <si>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</si>
  <si>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</si>
  <si>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</si>
  <si>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</t>
  </si>
  <si>
    <t>Title III-SAI</t>
  </si>
  <si>
    <t>Title VI</t>
  </si>
  <si>
    <t>Title VI Rural Low Income Formula</t>
  </si>
  <si>
    <t>San Juan BOCES</t>
  </si>
  <si>
    <t>San Luis Valley BOCES</t>
  </si>
  <si>
    <t>South Central BOCES</t>
  </si>
  <si>
    <t>Signed Over to BOCES/Consortiums</t>
  </si>
  <si>
    <t>BOCES Allocation</t>
  </si>
  <si>
    <t>BOCES/Consortium Allocation</t>
  </si>
  <si>
    <t>Southeastern BOCES</t>
  </si>
  <si>
    <t>Questions regarding payments:</t>
  </si>
  <si>
    <t>GRANT PERIOD:</t>
  </si>
  <si>
    <t>District Name</t>
  </si>
  <si>
    <t>84.031A</t>
  </si>
  <si>
    <t>Nicole Dake  303-866-6724  or dake_n@cde.state.co.us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</si>
  <si>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</si>
  <si>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</si>
  <si>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</si>
  <si>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</si>
  <si>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</si>
  <si>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</si>
  <si>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</si>
  <si>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</si>
  <si>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</si>
  <si>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</si>
  <si>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</si>
  <si>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</si>
  <si>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</si>
  <si>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</si>
  <si>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</si>
  <si>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</si>
  <si>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</si>
  <si>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</si>
  <si>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</si>
  <si>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</si>
  <si>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</si>
  <si>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</si>
  <si>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</si>
  <si>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</si>
  <si>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</si>
  <si>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</si>
  <si>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</si>
  <si>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</si>
  <si>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</si>
  <si>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</si>
  <si>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</si>
  <si>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</si>
  <si>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</si>
  <si>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</si>
  <si>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</si>
  <si>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</si>
  <si>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</si>
  <si>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</si>
  <si>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</si>
  <si>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</si>
  <si>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</si>
  <si>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</si>
  <si>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</si>
  <si>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</si>
  <si>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</si>
  <si>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</si>
  <si>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</si>
  <si>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</si>
  <si>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</si>
  <si>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</si>
  <si>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</si>
  <si>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</si>
  <si>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</si>
  <si>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</si>
  <si>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</si>
  <si>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</si>
  <si>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</si>
  <si>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</si>
  <si>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</si>
  <si>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</si>
  <si>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</si>
  <si>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</si>
  <si>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</si>
  <si>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</si>
  <si>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</si>
  <si>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</si>
  <si>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</si>
  <si>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</si>
  <si>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</si>
  <si>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</si>
  <si>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</si>
  <si>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</si>
  <si>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</si>
  <si>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</si>
  <si>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</si>
  <si>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</si>
  <si>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</si>
  <si>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</si>
  <si>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</si>
  <si>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</si>
  <si>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</si>
  <si>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</si>
  <si>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</si>
  <si>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</si>
  <si>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</si>
  <si>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</si>
  <si>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</si>
  <si>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</si>
  <si>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</si>
  <si>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</si>
  <si>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</si>
  <si>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</si>
  <si>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</si>
  <si>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</si>
  <si>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</si>
  <si>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</si>
  <si>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</si>
  <si>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</si>
  <si>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</si>
  <si>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</si>
  <si>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</si>
  <si>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</si>
  <si>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</si>
  <si>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</si>
  <si>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</si>
  <si>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</si>
  <si>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</si>
  <si>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</si>
  <si>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</si>
  <si>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</si>
  <si>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</si>
  <si>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</si>
  <si>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</si>
  <si>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</si>
  <si>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</si>
  <si>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</si>
  <si>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</si>
  <si>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</si>
  <si>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</si>
  <si>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</si>
  <si>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</si>
  <si>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</si>
  <si>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</si>
  <si>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</si>
  <si>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</si>
  <si>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</si>
  <si>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</si>
  <si>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</si>
  <si>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</si>
  <si>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</si>
  <si>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</si>
  <si>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</si>
  <si>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</si>
  <si>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</si>
  <si>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</si>
  <si>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</si>
  <si>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</si>
  <si>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</si>
  <si>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</si>
  <si>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</si>
  <si>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</si>
  <si>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</si>
  <si>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</si>
  <si>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</si>
  <si>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</si>
  <si>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</si>
  <si>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</si>
  <si>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</si>
  <si>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</si>
  <si>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</si>
  <si>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</si>
  <si>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</si>
  <si>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</si>
  <si>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</si>
  <si>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</si>
  <si>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</si>
  <si>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</si>
  <si>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</si>
  <si>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</si>
  <si>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</si>
  <si>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</si>
  <si>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</si>
  <si>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</si>
  <si>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</si>
  <si>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</si>
  <si>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</si>
  <si>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</si>
  <si>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</si>
  <si>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</si>
  <si>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</si>
  <si>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</si>
  <si>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</si>
  <si>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</si>
  <si>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</si>
  <si>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</si>
  <si>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</si>
  <si>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</si>
  <si>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</si>
  <si>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</si>
  <si>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</si>
  <si>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</si>
  <si>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 xml:space="preserve">Totals </t>
  </si>
  <si>
    <t>2016-17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</si>
  <si>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2016-17</t>
    </r>
  </si>
  <si>
    <t>7/1/16 THROUGH 9/30/18-This grant does have carryover restrictions</t>
  </si>
  <si>
    <t>7/1/16 THROUGH 6/30/18-GRANT DOES NOT ALLOW CARRYOVER</t>
  </si>
  <si>
    <t>7/1/16 THROUGH 9/30/18</t>
  </si>
  <si>
    <t>July
2016</t>
  </si>
  <si>
    <t>August
2016</t>
  </si>
  <si>
    <t>September
2016</t>
  </si>
  <si>
    <t>October
2016</t>
  </si>
  <si>
    <t>November
2016</t>
  </si>
  <si>
    <t>December
2016</t>
  </si>
  <si>
    <t>January
2017</t>
  </si>
  <si>
    <t>February
2017</t>
  </si>
  <si>
    <t>March
2017</t>
  </si>
  <si>
    <t>April
2017</t>
  </si>
  <si>
    <t>May
2017</t>
  </si>
  <si>
    <t>June
2017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</si>
  <si>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</si>
  <si>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</si>
  <si>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</si>
  <si>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</si>
  <si>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</si>
  <si>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</si>
  <si>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</si>
  <si>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</si>
  <si>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</si>
  <si>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</si>
  <si>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</si>
  <si>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</si>
  <si>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</si>
  <si>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</si>
  <si>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</si>
  <si>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Mesa County Valley School District 51</t>
  </si>
  <si>
    <t>Y044</t>
  </si>
  <si>
    <t xml:space="preserve">Adams State University </t>
  </si>
  <si>
    <t>Aurora Public Schools</t>
  </si>
  <si>
    <t>Pueblo School District 70</t>
  </si>
  <si>
    <t>X010</t>
  </si>
  <si>
    <t>Division of Youth Corrections</t>
  </si>
  <si>
    <t>Hinsdale County RE-1</t>
  </si>
  <si>
    <t>Centennial BOCES</t>
  </si>
  <si>
    <t>Northwest Colo BOCES</t>
  </si>
  <si>
    <t>70XA-7000</t>
  </si>
  <si>
    <t xml:space="preserve">                           -</t>
  </si>
  <si>
    <t>Total Allocation</t>
  </si>
  <si>
    <t>32XG-7000</t>
  </si>
  <si>
    <t>70XB-7000</t>
  </si>
  <si>
    <t>72XD-7000</t>
  </si>
  <si>
    <t>78XA/7000</t>
  </si>
  <si>
    <t>31XF-7000</t>
  </si>
  <si>
    <t>31XG/7000</t>
  </si>
  <si>
    <t>35XC/7000</t>
  </si>
  <si>
    <t>Pam Mueller 303-866-6905 or Mueller_Pam@cde.state.co.us</t>
  </si>
  <si>
    <t>Pam Mueller303-866-6905 or Mueller_Pam@cde.state.co.us</t>
  </si>
  <si>
    <t>.</t>
  </si>
  <si>
    <t>October 2018</t>
  </si>
  <si>
    <t>October
2018</t>
  </si>
  <si>
    <t>October                 2018</t>
  </si>
  <si>
    <t>FY2016-17</t>
  </si>
  <si>
    <t>FY 2016-17</t>
  </si>
  <si>
    <t>FY16-17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</si>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</sst>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1"/>
      <name val="Tahoma"/>
      <family val="2"/>
    </font>
    <font>
      <b/>
      <sz val="12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indexed="64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/>
      <top/>
      <bottom style="medium">
        <color rgb="FF66CCFF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rgb="FF66CCFF"/>
      </left>
      <right/>
      <top/>
      <bottom style="thin">
        <color theme="0" tint="-0.14993743705557422"/>
      </bottom>
      <diagonal/>
    </border>
    <border>
      <left style="medium">
        <color rgb="FF66CCFF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40" fontId="27" fillId="0" borderId="0"/>
    <xf numFmtId="0" fontId="1" fillId="0" borderId="0"/>
    <xf numFmtId="0" fontId="1" fillId="0" borderId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322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quotePrefix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10" fillId="2" borderId="5" xfId="0" applyNumberFormat="1" applyFont="1" applyFill="1" applyBorder="1"/>
    <xf numFmtId="0" fontId="10" fillId="2" borderId="9" xfId="0" applyFont="1" applyFill="1" applyBorder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1" fillId="2" borderId="0" xfId="0" quotePrefix="1" applyFont="1" applyFill="1" applyAlignment="1">
      <alignment horizontal="center"/>
    </xf>
    <xf numFmtId="0" fontId="9" fillId="2" borderId="0" xfId="0" quotePrefix="1" applyFont="1" applyFill="1" applyAlignment="1">
      <alignment horizontal="right"/>
    </xf>
    <xf numFmtId="0" fontId="10" fillId="2" borderId="11" xfId="0" applyFont="1" applyFill="1" applyBorder="1"/>
    <xf numFmtId="3" fontId="12" fillId="2" borderId="11" xfId="0" applyNumberFormat="1" applyFont="1" applyFill="1" applyBorder="1" applyAlignment="1" applyProtection="1">
      <alignment horizontal="left"/>
    </xf>
    <xf numFmtId="49" fontId="10" fillId="2" borderId="16" xfId="0" applyNumberFormat="1" applyFont="1" applyFill="1" applyBorder="1"/>
    <xf numFmtId="0" fontId="10" fillId="2" borderId="6" xfId="0" applyFont="1" applyFill="1" applyBorder="1"/>
    <xf numFmtId="49" fontId="10" fillId="2" borderId="17" xfId="0" applyNumberFormat="1" applyFont="1" applyFill="1" applyBorder="1"/>
    <xf numFmtId="0" fontId="10" fillId="2" borderId="7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6" fillId="0" borderId="0" xfId="0" applyFont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38" fontId="6" fillId="0" borderId="0" xfId="0" applyNumberFormat="1" applyFont="1"/>
    <xf numFmtId="38" fontId="10" fillId="0" borderId="0" xfId="0" applyNumberFormat="1" applyFont="1" applyFill="1" applyBorder="1"/>
    <xf numFmtId="165" fontId="10" fillId="2" borderId="11" xfId="1" applyNumberFormat="1" applyFont="1" applyFill="1" applyBorder="1"/>
    <xf numFmtId="3" fontId="6" fillId="2" borderId="21" xfId="0" applyNumberFormat="1" applyFont="1" applyFill="1" applyBorder="1"/>
    <xf numFmtId="3" fontId="6" fillId="2" borderId="23" xfId="0" applyNumberFormat="1" applyFont="1" applyFill="1" applyBorder="1"/>
    <xf numFmtId="3" fontId="6" fillId="2" borderId="25" xfId="0" applyNumberFormat="1" applyFont="1" applyFill="1" applyBorder="1"/>
    <xf numFmtId="3" fontId="6" fillId="2" borderId="27" xfId="0" applyNumberFormat="1" applyFont="1" applyFill="1" applyBorder="1"/>
    <xf numFmtId="165" fontId="2" fillId="3" borderId="2" xfId="1" applyNumberFormat="1" applyFont="1" applyFill="1" applyBorder="1" applyAlignment="1">
      <alignment horizontal="center" vertical="center"/>
    </xf>
    <xf numFmtId="165" fontId="6" fillId="2" borderId="24" xfId="1" applyNumberFormat="1" applyFont="1" applyFill="1" applyBorder="1"/>
    <xf numFmtId="165" fontId="6" fillId="2" borderId="19" xfId="1" applyNumberFormat="1" applyFont="1" applyFill="1" applyBorder="1"/>
    <xf numFmtId="165" fontId="6" fillId="2" borderId="26" xfId="1" applyNumberFormat="1" applyFont="1" applyFill="1" applyBorder="1"/>
    <xf numFmtId="165" fontId="6" fillId="2" borderId="22" xfId="1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 applyProtection="1">
      <alignment horizontal="left"/>
    </xf>
    <xf numFmtId="0" fontId="6" fillId="2" borderId="21" xfId="0" applyFont="1" applyFill="1" applyBorder="1" applyAlignment="1" applyProtection="1">
      <alignment horizontal="left"/>
    </xf>
    <xf numFmtId="0" fontId="12" fillId="2" borderId="21" xfId="0" quotePrefix="1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164" fontId="9" fillId="2" borderId="14" xfId="0" applyNumberFormat="1" applyFont="1" applyFill="1" applyBorder="1"/>
    <xf numFmtId="164" fontId="2" fillId="0" borderId="0" xfId="0" applyNumberFormat="1" applyFont="1"/>
    <xf numFmtId="0" fontId="9" fillId="2" borderId="11" xfId="0" applyFont="1" applyFill="1" applyBorder="1"/>
    <xf numFmtId="164" fontId="9" fillId="2" borderId="21" xfId="0" applyNumberFormat="1" applyFont="1" applyFill="1" applyBorder="1"/>
    <xf numFmtId="165" fontId="6" fillId="2" borderId="36" xfId="1" applyNumberFormat="1" applyFont="1" applyFill="1" applyBorder="1"/>
    <xf numFmtId="49" fontId="10" fillId="2" borderId="18" xfId="0" applyNumberFormat="1" applyFont="1" applyFill="1" applyBorder="1"/>
    <xf numFmtId="0" fontId="10" fillId="2" borderId="8" xfId="0" applyFont="1" applyFill="1" applyBorder="1"/>
    <xf numFmtId="0" fontId="2" fillId="0" borderId="0" xfId="0" applyFont="1"/>
    <xf numFmtId="0" fontId="9" fillId="2" borderId="10" xfId="0" applyFont="1" applyFill="1" applyBorder="1"/>
    <xf numFmtId="38" fontId="6" fillId="0" borderId="0" xfId="0" applyNumberFormat="1" applyFont="1" applyBorder="1"/>
    <xf numFmtId="0" fontId="9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6" fillId="0" borderId="0" xfId="2" applyNumberFormat="1" applyFont="1"/>
    <xf numFmtId="164" fontId="6" fillId="0" borderId="0" xfId="0" applyNumberFormat="1" applyFont="1"/>
    <xf numFmtId="0" fontId="19" fillId="0" borderId="0" xfId="0" applyFont="1"/>
    <xf numFmtId="0" fontId="20" fillId="0" borderId="33" xfId="0" applyFont="1" applyBorder="1" applyAlignment="1">
      <alignment horizontal="center"/>
    </xf>
    <xf numFmtId="38" fontId="19" fillId="0" borderId="0" xfId="0" applyNumberFormat="1" applyFont="1"/>
    <xf numFmtId="0" fontId="4" fillId="0" borderId="31" xfId="0" quotePrefix="1" applyFont="1" applyFill="1" applyBorder="1" applyAlignment="1" applyProtection="1">
      <alignment horizontal="left"/>
    </xf>
    <xf numFmtId="0" fontId="4" fillId="0" borderId="32" xfId="0" quotePrefix="1" applyFont="1" applyFill="1" applyBorder="1" applyAlignment="1" applyProtection="1">
      <alignment horizontal="left"/>
    </xf>
    <xf numFmtId="0" fontId="4" fillId="0" borderId="0" xfId="0" applyFont="1" applyFill="1"/>
    <xf numFmtId="38" fontId="4" fillId="0" borderId="0" xfId="0" applyNumberFormat="1" applyFont="1" applyFill="1"/>
    <xf numFmtId="0" fontId="19" fillId="0" borderId="0" xfId="0" applyFont="1" applyFill="1"/>
    <xf numFmtId="38" fontId="19" fillId="0" borderId="0" xfId="0" applyNumberFormat="1" applyFont="1" applyFill="1"/>
    <xf numFmtId="0" fontId="13" fillId="2" borderId="0" xfId="0" applyFont="1" applyFill="1"/>
    <xf numFmtId="167" fontId="12" fillId="2" borderId="13" xfId="0" quotePrefix="1" applyNumberFormat="1" applyFont="1" applyFill="1" applyBorder="1" applyAlignment="1" applyProtection="1">
      <alignment horizontal="left"/>
    </xf>
    <xf numFmtId="167" fontId="9" fillId="2" borderId="13" xfId="0" applyNumberFormat="1" applyFont="1" applyFill="1" applyBorder="1" applyAlignment="1">
      <alignment horizontal="left"/>
    </xf>
    <xf numFmtId="164" fontId="0" fillId="0" borderId="0" xfId="0" applyNumberFormat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10" fillId="2" borderId="1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9" fillId="2" borderId="11" xfId="0" applyNumberFormat="1" applyFont="1" applyFill="1" applyBorder="1"/>
    <xf numFmtId="165" fontId="6" fillId="0" borderId="0" xfId="0" applyNumberFormat="1" applyFont="1"/>
    <xf numFmtId="0" fontId="9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0" fillId="2" borderId="0" xfId="0" applyFill="1" applyBorder="1" applyAlignment="1">
      <alignment horizontal="center" wrapText="1"/>
    </xf>
    <xf numFmtId="166" fontId="0" fillId="0" borderId="0" xfId="2" applyNumberFormat="1" applyFont="1"/>
    <xf numFmtId="49" fontId="10" fillId="2" borderId="10" xfId="0" applyNumberFormat="1" applyFont="1" applyFill="1" applyBorder="1" applyAlignment="1">
      <alignment horizontal="left"/>
    </xf>
    <xf numFmtId="49" fontId="12" fillId="2" borderId="10" xfId="0" quotePrefix="1" applyNumberFormat="1" applyFont="1" applyFill="1" applyBorder="1" applyAlignment="1" applyProtection="1">
      <alignment horizontal="left"/>
    </xf>
    <xf numFmtId="49" fontId="10" fillId="2" borderId="11" xfId="0" applyNumberFormat="1" applyFont="1" applyFill="1" applyBorder="1" applyAlignment="1">
      <alignment horizontal="left"/>
    </xf>
    <xf numFmtId="166" fontId="6" fillId="0" borderId="0" xfId="2" applyNumberFormat="1" applyFont="1" applyBorder="1" applyAlignment="1">
      <alignment horizontal="right"/>
    </xf>
    <xf numFmtId="0" fontId="31" fillId="5" borderId="41" xfId="0" applyFont="1" applyFill="1" applyBorder="1" applyAlignment="1" applyProtection="1">
      <alignment horizontal="center" vertical="center"/>
    </xf>
    <xf numFmtId="0" fontId="0" fillId="0" borderId="0" xfId="0" applyAlignment="1"/>
    <xf numFmtId="0" fontId="32" fillId="0" borderId="42" xfId="0" applyFont="1" applyFill="1" applyBorder="1" applyAlignment="1" applyProtection="1">
      <alignment vertical="center"/>
    </xf>
    <xf numFmtId="0" fontId="32" fillId="0" borderId="42" xfId="0" applyFont="1" applyFill="1" applyBorder="1" applyAlignment="1" applyProtection="1">
      <alignment horizontal="right" vertical="center"/>
    </xf>
    <xf numFmtId="0" fontId="32" fillId="0" borderId="43" xfId="0" applyFont="1" applyFill="1" applyBorder="1" applyAlignment="1" applyProtection="1">
      <alignment horizontal="right" vertical="center"/>
    </xf>
    <xf numFmtId="166" fontId="10" fillId="2" borderId="11" xfId="2" applyNumberFormat="1" applyFont="1" applyFill="1" applyBorder="1"/>
    <xf numFmtId="166" fontId="6" fillId="0" borderId="0" xfId="2" applyNumberFormat="1" applyFont="1" applyFill="1" applyBorder="1" applyAlignment="1">
      <alignment horizontal="right"/>
    </xf>
    <xf numFmtId="166" fontId="15" fillId="2" borderId="11" xfId="2" applyNumberFormat="1" applyFont="1" applyFill="1" applyBorder="1"/>
    <xf numFmtId="166" fontId="9" fillId="2" borderId="11" xfId="2" applyNumberFormat="1" applyFont="1" applyFill="1" applyBorder="1"/>
    <xf numFmtId="166" fontId="6" fillId="0" borderId="0" xfId="2" applyNumberFormat="1" applyFont="1" applyBorder="1"/>
    <xf numFmtId="166" fontId="6" fillId="2" borderId="11" xfId="2" applyNumberFormat="1" applyFont="1" applyFill="1" applyBorder="1"/>
    <xf numFmtId="166" fontId="6" fillId="2" borderId="12" xfId="2" applyNumberFormat="1" applyFont="1" applyFill="1" applyBorder="1"/>
    <xf numFmtId="166" fontId="3" fillId="0" borderId="0" xfId="2" applyNumberFormat="1" applyFont="1" applyBorder="1"/>
    <xf numFmtId="166" fontId="6" fillId="2" borderId="14" xfId="2" applyNumberFormat="1" applyFont="1" applyFill="1" applyBorder="1"/>
    <xf numFmtId="166" fontId="6" fillId="2" borderId="15" xfId="2" applyNumberFormat="1" applyFont="1" applyFill="1" applyBorder="1"/>
    <xf numFmtId="166" fontId="9" fillId="2" borderId="14" xfId="2" applyNumberFormat="1" applyFont="1" applyFill="1" applyBorder="1"/>
    <xf numFmtId="166" fontId="6" fillId="2" borderId="36" xfId="2" applyNumberFormat="1" applyFont="1" applyFill="1" applyBorder="1"/>
    <xf numFmtId="166" fontId="6" fillId="2" borderId="21" xfId="2" applyNumberFormat="1" applyFont="1" applyFill="1" applyBorder="1"/>
    <xf numFmtId="166" fontId="6" fillId="2" borderId="22" xfId="2" applyNumberFormat="1" applyFont="1" applyFill="1" applyBorder="1"/>
    <xf numFmtId="166" fontId="6" fillId="2" borderId="34" xfId="2" applyNumberFormat="1" applyFont="1" applyFill="1" applyBorder="1"/>
    <xf numFmtId="166" fontId="6" fillId="2" borderId="35" xfId="2" applyNumberFormat="1" applyFont="1" applyFill="1" applyBorder="1"/>
    <xf numFmtId="166" fontId="9" fillId="2" borderId="36" xfId="2" applyNumberFormat="1" applyFont="1" applyFill="1" applyBorder="1"/>
    <xf numFmtId="166" fontId="6" fillId="2" borderId="37" xfId="2" applyNumberFormat="1" applyFont="1" applyFill="1" applyBorder="1"/>
    <xf numFmtId="166" fontId="9" fillId="2" borderId="21" xfId="2" applyNumberFormat="1" applyFont="1" applyFill="1" applyBorder="1"/>
    <xf numFmtId="166" fontId="10" fillId="2" borderId="11" xfId="2" applyNumberFormat="1" applyFont="1" applyFill="1" applyBorder="1" applyAlignment="1">
      <alignment horizontal="center"/>
    </xf>
    <xf numFmtId="164" fontId="2" fillId="0" borderId="0" xfId="0" applyNumberFormat="1" applyFont="1" applyFill="1"/>
    <xf numFmtId="166" fontId="9" fillId="2" borderId="15" xfId="2" applyNumberFormat="1" applyFont="1" applyFill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wrapText="1"/>
    </xf>
    <xf numFmtId="166" fontId="6" fillId="2" borderId="14" xfId="2" applyNumberFormat="1" applyFont="1" applyFill="1" applyBorder="1" applyAlignment="1">
      <alignment horizontal="center"/>
    </xf>
    <xf numFmtId="49" fontId="2" fillId="0" borderId="0" xfId="0" quotePrefix="1" applyNumberFormat="1" applyFont="1" applyFill="1" applyBorder="1" applyAlignment="1">
      <alignment horizontal="center" vertical="center" wrapText="1"/>
    </xf>
    <xf numFmtId="49" fontId="6" fillId="2" borderId="11" xfId="2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left"/>
    </xf>
    <xf numFmtId="166" fontId="6" fillId="2" borderId="11" xfId="2" applyNumberFormat="1" applyFont="1" applyFill="1" applyBorder="1" applyAlignment="1">
      <alignment horizontal="left"/>
    </xf>
    <xf numFmtId="166" fontId="10" fillId="2" borderId="20" xfId="2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166" fontId="6" fillId="0" borderId="0" xfId="2" applyNumberFormat="1" applyFont="1" applyBorder="1" applyAlignment="1">
      <alignment horizontal="right"/>
    </xf>
    <xf numFmtId="49" fontId="11" fillId="2" borderId="0" xfId="0" applyNumberFormat="1" applyFont="1" applyFill="1" applyAlignment="1">
      <alignment horizontal="center"/>
    </xf>
    <xf numFmtId="49" fontId="10" fillId="2" borderId="14" xfId="2" applyNumberFormat="1" applyFont="1" applyFill="1" applyBorder="1" applyAlignment="1">
      <alignment horizontal="center"/>
    </xf>
    <xf numFmtId="49" fontId="6" fillId="2" borderId="14" xfId="2" applyNumberFormat="1" applyFont="1" applyFill="1" applyBorder="1" applyAlignment="1">
      <alignment horizontal="center"/>
    </xf>
    <xf numFmtId="166" fontId="10" fillId="2" borderId="11" xfId="2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49" fontId="10" fillId="2" borderId="11" xfId="2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0" fillId="0" borderId="0" xfId="0" applyFont="1"/>
    <xf numFmtId="0" fontId="12" fillId="2" borderId="11" xfId="0" applyFont="1" applyFill="1" applyBorder="1" applyAlignment="1" applyProtection="1">
      <alignment horizontal="left"/>
    </xf>
    <xf numFmtId="3" fontId="12" fillId="2" borderId="11" xfId="0" applyNumberFormat="1" applyFont="1" applyFill="1" applyBorder="1" applyAlignment="1" applyProtection="1">
      <alignment horizontal="left"/>
    </xf>
    <xf numFmtId="166" fontId="6" fillId="0" borderId="0" xfId="2" applyNumberFormat="1" applyFont="1"/>
    <xf numFmtId="166" fontId="0" fillId="0" borderId="0" xfId="2" applyNumberFormat="1" applyFont="1"/>
    <xf numFmtId="166" fontId="6" fillId="2" borderId="11" xfId="2" applyNumberFormat="1" applyFont="1" applyFill="1" applyBorder="1" applyAlignment="1">
      <alignment horizontal="center"/>
    </xf>
    <xf numFmtId="166" fontId="10" fillId="2" borderId="11" xfId="2" applyNumberFormat="1" applyFont="1" applyFill="1" applyBorder="1" applyAlignment="1">
      <alignment horizontal="center"/>
    </xf>
    <xf numFmtId="49" fontId="10" fillId="2" borderId="11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12" fillId="2" borderId="11" xfId="0" applyFont="1" applyFill="1" applyBorder="1" applyAlignment="1" applyProtection="1">
      <alignment horizontal="left"/>
    </xf>
    <xf numFmtId="3" fontId="12" fillId="2" borderId="11" xfId="0" applyNumberFormat="1" applyFont="1" applyFill="1" applyBorder="1" applyAlignment="1" applyProtection="1">
      <alignment horizontal="left"/>
    </xf>
    <xf numFmtId="38" fontId="4" fillId="0" borderId="0" xfId="0" applyNumberFormat="1" applyFont="1" applyFill="1" applyBorder="1"/>
    <xf numFmtId="166" fontId="10" fillId="2" borderId="11" xfId="2" applyNumberFormat="1" applyFont="1" applyFill="1" applyBorder="1"/>
    <xf numFmtId="166" fontId="10" fillId="2" borderId="20" xfId="2" applyNumberFormat="1" applyFont="1" applyFill="1" applyBorder="1" applyAlignment="1">
      <alignment horizontal="center"/>
    </xf>
    <xf numFmtId="166" fontId="15" fillId="2" borderId="11" xfId="2" applyNumberFormat="1" applyFont="1" applyFill="1" applyBorder="1"/>
    <xf numFmtId="166" fontId="9" fillId="2" borderId="11" xfId="2" applyNumberFormat="1" applyFont="1" applyFill="1" applyBorder="1"/>
    <xf numFmtId="49" fontId="10" fillId="2" borderId="11" xfId="2" applyNumberFormat="1" applyFont="1" applyFill="1" applyBorder="1" applyAlignment="1">
      <alignment horizontal="center"/>
    </xf>
    <xf numFmtId="49" fontId="10" fillId="2" borderId="21" xfId="0" quotePrefix="1" applyNumberFormat="1" applyFont="1" applyFill="1" applyBorder="1"/>
    <xf numFmtId="166" fontId="10" fillId="0" borderId="11" xfId="2" applyNumberFormat="1" applyFont="1" applyFill="1" applyBorder="1"/>
    <xf numFmtId="166" fontId="0" fillId="0" borderId="0" xfId="0" applyNumberFormat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166" fontId="10" fillId="2" borderId="14" xfId="2" applyNumberFormat="1" applyFont="1" applyFill="1" applyBorder="1" applyAlignment="1">
      <alignment horizontal="center"/>
    </xf>
    <xf numFmtId="43" fontId="11" fillId="2" borderId="0" xfId="2" applyFont="1" applyFill="1" applyAlignment="1">
      <alignment horizontal="center"/>
    </xf>
    <xf numFmtId="43" fontId="11" fillId="2" borderId="0" xfId="2" quotePrefix="1" applyFont="1" applyFill="1" applyAlignment="1">
      <alignment horizontal="center"/>
    </xf>
    <xf numFmtId="43" fontId="2" fillId="0" borderId="1" xfId="2" applyFont="1" applyFill="1" applyBorder="1" applyAlignment="1">
      <alignment horizontal="center" vertical="center" wrapText="1"/>
    </xf>
    <xf numFmtId="43" fontId="10" fillId="2" borderId="11" xfId="2" applyFont="1" applyFill="1" applyBorder="1" applyAlignment="1">
      <alignment horizontal="center"/>
    </xf>
    <xf numFmtId="43" fontId="6" fillId="2" borderId="14" xfId="2" applyFont="1" applyFill="1" applyBorder="1" applyAlignment="1">
      <alignment horizontal="center"/>
    </xf>
    <xf numFmtId="43" fontId="6" fillId="0" borderId="0" xfId="2" applyFont="1" applyAlignment="1">
      <alignment horizontal="center"/>
    </xf>
    <xf numFmtId="43" fontId="5" fillId="0" borderId="0" xfId="2" applyFont="1" applyAlignment="1">
      <alignment horizontal="center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6" fontId="10" fillId="0" borderId="44" xfId="2" applyNumberFormat="1" applyFont="1" applyFill="1" applyBorder="1"/>
    <xf numFmtId="166" fontId="34" fillId="2" borderId="11" xfId="2" applyNumberFormat="1" applyFont="1" applyFill="1" applyBorder="1"/>
    <xf numFmtId="0" fontId="0" fillId="0" borderId="0" xfId="0"/>
    <xf numFmtId="3" fontId="12" fillId="2" borderId="11" xfId="0" applyNumberFormat="1" applyFont="1" applyFill="1" applyBorder="1" applyAlignment="1" applyProtection="1">
      <alignment horizontal="left"/>
    </xf>
    <xf numFmtId="0" fontId="3" fillId="0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1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21" fillId="4" borderId="0" xfId="0" applyFont="1" applyFill="1"/>
    <xf numFmtId="0" fontId="22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3" fontId="0" fillId="0" borderId="0" xfId="0" applyNumberFormat="1" applyFill="1"/>
    <xf numFmtId="166" fontId="10" fillId="2" borderId="11" xfId="2" applyNumberFormat="1" applyFont="1" applyFill="1" applyBorder="1"/>
    <xf numFmtId="166" fontId="10" fillId="2" borderId="20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Alignment="1">
      <alignment horizontal="right"/>
    </xf>
    <xf numFmtId="166" fontId="15" fillId="2" borderId="11" xfId="2" applyNumberFormat="1" applyFont="1" applyFill="1" applyBorder="1"/>
    <xf numFmtId="166" fontId="0" fillId="0" borderId="0" xfId="2" applyNumberFormat="1" applyFont="1" applyFill="1"/>
    <xf numFmtId="166" fontId="21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21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49" fontId="10" fillId="2" borderId="20" xfId="2" applyNumberFormat="1" applyFont="1" applyFill="1" applyBorder="1" applyAlignment="1">
      <alignment horizontal="center"/>
    </xf>
    <xf numFmtId="49" fontId="22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6" fillId="2" borderId="11" xfId="2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2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/>
    </xf>
    <xf numFmtId="166" fontId="10" fillId="2" borderId="20" xfId="2" applyNumberFormat="1" applyFont="1" applyFill="1" applyBorder="1" applyAlignment="1">
      <alignment horizontal="left"/>
    </xf>
    <xf numFmtId="0" fontId="12" fillId="2" borderId="11" xfId="0" applyFont="1" applyFill="1" applyBorder="1" applyAlignment="1" applyProtection="1">
      <alignment horizontal="left"/>
    </xf>
    <xf numFmtId="166" fontId="0" fillId="0" borderId="0" xfId="0" applyNumberFormat="1" applyFill="1"/>
    <xf numFmtId="166" fontId="15" fillId="2" borderId="0" xfId="2" applyNumberFormat="1" applyFont="1" applyFill="1" applyBorder="1"/>
    <xf numFmtId="166" fontId="3" fillId="0" borderId="0" xfId="0" applyNumberFormat="1" applyFont="1" applyFill="1"/>
    <xf numFmtId="4" fontId="0" fillId="0" borderId="0" xfId="0" applyNumberFormat="1"/>
    <xf numFmtId="40" fontId="0" fillId="0" borderId="0" xfId="0" applyNumberFormat="1"/>
    <xf numFmtId="166" fontId="10" fillId="3" borderId="11" xfId="2" applyNumberFormat="1" applyFont="1" applyFill="1" applyBorder="1"/>
    <xf numFmtId="49" fontId="10" fillId="3" borderId="14" xfId="2" applyNumberFormat="1" applyFont="1" applyFill="1" applyBorder="1" applyAlignment="1">
      <alignment horizontal="center"/>
    </xf>
    <xf numFmtId="49" fontId="4" fillId="0" borderId="45" xfId="0" applyNumberFormat="1" applyFont="1" applyFill="1" applyBorder="1"/>
    <xf numFmtId="49" fontId="4" fillId="0" borderId="46" xfId="0" applyNumberFormat="1" applyFont="1" applyFill="1" applyBorder="1"/>
    <xf numFmtId="0" fontId="4" fillId="0" borderId="46" xfId="0" quotePrefix="1" applyFont="1" applyFill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50" xfId="0" applyFont="1" applyFill="1" applyBorder="1"/>
    <xf numFmtId="38" fontId="4" fillId="0" borderId="28" xfId="0" applyNumberFormat="1" applyFont="1" applyFill="1" applyBorder="1"/>
    <xf numFmtId="38" fontId="4" fillId="0" borderId="30" xfId="0" applyNumberFormat="1" applyFont="1" applyFill="1" applyBorder="1"/>
    <xf numFmtId="0" fontId="4" fillId="0" borderId="51" xfId="0" applyFont="1" applyFill="1" applyBorder="1"/>
    <xf numFmtId="38" fontId="4" fillId="0" borderId="52" xfId="0" applyNumberFormat="1" applyFont="1" applyFill="1" applyBorder="1"/>
    <xf numFmtId="0" fontId="4" fillId="0" borderId="53" xfId="0" applyFont="1" applyFill="1" applyBorder="1" applyAlignment="1" applyProtection="1">
      <alignment horizontal="left"/>
    </xf>
    <xf numFmtId="3" fontId="4" fillId="0" borderId="53" xfId="0" applyNumberFormat="1" applyFont="1" applyFill="1" applyBorder="1" applyAlignment="1" applyProtection="1">
      <alignment horizontal="left"/>
    </xf>
    <xf numFmtId="0" fontId="4" fillId="0" borderId="54" xfId="0" applyFont="1" applyFill="1" applyBorder="1" applyAlignment="1" applyProtection="1">
      <alignment horizontal="left"/>
    </xf>
    <xf numFmtId="38" fontId="4" fillId="0" borderId="55" xfId="0" applyNumberFormat="1" applyFont="1" applyFill="1" applyBorder="1"/>
    <xf numFmtId="38" fontId="4" fillId="0" borderId="56" xfId="0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166" fontId="9" fillId="0" borderId="1" xfId="2" quotePrefix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/>
    <xf numFmtId="164" fontId="9" fillId="0" borderId="0" xfId="0" applyNumberFormat="1" applyFont="1" applyBorder="1"/>
    <xf numFmtId="0" fontId="6" fillId="0" borderId="0" xfId="0" applyFont="1" applyBorder="1" applyAlignment="1">
      <alignment horizontal="left"/>
    </xf>
    <xf numFmtId="166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49" fontId="6" fillId="0" borderId="0" xfId="0" applyNumberFormat="1" applyFont="1" applyAlignment="1">
      <alignment horizontal="center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49" fontId="9" fillId="0" borderId="3" xfId="0" quotePrefix="1" applyNumberFormat="1" applyFont="1" applyFill="1" applyBorder="1" applyAlignment="1">
      <alignment horizontal="center" vertical="center" wrapText="1"/>
    </xf>
    <xf numFmtId="49" fontId="6" fillId="2" borderId="11" xfId="2" applyNumberFormat="1" applyFont="1" applyFill="1" applyBorder="1" applyAlignment="1">
      <alignment horizontal="left"/>
    </xf>
    <xf numFmtId="49" fontId="9" fillId="0" borderId="57" xfId="0" applyNumberFormat="1" applyFont="1" applyFill="1" applyBorder="1" applyAlignment="1">
      <alignment vertical="center"/>
    </xf>
    <xf numFmtId="49" fontId="9" fillId="0" borderId="4" xfId="0" quotePrefix="1" applyNumberFormat="1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</cellXfs>
  <cellStyles count="40">
    <cellStyle name="Comma" xfId="2" builtinId="3"/>
    <cellStyle name="Comma 2" xfId="3"/>
    <cellStyle name="Comma 2 2" xfId="6"/>
    <cellStyle name="Comma 2 2 2" xfId="29"/>
    <cellStyle name="Comma 3" xfId="14"/>
    <cellStyle name="Comma 3 2" xfId="35"/>
    <cellStyle name="Comma 4" xfId="21"/>
    <cellStyle name="Comma 4 2" xfId="38"/>
    <cellStyle name="Comma 5" xfId="5"/>
    <cellStyle name="Comma 5 2" xfId="28"/>
    <cellStyle name="Currency" xfId="1" builtinId="4"/>
    <cellStyle name="Currency 2" xfId="8"/>
    <cellStyle name="Currency 2 2" xfId="31"/>
    <cellStyle name="Currency 3" xfId="7"/>
    <cellStyle name="Currency 3 2" xfId="30"/>
    <cellStyle name="Hyperlink 2" xfId="20"/>
    <cellStyle name="Normal" xfId="0" builtinId="0"/>
    <cellStyle name="Normal 10" xfId="25"/>
    <cellStyle name="Normal 10 2" xfId="26"/>
    <cellStyle name="Normal 11" xfId="4"/>
    <cellStyle name="Normal 12" xfId="27"/>
    <cellStyle name="Normal 12 2" xfId="39"/>
    <cellStyle name="Normal 2" xfId="9"/>
    <cellStyle name="Normal 2 2" xfId="24"/>
    <cellStyle name="Normal 3" xfId="10"/>
    <cellStyle name="Normal 3 2" xfId="11"/>
    <cellStyle name="Normal 3 2 2" xfId="32"/>
    <cellStyle name="Normal 4" xfId="16"/>
    <cellStyle name="Normal 4 2" xfId="37"/>
    <cellStyle name="Normal 5" xfId="17"/>
    <cellStyle name="Normal 6" xfId="18"/>
    <cellStyle name="Normal 7" xfId="19"/>
    <cellStyle name="Normal 8" xfId="22"/>
    <cellStyle name="Normal 9" xfId="23"/>
    <cellStyle name="Percent 2" xfId="13"/>
    <cellStyle name="Percent 2 2" xfId="34"/>
    <cellStyle name="Percent 3" xfId="15"/>
    <cellStyle name="Percent 3 2" xfId="36"/>
    <cellStyle name="Percent 4" xfId="12"/>
    <cellStyle name="Percent 4 2" xfId="33"/>
  </cellStyles>
  <dxfs count="0"/>
  <tableStyles count="0" defaultTableStyle="TableStyleMedium2" defaultPivotStyle="PivotStyleLight16"/>
  <colors>
    <mruColors>
      <color rgb="FF66CCFF"/>
      <color rgb="FF99CC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66FF"/>
  </sheetPr>
  <dimension ref="A1:I376"/>
  <sheetViews>
    <sheetView topLeftCell="B1" zoomScale="85" zoomScaleNormal="85" workbookViewId="0">
      <pane ySplit="3" topLeftCell="A168" activePane="bottomLeft" state="frozen"/>
      <selection pane="bottomLeft" activeCell="B3" sqref="B3"/>
    </sheetView>
  </sheetViews>
  <sheetFormatPr defaultColWidth="9.109375" defaultRowHeight="14.4" x14ac:dyDescent="0.3"/>
  <cols>
    <col min="1" max="1" width="9.109375" style="88"/>
    <col min="2" max="2" width="30.88671875" style="88" bestFit="1" customWidth="1"/>
    <col min="3" max="3" width="20.44140625" style="88" bestFit="1" customWidth="1"/>
    <col min="4" max="4" width="20.44140625" style="88" customWidth="1"/>
    <col min="5" max="5" width="21.6640625" style="88" bestFit="1" customWidth="1"/>
    <col min="6" max="6" width="17.6640625" style="88" customWidth="1"/>
    <col min="7" max="7" width="15" style="88" customWidth="1"/>
    <col min="8" max="8" width="15.88671875" style="88" customWidth="1"/>
    <col min="9" max="9" width="19.88671875" style="88" customWidth="1"/>
    <col min="10" max="16384" width="9.109375" style="88"/>
  </cols>
  <sheetData>
    <row r="1" spans="1:9" ht="15.75" customHeight="1" x14ac:dyDescent="0.3">
      <c r="A1" s="316" t="s">
        <v>594</v>
      </c>
      <c r="B1" s="317"/>
      <c r="C1" s="317"/>
      <c r="D1" s="317"/>
      <c r="E1" s="317"/>
      <c r="F1" s="317"/>
      <c r="G1" s="317"/>
      <c r="H1" s="317"/>
      <c r="I1" s="318"/>
    </row>
    <row r="2" spans="1:9" ht="15.75" customHeight="1" thickBot="1" x14ac:dyDescent="0.35">
      <c r="A2" s="319"/>
      <c r="B2" s="320"/>
      <c r="C2" s="320"/>
      <c r="D2" s="320"/>
      <c r="E2" s="320"/>
      <c r="F2" s="320"/>
      <c r="G2" s="320"/>
      <c r="H2" s="320"/>
      <c r="I2" s="321"/>
    </row>
    <row r="3" spans="1:9" ht="19.2" thickTop="1" thickBot="1" x14ac:dyDescent="0.4">
      <c r="A3" s="89" t="s">
        <v>367</v>
      </c>
      <c r="B3" s="274" t="s">
        <v>408</v>
      </c>
      <c r="C3" s="275" t="s">
        <v>6</v>
      </c>
      <c r="D3" s="275" t="s">
        <v>385</v>
      </c>
      <c r="E3" s="274" t="s">
        <v>393</v>
      </c>
      <c r="F3" s="274" t="s">
        <v>394</v>
      </c>
      <c r="G3" s="275" t="s">
        <v>395</v>
      </c>
      <c r="H3" s="274" t="s">
        <v>396</v>
      </c>
      <c r="I3" s="276" t="s">
        <v>397</v>
      </c>
    </row>
    <row r="4" spans="1:9" ht="18.600000000000001" thickTop="1" x14ac:dyDescent="0.35">
      <c r="A4" s="271" t="s">
        <v>7</v>
      </c>
      <c r="B4" s="277" t="s">
        <v>185</v>
      </c>
      <c r="C4" s="278">
        <f>VLOOKUP(A4,'NCLB Title IA Formula'!$A$13:$G$196,7,FALSE)</f>
        <v>0</v>
      </c>
      <c r="D4" s="278">
        <f>IFERROR(VLOOKUP(A4,'NCLB Title I-C Migrant'!$A$11:$E$15,5,FALSE),0)</f>
        <v>0</v>
      </c>
      <c r="E4" s="278">
        <f>IFERROR(VLOOKUP(A4,'NCLB Title I-Delinquent'!$A$11:$E$29,5,FALSE),0)</f>
        <v>0</v>
      </c>
      <c r="F4" s="278">
        <f>IFERROR(VLOOKUP(A4,'NCLB Title II-A Formula'!$A$12:$G$196,7,FALSE),0)</f>
        <v>0</v>
      </c>
      <c r="G4" s="278">
        <f>VLOOKUP(A4,'NCLB Title III-A '!$A$13:$I$197,9,FALSE)</f>
        <v>0</v>
      </c>
      <c r="H4" s="278">
        <f>IFERROR(VLOOKUP(A4,'NCLB Title III SAI'!$A$13:$G$45,7,FALSE),0)</f>
        <v>0</v>
      </c>
      <c r="I4" s="279">
        <f>IFERROR(VLOOKUP(A4,'NCLB Title VI Rural LI'!$A$13:$E$191,5,FALSE),0)</f>
        <v>0</v>
      </c>
    </row>
    <row r="5" spans="1:9" ht="18" x14ac:dyDescent="0.35">
      <c r="A5" s="272" t="s">
        <v>8</v>
      </c>
      <c r="B5" s="280" t="s">
        <v>186</v>
      </c>
      <c r="C5" s="187">
        <f>VLOOKUP(A5,'NCLB Title IA Formula'!$A$13:$G$196,7,FALSE)</f>
        <v>0</v>
      </c>
      <c r="D5" s="187">
        <f>IFERROR(VLOOKUP(A5,'NCLB Title I-C Migrant'!$A$11:$E$15,5,FALSE),0)</f>
        <v>0</v>
      </c>
      <c r="E5" s="187">
        <f>IFERROR(VLOOKUP(A5,'NCLB Title I-Delinquent'!$A$11:$E$29,5,FALSE),0)</f>
        <v>0</v>
      </c>
      <c r="F5" s="187">
        <f>IFERROR(VLOOKUP(A5,'NCLB Title II-A Formula'!$A$12:$G$196,7,FALSE),0)</f>
        <v>0</v>
      </c>
      <c r="G5" s="187">
        <f>VLOOKUP(A5,'NCLB Title III-A '!$A$13:$I$197,9,FALSE)</f>
        <v>0</v>
      </c>
      <c r="H5" s="187">
        <f>IFERROR(VLOOKUP(A5,'NCLB Title III SAI'!$A$13:$G$45,7,FALSE),0)</f>
        <v>0</v>
      </c>
      <c r="I5" s="281">
        <f>IFERROR(VLOOKUP(A5,'NCLB Title VI Rural LI'!$A$13:$E$191,5,FALSE),0)</f>
        <v>0</v>
      </c>
    </row>
    <row r="6" spans="1:9" ht="18" x14ac:dyDescent="0.35">
      <c r="A6" s="272" t="s">
        <v>9</v>
      </c>
      <c r="B6" s="280" t="s">
        <v>187</v>
      </c>
      <c r="C6" s="187">
        <f>VLOOKUP(A6,'NCLB Title IA Formula'!$A$13:$G$196,7,FALSE)</f>
        <v>0</v>
      </c>
      <c r="D6" s="187">
        <f>IFERROR(VLOOKUP(A6,'NCLB Title I-C Migrant'!$A$11:$E$15,5,FALSE),0)</f>
        <v>0</v>
      </c>
      <c r="E6" s="187">
        <f>IFERROR(VLOOKUP(A6,'NCLB Title I-Delinquent'!$A$11:$E$29,5,FALSE),0)</f>
        <v>0</v>
      </c>
      <c r="F6" s="187">
        <f>IFERROR(VLOOKUP(A6,'NCLB Title II-A Formula'!$A$12:$G$196,7,FALSE),0)</f>
        <v>0</v>
      </c>
      <c r="G6" s="187">
        <f>VLOOKUP(A6,'NCLB Title III-A '!$A$13:$I$197,9,FALSE)</f>
        <v>0</v>
      </c>
      <c r="H6" s="187">
        <f>IFERROR(VLOOKUP(A6,'NCLB Title III SAI'!$A$13:$G$45,7,FALSE),0)</f>
        <v>2494</v>
      </c>
      <c r="I6" s="281">
        <f>IFERROR(VLOOKUP(A6,'NCLB Title VI Rural LI'!$A$13:$E$191,5,FALSE),0)</f>
        <v>0</v>
      </c>
    </row>
    <row r="7" spans="1:9" ht="18" x14ac:dyDescent="0.35">
      <c r="A7" s="272" t="s">
        <v>10</v>
      </c>
      <c r="B7" s="280" t="s">
        <v>188</v>
      </c>
      <c r="C7" s="187">
        <f>VLOOKUP(A7,'NCLB Title IA Formula'!$A$13:$G$196,7,FALSE)</f>
        <v>0</v>
      </c>
      <c r="D7" s="187">
        <f>IFERROR(VLOOKUP(A7,'NCLB Title I-C Migrant'!$A$11:$E$15,5,FALSE),0)</f>
        <v>0</v>
      </c>
      <c r="E7" s="187">
        <f>IFERROR(VLOOKUP(A7,'NCLB Title I-Delinquent'!$A$11:$E$29,5,FALSE),0)</f>
        <v>0</v>
      </c>
      <c r="F7" s="187">
        <f>IFERROR(VLOOKUP(A7,'NCLB Title II-A Formula'!$A$12:$G$196,7,FALSE),0)</f>
        <v>0</v>
      </c>
      <c r="G7" s="187">
        <f>VLOOKUP(A7,'NCLB Title III-A '!$A$13:$I$197,9,FALSE)</f>
        <v>0</v>
      </c>
      <c r="H7" s="187">
        <f>IFERROR(VLOOKUP(A7,'NCLB Title III SAI'!$A$13:$G$45,7,FALSE),0)</f>
        <v>0</v>
      </c>
      <c r="I7" s="281">
        <f>IFERROR(VLOOKUP(A7,'NCLB Title VI Rural LI'!$A$13:$E$191,5,FALSE),0)</f>
        <v>0</v>
      </c>
    </row>
    <row r="8" spans="1:9" ht="18" x14ac:dyDescent="0.35">
      <c r="A8" s="272" t="s">
        <v>11</v>
      </c>
      <c r="B8" s="280" t="s">
        <v>189</v>
      </c>
      <c r="C8" s="187">
        <f>VLOOKUP(A8,'NCLB Title IA Formula'!$A$13:$G$196,7,FALSE)</f>
        <v>0</v>
      </c>
      <c r="D8" s="187">
        <f>IFERROR(VLOOKUP(A8,'NCLB Title I-C Migrant'!$A$11:$E$15,5,FALSE),0)</f>
        <v>0</v>
      </c>
      <c r="E8" s="187">
        <f>IFERROR(VLOOKUP(A8,'NCLB Title I-Delinquent'!$A$11:$E$29,5,FALSE),0)</f>
        <v>0</v>
      </c>
      <c r="F8" s="187">
        <f>IFERROR(VLOOKUP(A8,'NCLB Title II-A Formula'!$A$12:$G$196,7,FALSE),0)</f>
        <v>0</v>
      </c>
      <c r="G8" s="187">
        <f>VLOOKUP(A8,'NCLB Title III-A '!$A$13:$I$197,9,FALSE)</f>
        <v>0</v>
      </c>
      <c r="H8" s="187">
        <f>IFERROR(VLOOKUP(A8,'NCLB Title III SAI'!$A$13:$G$45,7,FALSE),0)</f>
        <v>0</v>
      </c>
      <c r="I8" s="281">
        <f>IFERROR(VLOOKUP(A8,'NCLB Title VI Rural LI'!$A$13:$E$191,5,FALSE),0)</f>
        <v>0</v>
      </c>
    </row>
    <row r="9" spans="1:9" ht="18" x14ac:dyDescent="0.35">
      <c r="A9" s="272" t="s">
        <v>12</v>
      </c>
      <c r="B9" s="280" t="s">
        <v>190</v>
      </c>
      <c r="C9" s="187">
        <f>VLOOKUP(A9,'NCLB Title IA Formula'!$A$13:$G$196,7,FALSE)</f>
        <v>0</v>
      </c>
      <c r="D9" s="187">
        <f>IFERROR(VLOOKUP(A9,'NCLB Title I-C Migrant'!$A$11:$E$15,5,FALSE),0)</f>
        <v>0</v>
      </c>
      <c r="E9" s="187">
        <f>IFERROR(VLOOKUP(A9,'NCLB Title I-Delinquent'!$A$11:$E$29,5,FALSE),0)</f>
        <v>0</v>
      </c>
      <c r="F9" s="187">
        <f>IFERROR(VLOOKUP(A9,'NCLB Title II-A Formula'!$A$12:$G$196,7,FALSE),0)</f>
        <v>0</v>
      </c>
      <c r="G9" s="187">
        <f>VLOOKUP(A9,'NCLB Title III-A '!$A$13:$I$197,9,FALSE)</f>
        <v>0</v>
      </c>
      <c r="H9" s="187">
        <f>IFERROR(VLOOKUP(A9,'NCLB Title III SAI'!$A$13:$G$45,7,FALSE),0)</f>
        <v>0</v>
      </c>
      <c r="I9" s="281">
        <f>IFERROR(VLOOKUP(A9,'NCLB Title VI Rural LI'!$A$13:$E$191,5,FALSE),0)</f>
        <v>0</v>
      </c>
    </row>
    <row r="10" spans="1:9" ht="18" x14ac:dyDescent="0.35">
      <c r="A10" s="272" t="s">
        <v>13</v>
      </c>
      <c r="B10" s="280" t="s">
        <v>191</v>
      </c>
      <c r="C10" s="187">
        <f>VLOOKUP(A10,'NCLB Title IA Formula'!$A$13:$G$196,7,FALSE)</f>
        <v>0</v>
      </c>
      <c r="D10" s="187">
        <f>IFERROR(VLOOKUP(A10,'NCLB Title I-C Migrant'!$A$11:$E$15,5,FALSE),0)</f>
        <v>0</v>
      </c>
      <c r="E10" s="187">
        <f>IFERROR(VLOOKUP(A10,'NCLB Title I-Delinquent'!$A$11:$E$29,5,FALSE),0)</f>
        <v>0</v>
      </c>
      <c r="F10" s="187">
        <f>IFERROR(VLOOKUP(A10,'NCLB Title II-A Formula'!$A$12:$G$196,7,FALSE),0)</f>
        <v>0</v>
      </c>
      <c r="G10" s="187">
        <f>VLOOKUP(A10,'NCLB Title III-A '!$A$13:$I$197,9,FALSE)</f>
        <v>0</v>
      </c>
      <c r="H10" s="187">
        <f>IFERROR(VLOOKUP(A10,'NCLB Title III SAI'!$A$13:$G$45,7,FALSE),0)</f>
        <v>3459</v>
      </c>
      <c r="I10" s="281">
        <f>IFERROR(VLOOKUP(A10,'NCLB Title VI Rural LI'!$A$13:$E$191,5,FALSE),0)</f>
        <v>0</v>
      </c>
    </row>
    <row r="11" spans="1:9" ht="18" x14ac:dyDescent="0.35">
      <c r="A11" s="272" t="s">
        <v>14</v>
      </c>
      <c r="B11" s="280" t="s">
        <v>192</v>
      </c>
      <c r="C11" s="187">
        <f>VLOOKUP(A11,'NCLB Title IA Formula'!$A$13:$G$196,7,FALSE)</f>
        <v>0</v>
      </c>
      <c r="D11" s="187">
        <f>IFERROR(VLOOKUP(A11,'NCLB Title I-C Migrant'!$A$11:$E$15,5,FALSE),0)</f>
        <v>0</v>
      </c>
      <c r="E11" s="187">
        <f>IFERROR(VLOOKUP(A11,'NCLB Title I-Delinquent'!$A$11:$E$29,5,FALSE),0)</f>
        <v>0</v>
      </c>
      <c r="F11" s="187">
        <f>IFERROR(VLOOKUP(A11,'NCLB Title II-A Formula'!$A$12:$G$196,7,FALSE),0)</f>
        <v>0</v>
      </c>
      <c r="G11" s="187">
        <f>VLOOKUP(A11,'NCLB Title III-A '!$A$13:$I$197,9,FALSE)</f>
        <v>0</v>
      </c>
      <c r="H11" s="187">
        <f>IFERROR(VLOOKUP(A11,'NCLB Title III SAI'!$A$13:$G$45,7,FALSE),0)</f>
        <v>0</v>
      </c>
      <c r="I11" s="281">
        <f>IFERROR(VLOOKUP(A11,'NCLB Title VI Rural LI'!$A$13:$E$191,5,FALSE),0)</f>
        <v>0</v>
      </c>
    </row>
    <row r="12" spans="1:9" ht="18" x14ac:dyDescent="0.35">
      <c r="A12" s="272" t="s">
        <v>15</v>
      </c>
      <c r="B12" s="280" t="s">
        <v>193</v>
      </c>
      <c r="C12" s="187">
        <f>VLOOKUP(A12,'NCLB Title IA Formula'!$A$13:$G$196,7,FALSE)</f>
        <v>0</v>
      </c>
      <c r="D12" s="187">
        <f>IFERROR(VLOOKUP(A12,'NCLB Title I-C Migrant'!$A$11:$E$15,5,FALSE),0)</f>
        <v>0</v>
      </c>
      <c r="E12" s="187">
        <f>IFERROR(VLOOKUP(A12,'NCLB Title I-Delinquent'!$A$11:$E$29,5,FALSE),0)</f>
        <v>0</v>
      </c>
      <c r="F12" s="187">
        <f>IFERROR(VLOOKUP(A12,'NCLB Title II-A Formula'!$A$12:$G$196,7,FALSE),0)</f>
        <v>0</v>
      </c>
      <c r="G12" s="187">
        <f>VLOOKUP(A12,'NCLB Title III-A '!$A$13:$I$197,9,FALSE)</f>
        <v>0</v>
      </c>
      <c r="H12" s="187">
        <f>IFERROR(VLOOKUP(A12,'NCLB Title III SAI'!$A$13:$G$45,7,FALSE),0)</f>
        <v>0</v>
      </c>
      <c r="I12" s="281">
        <f>IFERROR(VLOOKUP(A12,'NCLB Title VI Rural LI'!$A$13:$E$191,5,FALSE),0)</f>
        <v>0</v>
      </c>
    </row>
    <row r="13" spans="1:9" ht="18" x14ac:dyDescent="0.35">
      <c r="A13" s="272" t="s">
        <v>16</v>
      </c>
      <c r="B13" s="280" t="s">
        <v>194</v>
      </c>
      <c r="C13" s="187">
        <f>VLOOKUP(A13,'NCLB Title IA Formula'!$A$13:$G$196,7,FALSE)</f>
        <v>0</v>
      </c>
      <c r="D13" s="187">
        <f>IFERROR(VLOOKUP(A13,'NCLB Title I-C Migrant'!$A$11:$E$15,5,FALSE),0)</f>
        <v>0</v>
      </c>
      <c r="E13" s="187">
        <f>IFERROR(VLOOKUP(A13,'NCLB Title I-Delinquent'!$A$11:$E$29,5,FALSE),0)</f>
        <v>0</v>
      </c>
      <c r="F13" s="187">
        <f>IFERROR(VLOOKUP(A13,'NCLB Title II-A Formula'!$A$12:$G$196,7,FALSE),0)</f>
        <v>0</v>
      </c>
      <c r="G13" s="187">
        <f>VLOOKUP(A13,'NCLB Title III-A '!$A$13:$I$197,9,FALSE)</f>
        <v>0</v>
      </c>
      <c r="H13" s="187">
        <f>IFERROR(VLOOKUP(A13,'NCLB Title III SAI'!$A$13:$G$45,7,FALSE),0)</f>
        <v>0</v>
      </c>
      <c r="I13" s="281">
        <f>IFERROR(VLOOKUP(A13,'NCLB Title VI Rural LI'!$A$13:$E$191,5,FALSE),0)</f>
        <v>0</v>
      </c>
    </row>
    <row r="14" spans="1:9" ht="18" x14ac:dyDescent="0.35">
      <c r="A14" s="272" t="s">
        <v>17</v>
      </c>
      <c r="B14" s="280" t="s">
        <v>195</v>
      </c>
      <c r="C14" s="187">
        <f>VLOOKUP(A14,'NCLB Title IA Formula'!$A$13:$G$196,7,FALSE)</f>
        <v>0</v>
      </c>
      <c r="D14" s="187">
        <f>IFERROR(VLOOKUP(A14,'NCLB Title I-C Migrant'!$A$11:$E$15,5,FALSE),0)</f>
        <v>0</v>
      </c>
      <c r="E14" s="187">
        <f>IFERROR(VLOOKUP(A14,'NCLB Title I-Delinquent'!$A$11:$E$29,5,FALSE),0)</f>
        <v>0</v>
      </c>
      <c r="F14" s="187">
        <f>IFERROR(VLOOKUP(A14,'NCLB Title II-A Formula'!$A$12:$G$196,7,FALSE),0)</f>
        <v>0</v>
      </c>
      <c r="G14" s="187">
        <f>VLOOKUP(A14,'NCLB Title III-A '!$A$13:$I$197,9,FALSE)</f>
        <v>0</v>
      </c>
      <c r="H14" s="187">
        <f>IFERROR(VLOOKUP(A14,'NCLB Title III SAI'!$A$13:$G$45,7,FALSE),0)</f>
        <v>0</v>
      </c>
      <c r="I14" s="281">
        <f>IFERROR(VLOOKUP(A14,'NCLB Title VI Rural LI'!$A$13:$E$191,5,FALSE),0)</f>
        <v>0</v>
      </c>
    </row>
    <row r="15" spans="1:9" ht="18" x14ac:dyDescent="0.35">
      <c r="A15" s="272" t="s">
        <v>18</v>
      </c>
      <c r="B15" s="280" t="s">
        <v>196</v>
      </c>
      <c r="C15" s="187">
        <f>VLOOKUP(A15,'NCLB Title IA Formula'!$A$13:$G$196,7,FALSE)</f>
        <v>0</v>
      </c>
      <c r="D15" s="187">
        <f>IFERROR(VLOOKUP(A15,'NCLB Title I-C Migrant'!$A$11:$E$15,5,FALSE),0)</f>
        <v>0</v>
      </c>
      <c r="E15" s="187">
        <f>IFERROR(VLOOKUP(A15,'NCLB Title I-Delinquent'!$A$11:$E$29,5,FALSE),0)</f>
        <v>0</v>
      </c>
      <c r="F15" s="187">
        <f>IFERROR(VLOOKUP(A15,'NCLB Title II-A Formula'!$A$12:$G$196,7,FALSE),0)</f>
        <v>0</v>
      </c>
      <c r="G15" s="187">
        <f>VLOOKUP(A15,'NCLB Title III-A '!$A$13:$I$197,9,FALSE)</f>
        <v>0</v>
      </c>
      <c r="H15" s="187">
        <f>IFERROR(VLOOKUP(A15,'NCLB Title III SAI'!$A$13:$G$45,7,FALSE),0)</f>
        <v>0</v>
      </c>
      <c r="I15" s="281">
        <f>IFERROR(VLOOKUP(A15,'NCLB Title VI Rural LI'!$A$13:$E$191,5,FALSE),0)</f>
        <v>0</v>
      </c>
    </row>
    <row r="16" spans="1:9" ht="18" x14ac:dyDescent="0.35">
      <c r="A16" s="272" t="s">
        <v>19</v>
      </c>
      <c r="B16" s="280" t="s">
        <v>197</v>
      </c>
      <c r="C16" s="187">
        <f>VLOOKUP(A16,'NCLB Title IA Formula'!$A$13:$G$196,7,FALSE)</f>
        <v>0</v>
      </c>
      <c r="D16" s="187">
        <f>IFERROR(VLOOKUP(A16,'NCLB Title I-C Migrant'!$A$11:$E$15,5,FALSE),0)</f>
        <v>0</v>
      </c>
      <c r="E16" s="187">
        <f>IFERROR(VLOOKUP(A16,'NCLB Title I-Delinquent'!$A$11:$E$29,5,FALSE),0)</f>
        <v>0</v>
      </c>
      <c r="F16" s="187">
        <f>IFERROR(VLOOKUP(A16,'NCLB Title II-A Formula'!$A$12:$G$196,7,FALSE),0)</f>
        <v>0</v>
      </c>
      <c r="G16" s="187">
        <f>VLOOKUP(A16,'NCLB Title III-A '!$A$13:$I$197,9,FALSE)</f>
        <v>0</v>
      </c>
      <c r="H16" s="187">
        <f>IFERROR(VLOOKUP(A16,'NCLB Title III SAI'!$A$13:$G$45,7,FALSE),0)</f>
        <v>5770</v>
      </c>
      <c r="I16" s="281">
        <f>IFERROR(VLOOKUP(A16,'NCLB Title VI Rural LI'!$A$13:$E$191,5,FALSE),0)</f>
        <v>0</v>
      </c>
    </row>
    <row r="17" spans="1:9" ht="18" x14ac:dyDescent="0.35">
      <c r="A17" s="272" t="s">
        <v>20</v>
      </c>
      <c r="B17" s="280" t="s">
        <v>198</v>
      </c>
      <c r="C17" s="187">
        <f>VLOOKUP(A17,'NCLB Title IA Formula'!$A$13:$G$196,7,FALSE)</f>
        <v>0</v>
      </c>
      <c r="D17" s="187">
        <f>IFERROR(VLOOKUP(A17,'NCLB Title I-C Migrant'!$A$11:$E$15,5,FALSE),0)</f>
        <v>0</v>
      </c>
      <c r="E17" s="187">
        <f>IFERROR(VLOOKUP(A17,'NCLB Title I-Delinquent'!$A$11:$E$29,5,FALSE),0)</f>
        <v>0</v>
      </c>
      <c r="F17" s="187">
        <f>IFERROR(VLOOKUP(A17,'NCLB Title II-A Formula'!$A$12:$G$196,7,FALSE),0)</f>
        <v>0</v>
      </c>
      <c r="G17" s="187">
        <f>VLOOKUP(A17,'NCLB Title III-A '!$A$13:$I$197,9,FALSE)</f>
        <v>0</v>
      </c>
      <c r="H17" s="187">
        <f>IFERROR(VLOOKUP(A17,'NCLB Title III SAI'!$A$13:$G$45,7,FALSE),0)</f>
        <v>0</v>
      </c>
      <c r="I17" s="281">
        <f>IFERROR(VLOOKUP(A17,'NCLB Title VI Rural LI'!$A$13:$E$191,5,FALSE),0)</f>
        <v>0</v>
      </c>
    </row>
    <row r="18" spans="1:9" ht="18" x14ac:dyDescent="0.35">
      <c r="A18" s="272" t="s">
        <v>21</v>
      </c>
      <c r="B18" s="280" t="s">
        <v>199</v>
      </c>
      <c r="C18" s="187">
        <f>VLOOKUP(A18,'NCLB Title IA Formula'!$A$13:$G$196,7,FALSE)</f>
        <v>0</v>
      </c>
      <c r="D18" s="187">
        <f>IFERROR(VLOOKUP(A18,'NCLB Title I-C Migrant'!$A$11:$E$15,5,FALSE),0)</f>
        <v>13607</v>
      </c>
      <c r="E18" s="187">
        <f>IFERROR(VLOOKUP(A18,'NCLB Title I-Delinquent'!$A$11:$E$29,5,FALSE),0)</f>
        <v>0</v>
      </c>
      <c r="F18" s="187">
        <f>IFERROR(VLOOKUP(A18,'NCLB Title II-A Formula'!$A$12:$G$196,7,FALSE),0)</f>
        <v>0</v>
      </c>
      <c r="G18" s="187">
        <f>VLOOKUP(A18,'NCLB Title III-A '!$A$13:$I$197,9,FALSE)</f>
        <v>0</v>
      </c>
      <c r="H18" s="187">
        <f>IFERROR(VLOOKUP(A18,'NCLB Title III SAI'!$A$13:$G$45,7,FALSE),0)</f>
        <v>0</v>
      </c>
      <c r="I18" s="281">
        <f>IFERROR(VLOOKUP(A18,'NCLB Title VI Rural LI'!$A$13:$E$191,5,FALSE),0)</f>
        <v>0</v>
      </c>
    </row>
    <row r="19" spans="1:9" ht="18" x14ac:dyDescent="0.35">
      <c r="A19" s="272" t="s">
        <v>22</v>
      </c>
      <c r="B19" s="280" t="s">
        <v>200</v>
      </c>
      <c r="C19" s="187">
        <f>VLOOKUP(A19,'NCLB Title IA Formula'!$A$13:$G$196,7,FALSE)</f>
        <v>0</v>
      </c>
      <c r="D19" s="187">
        <f>IFERROR(VLOOKUP(A19,'NCLB Title I-C Migrant'!$A$11:$E$15,5,FALSE),0)</f>
        <v>0</v>
      </c>
      <c r="E19" s="187">
        <f>IFERROR(VLOOKUP(A19,'NCLB Title I-Delinquent'!$A$11:$E$29,5,FALSE),0)</f>
        <v>0</v>
      </c>
      <c r="F19" s="187">
        <f>IFERROR(VLOOKUP(A19,'NCLB Title II-A Formula'!$A$12:$G$196,7,FALSE),0)</f>
        <v>0</v>
      </c>
      <c r="G19" s="187">
        <f>VLOOKUP(A19,'NCLB Title III-A '!$A$13:$I$197,9,FALSE)</f>
        <v>0</v>
      </c>
      <c r="H19" s="187">
        <f>IFERROR(VLOOKUP(A19,'NCLB Title III SAI'!$A$13:$G$45,7,FALSE),0)</f>
        <v>0</v>
      </c>
      <c r="I19" s="281">
        <f>IFERROR(VLOOKUP(A19,'NCLB Title VI Rural LI'!$A$13:$E$191,5,FALSE),0)</f>
        <v>0</v>
      </c>
    </row>
    <row r="20" spans="1:9" ht="18" x14ac:dyDescent="0.35">
      <c r="A20" s="272" t="s">
        <v>23</v>
      </c>
      <c r="B20" s="280" t="s">
        <v>201</v>
      </c>
      <c r="C20" s="187">
        <f>VLOOKUP(A20,'NCLB Title IA Formula'!$A$13:$G$196,7,FALSE)</f>
        <v>0</v>
      </c>
      <c r="D20" s="187">
        <f>IFERROR(VLOOKUP(A20,'NCLB Title I-C Migrant'!$A$11:$E$15,5,FALSE),0)</f>
        <v>0</v>
      </c>
      <c r="E20" s="187">
        <f>IFERROR(VLOOKUP(A20,'NCLB Title I-Delinquent'!$A$11:$E$29,5,FALSE),0)</f>
        <v>0</v>
      </c>
      <c r="F20" s="187">
        <f>IFERROR(VLOOKUP(A20,'NCLB Title II-A Formula'!$A$12:$G$196,7,FALSE),0)</f>
        <v>0</v>
      </c>
      <c r="G20" s="187">
        <f>VLOOKUP(A20,'NCLB Title III-A '!$A$13:$I$197,9,FALSE)</f>
        <v>0</v>
      </c>
      <c r="H20" s="187">
        <f>IFERROR(VLOOKUP(A20,'NCLB Title III SAI'!$A$13:$G$45,7,FALSE),0)</f>
        <v>0</v>
      </c>
      <c r="I20" s="281">
        <f>IFERROR(VLOOKUP(A20,'NCLB Title VI Rural LI'!$A$13:$E$191,5,FALSE),0)</f>
        <v>0</v>
      </c>
    </row>
    <row r="21" spans="1:9" ht="18" x14ac:dyDescent="0.35">
      <c r="A21" s="272" t="s">
        <v>24</v>
      </c>
      <c r="B21" s="280" t="s">
        <v>202</v>
      </c>
      <c r="C21" s="187">
        <f>VLOOKUP(A21,'NCLB Title IA Formula'!$A$13:$G$196,7,FALSE)</f>
        <v>0</v>
      </c>
      <c r="D21" s="187">
        <f>IFERROR(VLOOKUP(A21,'NCLB Title I-C Migrant'!$A$11:$E$15,5,FALSE),0)</f>
        <v>0</v>
      </c>
      <c r="E21" s="187">
        <f>IFERROR(VLOOKUP(A21,'NCLB Title I-Delinquent'!$A$11:$E$29,5,FALSE),0)</f>
        <v>0</v>
      </c>
      <c r="F21" s="187">
        <f>IFERROR(VLOOKUP(A21,'NCLB Title II-A Formula'!$A$12:$G$196,7,FALSE),0)</f>
        <v>0</v>
      </c>
      <c r="G21" s="187">
        <f>VLOOKUP(A21,'NCLB Title III-A '!$A$13:$I$197,9,FALSE)</f>
        <v>0</v>
      </c>
      <c r="H21" s="187">
        <f>IFERROR(VLOOKUP(A21,'NCLB Title III SAI'!$A$13:$G$45,7,FALSE),0)</f>
        <v>0</v>
      </c>
      <c r="I21" s="281">
        <f>IFERROR(VLOOKUP(A21,'NCLB Title VI Rural LI'!$A$13:$E$191,5,FALSE),0)</f>
        <v>0</v>
      </c>
    </row>
    <row r="22" spans="1:9" ht="18" x14ac:dyDescent="0.35">
      <c r="A22" s="272" t="s">
        <v>25</v>
      </c>
      <c r="B22" s="280" t="s">
        <v>203</v>
      </c>
      <c r="C22" s="187">
        <f>VLOOKUP(A22,'NCLB Title IA Formula'!$A$13:$G$196,7,FALSE)</f>
        <v>0</v>
      </c>
      <c r="D22" s="187">
        <f>IFERROR(VLOOKUP(A22,'NCLB Title I-C Migrant'!$A$11:$E$15,5,FALSE),0)</f>
        <v>0</v>
      </c>
      <c r="E22" s="187">
        <f>IFERROR(VLOOKUP(A22,'NCLB Title I-Delinquent'!$A$11:$E$29,5,FALSE),0)</f>
        <v>0</v>
      </c>
      <c r="F22" s="187">
        <f>IFERROR(VLOOKUP(A22,'NCLB Title II-A Formula'!$A$12:$G$196,7,FALSE),0)</f>
        <v>0</v>
      </c>
      <c r="G22" s="187">
        <f>VLOOKUP(A22,'NCLB Title III-A '!$A$13:$I$197,9,FALSE)</f>
        <v>0</v>
      </c>
      <c r="H22" s="187">
        <f>IFERROR(VLOOKUP(A22,'NCLB Title III SAI'!$A$13:$G$45,7,FALSE),0)</f>
        <v>0</v>
      </c>
      <c r="I22" s="281">
        <f>IFERROR(VLOOKUP(A22,'NCLB Title VI Rural LI'!$A$13:$E$191,5,FALSE),0)</f>
        <v>0</v>
      </c>
    </row>
    <row r="23" spans="1:9" ht="18" x14ac:dyDescent="0.35">
      <c r="A23" s="272" t="s">
        <v>26</v>
      </c>
      <c r="B23" s="280" t="s">
        <v>204</v>
      </c>
      <c r="C23" s="187">
        <f>VLOOKUP(A23,'NCLB Title IA Formula'!$A$13:$G$196,7,FALSE)</f>
        <v>0</v>
      </c>
      <c r="D23" s="187">
        <f>IFERROR(VLOOKUP(A23,'NCLB Title I-C Migrant'!$A$11:$E$15,5,FALSE),0)</f>
        <v>0</v>
      </c>
      <c r="E23" s="187">
        <f>IFERROR(VLOOKUP(A23,'NCLB Title I-Delinquent'!$A$11:$E$29,5,FALSE),0)</f>
        <v>0</v>
      </c>
      <c r="F23" s="187">
        <f>IFERROR(VLOOKUP(A23,'NCLB Title II-A Formula'!$A$12:$G$196,7,FALSE),0)</f>
        <v>0</v>
      </c>
      <c r="G23" s="187">
        <f>VLOOKUP(A23,'NCLB Title III-A '!$A$13:$I$197,9,FALSE)</f>
        <v>0</v>
      </c>
      <c r="H23" s="187">
        <f>IFERROR(VLOOKUP(A23,'NCLB Title III SAI'!$A$13:$G$45,7,FALSE),0)</f>
        <v>0</v>
      </c>
      <c r="I23" s="281">
        <f>IFERROR(VLOOKUP(A23,'NCLB Title VI Rural LI'!$A$13:$E$191,5,FALSE),0)</f>
        <v>0</v>
      </c>
    </row>
    <row r="24" spans="1:9" ht="18" x14ac:dyDescent="0.35">
      <c r="A24" s="272" t="s">
        <v>27</v>
      </c>
      <c r="B24" s="280" t="s">
        <v>205</v>
      </c>
      <c r="C24" s="187">
        <f>VLOOKUP(A24,'NCLB Title IA Formula'!$A$13:$G$196,7,FALSE)</f>
        <v>0</v>
      </c>
      <c r="D24" s="187">
        <f>IFERROR(VLOOKUP(A24,'NCLB Title I-C Migrant'!$A$11:$E$15,5,FALSE),0)</f>
        <v>0</v>
      </c>
      <c r="E24" s="187">
        <f>IFERROR(VLOOKUP(A24,'NCLB Title I-Delinquent'!$A$11:$E$29,5,FALSE),0)</f>
        <v>0</v>
      </c>
      <c r="F24" s="187">
        <f>IFERROR(VLOOKUP(A24,'NCLB Title II-A Formula'!$A$12:$G$196,7,FALSE),0)</f>
        <v>0</v>
      </c>
      <c r="G24" s="187">
        <f>VLOOKUP(A24,'NCLB Title III-A '!$A$13:$I$197,9,FALSE)</f>
        <v>0</v>
      </c>
      <c r="H24" s="187">
        <f>IFERROR(VLOOKUP(A24,'NCLB Title III SAI'!$A$13:$G$45,7,FALSE),0)</f>
        <v>0</v>
      </c>
      <c r="I24" s="281">
        <f>IFERROR(VLOOKUP(A24,'NCLB Title VI Rural LI'!$A$13:$E$191,5,FALSE),0)</f>
        <v>0</v>
      </c>
    </row>
    <row r="25" spans="1:9" ht="18" x14ac:dyDescent="0.35">
      <c r="A25" s="272" t="s">
        <v>28</v>
      </c>
      <c r="B25" s="280" t="s">
        <v>206</v>
      </c>
      <c r="C25" s="187">
        <f>VLOOKUP(A25,'NCLB Title IA Formula'!$A$13:$G$196,7,FALSE)</f>
        <v>0</v>
      </c>
      <c r="D25" s="187">
        <f>IFERROR(VLOOKUP(A25,'NCLB Title I-C Migrant'!$A$11:$E$15,5,FALSE),0)</f>
        <v>0</v>
      </c>
      <c r="E25" s="187">
        <f>IFERROR(VLOOKUP(A25,'NCLB Title I-Delinquent'!$A$11:$E$29,5,FALSE),0)</f>
        <v>0</v>
      </c>
      <c r="F25" s="187">
        <f>IFERROR(VLOOKUP(A25,'NCLB Title II-A Formula'!$A$12:$G$196,7,FALSE),0)</f>
        <v>0</v>
      </c>
      <c r="G25" s="187">
        <f>VLOOKUP(A25,'NCLB Title III-A '!$A$13:$I$197,9,FALSE)</f>
        <v>0</v>
      </c>
      <c r="H25" s="187">
        <f>IFERROR(VLOOKUP(A25,'NCLB Title III SAI'!$A$13:$G$45,7,FALSE),0)</f>
        <v>0</v>
      </c>
      <c r="I25" s="281">
        <f>IFERROR(VLOOKUP(A25,'NCLB Title VI Rural LI'!$A$13:$E$191,5,FALSE),0)</f>
        <v>0</v>
      </c>
    </row>
    <row r="26" spans="1:9" ht="18" x14ac:dyDescent="0.35">
      <c r="A26" s="272" t="s">
        <v>29</v>
      </c>
      <c r="B26" s="280" t="s">
        <v>207</v>
      </c>
      <c r="C26" s="187">
        <f>VLOOKUP(A26,'NCLB Title IA Formula'!$A$13:$G$196,7,FALSE)</f>
        <v>0</v>
      </c>
      <c r="D26" s="187">
        <f>IFERROR(VLOOKUP(A26,'NCLB Title I-C Migrant'!$A$11:$E$15,5,FALSE),0)</f>
        <v>0</v>
      </c>
      <c r="E26" s="187">
        <f>IFERROR(VLOOKUP(A26,'NCLB Title I-Delinquent'!$A$11:$E$29,5,FALSE),0)</f>
        <v>0</v>
      </c>
      <c r="F26" s="187">
        <f>IFERROR(VLOOKUP(A26,'NCLB Title II-A Formula'!$A$12:$G$196,7,FALSE),0)</f>
        <v>0</v>
      </c>
      <c r="G26" s="187">
        <f>VLOOKUP(A26,'NCLB Title III-A '!$A$13:$I$197,9,FALSE)</f>
        <v>0</v>
      </c>
      <c r="H26" s="187">
        <f>IFERROR(VLOOKUP(A26,'NCLB Title III SAI'!$A$13:$G$45,7,FALSE),0)</f>
        <v>0</v>
      </c>
      <c r="I26" s="281">
        <f>IFERROR(VLOOKUP(A26,'NCLB Title VI Rural LI'!$A$13:$E$191,5,FALSE),0)</f>
        <v>0</v>
      </c>
    </row>
    <row r="27" spans="1:9" ht="18" x14ac:dyDescent="0.35">
      <c r="A27" s="272" t="s">
        <v>30</v>
      </c>
      <c r="B27" s="280" t="s">
        <v>208</v>
      </c>
      <c r="C27" s="187">
        <f>VLOOKUP(A27,'NCLB Title IA Formula'!$A$13:$G$196,7,FALSE)</f>
        <v>0</v>
      </c>
      <c r="D27" s="187">
        <f>IFERROR(VLOOKUP(A27,'NCLB Title I-C Migrant'!$A$11:$E$15,5,FALSE),0)</f>
        <v>0</v>
      </c>
      <c r="E27" s="187">
        <f>IFERROR(VLOOKUP(A27,'NCLB Title I-Delinquent'!$A$11:$E$29,5,FALSE),0)</f>
        <v>0</v>
      </c>
      <c r="F27" s="187">
        <f>IFERROR(VLOOKUP(A27,'NCLB Title II-A Formula'!$A$12:$G$196,7,FALSE),0)</f>
        <v>0</v>
      </c>
      <c r="G27" s="187">
        <f>VLOOKUP(A27,'NCLB Title III-A '!$A$13:$I$197,9,FALSE)</f>
        <v>0</v>
      </c>
      <c r="H27" s="187">
        <f>IFERROR(VLOOKUP(A27,'NCLB Title III SAI'!$A$13:$G$45,7,FALSE),0)</f>
        <v>0</v>
      </c>
      <c r="I27" s="281">
        <f>IFERROR(VLOOKUP(A27,'NCLB Title VI Rural LI'!$A$13:$E$191,5,FALSE),0)</f>
        <v>0</v>
      </c>
    </row>
    <row r="28" spans="1:9" ht="18" x14ac:dyDescent="0.35">
      <c r="A28" s="272" t="s">
        <v>31</v>
      </c>
      <c r="B28" s="280" t="s">
        <v>209</v>
      </c>
      <c r="C28" s="187">
        <f>VLOOKUP(A28,'NCLB Title IA Formula'!$A$13:$G$196,7,FALSE)</f>
        <v>0</v>
      </c>
      <c r="D28" s="187">
        <f>IFERROR(VLOOKUP(A28,'NCLB Title I-C Migrant'!$A$11:$E$15,5,FALSE),0)</f>
        <v>0</v>
      </c>
      <c r="E28" s="187">
        <f>IFERROR(VLOOKUP(A28,'NCLB Title I-Delinquent'!$A$11:$E$29,5,FALSE),0)</f>
        <v>0</v>
      </c>
      <c r="F28" s="187">
        <f>IFERROR(VLOOKUP(A28,'NCLB Title II-A Formula'!$A$12:$G$196,7,FALSE),0)</f>
        <v>0</v>
      </c>
      <c r="G28" s="187">
        <f>VLOOKUP(A28,'NCLB Title III-A '!$A$13:$I$197,9,FALSE)</f>
        <v>0</v>
      </c>
      <c r="H28" s="187">
        <f>IFERROR(VLOOKUP(A28,'NCLB Title III SAI'!$A$13:$G$45,7,FALSE),0)</f>
        <v>0</v>
      </c>
      <c r="I28" s="281">
        <f>IFERROR(VLOOKUP(A28,'NCLB Title VI Rural LI'!$A$13:$E$191,5,FALSE),0)</f>
        <v>0</v>
      </c>
    </row>
    <row r="29" spans="1:9" ht="18" x14ac:dyDescent="0.35">
      <c r="A29" s="272" t="s">
        <v>32</v>
      </c>
      <c r="B29" s="280" t="s">
        <v>210</v>
      </c>
      <c r="C29" s="187">
        <f>VLOOKUP(A29,'NCLB Title IA Formula'!$A$13:$G$196,7,FALSE)</f>
        <v>0</v>
      </c>
      <c r="D29" s="187">
        <f>IFERROR(VLOOKUP(A29,'NCLB Title I-C Migrant'!$A$11:$E$15,5,FALSE),0)</f>
        <v>0</v>
      </c>
      <c r="E29" s="187">
        <f>IFERROR(VLOOKUP(A29,'NCLB Title I-Delinquent'!$A$11:$E$29,5,FALSE),0)</f>
        <v>0</v>
      </c>
      <c r="F29" s="187">
        <f>IFERROR(VLOOKUP(A29,'NCLB Title II-A Formula'!$A$12:$G$196,7,FALSE),0)</f>
        <v>0</v>
      </c>
      <c r="G29" s="187">
        <f>VLOOKUP(A29,'NCLB Title III-A '!$A$13:$I$197,9,FALSE)</f>
        <v>0</v>
      </c>
      <c r="H29" s="187">
        <f>IFERROR(VLOOKUP(A29,'NCLB Title III SAI'!$A$13:$G$45,7,FALSE),0)</f>
        <v>0</v>
      </c>
      <c r="I29" s="281">
        <f>IFERROR(VLOOKUP(A29,'NCLB Title VI Rural LI'!$A$13:$E$191,5,FALSE),0)</f>
        <v>0</v>
      </c>
    </row>
    <row r="30" spans="1:9" ht="18" x14ac:dyDescent="0.35">
      <c r="A30" s="272" t="s">
        <v>33</v>
      </c>
      <c r="B30" s="280" t="s">
        <v>211</v>
      </c>
      <c r="C30" s="187">
        <f>VLOOKUP(A30,'NCLB Title IA Formula'!$A$13:$G$196,7,FALSE)</f>
        <v>0</v>
      </c>
      <c r="D30" s="187">
        <f>IFERROR(VLOOKUP(A30,'NCLB Title I-C Migrant'!$A$11:$E$15,5,FALSE),0)</f>
        <v>0</v>
      </c>
      <c r="E30" s="187">
        <f>IFERROR(VLOOKUP(A30,'NCLB Title I-Delinquent'!$A$11:$E$29,5,FALSE),0)</f>
        <v>0</v>
      </c>
      <c r="F30" s="187">
        <f>IFERROR(VLOOKUP(A30,'NCLB Title II-A Formula'!$A$12:$G$196,7,FALSE),0)</f>
        <v>0</v>
      </c>
      <c r="G30" s="187">
        <f>VLOOKUP(A30,'NCLB Title III-A '!$A$13:$I$197,9,FALSE)</f>
        <v>0</v>
      </c>
      <c r="H30" s="187">
        <f>IFERROR(VLOOKUP(A30,'NCLB Title III SAI'!$A$13:$G$45,7,FALSE),0)</f>
        <v>0</v>
      </c>
      <c r="I30" s="281">
        <f>IFERROR(VLOOKUP(A30,'NCLB Title VI Rural LI'!$A$13:$E$191,5,FALSE),0)</f>
        <v>0</v>
      </c>
    </row>
    <row r="31" spans="1:9" ht="18" x14ac:dyDescent="0.35">
      <c r="A31" s="272" t="s">
        <v>34</v>
      </c>
      <c r="B31" s="280" t="s">
        <v>212</v>
      </c>
      <c r="C31" s="187">
        <f>VLOOKUP(A31,'NCLB Title IA Formula'!$A$13:$G$196,7,FALSE)</f>
        <v>0</v>
      </c>
      <c r="D31" s="187">
        <f>IFERROR(VLOOKUP(A31,'NCLB Title I-C Migrant'!$A$11:$E$15,5,FALSE),0)</f>
        <v>0</v>
      </c>
      <c r="E31" s="187">
        <f>IFERROR(VLOOKUP(A31,'NCLB Title I-Delinquent'!$A$11:$E$29,5,FALSE),0)</f>
        <v>0</v>
      </c>
      <c r="F31" s="187">
        <f>IFERROR(VLOOKUP(A31,'NCLB Title II-A Formula'!$A$12:$G$196,7,FALSE),0)</f>
        <v>0</v>
      </c>
      <c r="G31" s="187">
        <f>VLOOKUP(A31,'NCLB Title III-A '!$A$13:$I$197,9,FALSE)</f>
        <v>0</v>
      </c>
      <c r="H31" s="187">
        <f>IFERROR(VLOOKUP(A31,'NCLB Title III SAI'!$A$13:$G$45,7,FALSE),0)</f>
        <v>0</v>
      </c>
      <c r="I31" s="281">
        <f>IFERROR(VLOOKUP(A31,'NCLB Title VI Rural LI'!$A$13:$E$191,5,FALSE),0)</f>
        <v>0</v>
      </c>
    </row>
    <row r="32" spans="1:9" ht="18" x14ac:dyDescent="0.35">
      <c r="A32" s="272" t="s">
        <v>35</v>
      </c>
      <c r="B32" s="280" t="s">
        <v>213</v>
      </c>
      <c r="C32" s="187">
        <f>VLOOKUP(A32,'NCLB Title IA Formula'!$A$13:$G$196,7,FALSE)</f>
        <v>0</v>
      </c>
      <c r="D32" s="187">
        <f>IFERROR(VLOOKUP(A32,'NCLB Title I-C Migrant'!$A$11:$E$15,5,FALSE),0)</f>
        <v>0</v>
      </c>
      <c r="E32" s="187">
        <f>IFERROR(VLOOKUP(A32,'NCLB Title I-Delinquent'!$A$11:$E$29,5,FALSE),0)</f>
        <v>0</v>
      </c>
      <c r="F32" s="187">
        <f>IFERROR(VLOOKUP(A32,'NCLB Title II-A Formula'!$A$12:$G$196,7,FALSE),0)</f>
        <v>0</v>
      </c>
      <c r="G32" s="187">
        <f>VLOOKUP(A32,'NCLB Title III-A '!$A$13:$I$197,9,FALSE)</f>
        <v>0</v>
      </c>
      <c r="H32" s="187">
        <f>IFERROR(VLOOKUP(A32,'NCLB Title III SAI'!$A$13:$G$45,7,FALSE),0)</f>
        <v>0</v>
      </c>
      <c r="I32" s="281">
        <f>IFERROR(VLOOKUP(A32,'NCLB Title VI Rural LI'!$A$13:$E$191,5,FALSE),0)</f>
        <v>0</v>
      </c>
    </row>
    <row r="33" spans="1:9" ht="18" x14ac:dyDescent="0.35">
      <c r="A33" s="272" t="s">
        <v>36</v>
      </c>
      <c r="B33" s="280" t="s">
        <v>214</v>
      </c>
      <c r="C33" s="187">
        <f>VLOOKUP(A33,'NCLB Title IA Formula'!$A$13:$G$196,7,FALSE)</f>
        <v>0</v>
      </c>
      <c r="D33" s="187">
        <f>IFERROR(VLOOKUP(A33,'NCLB Title I-C Migrant'!$A$11:$E$15,5,FALSE),0)</f>
        <v>0</v>
      </c>
      <c r="E33" s="187">
        <f>IFERROR(VLOOKUP(A33,'NCLB Title I-Delinquent'!$A$11:$E$29,5,FALSE),0)</f>
        <v>0</v>
      </c>
      <c r="F33" s="187">
        <f>IFERROR(VLOOKUP(A33,'NCLB Title II-A Formula'!$A$12:$G$196,7,FALSE),0)</f>
        <v>0</v>
      </c>
      <c r="G33" s="187">
        <f>VLOOKUP(A33,'NCLB Title III-A '!$A$13:$I$197,9,FALSE)</f>
        <v>0</v>
      </c>
      <c r="H33" s="187">
        <f>IFERROR(VLOOKUP(A33,'NCLB Title III SAI'!$A$13:$G$45,7,FALSE),0)</f>
        <v>0</v>
      </c>
      <c r="I33" s="281">
        <f>IFERROR(VLOOKUP(A33,'NCLB Title VI Rural LI'!$A$13:$E$191,5,FALSE),0)</f>
        <v>0</v>
      </c>
    </row>
    <row r="34" spans="1:9" ht="18" x14ac:dyDescent="0.35">
      <c r="A34" s="272" t="s">
        <v>37</v>
      </c>
      <c r="B34" s="280" t="s">
        <v>215</v>
      </c>
      <c r="C34" s="187">
        <f>VLOOKUP(A34,'NCLB Title IA Formula'!$A$13:$G$196,7,FALSE)</f>
        <v>0</v>
      </c>
      <c r="D34" s="187">
        <f>IFERROR(VLOOKUP(A34,'NCLB Title I-C Migrant'!$A$11:$E$15,5,FALSE),0)</f>
        <v>0</v>
      </c>
      <c r="E34" s="187">
        <f>IFERROR(VLOOKUP(A34,'NCLB Title I-Delinquent'!$A$11:$E$29,5,FALSE),0)</f>
        <v>0</v>
      </c>
      <c r="F34" s="187">
        <f>IFERROR(VLOOKUP(A34,'NCLB Title II-A Formula'!$A$12:$G$196,7,FALSE),0)</f>
        <v>0</v>
      </c>
      <c r="G34" s="187">
        <f>VLOOKUP(A34,'NCLB Title III-A '!$A$13:$I$197,9,FALSE)</f>
        <v>0</v>
      </c>
      <c r="H34" s="187">
        <f>IFERROR(VLOOKUP(A34,'NCLB Title III SAI'!$A$13:$G$45,7,FALSE),0)</f>
        <v>0</v>
      </c>
      <c r="I34" s="281">
        <f>IFERROR(VLOOKUP(A34,'NCLB Title VI Rural LI'!$A$13:$E$191,5,FALSE),0)</f>
        <v>0</v>
      </c>
    </row>
    <row r="35" spans="1:9" ht="18" x14ac:dyDescent="0.35">
      <c r="A35" s="272" t="s">
        <v>38</v>
      </c>
      <c r="B35" s="280" t="s">
        <v>216</v>
      </c>
      <c r="C35" s="187">
        <f>VLOOKUP(A35,'NCLB Title IA Formula'!$A$13:$G$196,7,FALSE)</f>
        <v>0</v>
      </c>
      <c r="D35" s="187">
        <f>IFERROR(VLOOKUP(A35,'NCLB Title I-C Migrant'!$A$11:$E$15,5,FALSE),0)</f>
        <v>0</v>
      </c>
      <c r="E35" s="187">
        <f>IFERROR(VLOOKUP(A35,'NCLB Title I-Delinquent'!$A$11:$E$29,5,FALSE),0)</f>
        <v>0</v>
      </c>
      <c r="F35" s="187">
        <f>IFERROR(VLOOKUP(A35,'NCLB Title II-A Formula'!$A$12:$G$196,7,FALSE),0)</f>
        <v>0</v>
      </c>
      <c r="G35" s="187">
        <f>VLOOKUP(A35,'NCLB Title III-A '!$A$13:$I$197,9,FALSE)</f>
        <v>0</v>
      </c>
      <c r="H35" s="187">
        <f>IFERROR(VLOOKUP(A35,'NCLB Title III SAI'!$A$13:$G$45,7,FALSE),0)</f>
        <v>0</v>
      </c>
      <c r="I35" s="281">
        <f>IFERROR(VLOOKUP(A35,'NCLB Title VI Rural LI'!$A$13:$E$191,5,FALSE),0)</f>
        <v>0</v>
      </c>
    </row>
    <row r="36" spans="1:9" ht="18" x14ac:dyDescent="0.35">
      <c r="A36" s="272" t="s">
        <v>39</v>
      </c>
      <c r="B36" s="280" t="s">
        <v>217</v>
      </c>
      <c r="C36" s="187">
        <f>VLOOKUP(A36,'NCLB Title IA Formula'!$A$13:$G$196,7,FALSE)</f>
        <v>0</v>
      </c>
      <c r="D36" s="187">
        <f>IFERROR(VLOOKUP(A36,'NCLB Title I-C Migrant'!$A$11:$E$15,5,FALSE),0)</f>
        <v>0</v>
      </c>
      <c r="E36" s="187">
        <f>IFERROR(VLOOKUP(A36,'NCLB Title I-Delinquent'!$A$11:$E$29,5,FALSE),0)</f>
        <v>0</v>
      </c>
      <c r="F36" s="187">
        <f>IFERROR(VLOOKUP(A36,'NCLB Title II-A Formula'!$A$12:$G$196,7,FALSE),0)</f>
        <v>0</v>
      </c>
      <c r="G36" s="187">
        <f>VLOOKUP(A36,'NCLB Title III-A '!$A$13:$I$197,9,FALSE)</f>
        <v>0</v>
      </c>
      <c r="H36" s="187">
        <f>IFERROR(VLOOKUP(A36,'NCLB Title III SAI'!$A$13:$G$45,7,FALSE),0)</f>
        <v>0</v>
      </c>
      <c r="I36" s="281">
        <f>IFERROR(VLOOKUP(A36,'NCLB Title VI Rural LI'!$A$13:$E$191,5,FALSE),0)</f>
        <v>0</v>
      </c>
    </row>
    <row r="37" spans="1:9" ht="18" x14ac:dyDescent="0.35">
      <c r="A37" s="272" t="s">
        <v>40</v>
      </c>
      <c r="B37" s="280" t="s">
        <v>218</v>
      </c>
      <c r="C37" s="187">
        <f>VLOOKUP(A37,'NCLB Title IA Formula'!$A$13:$G$196,7,FALSE)</f>
        <v>0</v>
      </c>
      <c r="D37" s="187">
        <f>IFERROR(VLOOKUP(A37,'NCLB Title I-C Migrant'!$A$11:$E$15,5,FALSE),0)</f>
        <v>0</v>
      </c>
      <c r="E37" s="187">
        <f>IFERROR(VLOOKUP(A37,'NCLB Title I-Delinquent'!$A$11:$E$29,5,FALSE),0)</f>
        <v>0</v>
      </c>
      <c r="F37" s="187">
        <f>IFERROR(VLOOKUP(A37,'NCLB Title II-A Formula'!$A$12:$G$196,7,FALSE),0)</f>
        <v>27331</v>
      </c>
      <c r="G37" s="187">
        <f>VLOOKUP(A37,'NCLB Title III-A '!$A$13:$I$197,9,FALSE)</f>
        <v>0</v>
      </c>
      <c r="H37" s="187">
        <f>IFERROR(VLOOKUP(A37,'NCLB Title III SAI'!$A$13:$G$45,7,FALSE),0)</f>
        <v>0</v>
      </c>
      <c r="I37" s="281">
        <f>IFERROR(VLOOKUP(A37,'NCLB Title VI Rural LI'!$A$13:$E$191,5,FALSE),0)</f>
        <v>0</v>
      </c>
    </row>
    <row r="38" spans="1:9" ht="18" x14ac:dyDescent="0.35">
      <c r="A38" s="272" t="s">
        <v>41</v>
      </c>
      <c r="B38" s="280" t="s">
        <v>219</v>
      </c>
      <c r="C38" s="187">
        <f>VLOOKUP(A38,'NCLB Title IA Formula'!$A$13:$G$196,7,FALSE)</f>
        <v>0</v>
      </c>
      <c r="D38" s="187">
        <f>IFERROR(VLOOKUP(A38,'NCLB Title I-C Migrant'!$A$11:$E$15,5,FALSE),0)</f>
        <v>0</v>
      </c>
      <c r="E38" s="187">
        <f>IFERROR(VLOOKUP(A38,'NCLB Title I-Delinquent'!$A$11:$E$29,5,FALSE),0)</f>
        <v>0</v>
      </c>
      <c r="F38" s="187">
        <f>IFERROR(VLOOKUP(A38,'NCLB Title II-A Formula'!$A$12:$G$196,7,FALSE),0)</f>
        <v>0</v>
      </c>
      <c r="G38" s="187">
        <f>VLOOKUP(A38,'NCLB Title III-A '!$A$13:$I$197,9,FALSE)</f>
        <v>0</v>
      </c>
      <c r="H38" s="187">
        <f>IFERROR(VLOOKUP(A38,'NCLB Title III SAI'!$A$13:$G$45,7,FALSE),0)</f>
        <v>0</v>
      </c>
      <c r="I38" s="281">
        <f>IFERROR(VLOOKUP(A38,'NCLB Title VI Rural LI'!$A$13:$E$191,5,FALSE),0)</f>
        <v>0</v>
      </c>
    </row>
    <row r="39" spans="1:9" ht="18" x14ac:dyDescent="0.35">
      <c r="A39" s="272" t="s">
        <v>42</v>
      </c>
      <c r="B39" s="280" t="s">
        <v>220</v>
      </c>
      <c r="C39" s="187">
        <f>VLOOKUP(A39,'NCLB Title IA Formula'!$A$13:$G$196,7,FALSE)</f>
        <v>0</v>
      </c>
      <c r="D39" s="187">
        <f>IFERROR(VLOOKUP(A39,'NCLB Title I-C Migrant'!$A$11:$E$15,5,FALSE),0)</f>
        <v>0</v>
      </c>
      <c r="E39" s="187">
        <f>IFERROR(VLOOKUP(A39,'NCLB Title I-Delinquent'!$A$11:$E$29,5,FALSE),0)</f>
        <v>0</v>
      </c>
      <c r="F39" s="187">
        <f>IFERROR(VLOOKUP(A39,'NCLB Title II-A Formula'!$A$12:$G$196,7,FALSE),0)</f>
        <v>0</v>
      </c>
      <c r="G39" s="187">
        <f>VLOOKUP(A39,'NCLB Title III-A '!$A$13:$I$197,9,FALSE)</f>
        <v>0</v>
      </c>
      <c r="H39" s="187">
        <f>IFERROR(VLOOKUP(A39,'NCLB Title III SAI'!$A$13:$G$45,7,FALSE),0)</f>
        <v>0</v>
      </c>
      <c r="I39" s="281">
        <f>IFERROR(VLOOKUP(A39,'NCLB Title VI Rural LI'!$A$13:$E$191,5,FALSE),0)</f>
        <v>0</v>
      </c>
    </row>
    <row r="40" spans="1:9" ht="18" x14ac:dyDescent="0.35">
      <c r="A40" s="272" t="s">
        <v>43</v>
      </c>
      <c r="B40" s="280" t="s">
        <v>221</v>
      </c>
      <c r="C40" s="187">
        <f>VLOOKUP(A40,'NCLB Title IA Formula'!$A$13:$G$196,7,FALSE)</f>
        <v>0</v>
      </c>
      <c r="D40" s="187">
        <f>IFERROR(VLOOKUP(A40,'NCLB Title I-C Migrant'!$A$11:$E$15,5,FALSE),0)</f>
        <v>0</v>
      </c>
      <c r="E40" s="187">
        <f>IFERROR(VLOOKUP(A40,'NCLB Title I-Delinquent'!$A$11:$E$29,5,FALSE),0)</f>
        <v>0</v>
      </c>
      <c r="F40" s="187">
        <f>IFERROR(VLOOKUP(A40,'NCLB Title II-A Formula'!$A$12:$G$196,7,FALSE),0)</f>
        <v>-15622</v>
      </c>
      <c r="G40" s="187">
        <f>VLOOKUP(A40,'NCLB Title III-A '!$A$13:$I$197,9,FALSE)</f>
        <v>0</v>
      </c>
      <c r="H40" s="187">
        <f>IFERROR(VLOOKUP(A40,'NCLB Title III SAI'!$A$13:$G$45,7,FALSE),0)</f>
        <v>0</v>
      </c>
      <c r="I40" s="281">
        <f>IFERROR(VLOOKUP(A40,'NCLB Title VI Rural LI'!$A$13:$E$191,5,FALSE),0)</f>
        <v>0</v>
      </c>
    </row>
    <row r="41" spans="1:9" ht="18" x14ac:dyDescent="0.35">
      <c r="A41" s="272" t="s">
        <v>44</v>
      </c>
      <c r="B41" s="280" t="s">
        <v>222</v>
      </c>
      <c r="C41" s="187">
        <f>VLOOKUP(A41,'NCLB Title IA Formula'!$A$13:$G$196,7,FALSE)</f>
        <v>0</v>
      </c>
      <c r="D41" s="187">
        <f>IFERROR(VLOOKUP(A41,'NCLB Title I-C Migrant'!$A$11:$E$15,5,FALSE),0)</f>
        <v>0</v>
      </c>
      <c r="E41" s="187">
        <f>IFERROR(VLOOKUP(A41,'NCLB Title I-Delinquent'!$A$11:$E$29,5,FALSE),0)</f>
        <v>0</v>
      </c>
      <c r="F41" s="187">
        <f>IFERROR(VLOOKUP(A41,'NCLB Title II-A Formula'!$A$12:$G$196,7,FALSE),0)</f>
        <v>0</v>
      </c>
      <c r="G41" s="187">
        <f>VLOOKUP(A41,'NCLB Title III-A '!$A$13:$I$197,9,FALSE)</f>
        <v>0</v>
      </c>
      <c r="H41" s="187">
        <f>IFERROR(VLOOKUP(A41,'NCLB Title III SAI'!$A$13:$G$45,7,FALSE),0)</f>
        <v>0</v>
      </c>
      <c r="I41" s="281">
        <f>IFERROR(VLOOKUP(A41,'NCLB Title VI Rural LI'!$A$13:$E$191,5,FALSE),0)</f>
        <v>0</v>
      </c>
    </row>
    <row r="42" spans="1:9" ht="18" x14ac:dyDescent="0.35">
      <c r="A42" s="272" t="s">
        <v>45</v>
      </c>
      <c r="B42" s="280" t="s">
        <v>223</v>
      </c>
      <c r="C42" s="187">
        <f>VLOOKUP(A42,'NCLB Title IA Formula'!$A$13:$G$196,7,FALSE)</f>
        <v>0</v>
      </c>
      <c r="D42" s="187">
        <f>IFERROR(VLOOKUP(A42,'NCLB Title I-C Migrant'!$A$11:$E$15,5,FALSE),0)</f>
        <v>0</v>
      </c>
      <c r="E42" s="187">
        <f>IFERROR(VLOOKUP(A42,'NCLB Title I-Delinquent'!$A$11:$E$29,5,FALSE),0)</f>
        <v>0</v>
      </c>
      <c r="F42" s="187">
        <f>IFERROR(VLOOKUP(A42,'NCLB Title II-A Formula'!$A$12:$G$196,7,FALSE),0)</f>
        <v>0</v>
      </c>
      <c r="G42" s="187">
        <f>VLOOKUP(A42,'NCLB Title III-A '!$A$13:$I$197,9,FALSE)</f>
        <v>0</v>
      </c>
      <c r="H42" s="187">
        <f>IFERROR(VLOOKUP(A42,'NCLB Title III SAI'!$A$13:$G$45,7,FALSE),0)</f>
        <v>0</v>
      </c>
      <c r="I42" s="281">
        <f>IFERROR(VLOOKUP(A42,'NCLB Title VI Rural LI'!$A$13:$E$191,5,FALSE),0)</f>
        <v>0</v>
      </c>
    </row>
    <row r="43" spans="1:9" ht="18" x14ac:dyDescent="0.35">
      <c r="A43" s="272" t="s">
        <v>46</v>
      </c>
      <c r="B43" s="280" t="s">
        <v>224</v>
      </c>
      <c r="C43" s="187">
        <f>VLOOKUP(A43,'NCLB Title IA Formula'!$A$13:$G$196,7,FALSE)</f>
        <v>0</v>
      </c>
      <c r="D43" s="187">
        <f>IFERROR(VLOOKUP(A43,'NCLB Title I-C Migrant'!$A$11:$E$15,5,FALSE),0)</f>
        <v>0</v>
      </c>
      <c r="E43" s="187">
        <f>IFERROR(VLOOKUP(A43,'NCLB Title I-Delinquent'!$A$11:$E$29,5,FALSE),0)</f>
        <v>0</v>
      </c>
      <c r="F43" s="187">
        <f>IFERROR(VLOOKUP(A43,'NCLB Title II-A Formula'!$A$12:$G$196,7,FALSE),0)</f>
        <v>0</v>
      </c>
      <c r="G43" s="187">
        <f>VLOOKUP(A43,'NCLB Title III-A '!$A$13:$I$197,9,FALSE)</f>
        <v>0</v>
      </c>
      <c r="H43" s="187">
        <f>IFERROR(VLOOKUP(A43,'NCLB Title III SAI'!$A$13:$G$45,7,FALSE),0)</f>
        <v>0</v>
      </c>
      <c r="I43" s="281">
        <f>IFERROR(VLOOKUP(A43,'NCLB Title VI Rural LI'!$A$13:$E$191,5,FALSE),0)</f>
        <v>0</v>
      </c>
    </row>
    <row r="44" spans="1:9" ht="18" x14ac:dyDescent="0.35">
      <c r="A44" s="272" t="s">
        <v>47</v>
      </c>
      <c r="B44" s="280" t="s">
        <v>225</v>
      </c>
      <c r="C44" s="187">
        <f>VLOOKUP(A44,'NCLB Title IA Formula'!$A$13:$G$196,7,FALSE)</f>
        <v>0</v>
      </c>
      <c r="D44" s="187">
        <f>IFERROR(VLOOKUP(A44,'NCLB Title I-C Migrant'!$A$11:$E$15,5,FALSE),0)</f>
        <v>0</v>
      </c>
      <c r="E44" s="187">
        <f>IFERROR(VLOOKUP(A44,'NCLB Title I-Delinquent'!$A$11:$E$29,5,FALSE),0)</f>
        <v>0</v>
      </c>
      <c r="F44" s="187">
        <f>IFERROR(VLOOKUP(A44,'NCLB Title II-A Formula'!$A$12:$G$196,7,FALSE),0)</f>
        <v>0</v>
      </c>
      <c r="G44" s="187">
        <f>VLOOKUP(A44,'NCLB Title III-A '!$A$13:$I$197,9,FALSE)</f>
        <v>0</v>
      </c>
      <c r="H44" s="187">
        <f>IFERROR(VLOOKUP(A44,'NCLB Title III SAI'!$A$13:$G$45,7,FALSE),0)</f>
        <v>0</v>
      </c>
      <c r="I44" s="281">
        <f>IFERROR(VLOOKUP(A44,'NCLB Title VI Rural LI'!$A$13:$E$191,5,FALSE),0)</f>
        <v>0</v>
      </c>
    </row>
    <row r="45" spans="1:9" ht="18" x14ac:dyDescent="0.35">
      <c r="A45" s="272" t="s">
        <v>48</v>
      </c>
      <c r="B45" s="280" t="s">
        <v>226</v>
      </c>
      <c r="C45" s="187">
        <f>VLOOKUP(A45,'NCLB Title IA Formula'!$A$13:$G$196,7,FALSE)</f>
        <v>0</v>
      </c>
      <c r="D45" s="187">
        <f>IFERROR(VLOOKUP(A45,'NCLB Title I-C Migrant'!$A$11:$E$15,5,FALSE),0)</f>
        <v>0</v>
      </c>
      <c r="E45" s="187">
        <f>IFERROR(VLOOKUP(A45,'NCLB Title I-Delinquent'!$A$11:$E$29,5,FALSE),0)</f>
        <v>0</v>
      </c>
      <c r="F45" s="187">
        <f>IFERROR(VLOOKUP(A45,'NCLB Title II-A Formula'!$A$12:$G$196,7,FALSE),0)</f>
        <v>0</v>
      </c>
      <c r="G45" s="187">
        <f>VLOOKUP(A45,'NCLB Title III-A '!$A$13:$I$197,9,FALSE)</f>
        <v>0</v>
      </c>
      <c r="H45" s="187">
        <f>IFERROR(VLOOKUP(A45,'NCLB Title III SAI'!$A$13:$G$45,7,FALSE),0)</f>
        <v>0</v>
      </c>
      <c r="I45" s="281">
        <f>IFERROR(VLOOKUP(A45,'NCLB Title VI Rural LI'!$A$13:$E$191,5,FALSE),0)</f>
        <v>0</v>
      </c>
    </row>
    <row r="46" spans="1:9" ht="18" x14ac:dyDescent="0.35">
      <c r="A46" s="272" t="s">
        <v>49</v>
      </c>
      <c r="B46" s="280" t="s">
        <v>227</v>
      </c>
      <c r="C46" s="187">
        <f>VLOOKUP(A46,'NCLB Title IA Formula'!$A$13:$G$196,7,FALSE)</f>
        <v>0</v>
      </c>
      <c r="D46" s="187">
        <f>IFERROR(VLOOKUP(A46,'NCLB Title I-C Migrant'!$A$11:$E$15,5,FALSE),0)</f>
        <v>0</v>
      </c>
      <c r="E46" s="187">
        <f>IFERROR(VLOOKUP(A46,'NCLB Title I-Delinquent'!$A$11:$E$29,5,FALSE),0)</f>
        <v>0</v>
      </c>
      <c r="F46" s="187">
        <f>IFERROR(VLOOKUP(A46,'NCLB Title II-A Formula'!$A$12:$G$196,7,FALSE),0)</f>
        <v>0</v>
      </c>
      <c r="G46" s="187">
        <f>VLOOKUP(A46,'NCLB Title III-A '!$A$13:$I$197,9,FALSE)</f>
        <v>0</v>
      </c>
      <c r="H46" s="187">
        <f>IFERROR(VLOOKUP(A46,'NCLB Title III SAI'!$A$13:$G$45,7,FALSE),0)</f>
        <v>0</v>
      </c>
      <c r="I46" s="281">
        <f>IFERROR(VLOOKUP(A46,'NCLB Title VI Rural LI'!$A$13:$E$191,5,FALSE),0)</f>
        <v>0</v>
      </c>
    </row>
    <row r="47" spans="1:9" ht="18" x14ac:dyDescent="0.35">
      <c r="A47" s="272" t="s">
        <v>50</v>
      </c>
      <c r="B47" s="280" t="s">
        <v>228</v>
      </c>
      <c r="C47" s="187">
        <f>VLOOKUP(A47,'NCLB Title IA Formula'!$A$13:$G$196,7,FALSE)</f>
        <v>0</v>
      </c>
      <c r="D47" s="187">
        <f>IFERROR(VLOOKUP(A47,'NCLB Title I-C Migrant'!$A$11:$E$15,5,FALSE),0)</f>
        <v>0</v>
      </c>
      <c r="E47" s="187">
        <f>IFERROR(VLOOKUP(A47,'NCLB Title I-Delinquent'!$A$11:$E$29,5,FALSE),0)</f>
        <v>0</v>
      </c>
      <c r="F47" s="187">
        <f>IFERROR(VLOOKUP(A47,'NCLB Title II-A Formula'!$A$12:$G$196,7,FALSE),0)</f>
        <v>0</v>
      </c>
      <c r="G47" s="187">
        <f>VLOOKUP(A47,'NCLB Title III-A '!$A$13:$I$197,9,FALSE)</f>
        <v>0</v>
      </c>
      <c r="H47" s="187">
        <f>IFERROR(VLOOKUP(A47,'NCLB Title III SAI'!$A$13:$G$45,7,FALSE),0)</f>
        <v>0</v>
      </c>
      <c r="I47" s="281">
        <f>IFERROR(VLOOKUP(A47,'NCLB Title VI Rural LI'!$A$13:$E$191,5,FALSE),0)</f>
        <v>0</v>
      </c>
    </row>
    <row r="48" spans="1:9" ht="18" x14ac:dyDescent="0.35">
      <c r="A48" s="272" t="s">
        <v>51</v>
      </c>
      <c r="B48" s="280" t="s">
        <v>229</v>
      </c>
      <c r="C48" s="187">
        <f>VLOOKUP(A48,'NCLB Title IA Formula'!$A$13:$G$196,7,FALSE)</f>
        <v>0</v>
      </c>
      <c r="D48" s="187">
        <f>IFERROR(VLOOKUP(A48,'NCLB Title I-C Migrant'!$A$11:$E$15,5,FALSE),0)</f>
        <v>0</v>
      </c>
      <c r="E48" s="187">
        <f>IFERROR(VLOOKUP(A48,'NCLB Title I-Delinquent'!$A$11:$E$29,5,FALSE),0)</f>
        <v>0</v>
      </c>
      <c r="F48" s="187">
        <f>IFERROR(VLOOKUP(A48,'NCLB Title II-A Formula'!$A$12:$G$196,7,FALSE),0)</f>
        <v>0</v>
      </c>
      <c r="G48" s="187">
        <f>VLOOKUP(A48,'NCLB Title III-A '!$A$13:$I$197,9,FALSE)</f>
        <v>0</v>
      </c>
      <c r="H48" s="187">
        <f>IFERROR(VLOOKUP(A48,'NCLB Title III SAI'!$A$13:$G$45,7,FALSE),0)</f>
        <v>0</v>
      </c>
      <c r="I48" s="281">
        <f>IFERROR(VLOOKUP(A48,'NCLB Title VI Rural LI'!$A$13:$E$191,5,FALSE),0)</f>
        <v>0</v>
      </c>
    </row>
    <row r="49" spans="1:9" ht="18" x14ac:dyDescent="0.35">
      <c r="A49" s="272" t="s">
        <v>52</v>
      </c>
      <c r="B49" s="280" t="s">
        <v>230</v>
      </c>
      <c r="C49" s="187">
        <f>VLOOKUP(A49,'NCLB Title IA Formula'!$A$13:$G$196,7,FALSE)</f>
        <v>0</v>
      </c>
      <c r="D49" s="187">
        <f>IFERROR(VLOOKUP(A49,'NCLB Title I-C Migrant'!$A$11:$E$15,5,FALSE),0)</f>
        <v>0</v>
      </c>
      <c r="E49" s="187">
        <f>IFERROR(VLOOKUP(A49,'NCLB Title I-Delinquent'!$A$11:$E$29,5,FALSE),0)</f>
        <v>0</v>
      </c>
      <c r="F49" s="187">
        <f>IFERROR(VLOOKUP(A49,'NCLB Title II-A Formula'!$A$12:$G$196,7,FALSE),0)</f>
        <v>0</v>
      </c>
      <c r="G49" s="187">
        <f>VLOOKUP(A49,'NCLB Title III-A '!$A$13:$I$197,9,FALSE)</f>
        <v>0</v>
      </c>
      <c r="H49" s="187">
        <f>IFERROR(VLOOKUP(A49,'NCLB Title III SAI'!$A$13:$G$45,7,FALSE),0)</f>
        <v>0</v>
      </c>
      <c r="I49" s="281">
        <f>IFERROR(VLOOKUP(A49,'NCLB Title VI Rural LI'!$A$13:$E$191,5,FALSE),0)</f>
        <v>0</v>
      </c>
    </row>
    <row r="50" spans="1:9" ht="18" x14ac:dyDescent="0.35">
      <c r="A50" s="272" t="s">
        <v>53</v>
      </c>
      <c r="B50" s="280" t="s">
        <v>231</v>
      </c>
      <c r="C50" s="187">
        <f>VLOOKUP(A50,'NCLB Title IA Formula'!$A$13:$G$196,7,FALSE)</f>
        <v>0</v>
      </c>
      <c r="D50" s="187">
        <f>IFERROR(VLOOKUP(A50,'NCLB Title I-C Migrant'!$A$11:$E$15,5,FALSE),0)</f>
        <v>0</v>
      </c>
      <c r="E50" s="187">
        <f>IFERROR(VLOOKUP(A50,'NCLB Title I-Delinquent'!$A$11:$E$29,5,FALSE),0)</f>
        <v>0</v>
      </c>
      <c r="F50" s="187">
        <f>IFERROR(VLOOKUP(A50,'NCLB Title II-A Formula'!$A$12:$G$196,7,FALSE),0)</f>
        <v>0</v>
      </c>
      <c r="G50" s="187">
        <f>VLOOKUP(A50,'NCLB Title III-A '!$A$13:$I$197,9,FALSE)</f>
        <v>0</v>
      </c>
      <c r="H50" s="187">
        <f>IFERROR(VLOOKUP(A50,'NCLB Title III SAI'!$A$13:$G$45,7,FALSE),0)</f>
        <v>0</v>
      </c>
      <c r="I50" s="281">
        <f>IFERROR(VLOOKUP(A50,'NCLB Title VI Rural LI'!$A$13:$E$191,5,FALSE),0)</f>
        <v>0</v>
      </c>
    </row>
    <row r="51" spans="1:9" ht="18" x14ac:dyDescent="0.35">
      <c r="A51" s="272" t="s">
        <v>54</v>
      </c>
      <c r="B51" s="280" t="s">
        <v>232</v>
      </c>
      <c r="C51" s="187">
        <f>VLOOKUP(A51,'NCLB Title IA Formula'!$A$13:$G$196,7,FALSE)</f>
        <v>0</v>
      </c>
      <c r="D51" s="187">
        <f>IFERROR(VLOOKUP(A51,'NCLB Title I-C Migrant'!$A$11:$E$15,5,FALSE),0)</f>
        <v>0</v>
      </c>
      <c r="E51" s="187">
        <f>IFERROR(VLOOKUP(A51,'NCLB Title I-Delinquent'!$A$11:$E$29,5,FALSE),0)</f>
        <v>0</v>
      </c>
      <c r="F51" s="187">
        <f>IFERROR(VLOOKUP(A51,'NCLB Title II-A Formula'!$A$12:$G$196,7,FALSE),0)</f>
        <v>0</v>
      </c>
      <c r="G51" s="187">
        <f>VLOOKUP(A51,'NCLB Title III-A '!$A$13:$I$197,9,FALSE)</f>
        <v>0</v>
      </c>
      <c r="H51" s="187">
        <f>IFERROR(VLOOKUP(A51,'NCLB Title III SAI'!$A$13:$G$45,7,FALSE),0)</f>
        <v>0</v>
      </c>
      <c r="I51" s="281">
        <f>IFERROR(VLOOKUP(A51,'NCLB Title VI Rural LI'!$A$13:$E$191,5,FALSE),0)</f>
        <v>0</v>
      </c>
    </row>
    <row r="52" spans="1:9" ht="18" x14ac:dyDescent="0.35">
      <c r="A52" s="272" t="s">
        <v>55</v>
      </c>
      <c r="B52" s="280" t="s">
        <v>233</v>
      </c>
      <c r="C52" s="187">
        <f>VLOOKUP(A52,'NCLB Title IA Formula'!$A$13:$G$196,7,FALSE)</f>
        <v>0</v>
      </c>
      <c r="D52" s="187">
        <f>IFERROR(VLOOKUP(A52,'NCLB Title I-C Migrant'!$A$11:$E$15,5,FALSE),0)</f>
        <v>0</v>
      </c>
      <c r="E52" s="187">
        <f>IFERROR(VLOOKUP(A52,'NCLB Title I-Delinquent'!$A$11:$E$29,5,FALSE),0)</f>
        <v>0</v>
      </c>
      <c r="F52" s="187">
        <f>IFERROR(VLOOKUP(A52,'NCLB Title II-A Formula'!$A$12:$G$196,7,FALSE),0)</f>
        <v>0</v>
      </c>
      <c r="G52" s="187">
        <f>VLOOKUP(A52,'NCLB Title III-A '!$A$13:$I$197,9,FALSE)</f>
        <v>0</v>
      </c>
      <c r="H52" s="187">
        <f>IFERROR(VLOOKUP(A52,'NCLB Title III SAI'!$A$13:$G$45,7,FALSE),0)</f>
        <v>0</v>
      </c>
      <c r="I52" s="281">
        <f>IFERROR(VLOOKUP(A52,'NCLB Title VI Rural LI'!$A$13:$E$191,5,FALSE),0)</f>
        <v>0</v>
      </c>
    </row>
    <row r="53" spans="1:9" ht="18" x14ac:dyDescent="0.35">
      <c r="A53" s="272" t="s">
        <v>56</v>
      </c>
      <c r="B53" s="280" t="s">
        <v>234</v>
      </c>
      <c r="C53" s="187">
        <f>VLOOKUP(A53,'NCLB Title IA Formula'!$A$13:$G$196,7,FALSE)</f>
        <v>0</v>
      </c>
      <c r="D53" s="187">
        <f>IFERROR(VLOOKUP(A53,'NCLB Title I-C Migrant'!$A$11:$E$15,5,FALSE),0)</f>
        <v>0</v>
      </c>
      <c r="E53" s="187">
        <f>IFERROR(VLOOKUP(A53,'NCLB Title I-Delinquent'!$A$11:$E$29,5,FALSE),0)</f>
        <v>0</v>
      </c>
      <c r="F53" s="187">
        <f>IFERROR(VLOOKUP(A53,'NCLB Title II-A Formula'!$A$12:$G$196,7,FALSE),0)</f>
        <v>0</v>
      </c>
      <c r="G53" s="187">
        <f>VLOOKUP(A53,'NCLB Title III-A '!$A$13:$I$197,9,FALSE)</f>
        <v>0</v>
      </c>
      <c r="H53" s="187">
        <f>IFERROR(VLOOKUP(A53,'NCLB Title III SAI'!$A$13:$G$45,7,FALSE),0)</f>
        <v>12112</v>
      </c>
      <c r="I53" s="281">
        <f>IFERROR(VLOOKUP(A53,'NCLB Title VI Rural LI'!$A$13:$E$191,5,FALSE),0)</f>
        <v>0</v>
      </c>
    </row>
    <row r="54" spans="1:9" ht="18" x14ac:dyDescent="0.35">
      <c r="A54" s="272" t="s">
        <v>57</v>
      </c>
      <c r="B54" s="280" t="s">
        <v>235</v>
      </c>
      <c r="C54" s="187">
        <f>VLOOKUP(A54,'NCLB Title IA Formula'!$A$13:$G$196,7,FALSE)</f>
        <v>0</v>
      </c>
      <c r="D54" s="187">
        <f>IFERROR(VLOOKUP(A54,'NCLB Title I-C Migrant'!$A$11:$E$15,5,FALSE),0)</f>
        <v>0</v>
      </c>
      <c r="E54" s="187">
        <f>IFERROR(VLOOKUP(A54,'NCLB Title I-Delinquent'!$A$11:$E$29,5,FALSE),0)</f>
        <v>0</v>
      </c>
      <c r="F54" s="187">
        <f>IFERROR(VLOOKUP(A54,'NCLB Title II-A Formula'!$A$12:$G$196,7,FALSE),0)</f>
        <v>0</v>
      </c>
      <c r="G54" s="187">
        <f>VLOOKUP(A54,'NCLB Title III-A '!$A$13:$I$197,9,FALSE)</f>
        <v>0</v>
      </c>
      <c r="H54" s="187">
        <f>IFERROR(VLOOKUP(A54,'NCLB Title III SAI'!$A$13:$G$45,7,FALSE),0)</f>
        <v>23277</v>
      </c>
      <c r="I54" s="281">
        <f>IFERROR(VLOOKUP(A54,'NCLB Title VI Rural LI'!$A$13:$E$191,5,FALSE),0)</f>
        <v>0</v>
      </c>
    </row>
    <row r="55" spans="1:9" ht="18" x14ac:dyDescent="0.35">
      <c r="A55" s="272" t="s">
        <v>58</v>
      </c>
      <c r="B55" s="280" t="s">
        <v>236</v>
      </c>
      <c r="C55" s="187">
        <f>VLOOKUP(A55,'NCLB Title IA Formula'!$A$13:$G$196,7,FALSE)</f>
        <v>0</v>
      </c>
      <c r="D55" s="187">
        <f>IFERROR(VLOOKUP(A55,'NCLB Title I-C Migrant'!$A$11:$E$15,5,FALSE),0)</f>
        <v>0</v>
      </c>
      <c r="E55" s="187">
        <f>IFERROR(VLOOKUP(A55,'NCLB Title I-Delinquent'!$A$11:$E$29,5,FALSE),0)</f>
        <v>0</v>
      </c>
      <c r="F55" s="187">
        <f>IFERROR(VLOOKUP(A55,'NCLB Title II-A Formula'!$A$12:$G$196,7,FALSE),0)</f>
        <v>0</v>
      </c>
      <c r="G55" s="187">
        <f>VLOOKUP(A55,'NCLB Title III-A '!$A$13:$I$197,9,FALSE)</f>
        <v>0</v>
      </c>
      <c r="H55" s="187">
        <f>IFERROR(VLOOKUP(A55,'NCLB Title III SAI'!$A$13:$G$45,7,FALSE),0)</f>
        <v>0</v>
      </c>
      <c r="I55" s="281">
        <f>IFERROR(VLOOKUP(A55,'NCLB Title VI Rural LI'!$A$13:$E$191,5,FALSE),0)</f>
        <v>0</v>
      </c>
    </row>
    <row r="56" spans="1:9" ht="18" x14ac:dyDescent="0.35">
      <c r="A56" s="272" t="s">
        <v>59</v>
      </c>
      <c r="B56" s="280" t="s">
        <v>237</v>
      </c>
      <c r="C56" s="187">
        <f>VLOOKUP(A56,'NCLB Title IA Formula'!$A$13:$G$196,7,FALSE)</f>
        <v>0</v>
      </c>
      <c r="D56" s="187">
        <f>IFERROR(VLOOKUP(A56,'NCLB Title I-C Migrant'!$A$11:$E$15,5,FALSE),0)</f>
        <v>0</v>
      </c>
      <c r="E56" s="187">
        <f>IFERROR(VLOOKUP(A56,'NCLB Title I-Delinquent'!$A$11:$E$29,5,FALSE),0)</f>
        <v>0</v>
      </c>
      <c r="F56" s="187">
        <f>IFERROR(VLOOKUP(A56,'NCLB Title II-A Formula'!$A$12:$G$196,7,FALSE),0)</f>
        <v>0</v>
      </c>
      <c r="G56" s="187">
        <f>VLOOKUP(A56,'NCLB Title III-A '!$A$13:$I$197,9,FALSE)</f>
        <v>0</v>
      </c>
      <c r="H56" s="187">
        <f>IFERROR(VLOOKUP(A56,'NCLB Title III SAI'!$A$13:$G$45,7,FALSE),0)</f>
        <v>0</v>
      </c>
      <c r="I56" s="281">
        <f>IFERROR(VLOOKUP(A56,'NCLB Title VI Rural LI'!$A$13:$E$191,5,FALSE),0)</f>
        <v>0</v>
      </c>
    </row>
    <row r="57" spans="1:9" ht="18" x14ac:dyDescent="0.35">
      <c r="A57" s="272" t="s">
        <v>60</v>
      </c>
      <c r="B57" s="280" t="s">
        <v>238</v>
      </c>
      <c r="C57" s="187">
        <f>VLOOKUP(A57,'NCLB Title IA Formula'!$A$13:$G$196,7,FALSE)</f>
        <v>0</v>
      </c>
      <c r="D57" s="187">
        <f>IFERROR(VLOOKUP(A57,'NCLB Title I-C Migrant'!$A$11:$E$15,5,FALSE),0)</f>
        <v>0</v>
      </c>
      <c r="E57" s="187">
        <f>IFERROR(VLOOKUP(A57,'NCLB Title I-Delinquent'!$A$11:$E$29,5,FALSE),0)</f>
        <v>0</v>
      </c>
      <c r="F57" s="187">
        <f>IFERROR(VLOOKUP(A57,'NCLB Title II-A Formula'!$A$12:$G$196,7,FALSE),0)</f>
        <v>0</v>
      </c>
      <c r="G57" s="187">
        <f>VLOOKUP(A57,'NCLB Title III-A '!$A$13:$I$197,9,FALSE)</f>
        <v>0</v>
      </c>
      <c r="H57" s="187">
        <f>IFERROR(VLOOKUP(A57,'NCLB Title III SAI'!$A$13:$G$45,7,FALSE),0)</f>
        <v>0</v>
      </c>
      <c r="I57" s="281">
        <f>IFERROR(VLOOKUP(A57,'NCLB Title VI Rural LI'!$A$13:$E$191,5,FALSE),0)</f>
        <v>0</v>
      </c>
    </row>
    <row r="58" spans="1:9" ht="18" x14ac:dyDescent="0.35">
      <c r="A58" s="272" t="s">
        <v>61</v>
      </c>
      <c r="B58" s="280" t="s">
        <v>239</v>
      </c>
      <c r="C58" s="187">
        <f>VLOOKUP(A58,'NCLB Title IA Formula'!$A$13:$G$196,7,FALSE)</f>
        <v>0</v>
      </c>
      <c r="D58" s="187">
        <f>IFERROR(VLOOKUP(A58,'NCLB Title I-C Migrant'!$A$11:$E$15,5,FALSE),0)</f>
        <v>0</v>
      </c>
      <c r="E58" s="187">
        <f>IFERROR(VLOOKUP(A58,'NCLB Title I-Delinquent'!$A$11:$E$29,5,FALSE),0)</f>
        <v>0</v>
      </c>
      <c r="F58" s="187">
        <f>IFERROR(VLOOKUP(A58,'NCLB Title II-A Formula'!$A$12:$G$196,7,FALSE),0)</f>
        <v>0</v>
      </c>
      <c r="G58" s="187">
        <f>VLOOKUP(A58,'NCLB Title III-A '!$A$13:$I$197,9,FALSE)</f>
        <v>0</v>
      </c>
      <c r="H58" s="187">
        <f>IFERROR(VLOOKUP(A58,'NCLB Title III SAI'!$A$13:$G$45,7,FALSE),0)</f>
        <v>0</v>
      </c>
      <c r="I58" s="281">
        <f>IFERROR(VLOOKUP(A58,'NCLB Title VI Rural LI'!$A$13:$E$191,5,FALSE),0)</f>
        <v>0</v>
      </c>
    </row>
    <row r="59" spans="1:9" ht="18" x14ac:dyDescent="0.35">
      <c r="A59" s="272" t="s">
        <v>62</v>
      </c>
      <c r="B59" s="280" t="s">
        <v>240</v>
      </c>
      <c r="C59" s="187">
        <f>VLOOKUP(A59,'NCLB Title IA Formula'!$A$13:$G$196,7,FALSE)</f>
        <v>0</v>
      </c>
      <c r="D59" s="187">
        <f>IFERROR(VLOOKUP(A59,'NCLB Title I-C Migrant'!$A$11:$E$15,5,FALSE),0)</f>
        <v>0</v>
      </c>
      <c r="E59" s="187">
        <f>IFERROR(VLOOKUP(A59,'NCLB Title I-Delinquent'!$A$11:$E$29,5,FALSE),0)</f>
        <v>0</v>
      </c>
      <c r="F59" s="187">
        <f>IFERROR(VLOOKUP(A59,'NCLB Title II-A Formula'!$A$12:$G$196,7,FALSE),0)</f>
        <v>0</v>
      </c>
      <c r="G59" s="187">
        <f>VLOOKUP(A59,'NCLB Title III-A '!$A$13:$I$197,9,FALSE)</f>
        <v>0</v>
      </c>
      <c r="H59" s="187">
        <f>IFERROR(VLOOKUP(A59,'NCLB Title III SAI'!$A$13:$G$45,7,FALSE),0)</f>
        <v>22513</v>
      </c>
      <c r="I59" s="281">
        <f>IFERROR(VLOOKUP(A59,'NCLB Title VI Rural LI'!$A$13:$E$191,5,FALSE),0)</f>
        <v>0</v>
      </c>
    </row>
    <row r="60" spans="1:9" ht="18" x14ac:dyDescent="0.35">
      <c r="A60" s="272" t="s">
        <v>63</v>
      </c>
      <c r="B60" s="280" t="s">
        <v>241</v>
      </c>
      <c r="C60" s="187">
        <f>VLOOKUP(A60,'NCLB Title IA Formula'!$A$13:$G$196,7,FALSE)</f>
        <v>0</v>
      </c>
      <c r="D60" s="187">
        <f>IFERROR(VLOOKUP(A60,'NCLB Title I-C Migrant'!$A$11:$E$15,5,FALSE),0)</f>
        <v>0</v>
      </c>
      <c r="E60" s="187">
        <f>IFERROR(VLOOKUP(A60,'NCLB Title I-Delinquent'!$A$11:$E$29,5,FALSE),0)</f>
        <v>0</v>
      </c>
      <c r="F60" s="187">
        <f>IFERROR(VLOOKUP(A60,'NCLB Title II-A Formula'!$A$12:$G$196,7,FALSE),0)</f>
        <v>0</v>
      </c>
      <c r="G60" s="187">
        <f>VLOOKUP(A60,'NCLB Title III-A '!$A$13:$I$197,9,FALSE)</f>
        <v>0</v>
      </c>
      <c r="H60" s="187">
        <f>IFERROR(VLOOKUP(A60,'NCLB Title III SAI'!$A$13:$G$45,7,FALSE),0)</f>
        <v>0</v>
      </c>
      <c r="I60" s="281">
        <f>IFERROR(VLOOKUP(A60,'NCLB Title VI Rural LI'!$A$13:$E$191,5,FALSE),0)</f>
        <v>0</v>
      </c>
    </row>
    <row r="61" spans="1:9" ht="18" x14ac:dyDescent="0.35">
      <c r="A61" s="272" t="s">
        <v>64</v>
      </c>
      <c r="B61" s="280" t="s">
        <v>242</v>
      </c>
      <c r="C61" s="187">
        <f>VLOOKUP(A61,'NCLB Title IA Formula'!$A$13:$G$196,7,FALSE)</f>
        <v>0</v>
      </c>
      <c r="D61" s="187">
        <f>IFERROR(VLOOKUP(A61,'NCLB Title I-C Migrant'!$A$11:$E$15,5,FALSE),0)</f>
        <v>0</v>
      </c>
      <c r="E61" s="187">
        <f>IFERROR(VLOOKUP(A61,'NCLB Title I-Delinquent'!$A$11:$E$29,5,FALSE),0)</f>
        <v>0</v>
      </c>
      <c r="F61" s="187">
        <f>IFERROR(VLOOKUP(A61,'NCLB Title II-A Formula'!$A$12:$G$196,7,FALSE),0)</f>
        <v>0</v>
      </c>
      <c r="G61" s="187">
        <f>VLOOKUP(A61,'NCLB Title III-A '!$A$13:$I$197,9,FALSE)</f>
        <v>0</v>
      </c>
      <c r="H61" s="187">
        <f>IFERROR(VLOOKUP(A61,'NCLB Title III SAI'!$A$13:$G$45,7,FALSE),0)</f>
        <v>0</v>
      </c>
      <c r="I61" s="281">
        <f>IFERROR(VLOOKUP(A61,'NCLB Title VI Rural LI'!$A$13:$E$191,5,FALSE),0)</f>
        <v>0</v>
      </c>
    </row>
    <row r="62" spans="1:9" ht="18" x14ac:dyDescent="0.35">
      <c r="A62" s="272" t="s">
        <v>65</v>
      </c>
      <c r="B62" s="280" t="s">
        <v>243</v>
      </c>
      <c r="C62" s="187">
        <f>VLOOKUP(A62,'NCLB Title IA Formula'!$A$13:$G$196,7,FALSE)</f>
        <v>0</v>
      </c>
      <c r="D62" s="187">
        <f>IFERROR(VLOOKUP(A62,'NCLB Title I-C Migrant'!$A$11:$E$15,5,FALSE),0)</f>
        <v>0</v>
      </c>
      <c r="E62" s="187">
        <f>IFERROR(VLOOKUP(A62,'NCLB Title I-Delinquent'!$A$11:$E$29,5,FALSE),0)</f>
        <v>0</v>
      </c>
      <c r="F62" s="187">
        <f>IFERROR(VLOOKUP(A62,'NCLB Title II-A Formula'!$A$12:$G$196,7,FALSE),0)</f>
        <v>40</v>
      </c>
      <c r="G62" s="187">
        <f>VLOOKUP(A62,'NCLB Title III-A '!$A$13:$I$197,9,FALSE)</f>
        <v>0</v>
      </c>
      <c r="H62" s="187">
        <f>IFERROR(VLOOKUP(A62,'NCLB Title III SAI'!$A$13:$G$45,7,FALSE),0)</f>
        <v>0</v>
      </c>
      <c r="I62" s="281">
        <f>IFERROR(VLOOKUP(A62,'NCLB Title VI Rural LI'!$A$13:$E$191,5,FALSE),0)</f>
        <v>0</v>
      </c>
    </row>
    <row r="63" spans="1:9" ht="18" x14ac:dyDescent="0.35">
      <c r="A63" s="272" t="s">
        <v>66</v>
      </c>
      <c r="B63" s="280" t="s">
        <v>244</v>
      </c>
      <c r="C63" s="187">
        <f>VLOOKUP(A63,'NCLB Title IA Formula'!$A$13:$G$196,7,FALSE)</f>
        <v>0</v>
      </c>
      <c r="D63" s="187">
        <f>IFERROR(VLOOKUP(A63,'NCLB Title I-C Migrant'!$A$11:$E$15,5,FALSE),0)</f>
        <v>0</v>
      </c>
      <c r="E63" s="187">
        <f>IFERROR(VLOOKUP(A63,'NCLB Title I-Delinquent'!$A$11:$E$29,5,FALSE),0)</f>
        <v>0</v>
      </c>
      <c r="F63" s="187">
        <f>IFERROR(VLOOKUP(A63,'NCLB Title II-A Formula'!$A$12:$G$196,7,FALSE),0)</f>
        <v>0</v>
      </c>
      <c r="G63" s="187">
        <f>VLOOKUP(A63,'NCLB Title III-A '!$A$13:$I$197,9,FALSE)</f>
        <v>0</v>
      </c>
      <c r="H63" s="187">
        <f>IFERROR(VLOOKUP(A63,'NCLB Title III SAI'!$A$13:$G$45,7,FALSE),0)</f>
        <v>0</v>
      </c>
      <c r="I63" s="281">
        <f>IFERROR(VLOOKUP(A63,'NCLB Title VI Rural LI'!$A$13:$E$191,5,FALSE),0)</f>
        <v>0</v>
      </c>
    </row>
    <row r="64" spans="1:9" ht="18" x14ac:dyDescent="0.35">
      <c r="A64" s="272" t="s">
        <v>67</v>
      </c>
      <c r="B64" s="280" t="s">
        <v>245</v>
      </c>
      <c r="C64" s="187">
        <f>VLOOKUP(A64,'NCLB Title IA Formula'!$A$13:$G$196,7,FALSE)</f>
        <v>0</v>
      </c>
      <c r="D64" s="187">
        <f>IFERROR(VLOOKUP(A64,'NCLB Title I-C Migrant'!$A$11:$E$15,5,FALSE),0)</f>
        <v>0</v>
      </c>
      <c r="E64" s="187">
        <f>IFERROR(VLOOKUP(A64,'NCLB Title I-Delinquent'!$A$11:$E$29,5,FALSE),0)</f>
        <v>0</v>
      </c>
      <c r="F64" s="187">
        <f>IFERROR(VLOOKUP(A64,'NCLB Title II-A Formula'!$A$12:$G$196,7,FALSE),0)</f>
        <v>0</v>
      </c>
      <c r="G64" s="187">
        <f>VLOOKUP(A64,'NCLB Title III-A '!$A$13:$I$197,9,FALSE)</f>
        <v>0</v>
      </c>
      <c r="H64" s="187">
        <f>IFERROR(VLOOKUP(A64,'NCLB Title III SAI'!$A$13:$G$45,7,FALSE),0)</f>
        <v>0</v>
      </c>
      <c r="I64" s="281">
        <f>IFERROR(VLOOKUP(A64,'NCLB Title VI Rural LI'!$A$13:$E$191,5,FALSE),0)</f>
        <v>0</v>
      </c>
    </row>
    <row r="65" spans="1:9" ht="18" x14ac:dyDescent="0.35">
      <c r="A65" s="272" t="s">
        <v>68</v>
      </c>
      <c r="B65" s="280" t="s">
        <v>246</v>
      </c>
      <c r="C65" s="187">
        <f>VLOOKUP(A65,'NCLB Title IA Formula'!$A$13:$G$196,7,FALSE)</f>
        <v>0</v>
      </c>
      <c r="D65" s="187">
        <f>IFERROR(VLOOKUP(A65,'NCLB Title I-C Migrant'!$A$11:$E$15,5,FALSE),0)</f>
        <v>0</v>
      </c>
      <c r="E65" s="187">
        <f>IFERROR(VLOOKUP(A65,'NCLB Title I-Delinquent'!$A$11:$E$29,5,FALSE),0)</f>
        <v>0</v>
      </c>
      <c r="F65" s="187">
        <f>IFERROR(VLOOKUP(A65,'NCLB Title II-A Formula'!$A$12:$G$196,7,FALSE),0)</f>
        <v>0</v>
      </c>
      <c r="G65" s="187">
        <f>VLOOKUP(A65,'NCLB Title III-A '!$A$13:$I$197,9,FALSE)</f>
        <v>0</v>
      </c>
      <c r="H65" s="187">
        <f>IFERROR(VLOOKUP(A65,'NCLB Title III SAI'!$A$13:$G$45,7,FALSE),0)</f>
        <v>0</v>
      </c>
      <c r="I65" s="281">
        <f>IFERROR(VLOOKUP(A65,'NCLB Title VI Rural LI'!$A$13:$E$191,5,FALSE),0)</f>
        <v>0</v>
      </c>
    </row>
    <row r="66" spans="1:9" ht="18" x14ac:dyDescent="0.35">
      <c r="A66" s="272" t="s">
        <v>69</v>
      </c>
      <c r="B66" s="280" t="s">
        <v>247</v>
      </c>
      <c r="C66" s="187">
        <f>VLOOKUP(A66,'NCLB Title IA Formula'!$A$13:$G$196,7,FALSE)</f>
        <v>0</v>
      </c>
      <c r="D66" s="187">
        <f>IFERROR(VLOOKUP(A66,'NCLB Title I-C Migrant'!$A$11:$E$15,5,FALSE),0)</f>
        <v>0</v>
      </c>
      <c r="E66" s="187">
        <f>IFERROR(VLOOKUP(A66,'NCLB Title I-Delinquent'!$A$11:$E$29,5,FALSE),0)</f>
        <v>0</v>
      </c>
      <c r="F66" s="187">
        <f>IFERROR(VLOOKUP(A66,'NCLB Title II-A Formula'!$A$12:$G$196,7,FALSE),0)</f>
        <v>0</v>
      </c>
      <c r="G66" s="187">
        <f>VLOOKUP(A66,'NCLB Title III-A '!$A$13:$I$197,9,FALSE)</f>
        <v>0</v>
      </c>
      <c r="H66" s="187">
        <f>IFERROR(VLOOKUP(A66,'NCLB Title III SAI'!$A$13:$G$45,7,FALSE),0)</f>
        <v>0</v>
      </c>
      <c r="I66" s="281">
        <f>IFERROR(VLOOKUP(A66,'NCLB Title VI Rural LI'!$A$13:$E$191,5,FALSE),0)</f>
        <v>0</v>
      </c>
    </row>
    <row r="67" spans="1:9" ht="18" x14ac:dyDescent="0.35">
      <c r="A67" s="272" t="s">
        <v>70</v>
      </c>
      <c r="B67" s="280" t="s">
        <v>248</v>
      </c>
      <c r="C67" s="187">
        <f>VLOOKUP(A67,'NCLB Title IA Formula'!$A$13:$G$196,7,FALSE)</f>
        <v>0</v>
      </c>
      <c r="D67" s="187">
        <f>IFERROR(VLOOKUP(A67,'NCLB Title I-C Migrant'!$A$11:$E$15,5,FALSE),0)</f>
        <v>0</v>
      </c>
      <c r="E67" s="187">
        <f>IFERROR(VLOOKUP(A67,'NCLB Title I-Delinquent'!$A$11:$E$29,5,FALSE),0)</f>
        <v>0</v>
      </c>
      <c r="F67" s="187">
        <f>IFERROR(VLOOKUP(A67,'NCLB Title II-A Formula'!$A$12:$G$196,7,FALSE),0)</f>
        <v>0</v>
      </c>
      <c r="G67" s="187">
        <f>VLOOKUP(A67,'NCLB Title III-A '!$A$13:$I$197,9,FALSE)</f>
        <v>2957</v>
      </c>
      <c r="H67" s="187">
        <f>IFERROR(VLOOKUP(A67,'NCLB Title III SAI'!$A$13:$G$45,7,FALSE),0)</f>
        <v>0</v>
      </c>
      <c r="I67" s="281">
        <f>IFERROR(VLOOKUP(A67,'NCLB Title VI Rural LI'!$A$13:$E$191,5,FALSE),0)</f>
        <v>0</v>
      </c>
    </row>
    <row r="68" spans="1:9" ht="18" x14ac:dyDescent="0.35">
      <c r="A68" s="272" t="s">
        <v>71</v>
      </c>
      <c r="B68" s="280" t="s">
        <v>249</v>
      </c>
      <c r="C68" s="187">
        <f>VLOOKUP(A68,'NCLB Title IA Formula'!$A$13:$G$196,7,FALSE)</f>
        <v>0</v>
      </c>
      <c r="D68" s="187">
        <f>IFERROR(VLOOKUP(A68,'NCLB Title I-C Migrant'!$A$11:$E$15,5,FALSE),0)</f>
        <v>0</v>
      </c>
      <c r="E68" s="187">
        <f>IFERROR(VLOOKUP(A68,'NCLB Title I-Delinquent'!$A$11:$E$29,5,FALSE),0)</f>
        <v>0</v>
      </c>
      <c r="F68" s="187">
        <f>IFERROR(VLOOKUP(A68,'NCLB Title II-A Formula'!$A$12:$G$196,7,FALSE),0)</f>
        <v>0</v>
      </c>
      <c r="G68" s="187">
        <f>VLOOKUP(A68,'NCLB Title III-A '!$A$13:$I$197,9,FALSE)</f>
        <v>0</v>
      </c>
      <c r="H68" s="187">
        <f>IFERROR(VLOOKUP(A68,'NCLB Title III SAI'!$A$13:$G$45,7,FALSE),0)</f>
        <v>0</v>
      </c>
      <c r="I68" s="281">
        <f>IFERROR(VLOOKUP(A68,'NCLB Title VI Rural LI'!$A$13:$E$191,5,FALSE),0)</f>
        <v>0</v>
      </c>
    </row>
    <row r="69" spans="1:9" ht="18" x14ac:dyDescent="0.35">
      <c r="A69" s="272" t="s">
        <v>72</v>
      </c>
      <c r="B69" s="280" t="s">
        <v>250</v>
      </c>
      <c r="C69" s="187">
        <f>VLOOKUP(A69,'NCLB Title IA Formula'!$A$13:$G$196,7,FALSE)</f>
        <v>0</v>
      </c>
      <c r="D69" s="187">
        <f>IFERROR(VLOOKUP(A69,'NCLB Title I-C Migrant'!$A$11:$E$15,5,FALSE),0)</f>
        <v>0</v>
      </c>
      <c r="E69" s="187">
        <f>IFERROR(VLOOKUP(A69,'NCLB Title I-Delinquent'!$A$11:$E$29,5,FALSE),0)</f>
        <v>0</v>
      </c>
      <c r="F69" s="187">
        <f>IFERROR(VLOOKUP(A69,'NCLB Title II-A Formula'!$A$12:$G$196,7,FALSE),0)</f>
        <v>0</v>
      </c>
      <c r="G69" s="187">
        <f>VLOOKUP(A69,'NCLB Title III-A '!$A$13:$I$197,9,FALSE)</f>
        <v>0</v>
      </c>
      <c r="H69" s="187">
        <f>IFERROR(VLOOKUP(A69,'NCLB Title III SAI'!$A$13:$G$45,7,FALSE),0)</f>
        <v>0</v>
      </c>
      <c r="I69" s="281">
        <f>IFERROR(VLOOKUP(A69,'NCLB Title VI Rural LI'!$A$13:$E$191,5,FALSE),0)</f>
        <v>0</v>
      </c>
    </row>
    <row r="70" spans="1:9" ht="18" x14ac:dyDescent="0.35">
      <c r="A70" s="272" t="s">
        <v>73</v>
      </c>
      <c r="B70" s="280" t="s">
        <v>251</v>
      </c>
      <c r="C70" s="187">
        <f>VLOOKUP(A70,'NCLB Title IA Formula'!$A$13:$G$196,7,FALSE)</f>
        <v>0</v>
      </c>
      <c r="D70" s="187">
        <f>IFERROR(VLOOKUP(A70,'NCLB Title I-C Migrant'!$A$11:$E$15,5,FALSE),0)</f>
        <v>0</v>
      </c>
      <c r="E70" s="187">
        <f>IFERROR(VLOOKUP(A70,'NCLB Title I-Delinquent'!$A$11:$E$29,5,FALSE),0)</f>
        <v>0</v>
      </c>
      <c r="F70" s="187">
        <f>IFERROR(VLOOKUP(A70,'NCLB Title II-A Formula'!$A$12:$G$196,7,FALSE),0)</f>
        <v>0</v>
      </c>
      <c r="G70" s="187">
        <f>VLOOKUP(A70,'NCLB Title III-A '!$A$13:$I$197,9,FALSE)</f>
        <v>0</v>
      </c>
      <c r="H70" s="187">
        <f>IFERROR(VLOOKUP(A70,'NCLB Title III SAI'!$A$13:$G$45,7,FALSE),0)</f>
        <v>9145</v>
      </c>
      <c r="I70" s="281">
        <f>IFERROR(VLOOKUP(A70,'NCLB Title VI Rural LI'!$A$13:$E$191,5,FALSE),0)</f>
        <v>0</v>
      </c>
    </row>
    <row r="71" spans="1:9" ht="18" x14ac:dyDescent="0.35">
      <c r="A71" s="272" t="s">
        <v>74</v>
      </c>
      <c r="B71" s="280" t="s">
        <v>252</v>
      </c>
      <c r="C71" s="187">
        <f>VLOOKUP(A71,'NCLB Title IA Formula'!$A$13:$G$196,7,FALSE)</f>
        <v>0</v>
      </c>
      <c r="D71" s="187">
        <f>IFERROR(VLOOKUP(A71,'NCLB Title I-C Migrant'!$A$11:$E$15,5,FALSE),0)</f>
        <v>0</v>
      </c>
      <c r="E71" s="187">
        <f>IFERROR(VLOOKUP(A71,'NCLB Title I-Delinquent'!$A$11:$E$29,5,FALSE),0)</f>
        <v>0</v>
      </c>
      <c r="F71" s="187">
        <f>IFERROR(VLOOKUP(A71,'NCLB Title II-A Formula'!$A$12:$G$196,7,FALSE),0)</f>
        <v>0</v>
      </c>
      <c r="G71" s="187">
        <f>VLOOKUP(A71,'NCLB Title III-A '!$A$13:$I$197,9,FALSE)</f>
        <v>0</v>
      </c>
      <c r="H71" s="187">
        <f>IFERROR(VLOOKUP(A71,'NCLB Title III SAI'!$A$13:$G$45,7,FALSE),0)</f>
        <v>0</v>
      </c>
      <c r="I71" s="281">
        <f>IFERROR(VLOOKUP(A71,'NCLB Title VI Rural LI'!$A$13:$E$191,5,FALSE),0)</f>
        <v>0</v>
      </c>
    </row>
    <row r="72" spans="1:9" ht="18" x14ac:dyDescent="0.35">
      <c r="A72" s="272" t="s">
        <v>75</v>
      </c>
      <c r="B72" s="280" t="s">
        <v>253</v>
      </c>
      <c r="C72" s="187">
        <f>VLOOKUP(A72,'NCLB Title IA Formula'!$A$13:$G$196,7,FALSE)</f>
        <v>0</v>
      </c>
      <c r="D72" s="187">
        <f>IFERROR(VLOOKUP(A72,'NCLB Title I-C Migrant'!$A$11:$E$15,5,FALSE),0)</f>
        <v>0</v>
      </c>
      <c r="E72" s="187">
        <f>IFERROR(VLOOKUP(A72,'NCLB Title I-Delinquent'!$A$11:$E$29,5,FALSE),0)</f>
        <v>0</v>
      </c>
      <c r="F72" s="187">
        <f>IFERROR(VLOOKUP(A72,'NCLB Title II-A Formula'!$A$12:$G$196,7,FALSE),0)</f>
        <v>0</v>
      </c>
      <c r="G72" s="187">
        <f>VLOOKUP(A72,'NCLB Title III-A '!$A$13:$I$197,9,FALSE)</f>
        <v>0</v>
      </c>
      <c r="H72" s="187">
        <f>IFERROR(VLOOKUP(A72,'NCLB Title III SAI'!$A$13:$G$45,7,FALSE),0)</f>
        <v>416</v>
      </c>
      <c r="I72" s="281">
        <f>IFERROR(VLOOKUP(A72,'NCLB Title VI Rural LI'!$A$13:$E$191,5,FALSE),0)</f>
        <v>0</v>
      </c>
    </row>
    <row r="73" spans="1:9" ht="18" x14ac:dyDescent="0.35">
      <c r="A73" s="272" t="s">
        <v>76</v>
      </c>
      <c r="B73" s="280" t="s">
        <v>254</v>
      </c>
      <c r="C73" s="187">
        <f>VLOOKUP(A73,'NCLB Title IA Formula'!$A$13:$G$196,7,FALSE)</f>
        <v>0</v>
      </c>
      <c r="D73" s="187">
        <f>IFERROR(VLOOKUP(A73,'NCLB Title I-C Migrant'!$A$11:$E$15,5,FALSE),0)</f>
        <v>0</v>
      </c>
      <c r="E73" s="187">
        <f>IFERROR(VLOOKUP(A73,'NCLB Title I-Delinquent'!$A$11:$E$29,5,FALSE),0)</f>
        <v>0</v>
      </c>
      <c r="F73" s="187">
        <f>IFERROR(VLOOKUP(A73,'NCLB Title II-A Formula'!$A$12:$G$196,7,FALSE),0)</f>
        <v>4122</v>
      </c>
      <c r="G73" s="187">
        <f>VLOOKUP(A73,'NCLB Title III-A '!$A$13:$I$197,9,FALSE)</f>
        <v>0</v>
      </c>
      <c r="H73" s="187">
        <f>IFERROR(VLOOKUP(A73,'NCLB Title III SAI'!$A$13:$G$45,7,FALSE),0)</f>
        <v>0</v>
      </c>
      <c r="I73" s="281">
        <f>IFERROR(VLOOKUP(A73,'NCLB Title VI Rural LI'!$A$13:$E$191,5,FALSE),0)</f>
        <v>0</v>
      </c>
    </row>
    <row r="74" spans="1:9" ht="18" x14ac:dyDescent="0.35">
      <c r="A74" s="272" t="s">
        <v>77</v>
      </c>
      <c r="B74" s="280" t="s">
        <v>255</v>
      </c>
      <c r="C74" s="187">
        <f>VLOOKUP(A74,'NCLB Title IA Formula'!$A$13:$G$196,7,FALSE)</f>
        <v>0</v>
      </c>
      <c r="D74" s="187">
        <f>IFERROR(VLOOKUP(A74,'NCLB Title I-C Migrant'!$A$11:$E$15,5,FALSE),0)</f>
        <v>0</v>
      </c>
      <c r="E74" s="187">
        <f>IFERROR(VLOOKUP(A74,'NCLB Title I-Delinquent'!$A$11:$E$29,5,FALSE),0)</f>
        <v>0</v>
      </c>
      <c r="F74" s="187">
        <f>IFERROR(VLOOKUP(A74,'NCLB Title II-A Formula'!$A$12:$G$196,7,FALSE),0)</f>
        <v>0</v>
      </c>
      <c r="G74" s="187">
        <f>VLOOKUP(A74,'NCLB Title III-A '!$A$13:$I$197,9,FALSE)</f>
        <v>0</v>
      </c>
      <c r="H74" s="187">
        <f>IFERROR(VLOOKUP(A74,'NCLB Title III SAI'!$A$13:$G$45,7,FALSE),0)</f>
        <v>0</v>
      </c>
      <c r="I74" s="281">
        <f>IFERROR(VLOOKUP(A74,'NCLB Title VI Rural LI'!$A$13:$E$191,5,FALSE),0)</f>
        <v>0</v>
      </c>
    </row>
    <row r="75" spans="1:9" ht="18" x14ac:dyDescent="0.35">
      <c r="A75" s="272" t="s">
        <v>78</v>
      </c>
      <c r="B75" s="280" t="s">
        <v>256</v>
      </c>
      <c r="C75" s="187">
        <f>VLOOKUP(A75,'NCLB Title IA Formula'!$A$13:$G$196,7,FALSE)</f>
        <v>0</v>
      </c>
      <c r="D75" s="187">
        <f>IFERROR(VLOOKUP(A75,'NCLB Title I-C Migrant'!$A$11:$E$15,5,FALSE),0)</f>
        <v>0</v>
      </c>
      <c r="E75" s="187">
        <f>IFERROR(VLOOKUP(A75,'NCLB Title I-Delinquent'!$A$11:$E$29,5,FALSE),0)</f>
        <v>0</v>
      </c>
      <c r="F75" s="187">
        <f>IFERROR(VLOOKUP(A75,'NCLB Title II-A Formula'!$A$12:$G$196,7,FALSE),0)</f>
        <v>0</v>
      </c>
      <c r="G75" s="187">
        <f>VLOOKUP(A75,'NCLB Title III-A '!$A$13:$I$197,9,FALSE)</f>
        <v>0</v>
      </c>
      <c r="H75" s="187">
        <f>IFERROR(VLOOKUP(A75,'NCLB Title III SAI'!$A$13:$G$45,7,FALSE),0)</f>
        <v>0</v>
      </c>
      <c r="I75" s="281">
        <f>IFERROR(VLOOKUP(A75,'NCLB Title VI Rural LI'!$A$13:$E$191,5,FALSE),0)</f>
        <v>0</v>
      </c>
    </row>
    <row r="76" spans="1:9" ht="18" x14ac:dyDescent="0.35">
      <c r="A76" s="272" t="s">
        <v>79</v>
      </c>
      <c r="B76" s="280" t="s">
        <v>257</v>
      </c>
      <c r="C76" s="187">
        <f>VLOOKUP(A76,'NCLB Title IA Formula'!$A$13:$G$196,7,FALSE)</f>
        <v>0</v>
      </c>
      <c r="D76" s="187">
        <f>IFERROR(VLOOKUP(A76,'NCLB Title I-C Migrant'!$A$11:$E$15,5,FALSE),0)</f>
        <v>0</v>
      </c>
      <c r="E76" s="187">
        <f>IFERROR(VLOOKUP(A76,'NCLB Title I-Delinquent'!$A$11:$E$29,5,FALSE),0)</f>
        <v>0</v>
      </c>
      <c r="F76" s="187">
        <f>IFERROR(VLOOKUP(A76,'NCLB Title II-A Formula'!$A$12:$G$196,7,FALSE),0)</f>
        <v>0</v>
      </c>
      <c r="G76" s="187">
        <f>VLOOKUP(A76,'NCLB Title III-A '!$A$13:$I$197,9,FALSE)</f>
        <v>0</v>
      </c>
      <c r="H76" s="187">
        <f>IFERROR(VLOOKUP(A76,'NCLB Title III SAI'!$A$13:$G$45,7,FALSE),0)</f>
        <v>0</v>
      </c>
      <c r="I76" s="281">
        <f>IFERROR(VLOOKUP(A76,'NCLB Title VI Rural LI'!$A$13:$E$191,5,FALSE),0)</f>
        <v>0</v>
      </c>
    </row>
    <row r="77" spans="1:9" ht="18" x14ac:dyDescent="0.35">
      <c r="A77" s="272" t="s">
        <v>80</v>
      </c>
      <c r="B77" s="280" t="s">
        <v>258</v>
      </c>
      <c r="C77" s="187">
        <f>VLOOKUP(A77,'NCLB Title IA Formula'!$A$13:$G$196,7,FALSE)</f>
        <v>0</v>
      </c>
      <c r="D77" s="187">
        <f>IFERROR(VLOOKUP(A77,'NCLB Title I-C Migrant'!$A$11:$E$15,5,FALSE),0)</f>
        <v>0</v>
      </c>
      <c r="E77" s="187">
        <f>IFERROR(VLOOKUP(A77,'NCLB Title I-Delinquent'!$A$11:$E$29,5,FALSE),0)</f>
        <v>0</v>
      </c>
      <c r="F77" s="187">
        <f>IFERROR(VLOOKUP(A77,'NCLB Title II-A Formula'!$A$12:$G$196,7,FALSE),0)</f>
        <v>0</v>
      </c>
      <c r="G77" s="187">
        <f>VLOOKUP(A77,'NCLB Title III-A '!$A$13:$I$197,9,FALSE)</f>
        <v>0</v>
      </c>
      <c r="H77" s="187">
        <f>IFERROR(VLOOKUP(A77,'NCLB Title III SAI'!$A$13:$G$45,7,FALSE),0)</f>
        <v>0</v>
      </c>
      <c r="I77" s="281">
        <f>IFERROR(VLOOKUP(A77,'NCLB Title VI Rural LI'!$A$13:$E$191,5,FALSE),0)</f>
        <v>0</v>
      </c>
    </row>
    <row r="78" spans="1:9" ht="18" x14ac:dyDescent="0.35">
      <c r="A78" s="272" t="s">
        <v>81</v>
      </c>
      <c r="B78" s="280" t="s">
        <v>259</v>
      </c>
      <c r="C78" s="187">
        <f>VLOOKUP(A78,'NCLB Title IA Formula'!$A$13:$G$196,7,FALSE)</f>
        <v>0</v>
      </c>
      <c r="D78" s="187">
        <f>IFERROR(VLOOKUP(A78,'NCLB Title I-C Migrant'!$A$11:$E$15,5,FALSE),0)</f>
        <v>0</v>
      </c>
      <c r="E78" s="187">
        <f>IFERROR(VLOOKUP(A78,'NCLB Title I-Delinquent'!$A$11:$E$29,5,FALSE),0)</f>
        <v>0</v>
      </c>
      <c r="F78" s="187">
        <f>IFERROR(VLOOKUP(A78,'NCLB Title II-A Formula'!$A$12:$G$196,7,FALSE),0)</f>
        <v>0</v>
      </c>
      <c r="G78" s="187">
        <f>VLOOKUP(A78,'NCLB Title III-A '!$A$13:$I$197,9,FALSE)</f>
        <v>0</v>
      </c>
      <c r="H78" s="187">
        <f>IFERROR(VLOOKUP(A78,'NCLB Title III SAI'!$A$13:$G$45,7,FALSE),0)</f>
        <v>0</v>
      </c>
      <c r="I78" s="281">
        <f>IFERROR(VLOOKUP(A78,'NCLB Title VI Rural LI'!$A$13:$E$191,5,FALSE),0)</f>
        <v>0</v>
      </c>
    </row>
    <row r="79" spans="1:9" ht="18" x14ac:dyDescent="0.35">
      <c r="A79" s="272" t="s">
        <v>82</v>
      </c>
      <c r="B79" s="280" t="s">
        <v>260</v>
      </c>
      <c r="C79" s="187">
        <f>VLOOKUP(A79,'NCLB Title IA Formula'!$A$13:$G$196,7,FALSE)</f>
        <v>0</v>
      </c>
      <c r="D79" s="187">
        <f>IFERROR(VLOOKUP(A79,'NCLB Title I-C Migrant'!$A$11:$E$15,5,FALSE),0)</f>
        <v>0</v>
      </c>
      <c r="E79" s="187">
        <f>IFERROR(VLOOKUP(A79,'NCLB Title I-Delinquent'!$A$11:$E$29,5,FALSE),0)</f>
        <v>0</v>
      </c>
      <c r="F79" s="187">
        <f>IFERROR(VLOOKUP(A79,'NCLB Title II-A Formula'!$A$12:$G$196,7,FALSE),0)</f>
        <v>0</v>
      </c>
      <c r="G79" s="187">
        <f>VLOOKUP(A79,'NCLB Title III-A '!$A$13:$I$197,9,FALSE)</f>
        <v>0</v>
      </c>
      <c r="H79" s="187">
        <f>IFERROR(VLOOKUP(A79,'NCLB Title III SAI'!$A$13:$G$45,7,FALSE),0)</f>
        <v>0</v>
      </c>
      <c r="I79" s="281">
        <f>IFERROR(VLOOKUP(A79,'NCLB Title VI Rural LI'!$A$13:$E$191,5,FALSE),0)</f>
        <v>0</v>
      </c>
    </row>
    <row r="80" spans="1:9" ht="18" x14ac:dyDescent="0.35">
      <c r="A80" s="272" t="s">
        <v>83</v>
      </c>
      <c r="B80" s="280" t="s">
        <v>261</v>
      </c>
      <c r="C80" s="187">
        <f>VLOOKUP(A80,'NCLB Title IA Formula'!$A$13:$G$196,7,FALSE)</f>
        <v>0</v>
      </c>
      <c r="D80" s="187">
        <f>IFERROR(VLOOKUP(A80,'NCLB Title I-C Migrant'!$A$11:$E$15,5,FALSE),0)</f>
        <v>0</v>
      </c>
      <c r="E80" s="187">
        <f>IFERROR(VLOOKUP(A80,'NCLB Title I-Delinquent'!$A$11:$E$29,5,FALSE),0)</f>
        <v>0</v>
      </c>
      <c r="F80" s="187">
        <f>IFERROR(VLOOKUP(A80,'NCLB Title II-A Formula'!$A$12:$G$196,7,FALSE),0)</f>
        <v>0</v>
      </c>
      <c r="G80" s="187">
        <f>VLOOKUP(A80,'NCLB Title III-A '!$A$13:$I$197,9,FALSE)</f>
        <v>0</v>
      </c>
      <c r="H80" s="187">
        <f>IFERROR(VLOOKUP(A80,'NCLB Title III SAI'!$A$13:$G$45,7,FALSE),0)</f>
        <v>0</v>
      </c>
      <c r="I80" s="281">
        <f>IFERROR(VLOOKUP(A80,'NCLB Title VI Rural LI'!$A$13:$E$191,5,FALSE),0)</f>
        <v>0</v>
      </c>
    </row>
    <row r="81" spans="1:9" ht="18" x14ac:dyDescent="0.35">
      <c r="A81" s="272" t="s">
        <v>84</v>
      </c>
      <c r="B81" s="280" t="s">
        <v>262</v>
      </c>
      <c r="C81" s="187">
        <f>VLOOKUP(A81,'NCLB Title IA Formula'!$A$13:$G$196,7,FALSE)</f>
        <v>0</v>
      </c>
      <c r="D81" s="187">
        <f>IFERROR(VLOOKUP(A81,'NCLB Title I-C Migrant'!$A$11:$E$15,5,FALSE),0)</f>
        <v>0</v>
      </c>
      <c r="E81" s="187">
        <f>IFERROR(VLOOKUP(A81,'NCLB Title I-Delinquent'!$A$11:$E$29,5,FALSE),0)</f>
        <v>0</v>
      </c>
      <c r="F81" s="187">
        <f>IFERROR(VLOOKUP(A81,'NCLB Title II-A Formula'!$A$12:$G$196,7,FALSE),0)</f>
        <v>0</v>
      </c>
      <c r="G81" s="187">
        <f>VLOOKUP(A81,'NCLB Title III-A '!$A$13:$I$197,9,FALSE)</f>
        <v>0</v>
      </c>
      <c r="H81" s="187">
        <f>IFERROR(VLOOKUP(A81,'NCLB Title III SAI'!$A$13:$G$45,7,FALSE),0)</f>
        <v>0</v>
      </c>
      <c r="I81" s="281">
        <f>IFERROR(VLOOKUP(A81,'NCLB Title VI Rural LI'!$A$13:$E$191,5,FALSE),0)</f>
        <v>0</v>
      </c>
    </row>
    <row r="82" spans="1:9" ht="18" x14ac:dyDescent="0.35">
      <c r="A82" s="272" t="s">
        <v>85</v>
      </c>
      <c r="B82" s="280" t="s">
        <v>263</v>
      </c>
      <c r="C82" s="187">
        <f>VLOOKUP(A82,'NCLB Title IA Formula'!$A$13:$G$196,7,FALSE)</f>
        <v>0</v>
      </c>
      <c r="D82" s="187">
        <f>IFERROR(VLOOKUP(A82,'NCLB Title I-C Migrant'!$A$11:$E$15,5,FALSE),0)</f>
        <v>0</v>
      </c>
      <c r="E82" s="187">
        <f>IFERROR(VLOOKUP(A82,'NCLB Title I-Delinquent'!$A$11:$E$29,5,FALSE),0)</f>
        <v>0</v>
      </c>
      <c r="F82" s="187">
        <f>IFERROR(VLOOKUP(A82,'NCLB Title II-A Formula'!$A$12:$G$196,7,FALSE),0)</f>
        <v>0</v>
      </c>
      <c r="G82" s="187">
        <f>VLOOKUP(A82,'NCLB Title III-A '!$A$13:$I$197,9,FALSE)</f>
        <v>0</v>
      </c>
      <c r="H82" s="187">
        <f>IFERROR(VLOOKUP(A82,'NCLB Title III SAI'!$A$13:$G$45,7,FALSE),0)</f>
        <v>0</v>
      </c>
      <c r="I82" s="281">
        <f>IFERROR(VLOOKUP(A82,'NCLB Title VI Rural LI'!$A$13:$E$191,5,FALSE),0)</f>
        <v>0</v>
      </c>
    </row>
    <row r="83" spans="1:9" ht="18" x14ac:dyDescent="0.35">
      <c r="A83" s="272" t="s">
        <v>86</v>
      </c>
      <c r="B83" s="280" t="s">
        <v>264</v>
      </c>
      <c r="C83" s="187">
        <f>VLOOKUP(A83,'NCLB Title IA Formula'!$A$13:$G$196,7,FALSE)</f>
        <v>0</v>
      </c>
      <c r="D83" s="187">
        <f>IFERROR(VLOOKUP(A83,'NCLB Title I-C Migrant'!$A$11:$E$15,5,FALSE),0)</f>
        <v>0</v>
      </c>
      <c r="E83" s="187">
        <f>IFERROR(VLOOKUP(A83,'NCLB Title I-Delinquent'!$A$11:$E$29,5,FALSE),0)</f>
        <v>0</v>
      </c>
      <c r="F83" s="187">
        <f>IFERROR(VLOOKUP(A83,'NCLB Title II-A Formula'!$A$12:$G$196,7,FALSE),0)</f>
        <v>869</v>
      </c>
      <c r="G83" s="187">
        <f>VLOOKUP(A83,'NCLB Title III-A '!$A$13:$I$197,9,FALSE)</f>
        <v>0</v>
      </c>
      <c r="H83" s="187">
        <f>IFERROR(VLOOKUP(A83,'NCLB Title III SAI'!$A$13:$G$45,7,FALSE),0)</f>
        <v>0</v>
      </c>
      <c r="I83" s="281">
        <f>IFERROR(VLOOKUP(A83,'NCLB Title VI Rural LI'!$A$13:$E$191,5,FALSE),0)</f>
        <v>0</v>
      </c>
    </row>
    <row r="84" spans="1:9" ht="18" x14ac:dyDescent="0.35">
      <c r="A84" s="272" t="s">
        <v>87</v>
      </c>
      <c r="B84" s="280" t="s">
        <v>265</v>
      </c>
      <c r="C84" s="187">
        <f>VLOOKUP(A84,'NCLB Title IA Formula'!$A$13:$G$196,7,FALSE)</f>
        <v>0</v>
      </c>
      <c r="D84" s="187">
        <f>IFERROR(VLOOKUP(A84,'NCLB Title I-C Migrant'!$A$11:$E$15,5,FALSE),0)</f>
        <v>0</v>
      </c>
      <c r="E84" s="187">
        <f>IFERROR(VLOOKUP(A84,'NCLB Title I-Delinquent'!$A$11:$E$29,5,FALSE),0)</f>
        <v>0</v>
      </c>
      <c r="F84" s="187">
        <f>IFERROR(VLOOKUP(A84,'NCLB Title II-A Formula'!$A$12:$G$196,7,FALSE),0)</f>
        <v>0</v>
      </c>
      <c r="G84" s="187">
        <f>VLOOKUP(A84,'NCLB Title III-A '!$A$13:$I$197,9,FALSE)</f>
        <v>0</v>
      </c>
      <c r="H84" s="187">
        <f>IFERROR(VLOOKUP(A84,'NCLB Title III SAI'!$A$13:$G$45,7,FALSE),0)</f>
        <v>0</v>
      </c>
      <c r="I84" s="281">
        <f>IFERROR(VLOOKUP(A84,'NCLB Title VI Rural LI'!$A$13:$E$191,5,FALSE),0)</f>
        <v>0</v>
      </c>
    </row>
    <row r="85" spans="1:9" ht="18" x14ac:dyDescent="0.35">
      <c r="A85" s="272" t="s">
        <v>88</v>
      </c>
      <c r="B85" s="280" t="s">
        <v>266</v>
      </c>
      <c r="C85" s="187">
        <f>VLOOKUP(A85,'NCLB Title IA Formula'!$A$13:$G$196,7,FALSE)</f>
        <v>0</v>
      </c>
      <c r="D85" s="187">
        <f>IFERROR(VLOOKUP(A85,'NCLB Title I-C Migrant'!$A$11:$E$15,5,FALSE),0)</f>
        <v>0</v>
      </c>
      <c r="E85" s="187">
        <f>IFERROR(VLOOKUP(A85,'NCLB Title I-Delinquent'!$A$11:$E$29,5,FALSE),0)</f>
        <v>0</v>
      </c>
      <c r="F85" s="187">
        <f>IFERROR(VLOOKUP(A85,'NCLB Title II-A Formula'!$A$12:$G$196,7,FALSE),0)</f>
        <v>0</v>
      </c>
      <c r="G85" s="187">
        <f>VLOOKUP(A85,'NCLB Title III-A '!$A$13:$I$197,9,FALSE)</f>
        <v>0</v>
      </c>
      <c r="H85" s="187">
        <f>IFERROR(VLOOKUP(A85,'NCLB Title III SAI'!$A$13:$G$45,7,FALSE),0)</f>
        <v>0</v>
      </c>
      <c r="I85" s="281">
        <f>IFERROR(VLOOKUP(A85,'NCLB Title VI Rural LI'!$A$13:$E$191,5,FALSE),0)</f>
        <v>0</v>
      </c>
    </row>
    <row r="86" spans="1:9" ht="18" x14ac:dyDescent="0.35">
      <c r="A86" s="272" t="s">
        <v>89</v>
      </c>
      <c r="B86" s="280" t="s">
        <v>267</v>
      </c>
      <c r="C86" s="187">
        <f>VLOOKUP(A86,'NCLB Title IA Formula'!$A$13:$G$196,7,FALSE)</f>
        <v>0</v>
      </c>
      <c r="D86" s="187">
        <f>IFERROR(VLOOKUP(A86,'NCLB Title I-C Migrant'!$A$11:$E$15,5,FALSE),0)</f>
        <v>0</v>
      </c>
      <c r="E86" s="187">
        <f>IFERROR(VLOOKUP(A86,'NCLB Title I-Delinquent'!$A$11:$E$29,5,FALSE),0)</f>
        <v>0</v>
      </c>
      <c r="F86" s="187">
        <f>IFERROR(VLOOKUP(A86,'NCLB Title II-A Formula'!$A$12:$G$196,7,FALSE),0)</f>
        <v>0</v>
      </c>
      <c r="G86" s="187">
        <f>VLOOKUP(A86,'NCLB Title III-A '!$A$13:$I$197,9,FALSE)</f>
        <v>0</v>
      </c>
      <c r="H86" s="187">
        <f>IFERROR(VLOOKUP(A86,'NCLB Title III SAI'!$A$13:$G$45,7,FALSE),0)</f>
        <v>0</v>
      </c>
      <c r="I86" s="281">
        <f>IFERROR(VLOOKUP(A86,'NCLB Title VI Rural LI'!$A$13:$E$191,5,FALSE),0)</f>
        <v>0</v>
      </c>
    </row>
    <row r="87" spans="1:9" ht="18" x14ac:dyDescent="0.35">
      <c r="A87" s="272" t="s">
        <v>90</v>
      </c>
      <c r="B87" s="280" t="s">
        <v>268</v>
      </c>
      <c r="C87" s="187">
        <f>VLOOKUP(A87,'NCLB Title IA Formula'!$A$13:$G$196,7,FALSE)</f>
        <v>0</v>
      </c>
      <c r="D87" s="187">
        <f>IFERROR(VLOOKUP(A87,'NCLB Title I-C Migrant'!$A$11:$E$15,5,FALSE),0)</f>
        <v>0</v>
      </c>
      <c r="E87" s="187">
        <f>IFERROR(VLOOKUP(A87,'NCLB Title I-Delinquent'!$A$11:$E$29,5,FALSE),0)</f>
        <v>0</v>
      </c>
      <c r="F87" s="187">
        <f>IFERROR(VLOOKUP(A87,'NCLB Title II-A Formula'!$A$12:$G$196,7,FALSE),0)</f>
        <v>0</v>
      </c>
      <c r="G87" s="187">
        <f>VLOOKUP(A87,'NCLB Title III-A '!$A$13:$I$197,9,FALSE)</f>
        <v>0</v>
      </c>
      <c r="H87" s="187">
        <f>IFERROR(VLOOKUP(A87,'NCLB Title III SAI'!$A$13:$G$45,7,FALSE),0)</f>
        <v>0</v>
      </c>
      <c r="I87" s="281">
        <f>IFERROR(VLOOKUP(A87,'NCLB Title VI Rural LI'!$A$13:$E$191,5,FALSE),0)</f>
        <v>0</v>
      </c>
    </row>
    <row r="88" spans="1:9" ht="18" x14ac:dyDescent="0.35">
      <c r="A88" s="272" t="s">
        <v>91</v>
      </c>
      <c r="B88" s="280" t="s">
        <v>269</v>
      </c>
      <c r="C88" s="187">
        <f>VLOOKUP(A88,'NCLB Title IA Formula'!$A$13:$G$196,7,FALSE)</f>
        <v>0</v>
      </c>
      <c r="D88" s="187">
        <f>IFERROR(VLOOKUP(A88,'NCLB Title I-C Migrant'!$A$11:$E$15,5,FALSE),0)</f>
        <v>0</v>
      </c>
      <c r="E88" s="187">
        <f>IFERROR(VLOOKUP(A88,'NCLB Title I-Delinquent'!$A$11:$E$29,5,FALSE),0)</f>
        <v>0</v>
      </c>
      <c r="F88" s="187">
        <f>IFERROR(VLOOKUP(A88,'NCLB Title II-A Formula'!$A$12:$G$196,7,FALSE),0)</f>
        <v>0</v>
      </c>
      <c r="G88" s="187">
        <f>VLOOKUP(A88,'NCLB Title III-A '!$A$13:$I$197,9,FALSE)</f>
        <v>0</v>
      </c>
      <c r="H88" s="187">
        <f>IFERROR(VLOOKUP(A88,'NCLB Title III SAI'!$A$13:$G$45,7,FALSE),0)</f>
        <v>0</v>
      </c>
      <c r="I88" s="281">
        <f>IFERROR(VLOOKUP(A88,'NCLB Title VI Rural LI'!$A$13:$E$191,5,FALSE),0)</f>
        <v>0</v>
      </c>
    </row>
    <row r="89" spans="1:9" ht="18" x14ac:dyDescent="0.35">
      <c r="A89" s="272" t="s">
        <v>92</v>
      </c>
      <c r="B89" s="280" t="s">
        <v>270</v>
      </c>
      <c r="C89" s="187">
        <f>VLOOKUP(A89,'NCLB Title IA Formula'!$A$13:$G$196,7,FALSE)</f>
        <v>0</v>
      </c>
      <c r="D89" s="187">
        <f>IFERROR(VLOOKUP(A89,'NCLB Title I-C Migrant'!$A$11:$E$15,5,FALSE),0)</f>
        <v>0</v>
      </c>
      <c r="E89" s="187">
        <f>IFERROR(VLOOKUP(A89,'NCLB Title I-Delinquent'!$A$11:$E$29,5,FALSE),0)</f>
        <v>0</v>
      </c>
      <c r="F89" s="187">
        <f>IFERROR(VLOOKUP(A89,'NCLB Title II-A Formula'!$A$12:$G$196,7,FALSE),0)</f>
        <v>0</v>
      </c>
      <c r="G89" s="187">
        <f>VLOOKUP(A89,'NCLB Title III-A '!$A$13:$I$197,9,FALSE)</f>
        <v>0</v>
      </c>
      <c r="H89" s="187">
        <f>IFERROR(VLOOKUP(A89,'NCLB Title III SAI'!$A$13:$G$45,7,FALSE),0)</f>
        <v>0</v>
      </c>
      <c r="I89" s="281">
        <f>IFERROR(VLOOKUP(A89,'NCLB Title VI Rural LI'!$A$13:$E$191,5,FALSE),0)</f>
        <v>0</v>
      </c>
    </row>
    <row r="90" spans="1:9" ht="18" x14ac:dyDescent="0.35">
      <c r="A90" s="272" t="s">
        <v>93</v>
      </c>
      <c r="B90" s="280" t="s">
        <v>271</v>
      </c>
      <c r="C90" s="187">
        <f>VLOOKUP(A90,'NCLB Title IA Formula'!$A$13:$G$196,7,FALSE)</f>
        <v>0</v>
      </c>
      <c r="D90" s="187">
        <f>IFERROR(VLOOKUP(A90,'NCLB Title I-C Migrant'!$A$11:$E$15,5,FALSE),0)</f>
        <v>0</v>
      </c>
      <c r="E90" s="187">
        <f>IFERROR(VLOOKUP(A90,'NCLB Title I-Delinquent'!$A$11:$E$29,5,FALSE),0)</f>
        <v>0</v>
      </c>
      <c r="F90" s="187">
        <f>IFERROR(VLOOKUP(A90,'NCLB Title II-A Formula'!$A$12:$G$196,7,FALSE),0)</f>
        <v>0</v>
      </c>
      <c r="G90" s="187">
        <f>VLOOKUP(A90,'NCLB Title III-A '!$A$13:$I$197,9,FALSE)</f>
        <v>0</v>
      </c>
      <c r="H90" s="187">
        <f>IFERROR(VLOOKUP(A90,'NCLB Title III SAI'!$A$13:$G$45,7,FALSE),0)</f>
        <v>0</v>
      </c>
      <c r="I90" s="281">
        <f>IFERROR(VLOOKUP(A90,'NCLB Title VI Rural LI'!$A$13:$E$191,5,FALSE),0)</f>
        <v>0</v>
      </c>
    </row>
    <row r="91" spans="1:9" ht="18" x14ac:dyDescent="0.35">
      <c r="A91" s="272" t="s">
        <v>94</v>
      </c>
      <c r="B91" s="280" t="s">
        <v>272</v>
      </c>
      <c r="C91" s="187">
        <f>VLOOKUP(A91,'NCLB Title IA Formula'!$A$13:$G$196,7,FALSE)</f>
        <v>0</v>
      </c>
      <c r="D91" s="187">
        <f>IFERROR(VLOOKUP(A91,'NCLB Title I-C Migrant'!$A$11:$E$15,5,FALSE),0)</f>
        <v>0</v>
      </c>
      <c r="E91" s="187">
        <f>IFERROR(VLOOKUP(A91,'NCLB Title I-Delinquent'!$A$11:$E$29,5,FALSE),0)</f>
        <v>0</v>
      </c>
      <c r="F91" s="187">
        <f>IFERROR(VLOOKUP(A91,'NCLB Title II-A Formula'!$A$12:$G$196,7,FALSE),0)</f>
        <v>0</v>
      </c>
      <c r="G91" s="187">
        <f>VLOOKUP(A91,'NCLB Title III-A '!$A$13:$I$197,9,FALSE)</f>
        <v>0</v>
      </c>
      <c r="H91" s="187">
        <f>IFERROR(VLOOKUP(A91,'NCLB Title III SAI'!$A$13:$G$45,7,FALSE),0)</f>
        <v>0</v>
      </c>
      <c r="I91" s="281">
        <f>IFERROR(VLOOKUP(A91,'NCLB Title VI Rural LI'!$A$13:$E$191,5,FALSE),0)</f>
        <v>0</v>
      </c>
    </row>
    <row r="92" spans="1:9" ht="18" x14ac:dyDescent="0.35">
      <c r="A92" s="272" t="s">
        <v>95</v>
      </c>
      <c r="B92" s="280" t="s">
        <v>273</v>
      </c>
      <c r="C92" s="187">
        <f>VLOOKUP(A92,'NCLB Title IA Formula'!$A$13:$G$196,7,FALSE)</f>
        <v>0</v>
      </c>
      <c r="D92" s="187">
        <f>IFERROR(VLOOKUP(A92,'NCLB Title I-C Migrant'!$A$11:$E$15,5,FALSE),0)</f>
        <v>0</v>
      </c>
      <c r="E92" s="187">
        <f>IFERROR(VLOOKUP(A92,'NCLB Title I-Delinquent'!$A$11:$E$29,5,FALSE),0)</f>
        <v>0</v>
      </c>
      <c r="F92" s="187">
        <f>IFERROR(VLOOKUP(A92,'NCLB Title II-A Formula'!$A$12:$G$196,7,FALSE),0)</f>
        <v>0</v>
      </c>
      <c r="G92" s="187">
        <f>VLOOKUP(A92,'NCLB Title III-A '!$A$13:$I$197,9,FALSE)</f>
        <v>0</v>
      </c>
      <c r="H92" s="187">
        <f>IFERROR(VLOOKUP(A92,'NCLB Title III SAI'!$A$13:$G$45,7,FALSE),0)</f>
        <v>0</v>
      </c>
      <c r="I92" s="281">
        <f>IFERROR(VLOOKUP(A92,'NCLB Title VI Rural LI'!$A$13:$E$191,5,FALSE),0)</f>
        <v>0</v>
      </c>
    </row>
    <row r="93" spans="1:9" ht="18" x14ac:dyDescent="0.35">
      <c r="A93" s="272" t="s">
        <v>96</v>
      </c>
      <c r="B93" s="280" t="s">
        <v>274</v>
      </c>
      <c r="C93" s="187">
        <f>VLOOKUP(A93,'NCLB Title IA Formula'!$A$13:$G$196,7,FALSE)</f>
        <v>0</v>
      </c>
      <c r="D93" s="187">
        <f>IFERROR(VLOOKUP(A93,'NCLB Title I-C Migrant'!$A$11:$E$15,5,FALSE),0)</f>
        <v>0</v>
      </c>
      <c r="E93" s="187">
        <f>IFERROR(VLOOKUP(A93,'NCLB Title I-Delinquent'!$A$11:$E$29,5,FALSE),0)</f>
        <v>0</v>
      </c>
      <c r="F93" s="187">
        <f>IFERROR(VLOOKUP(A93,'NCLB Title II-A Formula'!$A$12:$G$196,7,FALSE),0)</f>
        <v>0</v>
      </c>
      <c r="G93" s="187">
        <f>VLOOKUP(A93,'NCLB Title III-A '!$A$13:$I$197,9,FALSE)</f>
        <v>0</v>
      </c>
      <c r="H93" s="187">
        <f>IFERROR(VLOOKUP(A93,'NCLB Title III SAI'!$A$13:$G$45,7,FALSE),0)</f>
        <v>3649</v>
      </c>
      <c r="I93" s="281">
        <f>IFERROR(VLOOKUP(A93,'NCLB Title VI Rural LI'!$A$13:$E$191,5,FALSE),0)</f>
        <v>0</v>
      </c>
    </row>
    <row r="94" spans="1:9" ht="18" x14ac:dyDescent="0.35">
      <c r="A94" s="272" t="s">
        <v>97</v>
      </c>
      <c r="B94" s="280" t="s">
        <v>275</v>
      </c>
      <c r="C94" s="187">
        <f>VLOOKUP(A94,'NCLB Title IA Formula'!$A$13:$G$196,7,FALSE)</f>
        <v>0</v>
      </c>
      <c r="D94" s="187">
        <f>IFERROR(VLOOKUP(A94,'NCLB Title I-C Migrant'!$A$11:$E$15,5,FALSE),0)</f>
        <v>0</v>
      </c>
      <c r="E94" s="187">
        <f>IFERROR(VLOOKUP(A94,'NCLB Title I-Delinquent'!$A$11:$E$29,5,FALSE),0)</f>
        <v>0</v>
      </c>
      <c r="F94" s="187">
        <f>IFERROR(VLOOKUP(A94,'NCLB Title II-A Formula'!$A$12:$G$196,7,FALSE),0)</f>
        <v>0</v>
      </c>
      <c r="G94" s="187">
        <f>VLOOKUP(A94,'NCLB Title III-A '!$A$13:$I$197,9,FALSE)</f>
        <v>0</v>
      </c>
      <c r="H94" s="187">
        <f>IFERROR(VLOOKUP(A94,'NCLB Title III SAI'!$A$13:$G$45,7,FALSE),0)</f>
        <v>0</v>
      </c>
      <c r="I94" s="281">
        <f>IFERROR(VLOOKUP(A94,'NCLB Title VI Rural LI'!$A$13:$E$191,5,FALSE),0)</f>
        <v>0</v>
      </c>
    </row>
    <row r="95" spans="1:9" ht="18" x14ac:dyDescent="0.35">
      <c r="A95" s="272" t="s">
        <v>98</v>
      </c>
      <c r="B95" s="280" t="s">
        <v>276</v>
      </c>
      <c r="C95" s="187">
        <f>VLOOKUP(A95,'NCLB Title IA Formula'!$A$13:$G$196,7,FALSE)</f>
        <v>0</v>
      </c>
      <c r="D95" s="187">
        <f>IFERROR(VLOOKUP(A95,'NCLB Title I-C Migrant'!$A$11:$E$15,5,FALSE),0)</f>
        <v>0</v>
      </c>
      <c r="E95" s="187">
        <f>IFERROR(VLOOKUP(A95,'NCLB Title I-Delinquent'!$A$11:$E$29,5,FALSE),0)</f>
        <v>0</v>
      </c>
      <c r="F95" s="187">
        <f>IFERROR(VLOOKUP(A95,'NCLB Title II-A Formula'!$A$12:$G$196,7,FALSE),0)</f>
        <v>0</v>
      </c>
      <c r="G95" s="187">
        <f>VLOOKUP(A95,'NCLB Title III-A '!$A$13:$I$197,9,FALSE)</f>
        <v>0</v>
      </c>
      <c r="H95" s="187">
        <f>IFERROR(VLOOKUP(A95,'NCLB Title III SAI'!$A$13:$G$45,7,FALSE),0)</f>
        <v>0</v>
      </c>
      <c r="I95" s="281">
        <f>IFERROR(VLOOKUP(A95,'NCLB Title VI Rural LI'!$A$13:$E$191,5,FALSE),0)</f>
        <v>0</v>
      </c>
    </row>
    <row r="96" spans="1:9" ht="18" x14ac:dyDescent="0.35">
      <c r="A96" s="272" t="s">
        <v>99</v>
      </c>
      <c r="B96" s="280" t="s">
        <v>277</v>
      </c>
      <c r="C96" s="187">
        <f>VLOOKUP(A96,'NCLB Title IA Formula'!$A$13:$G$196,7,FALSE)</f>
        <v>0</v>
      </c>
      <c r="D96" s="187">
        <f>IFERROR(VLOOKUP(A96,'NCLB Title I-C Migrant'!$A$11:$E$15,5,FALSE),0)</f>
        <v>0</v>
      </c>
      <c r="E96" s="187">
        <f>IFERROR(VLOOKUP(A96,'NCLB Title I-Delinquent'!$A$11:$E$29,5,FALSE),0)</f>
        <v>0</v>
      </c>
      <c r="F96" s="187">
        <f>IFERROR(VLOOKUP(A96,'NCLB Title II-A Formula'!$A$12:$G$196,7,FALSE),0)</f>
        <v>0</v>
      </c>
      <c r="G96" s="187">
        <f>VLOOKUP(A96,'NCLB Title III-A '!$A$13:$I$197,9,FALSE)</f>
        <v>0</v>
      </c>
      <c r="H96" s="187">
        <f>IFERROR(VLOOKUP(A96,'NCLB Title III SAI'!$A$13:$G$45,7,FALSE),0)</f>
        <v>0</v>
      </c>
      <c r="I96" s="281">
        <f>IFERROR(VLOOKUP(A96,'NCLB Title VI Rural LI'!$A$13:$E$191,5,FALSE),0)</f>
        <v>0</v>
      </c>
    </row>
    <row r="97" spans="1:9" ht="18" x14ac:dyDescent="0.35">
      <c r="A97" s="272" t="s">
        <v>100</v>
      </c>
      <c r="B97" s="280" t="s">
        <v>278</v>
      </c>
      <c r="C97" s="187">
        <f>VLOOKUP(A97,'NCLB Title IA Formula'!$A$13:$G$196,7,FALSE)</f>
        <v>0</v>
      </c>
      <c r="D97" s="187">
        <f>IFERROR(VLOOKUP(A97,'NCLB Title I-C Migrant'!$A$11:$E$15,5,FALSE),0)</f>
        <v>0</v>
      </c>
      <c r="E97" s="187">
        <f>IFERROR(VLOOKUP(A97,'NCLB Title I-Delinquent'!$A$11:$E$29,5,FALSE),0)</f>
        <v>0</v>
      </c>
      <c r="F97" s="187">
        <f>IFERROR(VLOOKUP(A97,'NCLB Title II-A Formula'!$A$12:$G$196,7,FALSE),0)</f>
        <v>0</v>
      </c>
      <c r="G97" s="187">
        <f>VLOOKUP(A97,'NCLB Title III-A '!$A$13:$I$197,9,FALSE)</f>
        <v>0</v>
      </c>
      <c r="H97" s="187">
        <f>IFERROR(VLOOKUP(A97,'NCLB Title III SAI'!$A$13:$G$45,7,FALSE),0)</f>
        <v>0</v>
      </c>
      <c r="I97" s="281">
        <f>IFERROR(VLOOKUP(A97,'NCLB Title VI Rural LI'!$A$13:$E$191,5,FALSE),0)</f>
        <v>0</v>
      </c>
    </row>
    <row r="98" spans="1:9" ht="18" x14ac:dyDescent="0.35">
      <c r="A98" s="272" t="s">
        <v>101</v>
      </c>
      <c r="B98" s="280" t="s">
        <v>279</v>
      </c>
      <c r="C98" s="187">
        <f>VLOOKUP(A98,'NCLB Title IA Formula'!$A$13:$G$196,7,FALSE)</f>
        <v>0</v>
      </c>
      <c r="D98" s="187">
        <f>IFERROR(VLOOKUP(A98,'NCLB Title I-C Migrant'!$A$11:$E$15,5,FALSE),0)</f>
        <v>0</v>
      </c>
      <c r="E98" s="187">
        <f>IFERROR(VLOOKUP(A98,'NCLB Title I-Delinquent'!$A$11:$E$29,5,FALSE),0)</f>
        <v>0</v>
      </c>
      <c r="F98" s="187">
        <f>IFERROR(VLOOKUP(A98,'NCLB Title II-A Formula'!$A$12:$G$196,7,FALSE),0)</f>
        <v>0</v>
      </c>
      <c r="G98" s="187">
        <f>VLOOKUP(A98,'NCLB Title III-A '!$A$13:$I$197,9,FALSE)</f>
        <v>0</v>
      </c>
      <c r="H98" s="187">
        <f>IFERROR(VLOOKUP(A98,'NCLB Title III SAI'!$A$13:$G$45,7,FALSE),0)</f>
        <v>0</v>
      </c>
      <c r="I98" s="281">
        <f>IFERROR(VLOOKUP(A98,'NCLB Title VI Rural LI'!$A$13:$E$191,5,FALSE),0)</f>
        <v>0</v>
      </c>
    </row>
    <row r="99" spans="1:9" ht="18" x14ac:dyDescent="0.35">
      <c r="A99" s="272" t="s">
        <v>102</v>
      </c>
      <c r="B99" s="280" t="s">
        <v>280</v>
      </c>
      <c r="C99" s="187">
        <f>VLOOKUP(A99,'NCLB Title IA Formula'!$A$13:$G$196,7,FALSE)</f>
        <v>0</v>
      </c>
      <c r="D99" s="187">
        <f>IFERROR(VLOOKUP(A99,'NCLB Title I-C Migrant'!$A$11:$E$15,5,FALSE),0)</f>
        <v>0</v>
      </c>
      <c r="E99" s="187">
        <f>IFERROR(VLOOKUP(A99,'NCLB Title I-Delinquent'!$A$11:$E$29,5,FALSE),0)</f>
        <v>0</v>
      </c>
      <c r="F99" s="187">
        <f>IFERROR(VLOOKUP(A99,'NCLB Title II-A Formula'!$A$12:$G$196,7,FALSE),0)</f>
        <v>0</v>
      </c>
      <c r="G99" s="187">
        <f>VLOOKUP(A99,'NCLB Title III-A '!$A$13:$I$197,9,FALSE)</f>
        <v>0</v>
      </c>
      <c r="H99" s="187">
        <f>IFERROR(VLOOKUP(A99,'NCLB Title III SAI'!$A$13:$G$45,7,FALSE),0)</f>
        <v>0</v>
      </c>
      <c r="I99" s="281">
        <f>IFERROR(VLOOKUP(A99,'NCLB Title VI Rural LI'!$A$13:$E$191,5,FALSE),0)</f>
        <v>0</v>
      </c>
    </row>
    <row r="100" spans="1:9" ht="18" x14ac:dyDescent="0.35">
      <c r="A100" s="272" t="s">
        <v>103</v>
      </c>
      <c r="B100" s="280" t="s">
        <v>281</v>
      </c>
      <c r="C100" s="187">
        <f>VLOOKUP(A100,'NCLB Title IA Formula'!$A$13:$G$196,7,FALSE)</f>
        <v>0</v>
      </c>
      <c r="D100" s="187">
        <f>IFERROR(VLOOKUP(A100,'NCLB Title I-C Migrant'!$A$11:$E$15,5,FALSE),0)</f>
        <v>0</v>
      </c>
      <c r="E100" s="187">
        <f>IFERROR(VLOOKUP(A100,'NCLB Title I-Delinquent'!$A$11:$E$29,5,FALSE),0)</f>
        <v>0</v>
      </c>
      <c r="F100" s="187">
        <f>IFERROR(VLOOKUP(A100,'NCLB Title II-A Formula'!$A$12:$G$196,7,FALSE),0)</f>
        <v>0</v>
      </c>
      <c r="G100" s="187">
        <f>VLOOKUP(A100,'NCLB Title III-A '!$A$13:$I$197,9,FALSE)</f>
        <v>0</v>
      </c>
      <c r="H100" s="187">
        <f>IFERROR(VLOOKUP(A100,'NCLB Title III SAI'!$A$13:$G$45,7,FALSE),0)</f>
        <v>0</v>
      </c>
      <c r="I100" s="281">
        <f>IFERROR(VLOOKUP(A100,'NCLB Title VI Rural LI'!$A$13:$E$191,5,FALSE),0)</f>
        <v>0</v>
      </c>
    </row>
    <row r="101" spans="1:9" ht="18" x14ac:dyDescent="0.35">
      <c r="A101" s="272" t="s">
        <v>104</v>
      </c>
      <c r="B101" s="280" t="s">
        <v>282</v>
      </c>
      <c r="C101" s="187">
        <f>VLOOKUP(A101,'NCLB Title IA Formula'!$A$13:$G$196,7,FALSE)</f>
        <v>-1</v>
      </c>
      <c r="D101" s="187">
        <f>IFERROR(VLOOKUP(A101,'NCLB Title I-C Migrant'!$A$11:$E$15,5,FALSE),0)</f>
        <v>0</v>
      </c>
      <c r="E101" s="187">
        <f>IFERROR(VLOOKUP(A101,'NCLB Title I-Delinquent'!$A$11:$E$29,5,FALSE),0)</f>
        <v>0</v>
      </c>
      <c r="F101" s="187">
        <f>IFERROR(VLOOKUP(A101,'NCLB Title II-A Formula'!$A$12:$G$196,7,FALSE),0)</f>
        <v>0</v>
      </c>
      <c r="G101" s="187">
        <f>VLOOKUP(A101,'NCLB Title III-A '!$A$13:$I$197,9,FALSE)</f>
        <v>0</v>
      </c>
      <c r="H101" s="187">
        <f>IFERROR(VLOOKUP(A101,'NCLB Title III SAI'!$A$13:$G$45,7,FALSE),0)</f>
        <v>0</v>
      </c>
      <c r="I101" s="281">
        <f>IFERROR(VLOOKUP(A101,'NCLB Title VI Rural LI'!$A$13:$E$191,5,FALSE),0)</f>
        <v>0</v>
      </c>
    </row>
    <row r="102" spans="1:9" ht="18" x14ac:dyDescent="0.35">
      <c r="A102" s="272" t="s">
        <v>105</v>
      </c>
      <c r="B102" s="280" t="s">
        <v>283</v>
      </c>
      <c r="C102" s="187">
        <f>VLOOKUP(A102,'NCLB Title IA Formula'!$A$13:$G$196,7,FALSE)</f>
        <v>0</v>
      </c>
      <c r="D102" s="187">
        <f>IFERROR(VLOOKUP(A102,'NCLB Title I-C Migrant'!$A$11:$E$15,5,FALSE),0)</f>
        <v>0</v>
      </c>
      <c r="E102" s="187">
        <f>IFERROR(VLOOKUP(A102,'NCLB Title I-Delinquent'!$A$11:$E$29,5,FALSE),0)</f>
        <v>0</v>
      </c>
      <c r="F102" s="187">
        <f>IFERROR(VLOOKUP(A102,'NCLB Title II-A Formula'!$A$12:$G$196,7,FALSE),0)</f>
        <v>0</v>
      </c>
      <c r="G102" s="187">
        <f>VLOOKUP(A102,'NCLB Title III-A '!$A$13:$I$197,9,FALSE)</f>
        <v>0</v>
      </c>
      <c r="H102" s="187">
        <f>IFERROR(VLOOKUP(A102,'NCLB Title III SAI'!$A$13:$G$45,7,FALSE),0)</f>
        <v>0</v>
      </c>
      <c r="I102" s="281">
        <f>IFERROR(VLOOKUP(A102,'NCLB Title VI Rural LI'!$A$13:$E$191,5,FALSE),0)</f>
        <v>0</v>
      </c>
    </row>
    <row r="103" spans="1:9" ht="18" x14ac:dyDescent="0.35">
      <c r="A103" s="272" t="s">
        <v>106</v>
      </c>
      <c r="B103" s="280" t="s">
        <v>284</v>
      </c>
      <c r="C103" s="187">
        <f>VLOOKUP(A103,'NCLB Title IA Formula'!$A$13:$G$196,7,FALSE)</f>
        <v>0</v>
      </c>
      <c r="D103" s="187">
        <f>IFERROR(VLOOKUP(A103,'NCLB Title I-C Migrant'!$A$11:$E$15,5,FALSE),0)</f>
        <v>0</v>
      </c>
      <c r="E103" s="187">
        <f>IFERROR(VLOOKUP(A103,'NCLB Title I-Delinquent'!$A$11:$E$29,5,FALSE),0)</f>
        <v>0</v>
      </c>
      <c r="F103" s="187">
        <f>IFERROR(VLOOKUP(A103,'NCLB Title II-A Formula'!$A$12:$G$196,7,FALSE),0)</f>
        <v>0</v>
      </c>
      <c r="G103" s="187">
        <f>VLOOKUP(A103,'NCLB Title III-A '!$A$13:$I$197,9,FALSE)</f>
        <v>0</v>
      </c>
      <c r="H103" s="187">
        <f>IFERROR(VLOOKUP(A103,'NCLB Title III SAI'!$A$13:$G$45,7,FALSE),0)</f>
        <v>0</v>
      </c>
      <c r="I103" s="281">
        <f>IFERROR(VLOOKUP(A103,'NCLB Title VI Rural LI'!$A$13:$E$191,5,FALSE),0)</f>
        <v>0</v>
      </c>
    </row>
    <row r="104" spans="1:9" ht="18" x14ac:dyDescent="0.35">
      <c r="A104" s="272" t="s">
        <v>107</v>
      </c>
      <c r="B104" s="280" t="s">
        <v>285</v>
      </c>
      <c r="C104" s="187">
        <f>VLOOKUP(A104,'NCLB Title IA Formula'!$A$13:$G$196,7,FALSE)</f>
        <v>0</v>
      </c>
      <c r="D104" s="187">
        <f>IFERROR(VLOOKUP(A104,'NCLB Title I-C Migrant'!$A$11:$E$15,5,FALSE),0)</f>
        <v>0</v>
      </c>
      <c r="E104" s="187">
        <f>IFERROR(VLOOKUP(A104,'NCLB Title I-Delinquent'!$A$11:$E$29,5,FALSE),0)</f>
        <v>0</v>
      </c>
      <c r="F104" s="187">
        <f>IFERROR(VLOOKUP(A104,'NCLB Title II-A Formula'!$A$12:$G$196,7,FALSE),0)</f>
        <v>0</v>
      </c>
      <c r="G104" s="187">
        <f>VLOOKUP(A104,'NCLB Title III-A '!$A$13:$I$197,9,FALSE)</f>
        <v>0</v>
      </c>
      <c r="H104" s="187">
        <f>IFERROR(VLOOKUP(A104,'NCLB Title III SAI'!$A$13:$G$45,7,FALSE),0)</f>
        <v>0</v>
      </c>
      <c r="I104" s="281">
        <f>IFERROR(VLOOKUP(A104,'NCLB Title VI Rural LI'!$A$13:$E$191,5,FALSE),0)</f>
        <v>0</v>
      </c>
    </row>
    <row r="105" spans="1:9" ht="18" x14ac:dyDescent="0.35">
      <c r="A105" s="272" t="s">
        <v>108</v>
      </c>
      <c r="B105" s="280" t="s">
        <v>286</v>
      </c>
      <c r="C105" s="187">
        <f>VLOOKUP(A105,'NCLB Title IA Formula'!$A$13:$G$196,7,FALSE)</f>
        <v>32837</v>
      </c>
      <c r="D105" s="187">
        <f>IFERROR(VLOOKUP(A105,'NCLB Title I-C Migrant'!$A$11:$E$15,5,FALSE),0)</f>
        <v>0</v>
      </c>
      <c r="E105" s="187">
        <f>IFERROR(VLOOKUP(A105,'NCLB Title I-Delinquent'!$A$11:$E$29,5,FALSE),0)</f>
        <v>0</v>
      </c>
      <c r="F105" s="187">
        <f>IFERROR(VLOOKUP(A105,'NCLB Title II-A Formula'!$A$12:$G$196,7,FALSE),0)</f>
        <v>52270</v>
      </c>
      <c r="G105" s="187">
        <f>VLOOKUP(A105,'NCLB Title III-A '!$A$13:$I$197,9,FALSE)</f>
        <v>0</v>
      </c>
      <c r="H105" s="187">
        <f>IFERROR(VLOOKUP(A105,'NCLB Title III SAI'!$A$13:$G$45,7,FALSE),0)</f>
        <v>0</v>
      </c>
      <c r="I105" s="281">
        <f>IFERROR(VLOOKUP(A105,'NCLB Title VI Rural LI'!$A$13:$E$191,5,FALSE),0)</f>
        <v>0</v>
      </c>
    </row>
    <row r="106" spans="1:9" ht="18" x14ac:dyDescent="0.35">
      <c r="A106" s="272" t="s">
        <v>109</v>
      </c>
      <c r="B106" s="280" t="s">
        <v>287</v>
      </c>
      <c r="C106" s="187">
        <f>VLOOKUP(A106,'NCLB Title IA Formula'!$A$13:$G$196,7,FALSE)</f>
        <v>0</v>
      </c>
      <c r="D106" s="187">
        <f>IFERROR(VLOOKUP(A106,'NCLB Title I-C Migrant'!$A$11:$E$15,5,FALSE),0)</f>
        <v>0</v>
      </c>
      <c r="E106" s="187">
        <f>IFERROR(VLOOKUP(A106,'NCLB Title I-Delinquent'!$A$11:$E$29,5,FALSE),0)</f>
        <v>0</v>
      </c>
      <c r="F106" s="187">
        <f>IFERROR(VLOOKUP(A106,'NCLB Title II-A Formula'!$A$12:$G$196,7,FALSE),0)</f>
        <v>0</v>
      </c>
      <c r="G106" s="187">
        <f>VLOOKUP(A106,'NCLB Title III-A '!$A$13:$I$197,9,FALSE)</f>
        <v>0</v>
      </c>
      <c r="H106" s="187">
        <f>IFERROR(VLOOKUP(A106,'NCLB Title III SAI'!$A$13:$G$45,7,FALSE),0)</f>
        <v>0</v>
      </c>
      <c r="I106" s="281">
        <f>IFERROR(VLOOKUP(A106,'NCLB Title VI Rural LI'!$A$13:$E$191,5,FALSE),0)</f>
        <v>0</v>
      </c>
    </row>
    <row r="107" spans="1:9" ht="18" x14ac:dyDescent="0.35">
      <c r="A107" s="272" t="s">
        <v>110</v>
      </c>
      <c r="B107" s="280" t="s">
        <v>288</v>
      </c>
      <c r="C107" s="187">
        <f>VLOOKUP(A107,'NCLB Title IA Formula'!$A$13:$G$196,7,FALSE)</f>
        <v>0</v>
      </c>
      <c r="D107" s="187">
        <f>IFERROR(VLOOKUP(A107,'NCLB Title I-C Migrant'!$A$11:$E$15,5,FALSE),0)</f>
        <v>0</v>
      </c>
      <c r="E107" s="187">
        <f>IFERROR(VLOOKUP(A107,'NCLB Title I-Delinquent'!$A$11:$E$29,5,FALSE),0)</f>
        <v>0</v>
      </c>
      <c r="F107" s="187">
        <f>IFERROR(VLOOKUP(A107,'NCLB Title II-A Formula'!$A$12:$G$196,7,FALSE),0)</f>
        <v>21</v>
      </c>
      <c r="G107" s="187">
        <f>VLOOKUP(A107,'NCLB Title III-A '!$A$13:$I$197,9,FALSE)</f>
        <v>0</v>
      </c>
      <c r="H107" s="187">
        <f>IFERROR(VLOOKUP(A107,'NCLB Title III SAI'!$A$13:$G$45,7,FALSE),0)</f>
        <v>0</v>
      </c>
      <c r="I107" s="281">
        <f>IFERROR(VLOOKUP(A107,'NCLB Title VI Rural LI'!$A$13:$E$191,5,FALSE),0)</f>
        <v>0</v>
      </c>
    </row>
    <row r="108" spans="1:9" ht="18" x14ac:dyDescent="0.35">
      <c r="A108" s="272" t="s">
        <v>111</v>
      </c>
      <c r="B108" s="280" t="s">
        <v>289</v>
      </c>
      <c r="C108" s="187">
        <f>VLOOKUP(A108,'NCLB Title IA Formula'!$A$13:$G$196,7,FALSE)</f>
        <v>0</v>
      </c>
      <c r="D108" s="187">
        <f>IFERROR(VLOOKUP(A108,'NCLB Title I-C Migrant'!$A$11:$E$15,5,FALSE),0)</f>
        <v>0</v>
      </c>
      <c r="E108" s="187">
        <f>IFERROR(VLOOKUP(A108,'NCLB Title I-Delinquent'!$A$11:$E$29,5,FALSE),0)</f>
        <v>0</v>
      </c>
      <c r="F108" s="187">
        <f>IFERROR(VLOOKUP(A108,'NCLB Title II-A Formula'!$A$12:$G$196,7,FALSE),0)</f>
        <v>0</v>
      </c>
      <c r="G108" s="187">
        <f>VLOOKUP(A108,'NCLB Title III-A '!$A$13:$I$197,9,FALSE)</f>
        <v>0</v>
      </c>
      <c r="H108" s="187">
        <f>IFERROR(VLOOKUP(A108,'NCLB Title III SAI'!$A$13:$G$45,7,FALSE),0)</f>
        <v>0</v>
      </c>
      <c r="I108" s="281">
        <f>IFERROR(VLOOKUP(A108,'NCLB Title VI Rural LI'!$A$13:$E$191,5,FALSE),0)</f>
        <v>0</v>
      </c>
    </row>
    <row r="109" spans="1:9" ht="18" x14ac:dyDescent="0.35">
      <c r="A109" s="272" t="s">
        <v>112</v>
      </c>
      <c r="B109" s="280" t="s">
        <v>290</v>
      </c>
      <c r="C109" s="187">
        <f>VLOOKUP(A109,'NCLB Title IA Formula'!$A$13:$G$196,7,FALSE)</f>
        <v>0</v>
      </c>
      <c r="D109" s="187">
        <f>IFERROR(VLOOKUP(A109,'NCLB Title I-C Migrant'!$A$11:$E$15,5,FALSE),0)</f>
        <v>0</v>
      </c>
      <c r="E109" s="187">
        <f>IFERROR(VLOOKUP(A109,'NCLB Title I-Delinquent'!$A$11:$E$29,5,FALSE),0)</f>
        <v>0</v>
      </c>
      <c r="F109" s="187">
        <f>IFERROR(VLOOKUP(A109,'NCLB Title II-A Formula'!$A$12:$G$196,7,FALSE),0)</f>
        <v>0</v>
      </c>
      <c r="G109" s="187">
        <f>VLOOKUP(A109,'NCLB Title III-A '!$A$13:$I$197,9,FALSE)</f>
        <v>0</v>
      </c>
      <c r="H109" s="187">
        <f>IFERROR(VLOOKUP(A109,'NCLB Title III SAI'!$A$13:$G$45,7,FALSE),0)</f>
        <v>0</v>
      </c>
      <c r="I109" s="281">
        <f>IFERROR(VLOOKUP(A109,'NCLB Title VI Rural LI'!$A$13:$E$191,5,FALSE),0)</f>
        <v>0</v>
      </c>
    </row>
    <row r="110" spans="1:9" ht="18" x14ac:dyDescent="0.35">
      <c r="A110" s="272" t="s">
        <v>113</v>
      </c>
      <c r="B110" s="280" t="s">
        <v>291</v>
      </c>
      <c r="C110" s="187">
        <f>VLOOKUP(A110,'NCLB Title IA Formula'!$A$13:$G$196,7,FALSE)</f>
        <v>0</v>
      </c>
      <c r="D110" s="187">
        <f>IFERROR(VLOOKUP(A110,'NCLB Title I-C Migrant'!$A$11:$E$15,5,FALSE),0)</f>
        <v>0</v>
      </c>
      <c r="E110" s="187">
        <f>IFERROR(VLOOKUP(A110,'NCLB Title I-Delinquent'!$A$11:$E$29,5,FALSE),0)</f>
        <v>0</v>
      </c>
      <c r="F110" s="187">
        <f>IFERROR(VLOOKUP(A110,'NCLB Title II-A Formula'!$A$12:$G$196,7,FALSE),0)</f>
        <v>0</v>
      </c>
      <c r="G110" s="187">
        <f>VLOOKUP(A110,'NCLB Title III-A '!$A$13:$I$197,9,FALSE)</f>
        <v>0</v>
      </c>
      <c r="H110" s="187">
        <f>IFERROR(VLOOKUP(A110,'NCLB Title III SAI'!$A$13:$G$45,7,FALSE),0)</f>
        <v>0</v>
      </c>
      <c r="I110" s="281">
        <f>IFERROR(VLOOKUP(A110,'NCLB Title VI Rural LI'!$A$13:$E$191,5,FALSE),0)</f>
        <v>0</v>
      </c>
    </row>
    <row r="111" spans="1:9" ht="18" x14ac:dyDescent="0.35">
      <c r="A111" s="272" t="s">
        <v>114</v>
      </c>
      <c r="B111" s="280" t="s">
        <v>292</v>
      </c>
      <c r="C111" s="187">
        <f>VLOOKUP(A111,'NCLB Title IA Formula'!$A$13:$G$196,7,FALSE)</f>
        <v>0</v>
      </c>
      <c r="D111" s="187">
        <f>IFERROR(VLOOKUP(A111,'NCLB Title I-C Migrant'!$A$11:$E$15,5,FALSE),0)</f>
        <v>0</v>
      </c>
      <c r="E111" s="187">
        <f>IFERROR(VLOOKUP(A111,'NCLB Title I-Delinquent'!$A$11:$E$29,5,FALSE),0)</f>
        <v>0</v>
      </c>
      <c r="F111" s="187">
        <f>IFERROR(VLOOKUP(A111,'NCLB Title II-A Formula'!$A$12:$G$196,7,FALSE),0)</f>
        <v>0</v>
      </c>
      <c r="G111" s="187">
        <f>VLOOKUP(A111,'NCLB Title III-A '!$A$13:$I$197,9,FALSE)</f>
        <v>0</v>
      </c>
      <c r="H111" s="187">
        <f>IFERROR(VLOOKUP(A111,'NCLB Title III SAI'!$A$13:$G$45,7,FALSE),0)</f>
        <v>0</v>
      </c>
      <c r="I111" s="281">
        <f>IFERROR(VLOOKUP(A111,'NCLB Title VI Rural LI'!$A$13:$E$191,5,FALSE),0)</f>
        <v>0</v>
      </c>
    </row>
    <row r="112" spans="1:9" ht="18" x14ac:dyDescent="0.35">
      <c r="A112" s="272" t="s">
        <v>115</v>
      </c>
      <c r="B112" s="280" t="s">
        <v>293</v>
      </c>
      <c r="C112" s="187">
        <f>VLOOKUP(A112,'NCLB Title IA Formula'!$A$13:$G$196,7,FALSE)</f>
        <v>0</v>
      </c>
      <c r="D112" s="187">
        <f>IFERROR(VLOOKUP(A112,'NCLB Title I-C Migrant'!$A$11:$E$15,5,FALSE),0)</f>
        <v>0</v>
      </c>
      <c r="E112" s="187">
        <f>IFERROR(VLOOKUP(A112,'NCLB Title I-Delinquent'!$A$11:$E$29,5,FALSE),0)</f>
        <v>0</v>
      </c>
      <c r="F112" s="187">
        <f>IFERROR(VLOOKUP(A112,'NCLB Title II-A Formula'!$A$12:$G$196,7,FALSE),0)</f>
        <v>0</v>
      </c>
      <c r="G112" s="187">
        <f>VLOOKUP(A112,'NCLB Title III-A '!$A$13:$I$197,9,FALSE)</f>
        <v>0</v>
      </c>
      <c r="H112" s="187">
        <f>IFERROR(VLOOKUP(A112,'NCLB Title III SAI'!$A$13:$G$45,7,FALSE),0)</f>
        <v>0</v>
      </c>
      <c r="I112" s="281">
        <f>IFERROR(VLOOKUP(A112,'NCLB Title VI Rural LI'!$A$13:$E$191,5,FALSE),0)</f>
        <v>0</v>
      </c>
    </row>
    <row r="113" spans="1:9" ht="18" x14ac:dyDescent="0.35">
      <c r="A113" s="272" t="s">
        <v>116</v>
      </c>
      <c r="B113" s="280" t="s">
        <v>294</v>
      </c>
      <c r="C113" s="187">
        <f>VLOOKUP(A113,'NCLB Title IA Formula'!$A$13:$G$196,7,FALSE)</f>
        <v>0</v>
      </c>
      <c r="D113" s="187">
        <f>IFERROR(VLOOKUP(A113,'NCLB Title I-C Migrant'!$A$11:$E$15,5,FALSE),0)</f>
        <v>0</v>
      </c>
      <c r="E113" s="187">
        <f>IFERROR(VLOOKUP(A113,'NCLB Title I-Delinquent'!$A$11:$E$29,5,FALSE),0)</f>
        <v>0</v>
      </c>
      <c r="F113" s="187">
        <f>IFERROR(VLOOKUP(A113,'NCLB Title II-A Formula'!$A$12:$G$196,7,FALSE),0)</f>
        <v>0</v>
      </c>
      <c r="G113" s="187">
        <f>VLOOKUP(A113,'NCLB Title III-A '!$A$13:$I$197,9,FALSE)</f>
        <v>0</v>
      </c>
      <c r="H113" s="187">
        <f>IFERROR(VLOOKUP(A113,'NCLB Title III SAI'!$A$13:$G$45,7,FALSE),0)</f>
        <v>0</v>
      </c>
      <c r="I113" s="281">
        <f>IFERROR(VLOOKUP(A113,'NCLB Title VI Rural LI'!$A$13:$E$191,5,FALSE),0)</f>
        <v>0</v>
      </c>
    </row>
    <row r="114" spans="1:9" ht="18" x14ac:dyDescent="0.35">
      <c r="A114" s="272" t="s">
        <v>117</v>
      </c>
      <c r="B114" s="280" t="s">
        <v>295</v>
      </c>
      <c r="C114" s="187">
        <f>VLOOKUP(A114,'NCLB Title IA Formula'!$A$13:$G$196,7,FALSE)</f>
        <v>0</v>
      </c>
      <c r="D114" s="187">
        <f>IFERROR(VLOOKUP(A114,'NCLB Title I-C Migrant'!$A$11:$E$15,5,FALSE),0)</f>
        <v>0</v>
      </c>
      <c r="E114" s="187">
        <f>IFERROR(VLOOKUP(A114,'NCLB Title I-Delinquent'!$A$11:$E$29,5,FALSE),0)</f>
        <v>0</v>
      </c>
      <c r="F114" s="187">
        <f>IFERROR(VLOOKUP(A114,'NCLB Title II-A Formula'!$A$12:$G$196,7,FALSE),0)</f>
        <v>0</v>
      </c>
      <c r="G114" s="187">
        <f>VLOOKUP(A114,'NCLB Title III-A '!$A$13:$I$197,9,FALSE)</f>
        <v>0</v>
      </c>
      <c r="H114" s="187">
        <f>IFERROR(VLOOKUP(A114,'NCLB Title III SAI'!$A$13:$G$45,7,FALSE),0)</f>
        <v>0</v>
      </c>
      <c r="I114" s="281">
        <f>IFERROR(VLOOKUP(A114,'NCLB Title VI Rural LI'!$A$13:$E$191,5,FALSE),0)</f>
        <v>1</v>
      </c>
    </row>
    <row r="115" spans="1:9" ht="18" x14ac:dyDescent="0.35">
      <c r="A115" s="272" t="s">
        <v>118</v>
      </c>
      <c r="B115" s="280" t="s">
        <v>296</v>
      </c>
      <c r="C115" s="187">
        <f>VLOOKUP(A115,'NCLB Title IA Formula'!$A$13:$G$196,7,FALSE)</f>
        <v>0</v>
      </c>
      <c r="D115" s="187">
        <f>IFERROR(VLOOKUP(A115,'NCLB Title I-C Migrant'!$A$11:$E$15,5,FALSE),0)</f>
        <v>0</v>
      </c>
      <c r="E115" s="187">
        <f>IFERROR(VLOOKUP(A115,'NCLB Title I-Delinquent'!$A$11:$E$29,5,FALSE),0)</f>
        <v>0</v>
      </c>
      <c r="F115" s="187">
        <f>IFERROR(VLOOKUP(A115,'NCLB Title II-A Formula'!$A$12:$G$196,7,FALSE),0)</f>
        <v>0</v>
      </c>
      <c r="G115" s="187">
        <f>VLOOKUP(A115,'NCLB Title III-A '!$A$13:$I$197,9,FALSE)</f>
        <v>0</v>
      </c>
      <c r="H115" s="187">
        <f>IFERROR(VLOOKUP(A115,'NCLB Title III SAI'!$A$13:$G$45,7,FALSE),0)</f>
        <v>0</v>
      </c>
      <c r="I115" s="281">
        <f>IFERROR(VLOOKUP(A115,'NCLB Title VI Rural LI'!$A$13:$E$191,5,FALSE),0)</f>
        <v>68</v>
      </c>
    </row>
    <row r="116" spans="1:9" ht="18" x14ac:dyDescent="0.35">
      <c r="A116" s="272" t="s">
        <v>119</v>
      </c>
      <c r="B116" s="280" t="s">
        <v>297</v>
      </c>
      <c r="C116" s="187">
        <f>VLOOKUP(A116,'NCLB Title IA Formula'!$A$13:$G$196,7,FALSE)</f>
        <v>0</v>
      </c>
      <c r="D116" s="187">
        <f>IFERROR(VLOOKUP(A116,'NCLB Title I-C Migrant'!$A$11:$E$15,5,FALSE),0)</f>
        <v>0</v>
      </c>
      <c r="E116" s="187">
        <f>IFERROR(VLOOKUP(A116,'NCLB Title I-Delinquent'!$A$11:$E$29,5,FALSE),0)</f>
        <v>0</v>
      </c>
      <c r="F116" s="187">
        <f>IFERROR(VLOOKUP(A116,'NCLB Title II-A Formula'!$A$12:$G$196,7,FALSE),0)</f>
        <v>0</v>
      </c>
      <c r="G116" s="187">
        <f>VLOOKUP(A116,'NCLB Title III-A '!$A$13:$I$197,9,FALSE)</f>
        <v>0</v>
      </c>
      <c r="H116" s="187">
        <f>IFERROR(VLOOKUP(A116,'NCLB Title III SAI'!$A$13:$G$45,7,FALSE),0)</f>
        <v>0</v>
      </c>
      <c r="I116" s="281">
        <f>IFERROR(VLOOKUP(A116,'NCLB Title VI Rural LI'!$A$13:$E$191,5,FALSE),0)</f>
        <v>0</v>
      </c>
    </row>
    <row r="117" spans="1:9" ht="18" x14ac:dyDescent="0.35">
      <c r="A117" s="272" t="s">
        <v>120</v>
      </c>
      <c r="B117" s="280" t="s">
        <v>298</v>
      </c>
      <c r="C117" s="187">
        <f>VLOOKUP(A117,'NCLB Title IA Formula'!$A$13:$G$196,7,FALSE)</f>
        <v>0</v>
      </c>
      <c r="D117" s="187">
        <f>IFERROR(VLOOKUP(A117,'NCLB Title I-C Migrant'!$A$11:$E$15,5,FALSE),0)</f>
        <v>0</v>
      </c>
      <c r="E117" s="187">
        <f>IFERROR(VLOOKUP(A117,'NCLB Title I-Delinquent'!$A$11:$E$29,5,FALSE),0)</f>
        <v>0</v>
      </c>
      <c r="F117" s="187">
        <f>IFERROR(VLOOKUP(A117,'NCLB Title II-A Formula'!$A$12:$G$196,7,FALSE),0)</f>
        <v>0</v>
      </c>
      <c r="G117" s="187">
        <f>VLOOKUP(A117,'NCLB Title III-A '!$A$13:$I$197,9,FALSE)</f>
        <v>0</v>
      </c>
      <c r="H117" s="187">
        <f>IFERROR(VLOOKUP(A117,'NCLB Title III SAI'!$A$13:$G$45,7,FALSE),0)</f>
        <v>0</v>
      </c>
      <c r="I117" s="281">
        <f>IFERROR(VLOOKUP(A117,'NCLB Title VI Rural LI'!$A$13:$E$191,5,FALSE),0)</f>
        <v>0</v>
      </c>
    </row>
    <row r="118" spans="1:9" ht="18" x14ac:dyDescent="0.35">
      <c r="A118" s="272" t="s">
        <v>121</v>
      </c>
      <c r="B118" s="280" t="s">
        <v>299</v>
      </c>
      <c r="C118" s="187">
        <f>VLOOKUP(A118,'NCLB Title IA Formula'!$A$13:$G$196,7,FALSE)</f>
        <v>0</v>
      </c>
      <c r="D118" s="187">
        <f>IFERROR(VLOOKUP(A118,'NCLB Title I-C Migrant'!$A$11:$E$15,5,FALSE),0)</f>
        <v>0</v>
      </c>
      <c r="E118" s="187">
        <f>IFERROR(VLOOKUP(A118,'NCLB Title I-Delinquent'!$A$11:$E$29,5,FALSE),0)</f>
        <v>0</v>
      </c>
      <c r="F118" s="187">
        <f>IFERROR(VLOOKUP(A118,'NCLB Title II-A Formula'!$A$12:$G$196,7,FALSE),0)</f>
        <v>0</v>
      </c>
      <c r="G118" s="187">
        <f>VLOOKUP(A118,'NCLB Title III-A '!$A$13:$I$197,9,FALSE)</f>
        <v>0</v>
      </c>
      <c r="H118" s="187">
        <f>IFERROR(VLOOKUP(A118,'NCLB Title III SAI'!$A$13:$G$45,7,FALSE),0)</f>
        <v>0</v>
      </c>
      <c r="I118" s="281">
        <f>IFERROR(VLOOKUP(A118,'NCLB Title VI Rural LI'!$A$13:$E$191,5,FALSE),0)</f>
        <v>0</v>
      </c>
    </row>
    <row r="119" spans="1:9" ht="18" x14ac:dyDescent="0.35">
      <c r="A119" s="272" t="s">
        <v>122</v>
      </c>
      <c r="B119" s="280" t="s">
        <v>300</v>
      </c>
      <c r="C119" s="187">
        <f>VLOOKUP(A119,'NCLB Title IA Formula'!$A$13:$G$196,7,FALSE)</f>
        <v>0</v>
      </c>
      <c r="D119" s="187">
        <f>IFERROR(VLOOKUP(A119,'NCLB Title I-C Migrant'!$A$11:$E$15,5,FALSE),0)</f>
        <v>0</v>
      </c>
      <c r="E119" s="187">
        <f>IFERROR(VLOOKUP(A119,'NCLB Title I-Delinquent'!$A$11:$E$29,5,FALSE),0)</f>
        <v>0</v>
      </c>
      <c r="F119" s="187">
        <f>IFERROR(VLOOKUP(A119,'NCLB Title II-A Formula'!$A$12:$G$196,7,FALSE),0)</f>
        <v>0</v>
      </c>
      <c r="G119" s="187">
        <f>VLOOKUP(A119,'NCLB Title III-A '!$A$13:$I$197,9,FALSE)</f>
        <v>0</v>
      </c>
      <c r="H119" s="187">
        <f>IFERROR(VLOOKUP(A119,'NCLB Title III SAI'!$A$13:$G$45,7,FALSE),0)</f>
        <v>0</v>
      </c>
      <c r="I119" s="281">
        <f>IFERROR(VLOOKUP(A119,'NCLB Title VI Rural LI'!$A$13:$E$191,5,FALSE),0)</f>
        <v>0</v>
      </c>
    </row>
    <row r="120" spans="1:9" ht="18" x14ac:dyDescent="0.35">
      <c r="A120" s="272" t="s">
        <v>123</v>
      </c>
      <c r="B120" s="280" t="s">
        <v>301</v>
      </c>
      <c r="C120" s="187">
        <f>VLOOKUP(A120,'NCLB Title IA Formula'!$A$13:$G$196,7,FALSE)</f>
        <v>0</v>
      </c>
      <c r="D120" s="187">
        <f>IFERROR(VLOOKUP(A120,'NCLB Title I-C Migrant'!$A$11:$E$15,5,FALSE),0)</f>
        <v>0</v>
      </c>
      <c r="E120" s="187">
        <f>IFERROR(VLOOKUP(A120,'NCLB Title I-Delinquent'!$A$11:$E$29,5,FALSE),0)</f>
        <v>0</v>
      </c>
      <c r="F120" s="187">
        <f>IFERROR(VLOOKUP(A120,'NCLB Title II-A Formula'!$A$12:$G$196,7,FALSE),0)</f>
        <v>0</v>
      </c>
      <c r="G120" s="187">
        <f>VLOOKUP(A120,'NCLB Title III-A '!$A$13:$I$197,9,FALSE)</f>
        <v>0</v>
      </c>
      <c r="H120" s="187">
        <f>IFERROR(VLOOKUP(A120,'NCLB Title III SAI'!$A$13:$G$45,7,FALSE),0)</f>
        <v>217</v>
      </c>
      <c r="I120" s="281">
        <f>IFERROR(VLOOKUP(A120,'NCLB Title VI Rural LI'!$A$13:$E$191,5,FALSE),0)</f>
        <v>0</v>
      </c>
    </row>
    <row r="121" spans="1:9" ht="18" x14ac:dyDescent="0.35">
      <c r="A121" s="272" t="s">
        <v>124</v>
      </c>
      <c r="B121" s="280" t="s">
        <v>302</v>
      </c>
      <c r="C121" s="187">
        <f>VLOOKUP(A121,'NCLB Title IA Formula'!$A$13:$G$196,7,FALSE)</f>
        <v>0</v>
      </c>
      <c r="D121" s="187">
        <f>IFERROR(VLOOKUP(A121,'NCLB Title I-C Migrant'!$A$11:$E$15,5,FALSE),0)</f>
        <v>0</v>
      </c>
      <c r="E121" s="187">
        <f>IFERROR(VLOOKUP(A121,'NCLB Title I-Delinquent'!$A$11:$E$29,5,FALSE),0)</f>
        <v>0</v>
      </c>
      <c r="F121" s="187">
        <f>IFERROR(VLOOKUP(A121,'NCLB Title II-A Formula'!$A$12:$G$196,7,FALSE),0)</f>
        <v>0</v>
      </c>
      <c r="G121" s="187">
        <f>VLOOKUP(A121,'NCLB Title III-A '!$A$13:$I$197,9,FALSE)</f>
        <v>0</v>
      </c>
      <c r="H121" s="187">
        <f>IFERROR(VLOOKUP(A121,'NCLB Title III SAI'!$A$13:$G$45,7,FALSE),0)</f>
        <v>0</v>
      </c>
      <c r="I121" s="281">
        <f>IFERROR(VLOOKUP(A121,'NCLB Title VI Rural LI'!$A$13:$E$191,5,FALSE),0)</f>
        <v>0</v>
      </c>
    </row>
    <row r="122" spans="1:9" ht="18" x14ac:dyDescent="0.35">
      <c r="A122" s="272" t="s">
        <v>125</v>
      </c>
      <c r="B122" s="280" t="s">
        <v>303</v>
      </c>
      <c r="C122" s="187">
        <f>VLOOKUP(A122,'NCLB Title IA Formula'!$A$13:$G$196,7,FALSE)</f>
        <v>0</v>
      </c>
      <c r="D122" s="187">
        <f>IFERROR(VLOOKUP(A122,'NCLB Title I-C Migrant'!$A$11:$E$15,5,FALSE),0)</f>
        <v>0</v>
      </c>
      <c r="E122" s="187">
        <f>IFERROR(VLOOKUP(A122,'NCLB Title I-Delinquent'!$A$11:$E$29,5,FALSE),0)</f>
        <v>0</v>
      </c>
      <c r="F122" s="187">
        <f>IFERROR(VLOOKUP(A122,'NCLB Title II-A Formula'!$A$12:$G$196,7,FALSE),0)</f>
        <v>0</v>
      </c>
      <c r="G122" s="187">
        <f>VLOOKUP(A122,'NCLB Title III-A '!$A$13:$I$197,9,FALSE)</f>
        <v>0</v>
      </c>
      <c r="H122" s="187">
        <f>IFERROR(VLOOKUP(A122,'NCLB Title III SAI'!$A$13:$G$45,7,FALSE),0)</f>
        <v>0</v>
      </c>
      <c r="I122" s="281">
        <f>IFERROR(VLOOKUP(A122,'NCLB Title VI Rural LI'!$A$13:$E$191,5,FALSE),0)</f>
        <v>0</v>
      </c>
    </row>
    <row r="123" spans="1:9" ht="18" x14ac:dyDescent="0.35">
      <c r="A123" s="272" t="s">
        <v>126</v>
      </c>
      <c r="B123" s="280" t="s">
        <v>304</v>
      </c>
      <c r="C123" s="187">
        <f>VLOOKUP(A123,'NCLB Title IA Formula'!$A$13:$G$196,7,FALSE)</f>
        <v>0</v>
      </c>
      <c r="D123" s="187">
        <f>IFERROR(VLOOKUP(A123,'NCLB Title I-C Migrant'!$A$11:$E$15,5,FALSE),0)</f>
        <v>0</v>
      </c>
      <c r="E123" s="187">
        <f>IFERROR(VLOOKUP(A123,'NCLB Title I-Delinquent'!$A$11:$E$29,5,FALSE),0)</f>
        <v>0</v>
      </c>
      <c r="F123" s="187">
        <f>IFERROR(VLOOKUP(A123,'NCLB Title II-A Formula'!$A$12:$G$196,7,FALSE),0)</f>
        <v>0</v>
      </c>
      <c r="G123" s="187">
        <f>VLOOKUP(A123,'NCLB Title III-A '!$A$13:$I$197,9,FALSE)</f>
        <v>0</v>
      </c>
      <c r="H123" s="187">
        <f>IFERROR(VLOOKUP(A123,'NCLB Title III SAI'!$A$13:$G$45,7,FALSE),0)</f>
        <v>0</v>
      </c>
      <c r="I123" s="281">
        <f>IFERROR(VLOOKUP(A123,'NCLB Title VI Rural LI'!$A$13:$E$191,5,FALSE),0)</f>
        <v>657</v>
      </c>
    </row>
    <row r="124" spans="1:9" ht="18" x14ac:dyDescent="0.35">
      <c r="A124" s="272" t="s">
        <v>127</v>
      </c>
      <c r="B124" s="280" t="s">
        <v>305</v>
      </c>
      <c r="C124" s="187">
        <f>VLOOKUP(A124,'NCLB Title IA Formula'!$A$13:$G$196,7,FALSE)</f>
        <v>0</v>
      </c>
      <c r="D124" s="187">
        <f>IFERROR(VLOOKUP(A124,'NCLB Title I-C Migrant'!$A$11:$E$15,5,FALSE),0)</f>
        <v>0</v>
      </c>
      <c r="E124" s="187">
        <f>IFERROR(VLOOKUP(A124,'NCLB Title I-Delinquent'!$A$11:$E$29,5,FALSE),0)</f>
        <v>0</v>
      </c>
      <c r="F124" s="187">
        <f>IFERROR(VLOOKUP(A124,'NCLB Title II-A Formula'!$A$12:$G$196,7,FALSE),0)</f>
        <v>0</v>
      </c>
      <c r="G124" s="187">
        <f>VLOOKUP(A124,'NCLB Title III-A '!$A$13:$I$197,9,FALSE)</f>
        <v>0</v>
      </c>
      <c r="H124" s="187">
        <f>IFERROR(VLOOKUP(A124,'NCLB Title III SAI'!$A$13:$G$45,7,FALSE),0)</f>
        <v>0</v>
      </c>
      <c r="I124" s="281">
        <f>IFERROR(VLOOKUP(A124,'NCLB Title VI Rural LI'!$A$13:$E$191,5,FALSE),0)</f>
        <v>0</v>
      </c>
    </row>
    <row r="125" spans="1:9" ht="18" x14ac:dyDescent="0.35">
      <c r="A125" s="272" t="s">
        <v>128</v>
      </c>
      <c r="B125" s="280" t="s">
        <v>306</v>
      </c>
      <c r="C125" s="187">
        <f>VLOOKUP(A125,'NCLB Title IA Formula'!$A$13:$G$196,7,FALSE)</f>
        <v>0</v>
      </c>
      <c r="D125" s="187">
        <f>IFERROR(VLOOKUP(A125,'NCLB Title I-C Migrant'!$A$11:$E$15,5,FALSE),0)</f>
        <v>0</v>
      </c>
      <c r="E125" s="187">
        <f>IFERROR(VLOOKUP(A125,'NCLB Title I-Delinquent'!$A$11:$E$29,5,FALSE),0)</f>
        <v>0</v>
      </c>
      <c r="F125" s="187">
        <f>IFERROR(VLOOKUP(A125,'NCLB Title II-A Formula'!$A$12:$G$196,7,FALSE),0)</f>
        <v>0</v>
      </c>
      <c r="G125" s="187">
        <f>VLOOKUP(A125,'NCLB Title III-A '!$A$13:$I$197,9,FALSE)</f>
        <v>0</v>
      </c>
      <c r="H125" s="187">
        <f>IFERROR(VLOOKUP(A125,'NCLB Title III SAI'!$A$13:$G$45,7,FALSE),0)</f>
        <v>0</v>
      </c>
      <c r="I125" s="281">
        <f>IFERROR(VLOOKUP(A125,'NCLB Title VI Rural LI'!$A$13:$E$191,5,FALSE),0)</f>
        <v>0</v>
      </c>
    </row>
    <row r="126" spans="1:9" ht="18" x14ac:dyDescent="0.35">
      <c r="A126" s="272" t="s">
        <v>129</v>
      </c>
      <c r="B126" s="280" t="s">
        <v>307</v>
      </c>
      <c r="C126" s="187">
        <f>VLOOKUP(A126,'NCLB Title IA Formula'!$A$13:$G$196,7,FALSE)</f>
        <v>0</v>
      </c>
      <c r="D126" s="187">
        <f>IFERROR(VLOOKUP(A126,'NCLB Title I-C Migrant'!$A$11:$E$15,5,FALSE),0)</f>
        <v>0</v>
      </c>
      <c r="E126" s="187">
        <f>IFERROR(VLOOKUP(A126,'NCLB Title I-Delinquent'!$A$11:$E$29,5,FALSE),0)</f>
        <v>0</v>
      </c>
      <c r="F126" s="187">
        <f>IFERROR(VLOOKUP(A126,'NCLB Title II-A Formula'!$A$12:$G$196,7,FALSE),0)</f>
        <v>0</v>
      </c>
      <c r="G126" s="187">
        <f>VLOOKUP(A126,'NCLB Title III-A '!$A$13:$I$197,9,FALSE)</f>
        <v>0</v>
      </c>
      <c r="H126" s="187">
        <f>IFERROR(VLOOKUP(A126,'NCLB Title III SAI'!$A$13:$G$45,7,FALSE),0)</f>
        <v>0</v>
      </c>
      <c r="I126" s="281">
        <f>IFERROR(VLOOKUP(A126,'NCLB Title VI Rural LI'!$A$13:$E$191,5,FALSE),0)</f>
        <v>0</v>
      </c>
    </row>
    <row r="127" spans="1:9" ht="18" x14ac:dyDescent="0.35">
      <c r="A127" s="272" t="s">
        <v>130</v>
      </c>
      <c r="B127" s="280" t="s">
        <v>308</v>
      </c>
      <c r="C127" s="187">
        <f>VLOOKUP(A127,'NCLB Title IA Formula'!$A$13:$G$196,7,FALSE)</f>
        <v>0</v>
      </c>
      <c r="D127" s="187">
        <f>IFERROR(VLOOKUP(A127,'NCLB Title I-C Migrant'!$A$11:$E$15,5,FALSE),0)</f>
        <v>0</v>
      </c>
      <c r="E127" s="187">
        <f>IFERROR(VLOOKUP(A127,'NCLB Title I-Delinquent'!$A$11:$E$29,5,FALSE),0)</f>
        <v>0</v>
      </c>
      <c r="F127" s="187">
        <f>IFERROR(VLOOKUP(A127,'NCLB Title II-A Formula'!$A$12:$G$196,7,FALSE),0)</f>
        <v>0</v>
      </c>
      <c r="G127" s="187">
        <f>VLOOKUP(A127,'NCLB Title III-A '!$A$13:$I$197,9,FALSE)</f>
        <v>0</v>
      </c>
      <c r="H127" s="187">
        <f>IFERROR(VLOOKUP(A127,'NCLB Title III SAI'!$A$13:$G$45,7,FALSE),0)</f>
        <v>0</v>
      </c>
      <c r="I127" s="281">
        <f>IFERROR(VLOOKUP(A127,'NCLB Title VI Rural LI'!$A$13:$E$191,5,FALSE),0)</f>
        <v>0</v>
      </c>
    </row>
    <row r="128" spans="1:9" ht="18" x14ac:dyDescent="0.35">
      <c r="A128" s="272" t="s">
        <v>131</v>
      </c>
      <c r="B128" s="280" t="s">
        <v>309</v>
      </c>
      <c r="C128" s="187">
        <f>VLOOKUP(A128,'NCLB Title IA Formula'!$A$13:$G$196,7,FALSE)</f>
        <v>0</v>
      </c>
      <c r="D128" s="187">
        <f>IFERROR(VLOOKUP(A128,'NCLB Title I-C Migrant'!$A$11:$E$15,5,FALSE),0)</f>
        <v>0</v>
      </c>
      <c r="E128" s="187">
        <f>IFERROR(VLOOKUP(A128,'NCLB Title I-Delinquent'!$A$11:$E$29,5,FALSE),0)</f>
        <v>0</v>
      </c>
      <c r="F128" s="187">
        <f>IFERROR(VLOOKUP(A128,'NCLB Title II-A Formula'!$A$12:$G$196,7,FALSE),0)</f>
        <v>0</v>
      </c>
      <c r="G128" s="187">
        <f>VLOOKUP(A128,'NCLB Title III-A '!$A$13:$I$197,9,FALSE)</f>
        <v>0</v>
      </c>
      <c r="H128" s="187">
        <f>IFERROR(VLOOKUP(A128,'NCLB Title III SAI'!$A$13:$G$45,7,FALSE),0)</f>
        <v>0</v>
      </c>
      <c r="I128" s="281">
        <f>IFERROR(VLOOKUP(A128,'NCLB Title VI Rural LI'!$A$13:$E$191,5,FALSE),0)</f>
        <v>0</v>
      </c>
    </row>
    <row r="129" spans="1:9" ht="18" x14ac:dyDescent="0.35">
      <c r="A129" s="272" t="s">
        <v>132</v>
      </c>
      <c r="B129" s="280" t="s">
        <v>310</v>
      </c>
      <c r="C129" s="187">
        <f>VLOOKUP(A129,'NCLB Title IA Formula'!$A$13:$G$196,7,FALSE)</f>
        <v>7</v>
      </c>
      <c r="D129" s="187">
        <f>IFERROR(VLOOKUP(A129,'NCLB Title I-C Migrant'!$A$11:$E$15,5,FALSE),0)</f>
        <v>0</v>
      </c>
      <c r="E129" s="187">
        <f>IFERROR(VLOOKUP(A129,'NCLB Title I-Delinquent'!$A$11:$E$29,5,FALSE),0)</f>
        <v>0</v>
      </c>
      <c r="F129" s="187">
        <f>IFERROR(VLOOKUP(A129,'NCLB Title II-A Formula'!$A$12:$G$196,7,FALSE),0)</f>
        <v>0</v>
      </c>
      <c r="G129" s="187">
        <f>VLOOKUP(A129,'NCLB Title III-A '!$A$13:$I$197,9,FALSE)</f>
        <v>0</v>
      </c>
      <c r="H129" s="187">
        <f>IFERROR(VLOOKUP(A129,'NCLB Title III SAI'!$A$13:$G$45,7,FALSE),0)</f>
        <v>0</v>
      </c>
      <c r="I129" s="281">
        <f>IFERROR(VLOOKUP(A129,'NCLB Title VI Rural LI'!$A$13:$E$191,5,FALSE),0)</f>
        <v>0</v>
      </c>
    </row>
    <row r="130" spans="1:9" ht="18" x14ac:dyDescent="0.35">
      <c r="A130" s="272" t="s">
        <v>133</v>
      </c>
      <c r="B130" s="280" t="s">
        <v>311</v>
      </c>
      <c r="C130" s="187">
        <f>VLOOKUP(A130,'NCLB Title IA Formula'!$A$13:$G$196,7,FALSE)</f>
        <v>0</v>
      </c>
      <c r="D130" s="187">
        <f>IFERROR(VLOOKUP(A130,'NCLB Title I-C Migrant'!$A$11:$E$15,5,FALSE),0)</f>
        <v>0</v>
      </c>
      <c r="E130" s="187">
        <f>IFERROR(VLOOKUP(A130,'NCLB Title I-Delinquent'!$A$11:$E$29,5,FALSE),0)</f>
        <v>0</v>
      </c>
      <c r="F130" s="187">
        <f>IFERROR(VLOOKUP(A130,'NCLB Title II-A Formula'!$A$12:$G$196,7,FALSE),0)</f>
        <v>0</v>
      </c>
      <c r="G130" s="187">
        <f>VLOOKUP(A130,'NCLB Title III-A '!$A$13:$I$197,9,FALSE)</f>
        <v>0</v>
      </c>
      <c r="H130" s="187">
        <f>IFERROR(VLOOKUP(A130,'NCLB Title III SAI'!$A$13:$G$45,7,FALSE),0)</f>
        <v>0</v>
      </c>
      <c r="I130" s="281">
        <f>IFERROR(VLOOKUP(A130,'NCLB Title VI Rural LI'!$A$13:$E$191,5,FALSE),0)</f>
        <v>0</v>
      </c>
    </row>
    <row r="131" spans="1:9" ht="18" x14ac:dyDescent="0.35">
      <c r="A131" s="272" t="s">
        <v>134</v>
      </c>
      <c r="B131" s="280" t="s">
        <v>312</v>
      </c>
      <c r="C131" s="187">
        <f>VLOOKUP(A131,'NCLB Title IA Formula'!$A$13:$G$196,7,FALSE)</f>
        <v>0</v>
      </c>
      <c r="D131" s="187">
        <f>IFERROR(VLOOKUP(A131,'NCLB Title I-C Migrant'!$A$11:$E$15,5,FALSE),0)</f>
        <v>0</v>
      </c>
      <c r="E131" s="187">
        <f>IFERROR(VLOOKUP(A131,'NCLB Title I-Delinquent'!$A$11:$E$29,5,FALSE),0)</f>
        <v>0</v>
      </c>
      <c r="F131" s="187">
        <f>IFERROR(VLOOKUP(A131,'NCLB Title II-A Formula'!$A$12:$G$196,7,FALSE),0)</f>
        <v>0</v>
      </c>
      <c r="G131" s="187">
        <f>VLOOKUP(A131,'NCLB Title III-A '!$A$13:$I$197,9,FALSE)</f>
        <v>0</v>
      </c>
      <c r="H131" s="187">
        <f>IFERROR(VLOOKUP(A131,'NCLB Title III SAI'!$A$13:$G$45,7,FALSE),0)</f>
        <v>0</v>
      </c>
      <c r="I131" s="281">
        <f>IFERROR(VLOOKUP(A131,'NCLB Title VI Rural LI'!$A$13:$E$191,5,FALSE),0)</f>
        <v>0</v>
      </c>
    </row>
    <row r="132" spans="1:9" ht="18" x14ac:dyDescent="0.35">
      <c r="A132" s="272" t="s">
        <v>135</v>
      </c>
      <c r="B132" s="280" t="s">
        <v>313</v>
      </c>
      <c r="C132" s="187">
        <f>VLOOKUP(A132,'NCLB Title IA Formula'!$A$13:$G$196,7,FALSE)</f>
        <v>0</v>
      </c>
      <c r="D132" s="187">
        <f>IFERROR(VLOOKUP(A132,'NCLB Title I-C Migrant'!$A$11:$E$15,5,FALSE),0)</f>
        <v>0</v>
      </c>
      <c r="E132" s="187">
        <f>IFERROR(VLOOKUP(A132,'NCLB Title I-Delinquent'!$A$11:$E$29,5,FALSE),0)</f>
        <v>0</v>
      </c>
      <c r="F132" s="187">
        <f>IFERROR(VLOOKUP(A132,'NCLB Title II-A Formula'!$A$12:$G$196,7,FALSE),0)</f>
        <v>0</v>
      </c>
      <c r="G132" s="187">
        <f>VLOOKUP(A132,'NCLB Title III-A '!$A$13:$I$197,9,FALSE)</f>
        <v>0</v>
      </c>
      <c r="H132" s="187">
        <f>IFERROR(VLOOKUP(A132,'NCLB Title III SAI'!$A$13:$G$45,7,FALSE),0)</f>
        <v>0</v>
      </c>
      <c r="I132" s="281">
        <f>IFERROR(VLOOKUP(A132,'NCLB Title VI Rural LI'!$A$13:$E$191,5,FALSE),0)</f>
        <v>0</v>
      </c>
    </row>
    <row r="133" spans="1:9" ht="18" x14ac:dyDescent="0.35">
      <c r="A133" s="272" t="s">
        <v>136</v>
      </c>
      <c r="B133" s="280" t="s">
        <v>314</v>
      </c>
      <c r="C133" s="187">
        <f>VLOOKUP(A133,'NCLB Title IA Formula'!$A$13:$G$196,7,FALSE)</f>
        <v>0</v>
      </c>
      <c r="D133" s="187">
        <f>IFERROR(VLOOKUP(A133,'NCLB Title I-C Migrant'!$A$11:$E$15,5,FALSE),0)</f>
        <v>0</v>
      </c>
      <c r="E133" s="187">
        <f>IFERROR(VLOOKUP(A133,'NCLB Title I-Delinquent'!$A$11:$E$29,5,FALSE),0)</f>
        <v>0</v>
      </c>
      <c r="F133" s="187">
        <f>IFERROR(VLOOKUP(A133,'NCLB Title II-A Formula'!$A$12:$G$196,7,FALSE),0)</f>
        <v>0</v>
      </c>
      <c r="G133" s="187">
        <f>VLOOKUP(A133,'NCLB Title III-A '!$A$13:$I$197,9,FALSE)</f>
        <v>0</v>
      </c>
      <c r="H133" s="187">
        <f>IFERROR(VLOOKUP(A133,'NCLB Title III SAI'!$A$13:$G$45,7,FALSE),0)</f>
        <v>0</v>
      </c>
      <c r="I133" s="281">
        <f>IFERROR(VLOOKUP(A133,'NCLB Title VI Rural LI'!$A$13:$E$191,5,FALSE),0)</f>
        <v>0</v>
      </c>
    </row>
    <row r="134" spans="1:9" ht="18" x14ac:dyDescent="0.35">
      <c r="A134" s="272" t="s">
        <v>137</v>
      </c>
      <c r="B134" s="280" t="s">
        <v>315</v>
      </c>
      <c r="C134" s="187">
        <f>VLOOKUP(A134,'NCLB Title IA Formula'!$A$13:$G$196,7,FALSE)</f>
        <v>0</v>
      </c>
      <c r="D134" s="187">
        <f>IFERROR(VLOOKUP(A134,'NCLB Title I-C Migrant'!$A$11:$E$15,5,FALSE),0)</f>
        <v>0</v>
      </c>
      <c r="E134" s="187">
        <f>IFERROR(VLOOKUP(A134,'NCLB Title I-Delinquent'!$A$11:$E$29,5,FALSE),0)</f>
        <v>0</v>
      </c>
      <c r="F134" s="187">
        <f>IFERROR(VLOOKUP(A134,'NCLB Title II-A Formula'!$A$12:$G$196,7,FALSE),0)</f>
        <v>0</v>
      </c>
      <c r="G134" s="187">
        <f>VLOOKUP(A134,'NCLB Title III-A '!$A$13:$I$197,9,FALSE)</f>
        <v>0</v>
      </c>
      <c r="H134" s="187">
        <f>IFERROR(VLOOKUP(A134,'NCLB Title III SAI'!$A$13:$G$45,7,FALSE),0)</f>
        <v>0</v>
      </c>
      <c r="I134" s="281">
        <f>IFERROR(VLOOKUP(A134,'NCLB Title VI Rural LI'!$A$13:$E$191,5,FALSE),0)</f>
        <v>0</v>
      </c>
    </row>
    <row r="135" spans="1:9" ht="18" x14ac:dyDescent="0.35">
      <c r="A135" s="272" t="s">
        <v>138</v>
      </c>
      <c r="B135" s="280" t="s">
        <v>316</v>
      </c>
      <c r="C135" s="187">
        <f>VLOOKUP(A135,'NCLB Title IA Formula'!$A$13:$G$196,7,FALSE)</f>
        <v>0</v>
      </c>
      <c r="D135" s="187">
        <f>IFERROR(VLOOKUP(A135,'NCLB Title I-C Migrant'!$A$11:$E$15,5,FALSE),0)</f>
        <v>0</v>
      </c>
      <c r="E135" s="187">
        <f>IFERROR(VLOOKUP(A135,'NCLB Title I-Delinquent'!$A$11:$E$29,5,FALSE),0)</f>
        <v>0</v>
      </c>
      <c r="F135" s="187">
        <f>IFERROR(VLOOKUP(A135,'NCLB Title II-A Formula'!$A$12:$G$196,7,FALSE),0)</f>
        <v>0</v>
      </c>
      <c r="G135" s="187">
        <f>VLOOKUP(A135,'NCLB Title III-A '!$A$13:$I$197,9,FALSE)</f>
        <v>0</v>
      </c>
      <c r="H135" s="187">
        <f>IFERROR(VLOOKUP(A135,'NCLB Title III SAI'!$A$13:$G$45,7,FALSE),0)</f>
        <v>0</v>
      </c>
      <c r="I135" s="281">
        <f>IFERROR(VLOOKUP(A135,'NCLB Title VI Rural LI'!$A$13:$E$191,5,FALSE),0)</f>
        <v>0</v>
      </c>
    </row>
    <row r="136" spans="1:9" ht="18" x14ac:dyDescent="0.35">
      <c r="A136" s="272" t="s">
        <v>139</v>
      </c>
      <c r="B136" s="280" t="s">
        <v>317</v>
      </c>
      <c r="C136" s="187">
        <f>VLOOKUP(A136,'NCLB Title IA Formula'!$A$13:$G$196,7,FALSE)</f>
        <v>0</v>
      </c>
      <c r="D136" s="187">
        <f>IFERROR(VLOOKUP(A136,'NCLB Title I-C Migrant'!$A$11:$E$15,5,FALSE),0)</f>
        <v>0</v>
      </c>
      <c r="E136" s="187">
        <f>IFERROR(VLOOKUP(A136,'NCLB Title I-Delinquent'!$A$11:$E$29,5,FALSE),0)</f>
        <v>0</v>
      </c>
      <c r="F136" s="187">
        <f>IFERROR(VLOOKUP(A136,'NCLB Title II-A Formula'!$A$12:$G$196,7,FALSE),0)</f>
        <v>0</v>
      </c>
      <c r="G136" s="187">
        <f>VLOOKUP(A136,'NCLB Title III-A '!$A$13:$I$197,9,FALSE)</f>
        <v>0</v>
      </c>
      <c r="H136" s="187">
        <f>IFERROR(VLOOKUP(A136,'NCLB Title III SAI'!$A$13:$G$45,7,FALSE),0)</f>
        <v>0</v>
      </c>
      <c r="I136" s="281">
        <f>IFERROR(VLOOKUP(A136,'NCLB Title VI Rural LI'!$A$13:$E$191,5,FALSE),0)</f>
        <v>0</v>
      </c>
    </row>
    <row r="137" spans="1:9" ht="18" x14ac:dyDescent="0.35">
      <c r="A137" s="272" t="s">
        <v>140</v>
      </c>
      <c r="B137" s="280" t="s">
        <v>318</v>
      </c>
      <c r="C137" s="187">
        <f>VLOOKUP(A137,'NCLB Title IA Formula'!$A$13:$G$196,7,FALSE)</f>
        <v>0</v>
      </c>
      <c r="D137" s="187">
        <f>IFERROR(VLOOKUP(A137,'NCLB Title I-C Migrant'!$A$11:$E$15,5,FALSE),0)</f>
        <v>0</v>
      </c>
      <c r="E137" s="187">
        <f>IFERROR(VLOOKUP(A137,'NCLB Title I-Delinquent'!$A$11:$E$29,5,FALSE),0)</f>
        <v>0</v>
      </c>
      <c r="F137" s="187">
        <f>IFERROR(VLOOKUP(A137,'NCLB Title II-A Formula'!$A$12:$G$196,7,FALSE),0)</f>
        <v>0</v>
      </c>
      <c r="G137" s="187">
        <f>VLOOKUP(A137,'NCLB Title III-A '!$A$13:$I$197,9,FALSE)</f>
        <v>0</v>
      </c>
      <c r="H137" s="187">
        <f>IFERROR(VLOOKUP(A137,'NCLB Title III SAI'!$A$13:$G$45,7,FALSE),0)</f>
        <v>416</v>
      </c>
      <c r="I137" s="281">
        <f>IFERROR(VLOOKUP(A137,'NCLB Title VI Rural LI'!$A$13:$E$191,5,FALSE),0)</f>
        <v>0</v>
      </c>
    </row>
    <row r="138" spans="1:9" ht="18" x14ac:dyDescent="0.35">
      <c r="A138" s="272" t="s">
        <v>141</v>
      </c>
      <c r="B138" s="280" t="s">
        <v>319</v>
      </c>
      <c r="C138" s="187">
        <f>VLOOKUP(A138,'NCLB Title IA Formula'!$A$13:$G$196,7,FALSE)</f>
        <v>0</v>
      </c>
      <c r="D138" s="187">
        <f>IFERROR(VLOOKUP(A138,'NCLB Title I-C Migrant'!$A$11:$E$15,5,FALSE),0)</f>
        <v>0</v>
      </c>
      <c r="E138" s="187">
        <f>IFERROR(VLOOKUP(A138,'NCLB Title I-Delinquent'!$A$11:$E$29,5,FALSE),0)</f>
        <v>0</v>
      </c>
      <c r="F138" s="187">
        <f>IFERROR(VLOOKUP(A138,'NCLB Title II-A Formula'!$A$12:$G$196,7,FALSE),0)</f>
        <v>0</v>
      </c>
      <c r="G138" s="187">
        <f>VLOOKUP(A138,'NCLB Title III-A '!$A$13:$I$197,9,FALSE)</f>
        <v>0</v>
      </c>
      <c r="H138" s="187">
        <f>IFERROR(VLOOKUP(A138,'NCLB Title III SAI'!$A$13:$G$45,7,FALSE),0)</f>
        <v>0</v>
      </c>
      <c r="I138" s="281">
        <f>IFERROR(VLOOKUP(A138,'NCLB Title VI Rural LI'!$A$13:$E$191,5,FALSE),0)</f>
        <v>0</v>
      </c>
    </row>
    <row r="139" spans="1:9" ht="18" x14ac:dyDescent="0.35">
      <c r="A139" s="272" t="s">
        <v>142</v>
      </c>
      <c r="B139" s="280" t="s">
        <v>320</v>
      </c>
      <c r="C139" s="187">
        <f>VLOOKUP(A139,'NCLB Title IA Formula'!$A$13:$G$196,7,FALSE)</f>
        <v>0</v>
      </c>
      <c r="D139" s="187">
        <f>IFERROR(VLOOKUP(A139,'NCLB Title I-C Migrant'!$A$11:$E$15,5,FALSE),0)</f>
        <v>0</v>
      </c>
      <c r="E139" s="187">
        <f>IFERROR(VLOOKUP(A139,'NCLB Title I-Delinquent'!$A$11:$E$29,5,FALSE),0)</f>
        <v>0</v>
      </c>
      <c r="F139" s="187">
        <f>IFERROR(VLOOKUP(A139,'NCLB Title II-A Formula'!$A$12:$G$196,7,FALSE),0)</f>
        <v>0</v>
      </c>
      <c r="G139" s="187">
        <f>VLOOKUP(A139,'NCLB Title III-A '!$A$13:$I$197,9,FALSE)</f>
        <v>0</v>
      </c>
      <c r="H139" s="187">
        <f>IFERROR(VLOOKUP(A139,'NCLB Title III SAI'!$A$13:$G$45,7,FALSE),0)</f>
        <v>0</v>
      </c>
      <c r="I139" s="281">
        <f>IFERROR(VLOOKUP(A139,'NCLB Title VI Rural LI'!$A$13:$E$191,5,FALSE),0)</f>
        <v>0</v>
      </c>
    </row>
    <row r="140" spans="1:9" ht="18" x14ac:dyDescent="0.35">
      <c r="A140" s="272" t="s">
        <v>143</v>
      </c>
      <c r="B140" s="280" t="s">
        <v>321</v>
      </c>
      <c r="C140" s="187">
        <f>VLOOKUP(A140,'NCLB Title IA Formula'!$A$13:$G$196,7,FALSE)</f>
        <v>0</v>
      </c>
      <c r="D140" s="187">
        <f>IFERROR(VLOOKUP(A140,'NCLB Title I-C Migrant'!$A$11:$E$15,5,FALSE),0)</f>
        <v>0</v>
      </c>
      <c r="E140" s="187">
        <f>IFERROR(VLOOKUP(A140,'NCLB Title I-Delinquent'!$A$11:$E$29,5,FALSE),0)</f>
        <v>-13975</v>
      </c>
      <c r="F140" s="187">
        <f>IFERROR(VLOOKUP(A140,'NCLB Title II-A Formula'!$A$12:$G$196,7,FALSE),0)</f>
        <v>0</v>
      </c>
      <c r="G140" s="187">
        <f>VLOOKUP(A140,'NCLB Title III-A '!$A$13:$I$197,9,FALSE)</f>
        <v>0</v>
      </c>
      <c r="H140" s="187">
        <f>IFERROR(VLOOKUP(A140,'NCLB Title III SAI'!$A$13:$G$45,7,FALSE),0)</f>
        <v>0</v>
      </c>
      <c r="I140" s="281">
        <f>IFERROR(VLOOKUP(A140,'NCLB Title VI Rural LI'!$A$13:$E$191,5,FALSE),0)</f>
        <v>0</v>
      </c>
    </row>
    <row r="141" spans="1:9" ht="18" x14ac:dyDescent="0.35">
      <c r="A141" s="272" t="s">
        <v>144</v>
      </c>
      <c r="B141" s="280" t="s">
        <v>322</v>
      </c>
      <c r="C141" s="187">
        <f>VLOOKUP(A141,'NCLB Title IA Formula'!$A$13:$G$196,7,FALSE)</f>
        <v>0</v>
      </c>
      <c r="D141" s="187">
        <v>67180</v>
      </c>
      <c r="E141" s="187">
        <f>IFERROR(VLOOKUP(A141,'NCLB Title I-Delinquent'!$A$11:$E$29,5,FALSE),0)</f>
        <v>0</v>
      </c>
      <c r="F141" s="187">
        <f>IFERROR(VLOOKUP(A141,'NCLB Title II-A Formula'!$A$12:$G$196,7,FALSE),0)</f>
        <v>0</v>
      </c>
      <c r="G141" s="187">
        <f>VLOOKUP(A141,'NCLB Title III-A '!$A$13:$I$197,9,FALSE)</f>
        <v>0</v>
      </c>
      <c r="H141" s="187">
        <f>IFERROR(VLOOKUP(A141,'NCLB Title III SAI'!$A$13:$G$45,7,FALSE),0)</f>
        <v>0</v>
      </c>
      <c r="I141" s="281">
        <f>IFERROR(VLOOKUP(A141,'NCLB Title VI Rural LI'!$A$13:$E$191,5,FALSE),0)</f>
        <v>0</v>
      </c>
    </row>
    <row r="142" spans="1:9" ht="18" x14ac:dyDescent="0.35">
      <c r="A142" s="272" t="s">
        <v>145</v>
      </c>
      <c r="B142" s="280" t="s">
        <v>323</v>
      </c>
      <c r="C142" s="187">
        <f>VLOOKUP(A142,'NCLB Title IA Formula'!$A$13:$G$196,7,FALSE)</f>
        <v>0</v>
      </c>
      <c r="D142" s="187">
        <f>IFERROR(VLOOKUP(A142,'NCLB Title I-C Migrant'!$A$11:$E$15,5,FALSE),0)</f>
        <v>0</v>
      </c>
      <c r="E142" s="187">
        <f>IFERROR(VLOOKUP(A142,'NCLB Title I-Delinquent'!$A$11:$E$29,5,FALSE),0)</f>
        <v>0</v>
      </c>
      <c r="F142" s="187">
        <f>IFERROR(VLOOKUP(A142,'NCLB Title II-A Formula'!$A$12:$G$196,7,FALSE),0)</f>
        <v>0</v>
      </c>
      <c r="G142" s="187">
        <f>VLOOKUP(A142,'NCLB Title III-A '!$A$13:$I$197,9,FALSE)</f>
        <v>0</v>
      </c>
      <c r="H142" s="187">
        <f>IFERROR(VLOOKUP(A142,'NCLB Title III SAI'!$A$13:$G$45,7,FALSE),0)</f>
        <v>0</v>
      </c>
      <c r="I142" s="281">
        <f>IFERROR(VLOOKUP(A142,'NCLB Title VI Rural LI'!$A$13:$E$191,5,FALSE),0)</f>
        <v>0</v>
      </c>
    </row>
    <row r="143" spans="1:9" ht="18" x14ac:dyDescent="0.35">
      <c r="A143" s="272" t="s">
        <v>146</v>
      </c>
      <c r="B143" s="280" t="s">
        <v>324</v>
      </c>
      <c r="C143" s="187">
        <f>VLOOKUP(A143,'NCLB Title IA Formula'!$A$13:$G$196,7,FALSE)</f>
        <v>6498</v>
      </c>
      <c r="D143" s="187">
        <f>IFERROR(VLOOKUP(A143,'NCLB Title I-C Migrant'!$A$11:$E$15,5,FALSE),0)</f>
        <v>0</v>
      </c>
      <c r="E143" s="187">
        <f>IFERROR(VLOOKUP(A143,'NCLB Title I-Delinquent'!$A$11:$E$29,5,FALSE),0)</f>
        <v>0</v>
      </c>
      <c r="F143" s="187">
        <f>IFERROR(VLOOKUP(A143,'NCLB Title II-A Formula'!$A$12:$G$196,7,FALSE),0)</f>
        <v>11</v>
      </c>
      <c r="G143" s="187">
        <f>VLOOKUP(A143,'NCLB Title III-A '!$A$13:$I$197,9,FALSE)</f>
        <v>0</v>
      </c>
      <c r="H143" s="187">
        <f>IFERROR(VLOOKUP(A143,'NCLB Title III SAI'!$A$13:$G$45,7,FALSE),0)</f>
        <v>0</v>
      </c>
      <c r="I143" s="281">
        <f>IFERROR(VLOOKUP(A143,'NCLB Title VI Rural LI'!$A$13:$E$191,5,FALSE),0)</f>
        <v>0</v>
      </c>
    </row>
    <row r="144" spans="1:9" ht="18" x14ac:dyDescent="0.35">
      <c r="A144" s="272" t="s">
        <v>147</v>
      </c>
      <c r="B144" s="280" t="s">
        <v>325</v>
      </c>
      <c r="C144" s="187">
        <f>VLOOKUP(A144,'NCLB Title IA Formula'!$A$13:$G$196,7,FALSE)</f>
        <v>0</v>
      </c>
      <c r="D144" s="187">
        <f>IFERROR(VLOOKUP(A144,'NCLB Title I-C Migrant'!$A$11:$E$15,5,FALSE),0)</f>
        <v>0</v>
      </c>
      <c r="E144" s="187">
        <f>IFERROR(VLOOKUP(A144,'NCLB Title I-Delinquent'!$A$11:$E$29,5,FALSE),0)</f>
        <v>0</v>
      </c>
      <c r="F144" s="187">
        <f>IFERROR(VLOOKUP(A144,'NCLB Title II-A Formula'!$A$12:$G$196,7,FALSE),0)</f>
        <v>0</v>
      </c>
      <c r="G144" s="187">
        <f>VLOOKUP(A144,'NCLB Title III-A '!$A$13:$I$197,9,FALSE)</f>
        <v>0</v>
      </c>
      <c r="H144" s="187">
        <f>IFERROR(VLOOKUP(A144,'NCLB Title III SAI'!$A$13:$G$45,7,FALSE),0)</f>
        <v>0</v>
      </c>
      <c r="I144" s="281">
        <f>IFERROR(VLOOKUP(A144,'NCLB Title VI Rural LI'!$A$13:$E$191,5,FALSE),0)</f>
        <v>0</v>
      </c>
    </row>
    <row r="145" spans="1:9" ht="18" x14ac:dyDescent="0.35">
      <c r="A145" s="272" t="s">
        <v>148</v>
      </c>
      <c r="B145" s="280" t="s">
        <v>326</v>
      </c>
      <c r="C145" s="187">
        <f>VLOOKUP(A145,'NCLB Title IA Formula'!$A$13:$G$196,7,FALSE)</f>
        <v>0</v>
      </c>
      <c r="D145" s="187">
        <f>IFERROR(VLOOKUP(A145,'NCLB Title I-C Migrant'!$A$11:$E$15,5,FALSE),0)</f>
        <v>0</v>
      </c>
      <c r="E145" s="187">
        <f>IFERROR(VLOOKUP(A145,'NCLB Title I-Delinquent'!$A$11:$E$29,5,FALSE),0)</f>
        <v>0</v>
      </c>
      <c r="F145" s="187">
        <f>IFERROR(VLOOKUP(A145,'NCLB Title II-A Formula'!$A$12:$G$196,7,FALSE),0)</f>
        <v>0</v>
      </c>
      <c r="G145" s="187">
        <f>VLOOKUP(A145,'NCLB Title III-A '!$A$13:$I$197,9,FALSE)</f>
        <v>0</v>
      </c>
      <c r="H145" s="187">
        <f>IFERROR(VLOOKUP(A145,'NCLB Title III SAI'!$A$13:$G$45,7,FALSE),0)</f>
        <v>0</v>
      </c>
      <c r="I145" s="281">
        <f>IFERROR(VLOOKUP(A145,'NCLB Title VI Rural LI'!$A$13:$E$191,5,FALSE),0)</f>
        <v>0</v>
      </c>
    </row>
    <row r="146" spans="1:9" ht="18" x14ac:dyDescent="0.35">
      <c r="A146" s="272" t="s">
        <v>149</v>
      </c>
      <c r="B146" s="280" t="s">
        <v>327</v>
      </c>
      <c r="C146" s="187">
        <f>VLOOKUP(A146,'NCLB Title IA Formula'!$A$13:$G$196,7,FALSE)</f>
        <v>0</v>
      </c>
      <c r="D146" s="187">
        <f>IFERROR(VLOOKUP(A146,'NCLB Title I-C Migrant'!$A$11:$E$15,5,FALSE),0)</f>
        <v>0</v>
      </c>
      <c r="E146" s="187">
        <f>IFERROR(VLOOKUP(A146,'NCLB Title I-Delinquent'!$A$11:$E$29,5,FALSE),0)</f>
        <v>0</v>
      </c>
      <c r="F146" s="187">
        <f>IFERROR(VLOOKUP(A146,'NCLB Title II-A Formula'!$A$12:$G$196,7,FALSE),0)</f>
        <v>198</v>
      </c>
      <c r="G146" s="187">
        <f>VLOOKUP(A146,'NCLB Title III-A '!$A$13:$I$197,9,FALSE)</f>
        <v>0</v>
      </c>
      <c r="H146" s="187">
        <f>IFERROR(VLOOKUP(A146,'NCLB Title III SAI'!$A$13:$G$45,7,FALSE),0)</f>
        <v>0</v>
      </c>
      <c r="I146" s="281">
        <f>IFERROR(VLOOKUP(A146,'NCLB Title VI Rural LI'!$A$13:$E$191,5,FALSE),0)</f>
        <v>0</v>
      </c>
    </row>
    <row r="147" spans="1:9" ht="18" x14ac:dyDescent="0.35">
      <c r="A147" s="272" t="s">
        <v>150</v>
      </c>
      <c r="B147" s="280" t="s">
        <v>328</v>
      </c>
      <c r="C147" s="187">
        <f>VLOOKUP(A147,'NCLB Title IA Formula'!$A$13:$G$196,7,FALSE)</f>
        <v>0</v>
      </c>
      <c r="D147" s="187">
        <f>IFERROR(VLOOKUP(A147,'NCLB Title I-C Migrant'!$A$11:$E$15,5,FALSE),0)</f>
        <v>0</v>
      </c>
      <c r="E147" s="187">
        <f>IFERROR(VLOOKUP(A147,'NCLB Title I-Delinquent'!$A$11:$E$29,5,FALSE),0)</f>
        <v>0</v>
      </c>
      <c r="F147" s="187">
        <f>IFERROR(VLOOKUP(A147,'NCLB Title II-A Formula'!$A$12:$G$196,7,FALSE),0)</f>
        <v>0</v>
      </c>
      <c r="G147" s="187">
        <f>VLOOKUP(A147,'NCLB Title III-A '!$A$13:$I$197,9,FALSE)</f>
        <v>0</v>
      </c>
      <c r="H147" s="187">
        <f>IFERROR(VLOOKUP(A147,'NCLB Title III SAI'!$A$13:$G$45,7,FALSE),0)</f>
        <v>0</v>
      </c>
      <c r="I147" s="281">
        <f>IFERROR(VLOOKUP(A147,'NCLB Title VI Rural LI'!$A$13:$E$191,5,FALSE),0)</f>
        <v>0</v>
      </c>
    </row>
    <row r="148" spans="1:9" ht="18" x14ac:dyDescent="0.35">
      <c r="A148" s="272" t="s">
        <v>151</v>
      </c>
      <c r="B148" s="280" t="s">
        <v>329</v>
      </c>
      <c r="C148" s="187">
        <f>VLOOKUP(A148,'NCLB Title IA Formula'!$A$13:$G$196,7,FALSE)</f>
        <v>0</v>
      </c>
      <c r="D148" s="187">
        <f>IFERROR(VLOOKUP(A148,'NCLB Title I-C Migrant'!$A$11:$E$15,5,FALSE),0)</f>
        <v>0</v>
      </c>
      <c r="E148" s="187">
        <f>IFERROR(VLOOKUP(A148,'NCLB Title I-Delinquent'!$A$11:$E$29,5,FALSE),0)</f>
        <v>0</v>
      </c>
      <c r="F148" s="187">
        <f>IFERROR(VLOOKUP(A148,'NCLB Title II-A Formula'!$A$12:$G$196,7,FALSE),0)</f>
        <v>0</v>
      </c>
      <c r="G148" s="187">
        <f>VLOOKUP(A148,'NCLB Title III-A '!$A$13:$I$197,9,FALSE)</f>
        <v>0</v>
      </c>
      <c r="H148" s="187">
        <f>IFERROR(VLOOKUP(A148,'NCLB Title III SAI'!$A$13:$G$45,7,FALSE),0)</f>
        <v>0</v>
      </c>
      <c r="I148" s="281">
        <f>IFERROR(VLOOKUP(A148,'NCLB Title VI Rural LI'!$A$13:$E$191,5,FALSE),0)</f>
        <v>0</v>
      </c>
    </row>
    <row r="149" spans="1:9" ht="18" x14ac:dyDescent="0.35">
      <c r="A149" s="272" t="s">
        <v>152</v>
      </c>
      <c r="B149" s="280" t="s">
        <v>330</v>
      </c>
      <c r="C149" s="187">
        <f>VLOOKUP(A149,'NCLB Title IA Formula'!$A$13:$G$196,7,FALSE)</f>
        <v>0</v>
      </c>
      <c r="D149" s="187">
        <f>IFERROR(VLOOKUP(A149,'NCLB Title I-C Migrant'!$A$11:$E$15,5,FALSE),0)</f>
        <v>0</v>
      </c>
      <c r="E149" s="187">
        <f>IFERROR(VLOOKUP(A149,'NCLB Title I-Delinquent'!$A$11:$E$29,5,FALSE),0)</f>
        <v>0</v>
      </c>
      <c r="F149" s="187">
        <f>IFERROR(VLOOKUP(A149,'NCLB Title II-A Formula'!$A$12:$G$196,7,FALSE),0)</f>
        <v>0</v>
      </c>
      <c r="G149" s="187">
        <f>VLOOKUP(A149,'NCLB Title III-A '!$A$13:$I$197,9,FALSE)</f>
        <v>0</v>
      </c>
      <c r="H149" s="187">
        <f>IFERROR(VLOOKUP(A149,'NCLB Title III SAI'!$A$13:$G$45,7,FALSE),0)</f>
        <v>0</v>
      </c>
      <c r="I149" s="281">
        <f>IFERROR(VLOOKUP(A149,'NCLB Title VI Rural LI'!$A$13:$E$191,5,FALSE),0)</f>
        <v>0</v>
      </c>
    </row>
    <row r="150" spans="1:9" ht="18" x14ac:dyDescent="0.35">
      <c r="A150" s="272" t="s">
        <v>153</v>
      </c>
      <c r="B150" s="280" t="s">
        <v>331</v>
      </c>
      <c r="C150" s="187">
        <f>VLOOKUP(A150,'NCLB Title IA Formula'!$A$13:$G$196,7,FALSE)</f>
        <v>0</v>
      </c>
      <c r="D150" s="187">
        <f>IFERROR(VLOOKUP(A150,'NCLB Title I-C Migrant'!$A$11:$E$15,5,FALSE),0)</f>
        <v>0</v>
      </c>
      <c r="E150" s="187">
        <f>IFERROR(VLOOKUP(A150,'NCLB Title I-Delinquent'!$A$11:$E$29,5,FALSE),0)</f>
        <v>0</v>
      </c>
      <c r="F150" s="187">
        <f>IFERROR(VLOOKUP(A150,'NCLB Title II-A Formula'!$A$12:$G$196,7,FALSE),0)</f>
        <v>0</v>
      </c>
      <c r="G150" s="187">
        <f>VLOOKUP(A150,'NCLB Title III-A '!$A$13:$I$197,9,FALSE)</f>
        <v>0</v>
      </c>
      <c r="H150" s="187">
        <f>IFERROR(VLOOKUP(A150,'NCLB Title III SAI'!$A$13:$G$45,7,FALSE),0)</f>
        <v>0</v>
      </c>
      <c r="I150" s="281">
        <f>IFERROR(VLOOKUP(A150,'NCLB Title VI Rural LI'!$A$13:$E$191,5,FALSE),0)</f>
        <v>0</v>
      </c>
    </row>
    <row r="151" spans="1:9" ht="18" x14ac:dyDescent="0.35">
      <c r="A151" s="272" t="s">
        <v>154</v>
      </c>
      <c r="B151" s="280" t="s">
        <v>332</v>
      </c>
      <c r="C151" s="187">
        <f>VLOOKUP(A151,'NCLB Title IA Formula'!$A$13:$G$196,7,FALSE)</f>
        <v>0</v>
      </c>
      <c r="D151" s="187">
        <f>IFERROR(VLOOKUP(A151,'NCLB Title I-C Migrant'!$A$11:$E$15,5,FALSE),0)</f>
        <v>0</v>
      </c>
      <c r="E151" s="187">
        <f>IFERROR(VLOOKUP(A151,'NCLB Title I-Delinquent'!$A$11:$E$29,5,FALSE),0)</f>
        <v>0</v>
      </c>
      <c r="F151" s="187">
        <f>IFERROR(VLOOKUP(A151,'NCLB Title II-A Formula'!$A$12:$G$196,7,FALSE),0)</f>
        <v>0</v>
      </c>
      <c r="G151" s="187">
        <f>VLOOKUP(A151,'NCLB Title III-A '!$A$13:$I$197,9,FALSE)</f>
        <v>0</v>
      </c>
      <c r="H151" s="187">
        <f>IFERROR(VLOOKUP(A151,'NCLB Title III SAI'!$A$13:$G$45,7,FALSE),0)</f>
        <v>0</v>
      </c>
      <c r="I151" s="281">
        <f>IFERROR(VLOOKUP(A151,'NCLB Title VI Rural LI'!$A$13:$E$191,5,FALSE),0)</f>
        <v>0</v>
      </c>
    </row>
    <row r="152" spans="1:9" ht="18" x14ac:dyDescent="0.35">
      <c r="A152" s="272" t="s">
        <v>155</v>
      </c>
      <c r="B152" s="280" t="s">
        <v>333</v>
      </c>
      <c r="C152" s="187">
        <f>VLOOKUP(A152,'NCLB Title IA Formula'!$A$13:$G$196,7,FALSE)</f>
        <v>41903</v>
      </c>
      <c r="D152" s="187">
        <f>IFERROR(VLOOKUP(A152,'NCLB Title I-C Migrant'!$A$11:$E$15,5,FALSE),0)</f>
        <v>0</v>
      </c>
      <c r="E152" s="187">
        <f>IFERROR(VLOOKUP(A152,'NCLB Title I-Delinquent'!$A$11:$E$29,5,FALSE),0)</f>
        <v>0</v>
      </c>
      <c r="F152" s="187">
        <f>IFERROR(VLOOKUP(A152,'NCLB Title II-A Formula'!$A$12:$G$196,7,FALSE),0)</f>
        <v>173</v>
      </c>
      <c r="G152" s="187">
        <f>VLOOKUP(A152,'NCLB Title III-A '!$A$13:$I$197,9,FALSE)</f>
        <v>1606</v>
      </c>
      <c r="H152" s="187">
        <f>IFERROR(VLOOKUP(A152,'NCLB Title III SAI'!$A$13:$G$45,7,FALSE),0)</f>
        <v>1777</v>
      </c>
      <c r="I152" s="281">
        <f>IFERROR(VLOOKUP(A152,'NCLB Title VI Rural LI'!$A$13:$E$191,5,FALSE),0)</f>
        <v>0</v>
      </c>
    </row>
    <row r="153" spans="1:9" ht="18" x14ac:dyDescent="0.35">
      <c r="A153" s="272" t="s">
        <v>156</v>
      </c>
      <c r="B153" s="280" t="s">
        <v>334</v>
      </c>
      <c r="C153" s="187">
        <f>VLOOKUP(A153,'NCLB Title IA Formula'!$A$13:$G$196,7,FALSE)</f>
        <v>0</v>
      </c>
      <c r="D153" s="187">
        <f>IFERROR(VLOOKUP(A153,'NCLB Title I-C Migrant'!$A$11:$E$15,5,FALSE),0)</f>
        <v>0</v>
      </c>
      <c r="E153" s="187">
        <f>IFERROR(VLOOKUP(A153,'NCLB Title I-Delinquent'!$A$11:$E$29,5,FALSE),0)</f>
        <v>0</v>
      </c>
      <c r="F153" s="187">
        <f>IFERROR(VLOOKUP(A153,'NCLB Title II-A Formula'!$A$12:$G$196,7,FALSE),0)</f>
        <v>0</v>
      </c>
      <c r="G153" s="187">
        <f>VLOOKUP(A153,'NCLB Title III-A '!$A$13:$I$197,9,FALSE)</f>
        <v>0</v>
      </c>
      <c r="H153" s="187">
        <f>IFERROR(VLOOKUP(A153,'NCLB Title III SAI'!$A$13:$G$45,7,FALSE),0)</f>
        <v>0</v>
      </c>
      <c r="I153" s="281">
        <f>IFERROR(VLOOKUP(A153,'NCLB Title VI Rural LI'!$A$13:$E$191,5,FALSE),0)</f>
        <v>0</v>
      </c>
    </row>
    <row r="154" spans="1:9" ht="18" x14ac:dyDescent="0.35">
      <c r="A154" s="272" t="s">
        <v>157</v>
      </c>
      <c r="B154" s="280" t="s">
        <v>335</v>
      </c>
      <c r="C154" s="187">
        <f>VLOOKUP(A154,'NCLB Title IA Formula'!$A$13:$G$196,7,FALSE)</f>
        <v>0</v>
      </c>
      <c r="D154" s="187">
        <f>IFERROR(VLOOKUP(A154,'NCLB Title I-C Migrant'!$A$11:$E$15,5,FALSE),0)</f>
        <v>0</v>
      </c>
      <c r="E154" s="187">
        <f>IFERROR(VLOOKUP(A154,'NCLB Title I-Delinquent'!$A$11:$E$29,5,FALSE),0)</f>
        <v>0</v>
      </c>
      <c r="F154" s="187">
        <f>IFERROR(VLOOKUP(A154,'NCLB Title II-A Formula'!$A$12:$G$196,7,FALSE),0)</f>
        <v>0</v>
      </c>
      <c r="G154" s="187">
        <f>VLOOKUP(A154,'NCLB Title III-A '!$A$13:$I$197,9,FALSE)</f>
        <v>0</v>
      </c>
      <c r="H154" s="187">
        <f>IFERROR(VLOOKUP(A154,'NCLB Title III SAI'!$A$13:$G$45,7,FALSE),0)</f>
        <v>0</v>
      </c>
      <c r="I154" s="281">
        <f>IFERROR(VLOOKUP(A154,'NCLB Title VI Rural LI'!$A$13:$E$191,5,FALSE),0)</f>
        <v>0</v>
      </c>
    </row>
    <row r="155" spans="1:9" ht="18" x14ac:dyDescent="0.35">
      <c r="A155" s="272" t="s">
        <v>158</v>
      </c>
      <c r="B155" s="280" t="s">
        <v>336</v>
      </c>
      <c r="C155" s="187">
        <f>VLOOKUP(A155,'NCLB Title IA Formula'!$A$13:$G$196,7,FALSE)</f>
        <v>0</v>
      </c>
      <c r="D155" s="187">
        <f>IFERROR(VLOOKUP(A155,'NCLB Title I-C Migrant'!$A$11:$E$15,5,FALSE),0)</f>
        <v>0</v>
      </c>
      <c r="E155" s="187">
        <f>IFERROR(VLOOKUP(A155,'NCLB Title I-Delinquent'!$A$11:$E$29,5,FALSE),0)</f>
        <v>0</v>
      </c>
      <c r="F155" s="187">
        <f>IFERROR(VLOOKUP(A155,'NCLB Title II-A Formula'!$A$12:$G$196,7,FALSE),0)</f>
        <v>0</v>
      </c>
      <c r="G155" s="187">
        <f>VLOOKUP(A155,'NCLB Title III-A '!$A$13:$I$197,9,FALSE)</f>
        <v>0</v>
      </c>
      <c r="H155" s="187">
        <f>IFERROR(VLOOKUP(A155,'NCLB Title III SAI'!$A$13:$G$45,7,FALSE),0)</f>
        <v>0</v>
      </c>
      <c r="I155" s="281">
        <f>IFERROR(VLOOKUP(A155,'NCLB Title VI Rural LI'!$A$13:$E$191,5,FALSE),0)</f>
        <v>0</v>
      </c>
    </row>
    <row r="156" spans="1:9" ht="18" x14ac:dyDescent="0.35">
      <c r="A156" s="272" t="s">
        <v>159</v>
      </c>
      <c r="B156" s="280" t="s">
        <v>337</v>
      </c>
      <c r="C156" s="187">
        <f>VLOOKUP(A156,'NCLB Title IA Formula'!$A$13:$G$196,7,FALSE)</f>
        <v>0</v>
      </c>
      <c r="D156" s="187">
        <f>IFERROR(VLOOKUP(A156,'NCLB Title I-C Migrant'!$A$11:$E$15,5,FALSE),0)</f>
        <v>0</v>
      </c>
      <c r="E156" s="187">
        <f>IFERROR(VLOOKUP(A156,'NCLB Title I-Delinquent'!$A$11:$E$29,5,FALSE),0)</f>
        <v>0</v>
      </c>
      <c r="F156" s="187">
        <f>IFERROR(VLOOKUP(A156,'NCLB Title II-A Formula'!$A$12:$G$196,7,FALSE),0)</f>
        <v>0</v>
      </c>
      <c r="G156" s="187">
        <f>VLOOKUP(A156,'NCLB Title III-A '!$A$13:$I$197,9,FALSE)</f>
        <v>0</v>
      </c>
      <c r="H156" s="187">
        <f>IFERROR(VLOOKUP(A156,'NCLB Title III SAI'!$A$13:$G$45,7,FALSE),0)</f>
        <v>0</v>
      </c>
      <c r="I156" s="281">
        <f>IFERROR(VLOOKUP(A156,'NCLB Title VI Rural LI'!$A$13:$E$191,5,FALSE),0)</f>
        <v>0</v>
      </c>
    </row>
    <row r="157" spans="1:9" ht="18" x14ac:dyDescent="0.35">
      <c r="A157" s="272" t="s">
        <v>160</v>
      </c>
      <c r="B157" s="280" t="s">
        <v>412</v>
      </c>
      <c r="C157" s="187">
        <f>VLOOKUP(A157,'NCLB Title IA Formula'!$A$13:$G$196,7,FALSE)</f>
        <v>0</v>
      </c>
      <c r="D157" s="187">
        <f>IFERROR(VLOOKUP(A157,'NCLB Title I-C Migrant'!$A$11:$E$15,5,FALSE),0)</f>
        <v>0</v>
      </c>
      <c r="E157" s="187">
        <f>IFERROR(VLOOKUP(A157,'NCLB Title I-Delinquent'!$A$11:$E$29,5,FALSE),0)</f>
        <v>0</v>
      </c>
      <c r="F157" s="187">
        <f>IFERROR(VLOOKUP(A157,'NCLB Title II-A Formula'!$A$12:$G$196,7,FALSE),0)</f>
        <v>0</v>
      </c>
      <c r="G157" s="187">
        <f>VLOOKUP(A157,'NCLB Title III-A '!$A$13:$I$197,9,FALSE)</f>
        <v>0</v>
      </c>
      <c r="H157" s="187">
        <f>IFERROR(VLOOKUP(A157,'NCLB Title III SAI'!$A$13:$G$45,7,FALSE),0)</f>
        <v>0</v>
      </c>
      <c r="I157" s="281">
        <f>IFERROR(VLOOKUP(A157,'NCLB Title VI Rural LI'!$A$13:$E$191,5,FALSE),0)</f>
        <v>0</v>
      </c>
    </row>
    <row r="158" spans="1:9" ht="18" x14ac:dyDescent="0.35">
      <c r="A158" s="272" t="s">
        <v>161</v>
      </c>
      <c r="B158" s="280" t="s">
        <v>338</v>
      </c>
      <c r="C158" s="187">
        <f>VLOOKUP(A158,'NCLB Title IA Formula'!$A$13:$G$196,7,FALSE)</f>
        <v>0</v>
      </c>
      <c r="D158" s="187">
        <f>IFERROR(VLOOKUP(A158,'NCLB Title I-C Migrant'!$A$11:$E$15,5,FALSE),0)</f>
        <v>0</v>
      </c>
      <c r="E158" s="187">
        <f>IFERROR(VLOOKUP(A158,'NCLB Title I-Delinquent'!$A$11:$E$29,5,FALSE),0)</f>
        <v>0</v>
      </c>
      <c r="F158" s="187">
        <f>IFERROR(VLOOKUP(A158,'NCLB Title II-A Formula'!$A$12:$G$196,7,FALSE),0)</f>
        <v>0</v>
      </c>
      <c r="G158" s="187">
        <f>VLOOKUP(A158,'NCLB Title III-A '!$A$13:$I$197,9,FALSE)</f>
        <v>0</v>
      </c>
      <c r="H158" s="187">
        <f>IFERROR(VLOOKUP(A158,'NCLB Title III SAI'!$A$13:$G$45,7,FALSE),0)</f>
        <v>0</v>
      </c>
      <c r="I158" s="281">
        <f>IFERROR(VLOOKUP(A158,'NCLB Title VI Rural LI'!$A$13:$E$191,5,FALSE),0)</f>
        <v>0</v>
      </c>
    </row>
    <row r="159" spans="1:9" ht="18" x14ac:dyDescent="0.35">
      <c r="A159" s="272" t="s">
        <v>162</v>
      </c>
      <c r="B159" s="280" t="s">
        <v>339</v>
      </c>
      <c r="C159" s="187">
        <f>VLOOKUP(A159,'NCLB Title IA Formula'!$A$13:$G$196,7,FALSE)</f>
        <v>0</v>
      </c>
      <c r="D159" s="187">
        <f>IFERROR(VLOOKUP(A159,'NCLB Title I-C Migrant'!$A$11:$E$15,5,FALSE),0)</f>
        <v>0</v>
      </c>
      <c r="E159" s="187">
        <f>IFERROR(VLOOKUP(A159,'NCLB Title I-Delinquent'!$A$11:$E$29,5,FALSE),0)</f>
        <v>0</v>
      </c>
      <c r="F159" s="187">
        <f>IFERROR(VLOOKUP(A159,'NCLB Title II-A Formula'!$A$12:$G$196,7,FALSE),0)</f>
        <v>0</v>
      </c>
      <c r="G159" s="187">
        <f>VLOOKUP(A159,'NCLB Title III-A '!$A$13:$I$197,9,FALSE)</f>
        <v>0</v>
      </c>
      <c r="H159" s="187">
        <f>IFERROR(VLOOKUP(A159,'NCLB Title III SAI'!$A$13:$G$45,7,FALSE),0)</f>
        <v>0</v>
      </c>
      <c r="I159" s="281">
        <f>IFERROR(VLOOKUP(A159,'NCLB Title VI Rural LI'!$A$13:$E$191,5,FALSE),0)</f>
        <v>0</v>
      </c>
    </row>
    <row r="160" spans="1:9" ht="18" x14ac:dyDescent="0.35">
      <c r="A160" s="272" t="s">
        <v>163</v>
      </c>
      <c r="B160" s="280" t="s">
        <v>340</v>
      </c>
      <c r="C160" s="187">
        <f>VLOOKUP(A160,'NCLB Title IA Formula'!$A$13:$G$196,7,FALSE)</f>
        <v>0</v>
      </c>
      <c r="D160" s="187">
        <f>IFERROR(VLOOKUP(A160,'NCLB Title I-C Migrant'!$A$11:$E$15,5,FALSE),0)</f>
        <v>0</v>
      </c>
      <c r="E160" s="187">
        <f>IFERROR(VLOOKUP(A160,'NCLB Title I-Delinquent'!$A$11:$E$29,5,FALSE),0)</f>
        <v>0</v>
      </c>
      <c r="F160" s="187">
        <f>IFERROR(VLOOKUP(A160,'NCLB Title II-A Formula'!$A$12:$G$196,7,FALSE),0)</f>
        <v>0</v>
      </c>
      <c r="G160" s="187">
        <f>VLOOKUP(A160,'NCLB Title III-A '!$A$13:$I$197,9,FALSE)</f>
        <v>0</v>
      </c>
      <c r="H160" s="187">
        <f>IFERROR(VLOOKUP(A160,'NCLB Title III SAI'!$A$13:$G$45,7,FALSE),0)</f>
        <v>0</v>
      </c>
      <c r="I160" s="281">
        <f>IFERROR(VLOOKUP(A160,'NCLB Title VI Rural LI'!$A$13:$E$191,5,FALSE),0)</f>
        <v>0</v>
      </c>
    </row>
    <row r="161" spans="1:9" ht="18" x14ac:dyDescent="0.35">
      <c r="A161" s="272" t="s">
        <v>164</v>
      </c>
      <c r="B161" s="280" t="s">
        <v>341</v>
      </c>
      <c r="C161" s="187">
        <f>VLOOKUP(A161,'NCLB Title IA Formula'!$A$13:$G$196,7,FALSE)</f>
        <v>0</v>
      </c>
      <c r="D161" s="187">
        <f>IFERROR(VLOOKUP(A161,'NCLB Title I-C Migrant'!$A$11:$E$15,5,FALSE),0)</f>
        <v>0</v>
      </c>
      <c r="E161" s="187">
        <f>IFERROR(VLOOKUP(A161,'NCLB Title I-Delinquent'!$A$11:$E$29,5,FALSE),0)</f>
        <v>0</v>
      </c>
      <c r="F161" s="187">
        <f>IFERROR(VLOOKUP(A161,'NCLB Title II-A Formula'!$A$12:$G$196,7,FALSE),0)</f>
        <v>0</v>
      </c>
      <c r="G161" s="187">
        <f>VLOOKUP(A161,'NCLB Title III-A '!$A$13:$I$197,9,FALSE)</f>
        <v>0</v>
      </c>
      <c r="H161" s="187">
        <f>IFERROR(VLOOKUP(A161,'NCLB Title III SAI'!$A$13:$G$45,7,FALSE),0)</f>
        <v>0</v>
      </c>
      <c r="I161" s="281">
        <f>IFERROR(VLOOKUP(A161,'NCLB Title VI Rural LI'!$A$13:$E$191,5,FALSE),0)</f>
        <v>0</v>
      </c>
    </row>
    <row r="162" spans="1:9" ht="18" x14ac:dyDescent="0.35">
      <c r="A162" s="272" t="s">
        <v>165</v>
      </c>
      <c r="B162" s="280" t="s">
        <v>342</v>
      </c>
      <c r="C162" s="187">
        <f>VLOOKUP(A162,'NCLB Title IA Formula'!$A$13:$G$196,7,FALSE)</f>
        <v>0</v>
      </c>
      <c r="D162" s="187">
        <f>IFERROR(VLOOKUP(A162,'NCLB Title I-C Migrant'!$A$11:$E$15,5,FALSE),0)</f>
        <v>0</v>
      </c>
      <c r="E162" s="187">
        <f>IFERROR(VLOOKUP(A162,'NCLB Title I-Delinquent'!$A$11:$E$29,5,FALSE),0)</f>
        <v>0</v>
      </c>
      <c r="F162" s="187">
        <f>IFERROR(VLOOKUP(A162,'NCLB Title II-A Formula'!$A$12:$G$196,7,FALSE),0)</f>
        <v>0</v>
      </c>
      <c r="G162" s="187">
        <f>VLOOKUP(A162,'NCLB Title III-A '!$A$13:$I$197,9,FALSE)</f>
        <v>0</v>
      </c>
      <c r="H162" s="187">
        <f>IFERROR(VLOOKUP(A162,'NCLB Title III SAI'!$A$13:$G$45,7,FALSE),0)</f>
        <v>0</v>
      </c>
      <c r="I162" s="281">
        <f>IFERROR(VLOOKUP(A162,'NCLB Title VI Rural LI'!$A$13:$E$191,5,FALSE),0)</f>
        <v>0</v>
      </c>
    </row>
    <row r="163" spans="1:9" ht="18" x14ac:dyDescent="0.35">
      <c r="A163" s="272" t="s">
        <v>166</v>
      </c>
      <c r="B163" s="280" t="s">
        <v>343</v>
      </c>
      <c r="C163" s="187">
        <f>VLOOKUP(A163,'NCLB Title IA Formula'!$A$13:$G$196,7,FALSE)</f>
        <v>0</v>
      </c>
      <c r="D163" s="187">
        <f>IFERROR(VLOOKUP(A163,'NCLB Title I-C Migrant'!$A$11:$E$15,5,FALSE),0)</f>
        <v>0</v>
      </c>
      <c r="E163" s="187">
        <f>IFERROR(VLOOKUP(A163,'NCLB Title I-Delinquent'!$A$11:$E$29,5,FALSE),0)</f>
        <v>0</v>
      </c>
      <c r="F163" s="187">
        <f>IFERROR(VLOOKUP(A163,'NCLB Title II-A Formula'!$A$12:$G$196,7,FALSE),0)</f>
        <v>0</v>
      </c>
      <c r="G163" s="187">
        <f>VLOOKUP(A163,'NCLB Title III-A '!$A$13:$I$197,9,FALSE)</f>
        <v>0</v>
      </c>
      <c r="H163" s="187">
        <f>IFERROR(VLOOKUP(A163,'NCLB Title III SAI'!$A$13:$G$45,7,FALSE),0)</f>
        <v>0</v>
      </c>
      <c r="I163" s="281">
        <f>IFERROR(VLOOKUP(A163,'NCLB Title VI Rural LI'!$A$13:$E$191,5,FALSE),0)</f>
        <v>0</v>
      </c>
    </row>
    <row r="164" spans="1:9" ht="18" x14ac:dyDescent="0.35">
      <c r="A164" s="272" t="s">
        <v>167</v>
      </c>
      <c r="B164" s="280" t="s">
        <v>344</v>
      </c>
      <c r="C164" s="187">
        <f>VLOOKUP(A164,'NCLB Title IA Formula'!$A$13:$G$196,7,FALSE)</f>
        <v>0</v>
      </c>
      <c r="D164" s="187">
        <f>IFERROR(VLOOKUP(A164,'NCLB Title I-C Migrant'!$A$11:$E$15,5,FALSE),0)</f>
        <v>0</v>
      </c>
      <c r="E164" s="187">
        <f>IFERROR(VLOOKUP(A164,'NCLB Title I-Delinquent'!$A$11:$E$29,5,FALSE),0)</f>
        <v>0</v>
      </c>
      <c r="F164" s="187">
        <f>IFERROR(VLOOKUP(A164,'NCLB Title II-A Formula'!$A$12:$G$196,7,FALSE),0)</f>
        <v>0</v>
      </c>
      <c r="G164" s="187">
        <f>VLOOKUP(A164,'NCLB Title III-A '!$A$13:$I$197,9,FALSE)</f>
        <v>0</v>
      </c>
      <c r="H164" s="187">
        <f>IFERROR(VLOOKUP(A164,'NCLB Title III SAI'!$A$13:$G$45,7,FALSE),0)</f>
        <v>0</v>
      </c>
      <c r="I164" s="281">
        <f>IFERROR(VLOOKUP(A164,'NCLB Title VI Rural LI'!$A$13:$E$191,5,FALSE),0)</f>
        <v>0</v>
      </c>
    </row>
    <row r="165" spans="1:9" ht="18" x14ac:dyDescent="0.35">
      <c r="A165" s="272" t="s">
        <v>168</v>
      </c>
      <c r="B165" s="280" t="s">
        <v>345</v>
      </c>
      <c r="C165" s="187">
        <f>VLOOKUP(A165,'NCLB Title IA Formula'!$A$13:$G$196,7,FALSE)</f>
        <v>0</v>
      </c>
      <c r="D165" s="187">
        <f>IFERROR(VLOOKUP(A165,'NCLB Title I-C Migrant'!$A$11:$E$15,5,FALSE),0)</f>
        <v>0</v>
      </c>
      <c r="E165" s="187">
        <f>IFERROR(VLOOKUP(A165,'NCLB Title I-Delinquent'!$A$11:$E$29,5,FALSE),0)</f>
        <v>0</v>
      </c>
      <c r="F165" s="187">
        <f>IFERROR(VLOOKUP(A165,'NCLB Title II-A Formula'!$A$12:$G$196,7,FALSE),0)</f>
        <v>0</v>
      </c>
      <c r="G165" s="187">
        <f>VLOOKUP(A165,'NCLB Title III-A '!$A$13:$I$197,9,FALSE)</f>
        <v>0</v>
      </c>
      <c r="H165" s="187">
        <f>IFERROR(VLOOKUP(A165,'NCLB Title III SAI'!$A$13:$G$45,7,FALSE),0)</f>
        <v>0</v>
      </c>
      <c r="I165" s="281">
        <f>IFERROR(VLOOKUP(A165,'NCLB Title VI Rural LI'!$A$13:$E$191,5,FALSE),0)</f>
        <v>0</v>
      </c>
    </row>
    <row r="166" spans="1:9" ht="18" x14ac:dyDescent="0.35">
      <c r="A166" s="272" t="s">
        <v>169</v>
      </c>
      <c r="B166" s="280" t="s">
        <v>346</v>
      </c>
      <c r="C166" s="187">
        <f>VLOOKUP(A166,'NCLB Title IA Formula'!$A$13:$G$196,7,FALSE)</f>
        <v>0</v>
      </c>
      <c r="D166" s="187">
        <f>IFERROR(VLOOKUP(A166,'NCLB Title I-C Migrant'!$A$11:$E$15,5,FALSE),0)</f>
        <v>0</v>
      </c>
      <c r="E166" s="187">
        <f>IFERROR(VLOOKUP(A166,'NCLB Title I-Delinquent'!$A$11:$E$29,5,FALSE),0)</f>
        <v>0</v>
      </c>
      <c r="F166" s="187">
        <f>IFERROR(VLOOKUP(A166,'NCLB Title II-A Formula'!$A$12:$G$196,7,FALSE),0)</f>
        <v>0</v>
      </c>
      <c r="G166" s="187">
        <f>VLOOKUP(A166,'NCLB Title III-A '!$A$13:$I$197,9,FALSE)</f>
        <v>0</v>
      </c>
      <c r="H166" s="187">
        <f>IFERROR(VLOOKUP(A166,'NCLB Title III SAI'!$A$13:$G$45,7,FALSE),0)</f>
        <v>0</v>
      </c>
      <c r="I166" s="281">
        <f>IFERROR(VLOOKUP(A166,'NCLB Title VI Rural LI'!$A$13:$E$191,5,FALSE),0)</f>
        <v>0</v>
      </c>
    </row>
    <row r="167" spans="1:9" ht="18" x14ac:dyDescent="0.35">
      <c r="A167" s="272" t="s">
        <v>170</v>
      </c>
      <c r="B167" s="280" t="s">
        <v>347</v>
      </c>
      <c r="C167" s="187">
        <f>VLOOKUP(A167,'NCLB Title IA Formula'!$A$13:$G$196,7,FALSE)</f>
        <v>0</v>
      </c>
      <c r="D167" s="187">
        <f>IFERROR(VLOOKUP(A167,'NCLB Title I-C Migrant'!$A$11:$E$15,5,FALSE),0)</f>
        <v>0</v>
      </c>
      <c r="E167" s="187">
        <f>IFERROR(VLOOKUP(A167,'NCLB Title I-Delinquent'!$A$11:$E$29,5,FALSE),0)</f>
        <v>0</v>
      </c>
      <c r="F167" s="187">
        <f>IFERROR(VLOOKUP(A167,'NCLB Title II-A Formula'!$A$12:$G$196,7,FALSE),0)</f>
        <v>0</v>
      </c>
      <c r="G167" s="187">
        <f>VLOOKUP(A167,'NCLB Title III-A '!$A$13:$I$197,9,FALSE)</f>
        <v>0</v>
      </c>
      <c r="H167" s="187">
        <f>IFERROR(VLOOKUP(A167,'NCLB Title III SAI'!$A$13:$G$45,7,FALSE),0)</f>
        <v>0</v>
      </c>
      <c r="I167" s="281">
        <f>IFERROR(VLOOKUP(A167,'NCLB Title VI Rural LI'!$A$13:$E$191,5,FALSE),0)</f>
        <v>0</v>
      </c>
    </row>
    <row r="168" spans="1:9" ht="18" x14ac:dyDescent="0.35">
      <c r="A168" s="272" t="s">
        <v>171</v>
      </c>
      <c r="B168" s="280" t="s">
        <v>413</v>
      </c>
      <c r="C168" s="187">
        <f>VLOOKUP(A168,'NCLB Title IA Formula'!$A$13:$G$196,7,FALSE)</f>
        <v>0</v>
      </c>
      <c r="D168" s="187">
        <f>IFERROR(VLOOKUP(A168,'NCLB Title I-C Migrant'!$A$11:$E$15,5,FALSE),0)</f>
        <v>0</v>
      </c>
      <c r="E168" s="187">
        <f>IFERROR(VLOOKUP(A168,'NCLB Title I-Delinquent'!$A$11:$E$29,5,FALSE),0)</f>
        <v>0</v>
      </c>
      <c r="F168" s="187">
        <f>IFERROR(VLOOKUP(A168,'NCLB Title II-A Formula'!$A$12:$G$196,7,FALSE),0)</f>
        <v>0</v>
      </c>
      <c r="G168" s="187">
        <f>VLOOKUP(A168,'NCLB Title III-A '!$A$13:$I$197,9,FALSE)</f>
        <v>0</v>
      </c>
      <c r="H168" s="187">
        <f>IFERROR(VLOOKUP(A168,'NCLB Title III SAI'!$A$13:$G$45,7,FALSE),0)</f>
        <v>0</v>
      </c>
      <c r="I168" s="281">
        <f>IFERROR(VLOOKUP(A168,'NCLB Title VI Rural LI'!$A$13:$E$191,5,FALSE),0)</f>
        <v>0</v>
      </c>
    </row>
    <row r="169" spans="1:9" ht="18" x14ac:dyDescent="0.35">
      <c r="A169" s="272" t="s">
        <v>172</v>
      </c>
      <c r="B169" s="280" t="s">
        <v>348</v>
      </c>
      <c r="C169" s="187">
        <f>VLOOKUP(A169,'NCLB Title IA Formula'!$A$13:$G$196,7,FALSE)</f>
        <v>0</v>
      </c>
      <c r="D169" s="187">
        <f>IFERROR(VLOOKUP(A169,'NCLB Title I-C Migrant'!$A$11:$E$15,5,FALSE),0)</f>
        <v>0</v>
      </c>
      <c r="E169" s="187">
        <f>IFERROR(VLOOKUP(A169,'NCLB Title I-Delinquent'!$A$11:$E$29,5,FALSE),0)</f>
        <v>0</v>
      </c>
      <c r="F169" s="187">
        <f>IFERROR(VLOOKUP(A169,'NCLB Title II-A Formula'!$A$12:$G$196,7,FALSE),0)</f>
        <v>0</v>
      </c>
      <c r="G169" s="187">
        <f>VLOOKUP(A169,'NCLB Title III-A '!$A$13:$I$197,9,FALSE)</f>
        <v>0</v>
      </c>
      <c r="H169" s="187">
        <f>IFERROR(VLOOKUP(A169,'NCLB Title III SAI'!$A$13:$G$49,7,FALSE),0)</f>
        <v>0</v>
      </c>
      <c r="I169" s="281">
        <f>IFERROR(VLOOKUP(A169,'NCLB Title VI Rural LI'!$A$13:$E$197,5,FALSE),0)</f>
        <v>0</v>
      </c>
    </row>
    <row r="170" spans="1:9" ht="18" x14ac:dyDescent="0.35">
      <c r="A170" s="272" t="s">
        <v>173</v>
      </c>
      <c r="B170" s="280" t="s">
        <v>349</v>
      </c>
      <c r="C170" s="187">
        <f>VLOOKUP(A170,'NCLB Title IA Formula'!$A$13:$G$196,7,FALSE)</f>
        <v>0</v>
      </c>
      <c r="D170" s="187">
        <f>IFERROR(VLOOKUP(A170,'NCLB Title I-C Migrant'!$A$11:$E$15,5,FALSE),0)</f>
        <v>0</v>
      </c>
      <c r="E170" s="187">
        <f>IFERROR(VLOOKUP(A170,'NCLB Title I-Delinquent'!$A$11:$E$29,5,FALSE),0)</f>
        <v>0</v>
      </c>
      <c r="F170" s="187">
        <f>IFERROR(VLOOKUP(A170,'NCLB Title II-A Formula'!$A$12:$G$196,7,FALSE),0)</f>
        <v>0</v>
      </c>
      <c r="G170" s="187">
        <f>VLOOKUP(A170,'NCLB Title III-A '!$A$13:$I$197,9,FALSE)</f>
        <v>0</v>
      </c>
      <c r="H170" s="187">
        <f>IFERROR(VLOOKUP(A170,'NCLB Title III SAI'!$A$13:$G$49,7,FALSE),0)</f>
        <v>0</v>
      </c>
      <c r="I170" s="281">
        <f>IFERROR(VLOOKUP(A170,'NCLB Title VI Rural LI'!$A$13:$E$197,5,FALSE),0)</f>
        <v>0</v>
      </c>
    </row>
    <row r="171" spans="1:9" ht="18" x14ac:dyDescent="0.35">
      <c r="A171" s="272" t="s">
        <v>174</v>
      </c>
      <c r="B171" s="280" t="s">
        <v>350</v>
      </c>
      <c r="C171" s="187">
        <f>VLOOKUP(A171,'NCLB Title IA Formula'!$A$13:$G$196,7,FALSE)</f>
        <v>0</v>
      </c>
      <c r="D171" s="187">
        <f>IFERROR(VLOOKUP(A171,'NCLB Title I-C Migrant'!$A$11:$E$15,5,FALSE),0)</f>
        <v>0</v>
      </c>
      <c r="E171" s="187">
        <f>IFERROR(VLOOKUP(A171,'NCLB Title I-Delinquent'!$A$11:$E$29,5,FALSE),0)</f>
        <v>0</v>
      </c>
      <c r="F171" s="187">
        <f>IFERROR(VLOOKUP(A171,'NCLB Title II-A Formula'!$A$12:$G$196,7,FALSE),0)</f>
        <v>0</v>
      </c>
      <c r="G171" s="187">
        <f>VLOOKUP(A171,'NCLB Title III-A '!$A$13:$I$197,9,FALSE)</f>
        <v>0</v>
      </c>
      <c r="H171" s="187">
        <f>IFERROR(VLOOKUP(A171,'NCLB Title III SAI'!$A$13:$G$49,7,FALSE),0)</f>
        <v>2601</v>
      </c>
      <c r="I171" s="281">
        <f>IFERROR(VLOOKUP(A171,'NCLB Title VI Rural LI'!$A$13:$E$197,5,FALSE),0)</f>
        <v>0</v>
      </c>
    </row>
    <row r="172" spans="1:9" ht="18" x14ac:dyDescent="0.35">
      <c r="A172" s="272" t="s">
        <v>175</v>
      </c>
      <c r="B172" s="280" t="s">
        <v>351</v>
      </c>
      <c r="C172" s="187">
        <f>VLOOKUP(A172,'NCLB Title IA Formula'!$A$13:$G$196,7,FALSE)</f>
        <v>0</v>
      </c>
      <c r="D172" s="187">
        <f>IFERROR(VLOOKUP(A172,'NCLB Title I-C Migrant'!$A$11:$E$15,5,FALSE),0)</f>
        <v>0</v>
      </c>
      <c r="E172" s="187">
        <f>IFERROR(VLOOKUP(A172,'NCLB Title I-Delinquent'!$A$11:$E$29,5,FALSE),0)</f>
        <v>0</v>
      </c>
      <c r="F172" s="187">
        <f>IFERROR(VLOOKUP(A172,'NCLB Title II-A Formula'!$A$12:$G$196,7,FALSE),0)</f>
        <v>0</v>
      </c>
      <c r="G172" s="187">
        <f>VLOOKUP(A172,'NCLB Title III-A '!$A$13:$I$197,9,FALSE)</f>
        <v>0</v>
      </c>
      <c r="H172" s="187">
        <f>IFERROR(VLOOKUP(A172,'NCLB Title III SAI'!$A$13:$G$49,7,FALSE),0)</f>
        <v>0</v>
      </c>
      <c r="I172" s="281">
        <f>IFERROR(VLOOKUP(A172,'NCLB Title VI Rural LI'!$A$13:$E$197,5,FALSE),0)</f>
        <v>0</v>
      </c>
    </row>
    <row r="173" spans="1:9" ht="18" x14ac:dyDescent="0.35">
      <c r="A173" s="272" t="s">
        <v>176</v>
      </c>
      <c r="B173" s="280" t="s">
        <v>352</v>
      </c>
      <c r="C173" s="187">
        <f>VLOOKUP(A173,'NCLB Title IA Formula'!$A$13:$G$196,7,FALSE)</f>
        <v>0</v>
      </c>
      <c r="D173" s="187">
        <f>IFERROR(VLOOKUP(A173,'NCLB Title I-C Migrant'!$A$11:$E$15,5,FALSE),0)</f>
        <v>0</v>
      </c>
      <c r="E173" s="187">
        <f>IFERROR(VLOOKUP(A173,'NCLB Title I-Delinquent'!$A$11:$E$29,5,FALSE),0)</f>
        <v>0</v>
      </c>
      <c r="F173" s="187">
        <f>IFERROR(VLOOKUP(A173,'NCLB Title II-A Formula'!$A$12:$G$196,7,FALSE),0)</f>
        <v>0</v>
      </c>
      <c r="G173" s="187">
        <f>VLOOKUP(A173,'NCLB Title III-A '!$A$13:$I$197,9,FALSE)</f>
        <v>0</v>
      </c>
      <c r="H173" s="187">
        <f>IFERROR(VLOOKUP(A173,'NCLB Title III SAI'!$A$13:$G$49,7,FALSE),0)</f>
        <v>0</v>
      </c>
      <c r="I173" s="281">
        <f>IFERROR(VLOOKUP(A173,'NCLB Title VI Rural LI'!$A$13:$E$197,5,FALSE),0)</f>
        <v>0</v>
      </c>
    </row>
    <row r="174" spans="1:9" ht="18" x14ac:dyDescent="0.35">
      <c r="A174" s="272" t="s">
        <v>177</v>
      </c>
      <c r="B174" s="280" t="s">
        <v>353</v>
      </c>
      <c r="C174" s="187">
        <f>VLOOKUP(A174,'NCLB Title IA Formula'!$A$13:$G$196,7,FALSE)</f>
        <v>0</v>
      </c>
      <c r="D174" s="187">
        <f>IFERROR(VLOOKUP(A174,'NCLB Title I-C Migrant'!$A$11:$E$15,5,FALSE),0)</f>
        <v>0</v>
      </c>
      <c r="E174" s="187">
        <f>IFERROR(VLOOKUP(A174,'NCLB Title I-Delinquent'!$A$11:$E$29,5,FALSE),0)</f>
        <v>0</v>
      </c>
      <c r="F174" s="187">
        <f>IFERROR(VLOOKUP(A174,'NCLB Title II-A Formula'!$A$12:$G$196,7,FALSE),0)</f>
        <v>0</v>
      </c>
      <c r="G174" s="187">
        <f>VLOOKUP(A174,'NCLB Title III-A '!$A$13:$I$197,9,FALSE)</f>
        <v>0</v>
      </c>
      <c r="H174" s="187">
        <f>IFERROR(VLOOKUP(A174,'NCLB Title III SAI'!$A$13:$G$49,7,FALSE),0)</f>
        <v>0</v>
      </c>
      <c r="I174" s="281">
        <f>IFERROR(VLOOKUP(A174,'NCLB Title VI Rural LI'!$A$13:$E$197,5,FALSE),0)</f>
        <v>0</v>
      </c>
    </row>
    <row r="175" spans="1:9" ht="18" x14ac:dyDescent="0.35">
      <c r="A175" s="272" t="s">
        <v>178</v>
      </c>
      <c r="B175" s="280" t="s">
        <v>354</v>
      </c>
      <c r="C175" s="187">
        <f>VLOOKUP(A175,'NCLB Title IA Formula'!$A$13:$G$196,7,FALSE)</f>
        <v>0</v>
      </c>
      <c r="D175" s="187">
        <f>IFERROR(VLOOKUP(A175,'NCLB Title I-C Migrant'!$A$11:$E$15,5,FALSE),0)</f>
        <v>0</v>
      </c>
      <c r="E175" s="187">
        <f>IFERROR(VLOOKUP(A175,'NCLB Title I-Delinquent'!$A$11:$E$29,5,FALSE),0)</f>
        <v>0</v>
      </c>
      <c r="F175" s="187">
        <f>IFERROR(VLOOKUP(A175,'NCLB Title II-A Formula'!$A$12:$G$196,7,FALSE),0)</f>
        <v>0</v>
      </c>
      <c r="G175" s="187">
        <f>VLOOKUP(A175,'NCLB Title III-A '!$A$13:$I$197,9,FALSE)</f>
        <v>0</v>
      </c>
      <c r="H175" s="187">
        <f>IFERROR(VLOOKUP(A175,'NCLB Title III SAI'!$A$13:$G$49,7,FALSE),0)</f>
        <v>0</v>
      </c>
      <c r="I175" s="281">
        <f>IFERROR(VLOOKUP(A175,'NCLB Title VI Rural LI'!$A$13:$E$197,5,FALSE),0)</f>
        <v>0</v>
      </c>
    </row>
    <row r="176" spans="1:9" ht="18" x14ac:dyDescent="0.35">
      <c r="A176" s="272" t="s">
        <v>179</v>
      </c>
      <c r="B176" s="280" t="s">
        <v>355</v>
      </c>
      <c r="C176" s="187">
        <f>VLOOKUP(A176,'NCLB Title IA Formula'!$A$13:$G$196,7,FALSE)</f>
        <v>0</v>
      </c>
      <c r="D176" s="187">
        <f>IFERROR(VLOOKUP(A176,'NCLB Title I-C Migrant'!$A$11:$E$15,5,FALSE),0)</f>
        <v>0</v>
      </c>
      <c r="E176" s="187">
        <f>IFERROR(VLOOKUP(A176,'NCLB Title I-Delinquent'!$A$11:$E$29,5,FALSE),0)</f>
        <v>0</v>
      </c>
      <c r="F176" s="187">
        <f>IFERROR(VLOOKUP(A176,'NCLB Title II-A Formula'!$A$12:$G$196,7,FALSE),0)</f>
        <v>0</v>
      </c>
      <c r="G176" s="187">
        <f>VLOOKUP(A176,'NCLB Title III-A '!$A$13:$I$197,9,FALSE)</f>
        <v>0</v>
      </c>
      <c r="H176" s="187">
        <f>IFERROR(VLOOKUP(A176,'NCLB Title III SAI'!$A$13:$G$49,7,FALSE),0)</f>
        <v>0</v>
      </c>
      <c r="I176" s="281">
        <f>IFERROR(VLOOKUP(A176,'NCLB Title VI Rural LI'!$A$13:$E$197,5,FALSE),0)</f>
        <v>0</v>
      </c>
    </row>
    <row r="177" spans="1:9" ht="18" x14ac:dyDescent="0.35">
      <c r="A177" s="272" t="s">
        <v>180</v>
      </c>
      <c r="B177" s="280" t="s">
        <v>356</v>
      </c>
      <c r="C177" s="187">
        <f>VLOOKUP(A177,'NCLB Title IA Formula'!$A$13:$G$196,7,FALSE)</f>
        <v>0</v>
      </c>
      <c r="D177" s="187">
        <f>IFERROR(VLOOKUP(A177,'NCLB Title I-C Migrant'!$A$11:$E$15,5,FALSE),0)</f>
        <v>0</v>
      </c>
      <c r="E177" s="187">
        <f>IFERROR(VLOOKUP(A177,'NCLB Title I-Delinquent'!$A$11:$E$29,5,FALSE),0)</f>
        <v>0</v>
      </c>
      <c r="F177" s="187">
        <f>IFERROR(VLOOKUP(A177,'NCLB Title II-A Formula'!$A$12:$G$196,7,FALSE),0)</f>
        <v>0</v>
      </c>
      <c r="G177" s="187">
        <f>VLOOKUP(A177,'NCLB Title III-A '!$A$13:$I$197,9,FALSE)</f>
        <v>0</v>
      </c>
      <c r="H177" s="187">
        <f>IFERROR(VLOOKUP(A177,'NCLB Title III SAI'!$A$13:$G$49,7,FALSE),0)</f>
        <v>0</v>
      </c>
      <c r="I177" s="281">
        <f>IFERROR(VLOOKUP(A177,'NCLB Title VI Rural LI'!$A$13:$E$197,5,FALSE),0)</f>
        <v>0</v>
      </c>
    </row>
    <row r="178" spans="1:9" ht="18" x14ac:dyDescent="0.35">
      <c r="A178" s="272" t="s">
        <v>181</v>
      </c>
      <c r="B178" s="280" t="s">
        <v>357</v>
      </c>
      <c r="C178" s="187">
        <f>VLOOKUP(A178,'NCLB Title IA Formula'!$A$13:$G$196,7,FALSE)</f>
        <v>0</v>
      </c>
      <c r="D178" s="187">
        <f>IFERROR(VLOOKUP(A178,'NCLB Title I-C Migrant'!$A$11:$E$15,5,FALSE),0)</f>
        <v>0</v>
      </c>
      <c r="E178" s="187">
        <f>IFERROR(VLOOKUP(A178,'NCLB Title I-Delinquent'!$A$11:$E$29,5,FALSE),0)</f>
        <v>0</v>
      </c>
      <c r="F178" s="187">
        <f>IFERROR(VLOOKUP(A178,'NCLB Title II-A Formula'!$A$12:$G$196,7,FALSE),0)</f>
        <v>0</v>
      </c>
      <c r="G178" s="187">
        <f>VLOOKUP(A178,'NCLB Title III-A '!$A$13:$I$197,9,FALSE)</f>
        <v>0</v>
      </c>
      <c r="H178" s="187">
        <f>IFERROR(VLOOKUP(A178,'NCLB Title III SAI'!$A$13:$G$49,7,FALSE),0)</f>
        <v>0</v>
      </c>
      <c r="I178" s="281">
        <f>IFERROR(VLOOKUP(A178,'NCLB Title VI Rural LI'!$A$13:$E$197,5,FALSE),0)</f>
        <v>0</v>
      </c>
    </row>
    <row r="179" spans="1:9" ht="18" x14ac:dyDescent="0.35">
      <c r="A179" s="272" t="s">
        <v>182</v>
      </c>
      <c r="B179" s="280" t="s">
        <v>358</v>
      </c>
      <c r="C179" s="187">
        <f>VLOOKUP(A179,'NCLB Title IA Formula'!$A$13:$G$196,7,FALSE)</f>
        <v>0</v>
      </c>
      <c r="D179" s="187">
        <f>IFERROR(VLOOKUP(A179,'NCLB Title I-C Migrant'!$A$11:$E$15,5,FALSE),0)</f>
        <v>0</v>
      </c>
      <c r="E179" s="187">
        <f>IFERROR(VLOOKUP(A179,'NCLB Title I-Delinquent'!$A$11:$E$29,5,FALSE),0)</f>
        <v>0</v>
      </c>
      <c r="F179" s="187">
        <f>IFERROR(VLOOKUP(A179,'NCLB Title II-A Formula'!$A$12:$G$196,7,FALSE),0)</f>
        <v>0</v>
      </c>
      <c r="G179" s="187">
        <f>VLOOKUP(A179,'NCLB Title III-A '!$A$13:$I$197,9,FALSE)</f>
        <v>0</v>
      </c>
      <c r="H179" s="187">
        <f>IFERROR(VLOOKUP(A179,'NCLB Title III SAI'!$A$13:$G$49,7,FALSE),0)</f>
        <v>0</v>
      </c>
      <c r="I179" s="281">
        <f>IFERROR(VLOOKUP(A179,'NCLB Title VI Rural LI'!$A$13:$E$197,5,FALSE),0)</f>
        <v>0</v>
      </c>
    </row>
    <row r="180" spans="1:9" ht="18" x14ac:dyDescent="0.35">
      <c r="A180" s="272" t="s">
        <v>183</v>
      </c>
      <c r="B180" s="280" t="s">
        <v>359</v>
      </c>
      <c r="C180" s="187">
        <f>VLOOKUP(A180,'NCLB Title IA Formula'!$A$13:$G$196,7,FALSE)</f>
        <v>0</v>
      </c>
      <c r="D180" s="187">
        <f>IFERROR(VLOOKUP(A180,'NCLB Title I-C Migrant'!$A$11:$E$15,5,FALSE),0)</f>
        <v>0</v>
      </c>
      <c r="E180" s="187">
        <f>IFERROR(VLOOKUP(A180,'NCLB Title I-Delinquent'!$A$11:$E$29,5,FALSE),0)</f>
        <v>0</v>
      </c>
      <c r="F180" s="187">
        <f>IFERROR(VLOOKUP(A180,'NCLB Title II-A Formula'!$A$12:$G$196,7,FALSE),0)</f>
        <v>0</v>
      </c>
      <c r="G180" s="187">
        <f>VLOOKUP(A180,'NCLB Title III-A '!$A$13:$I$197,9,FALSE)</f>
        <v>0</v>
      </c>
      <c r="H180" s="187">
        <f>IFERROR(VLOOKUP(A180,'NCLB Title III SAI'!$A$13:$G$49,7,FALSE),0)</f>
        <v>0</v>
      </c>
      <c r="I180" s="281">
        <f>IFERROR(VLOOKUP(A180,'NCLB Title VI Rural LI'!$A$13:$E$197,5,FALSE),0)</f>
        <v>0</v>
      </c>
    </row>
    <row r="181" spans="1:9" ht="18" x14ac:dyDescent="0.35">
      <c r="A181" s="272" t="s">
        <v>184</v>
      </c>
      <c r="B181" s="280" t="s">
        <v>360</v>
      </c>
      <c r="C181" s="187">
        <f>VLOOKUP(A181,'NCLB Title IA Formula'!$A$13:$G$196,7,FALSE)</f>
        <v>0</v>
      </c>
      <c r="D181" s="187">
        <f>IFERROR(VLOOKUP(A181,'NCLB Title I-C Migrant'!$A$11:$E$15,5,FALSE),0)</f>
        <v>0</v>
      </c>
      <c r="E181" s="187">
        <f>IFERROR(VLOOKUP(A181,'NCLB Title I-Delinquent'!$A$11:$E$29,5,FALSE),0)</f>
        <v>0</v>
      </c>
      <c r="F181" s="187">
        <f>IFERROR(VLOOKUP(A181,'NCLB Title II-A Formula'!$A$12:$G$196,7,FALSE),0)</f>
        <v>0</v>
      </c>
      <c r="G181" s="187">
        <f>VLOOKUP(A181,'NCLB Title III-A '!$A$13:$I$197,9,FALSE)</f>
        <v>0</v>
      </c>
      <c r="H181" s="187">
        <f>IFERROR(VLOOKUP(A181,'NCLB Title III SAI'!$A$13:$G$49,7,FALSE),0)</f>
        <v>0</v>
      </c>
      <c r="I181" s="281">
        <f>IFERROR(VLOOKUP(A181,'NCLB Title VI Rural LI'!$A$13:$E$197,5,FALSE),0)</f>
        <v>0</v>
      </c>
    </row>
    <row r="182" spans="1:9" ht="18" x14ac:dyDescent="0.35">
      <c r="A182" s="273" t="s">
        <v>417</v>
      </c>
      <c r="B182" s="280" t="s">
        <v>362</v>
      </c>
      <c r="C182" s="187">
        <f>VLOOKUP(A182,'NCLB Title IA Formula'!$A$13:$G$196,7,FALSE)</f>
        <v>0</v>
      </c>
      <c r="D182" s="187">
        <f>IFERROR(VLOOKUP(A182,'NCLB Title I-C Migrant'!$A$11:$E$15,5,FALSE),0)</f>
        <v>0</v>
      </c>
      <c r="E182" s="187">
        <f>IFERROR(VLOOKUP(A182,'NCLB Title I-Delinquent'!$A$11:$E$29,5,FALSE),0)</f>
        <v>0</v>
      </c>
      <c r="F182" s="187">
        <f>IFERROR(VLOOKUP(A182,'NCLB Title II-A Formula'!$A$12:$G$196,7,FALSE),0)</f>
        <v>0</v>
      </c>
      <c r="G182" s="187">
        <f>VLOOKUP(A182,'NCLB Title III-A '!$A$13:$I$197,9,FALSE)</f>
        <v>0</v>
      </c>
      <c r="H182" s="187">
        <f>IFERROR(VLOOKUP(A182,'NCLB Title III SAI'!$A$13:$G$49,7,FALSE),0)</f>
        <v>0</v>
      </c>
      <c r="I182" s="281">
        <f>IFERROR(VLOOKUP(A182,'NCLB Title VI Rural LI'!$A$13:$E$197,5,FALSE),0)</f>
        <v>0</v>
      </c>
    </row>
    <row r="183" spans="1:9" ht="18" x14ac:dyDescent="0.35">
      <c r="A183" s="272" t="s">
        <v>364</v>
      </c>
      <c r="B183" s="280" t="s">
        <v>363</v>
      </c>
      <c r="C183" s="187">
        <f>VLOOKUP(A183,'NCLB Title IA Formula'!$A$13:$G$196,7,FALSE)</f>
        <v>0</v>
      </c>
      <c r="D183" s="187">
        <f>IFERROR(VLOOKUP(A183,'NCLB Title I-C Migrant'!$A$11:$E$15,5,FALSE),0)</f>
        <v>0</v>
      </c>
      <c r="E183" s="187">
        <f>IFERROR(VLOOKUP(A183,'NCLB Title I-Delinquent'!$A$11:$E$29,5,FALSE),0)</f>
        <v>0</v>
      </c>
      <c r="F183" s="187">
        <f>IFERROR(VLOOKUP(A183,'NCLB Title II-A Formula'!$A$12:$G$196,7,FALSE),0)</f>
        <v>3438</v>
      </c>
      <c r="G183" s="187">
        <v>0</v>
      </c>
      <c r="H183" s="187">
        <f>IFERROR(VLOOKUP(A183,'NCLB Title III SAI'!$A$13:$G$49,7,FALSE),0)</f>
        <v>0</v>
      </c>
      <c r="I183" s="281">
        <f>IFERROR(VLOOKUP(A183,'NCLB Title VI Rural LI'!$A$13:$E$197,5,FALSE),0)</f>
        <v>0</v>
      </c>
    </row>
    <row r="184" spans="1:9" ht="18" x14ac:dyDescent="0.35">
      <c r="A184" s="91" t="s">
        <v>372</v>
      </c>
      <c r="B184" s="282" t="s">
        <v>376</v>
      </c>
      <c r="C184" s="187">
        <f>VLOOKUP(A184,'NCLB Title IA Formula'!$A$13:$G$196,7,FALSE)</f>
        <v>0</v>
      </c>
      <c r="D184" s="187">
        <f>IFERROR(VLOOKUP(A184,'NCLB Title I-C Migrant'!$A$11:$E$15,5,FALSE),0)</f>
        <v>0</v>
      </c>
      <c r="E184" s="187">
        <f>IFERROR(VLOOKUP(A184,'NCLB Title I-Delinquent'!$A$11:$E$29,5,FALSE),0)</f>
        <v>0</v>
      </c>
      <c r="F184" s="187">
        <f>IFERROR(VLOOKUP(A184,'NCLB Title II-A Formula'!$A$12:$G$196,7,FALSE),0)</f>
        <v>0</v>
      </c>
      <c r="G184" s="187">
        <f>VLOOKUP(A184,'NCLB Title III-A '!$A$13:$I$197,9,FALSE)</f>
        <v>0</v>
      </c>
      <c r="H184" s="187">
        <f>IFERROR(VLOOKUP(A184,'NCLB Title III SAI'!$A$13:$G$49,7,FALSE),0)</f>
        <v>20</v>
      </c>
      <c r="I184" s="281">
        <f>IFERROR(VLOOKUP(A184,'NCLB Title VI Rural LI'!$A$13:$E$197,5,FALSE),0)</f>
        <v>0</v>
      </c>
    </row>
    <row r="185" spans="1:9" ht="18" x14ac:dyDescent="0.35">
      <c r="A185" s="91" t="s">
        <v>373</v>
      </c>
      <c r="B185" s="282" t="s">
        <v>377</v>
      </c>
      <c r="C185" s="187">
        <f>VLOOKUP(A185,'NCLB Title IA Formula'!$A$13:$G$196,7,FALSE)</f>
        <v>0</v>
      </c>
      <c r="D185" s="187">
        <f>IFERROR(VLOOKUP(A185,'NCLB Title I-C Migrant'!$A$11:$E$15,5,FALSE),0)</f>
        <v>0</v>
      </c>
      <c r="E185" s="187">
        <f>IFERROR(VLOOKUP(A185,'NCLB Title I-Delinquent'!$A$11:$E$29,5,FALSE),0)</f>
        <v>0</v>
      </c>
      <c r="F185" s="187">
        <f>IFERROR(VLOOKUP(A185,'NCLB Title II-A Formula'!$A$12:$G$196,7,FALSE),0)</f>
        <v>0</v>
      </c>
      <c r="G185" s="187">
        <f>VLOOKUP(A185,'NCLB Title III-A '!$A$13:$I$197,9,FALSE)</f>
        <v>0</v>
      </c>
      <c r="H185" s="187">
        <f>IFERROR(VLOOKUP(A185,'NCLB Title III SAI'!$A$13:$G$49,7,FALSE),0)</f>
        <v>416</v>
      </c>
      <c r="I185" s="281">
        <f>IFERROR(VLOOKUP(A185,'NCLB Title VI Rural LI'!$A$13:$E$197,5,FALSE),0)</f>
        <v>0</v>
      </c>
    </row>
    <row r="186" spans="1:9" ht="18" x14ac:dyDescent="0.35">
      <c r="A186" s="91" t="s">
        <v>374</v>
      </c>
      <c r="B186" s="283" t="s">
        <v>378</v>
      </c>
      <c r="C186" s="187">
        <f>VLOOKUP(A186,'NCLB Title IA Formula'!$A$13:$G$196,7,FALSE)</f>
        <v>0</v>
      </c>
      <c r="D186" s="187">
        <f>IFERROR(VLOOKUP(A186,'NCLB Title I-C Migrant'!$A$11:$E$15,5,FALSE),0)</f>
        <v>0</v>
      </c>
      <c r="E186" s="187">
        <f>IFERROR(VLOOKUP(A186,'NCLB Title I-Delinquent'!$A$11:$E$29,5,FALSE),0)</f>
        <v>0</v>
      </c>
      <c r="F186" s="187">
        <f>IFERROR(VLOOKUP(A186,'NCLB Title II-A Formula'!$A$12:$G$196,7,FALSE),0)</f>
        <v>0</v>
      </c>
      <c r="G186" s="187">
        <f>VLOOKUP(A186,'NCLB Title III-A '!$A$13:$I$197,9,FALSE)</f>
        <v>0</v>
      </c>
      <c r="H186" s="187">
        <f>IFERROR(VLOOKUP(A186,'NCLB Title III SAI'!$A$13:$G$49,7,FALSE),0)</f>
        <v>0</v>
      </c>
      <c r="I186" s="281">
        <f>IFERROR(VLOOKUP(A186,'NCLB Title VI Rural LI'!$A$13:$E$197,5,FALSE),0)</f>
        <v>0</v>
      </c>
    </row>
    <row r="187" spans="1:9" ht="18" x14ac:dyDescent="0.35">
      <c r="A187" s="91" t="s">
        <v>418</v>
      </c>
      <c r="B187" s="283" t="s">
        <v>399</v>
      </c>
      <c r="C187" s="187">
        <v>0</v>
      </c>
      <c r="D187" s="187">
        <f>IFERROR(VLOOKUP(A187,'NCLB Title I-C Migrant'!$A$11:$E$15,5,FALSE),0)</f>
        <v>0</v>
      </c>
      <c r="E187" s="187">
        <f>IFERROR(VLOOKUP(A187,'NCLB Title I-Delinquent'!$A$11:$E$29,5,FALSE),0)</f>
        <v>0</v>
      </c>
      <c r="F187" s="187">
        <f>IFERROR(VLOOKUP(A187,'NCLB Title II-A Formula'!$A$12:$G$196,7,FALSE),0)</f>
        <v>0</v>
      </c>
      <c r="G187" s="187">
        <v>0</v>
      </c>
      <c r="H187" s="187">
        <f>IFERROR(VLOOKUP(A187,'NCLB Title III SAI'!$A$13:$G$49,7,FALSE),0)</f>
        <v>0</v>
      </c>
      <c r="I187" s="281">
        <f>IFERROR(VLOOKUP(A187,'NCLB Title VI Rural LI'!$A$13:$E$197,5,FALSE),0)</f>
        <v>0</v>
      </c>
    </row>
    <row r="188" spans="1:9" ht="18" x14ac:dyDescent="0.35">
      <c r="A188" s="91" t="s">
        <v>415</v>
      </c>
      <c r="B188" s="283" t="s">
        <v>400</v>
      </c>
      <c r="C188" s="187">
        <v>0</v>
      </c>
      <c r="D188" s="187">
        <f>IFERROR(VLOOKUP(A188,'NCLB Title I-C Migrant'!$A$11:$E$15,5,FALSE),0)</f>
        <v>0</v>
      </c>
      <c r="E188" s="187">
        <f>IFERROR(VLOOKUP(A188,'NCLB Title I-Delinquent'!$A$11:$E$29,5,FALSE),0)</f>
        <v>0</v>
      </c>
      <c r="F188" s="187">
        <f>IFERROR(VLOOKUP(A188,'NCLB Title II-A Formula'!$A$12:$G$196,7,FALSE),0)</f>
        <v>0</v>
      </c>
      <c r="G188" s="187">
        <f>VLOOKUP(A188,'NCLB Title III-A '!$A$13:$I$197,9,FALSE)</f>
        <v>0</v>
      </c>
      <c r="H188" s="187">
        <f>IFERROR(VLOOKUP(A188,'NCLB Title III SAI'!$A$13:$G$49,7,FALSE),0)</f>
        <v>0</v>
      </c>
      <c r="I188" s="281">
        <f>IFERROR(VLOOKUP(A188,'NCLB Title VI Rural LI'!$A$13:$E$197,5,FALSE),0)</f>
        <v>0</v>
      </c>
    </row>
    <row r="189" spans="1:9" ht="18" x14ac:dyDescent="0.35">
      <c r="A189" s="91" t="s">
        <v>414</v>
      </c>
      <c r="B189" s="283" t="s">
        <v>401</v>
      </c>
      <c r="C189" s="187">
        <v>0</v>
      </c>
      <c r="D189" s="187">
        <f>IFERROR(VLOOKUP(A189,'NCLB Title I-C Migrant'!$A$11:$E$15,5,FALSE),0)</f>
        <v>0</v>
      </c>
      <c r="E189" s="187">
        <f>IFERROR(VLOOKUP(A189,'NCLB Title I-Delinquent'!$A$11:$E$29,5,FALSE),0)</f>
        <v>0</v>
      </c>
      <c r="F189" s="187">
        <f>IFERROR(VLOOKUP(A189,'NCLB Title II-A Formula'!$A$12:$G$196,7,FALSE),0)</f>
        <v>0</v>
      </c>
      <c r="G189" s="187">
        <v>0</v>
      </c>
      <c r="H189" s="187">
        <f>IFERROR(VLOOKUP(A189,'NCLB Title III SAI'!$A$13:$G$49,7,FALSE),0)</f>
        <v>0</v>
      </c>
      <c r="I189" s="281">
        <f>IFERROR(VLOOKUP(A189,'NCLB Title VI Rural LI'!$A$13:$E$197,5,FALSE),0)</f>
        <v>0</v>
      </c>
    </row>
    <row r="190" spans="1:9" ht="18" x14ac:dyDescent="0.35">
      <c r="A190" s="91" t="s">
        <v>416</v>
      </c>
      <c r="B190" s="283" t="s">
        <v>405</v>
      </c>
      <c r="C190" s="187">
        <v>0</v>
      </c>
      <c r="D190" s="187">
        <f>IFERROR(VLOOKUP(A190,'NCLB Title I-C Migrant'!$A$11:$E$15,5,FALSE),0)</f>
        <v>0</v>
      </c>
      <c r="E190" s="187">
        <f>IFERROR(VLOOKUP(A190,'NCLB Title I-Delinquent'!$A$11:$E$29,5,FALSE),0)</f>
        <v>0</v>
      </c>
      <c r="F190" s="187">
        <f>IFERROR(VLOOKUP(A190,'NCLB Title II-A Formula'!$A$12:$G$196,7,FALSE),0)</f>
        <v>0</v>
      </c>
      <c r="G190" s="187">
        <f>VLOOKUP(A190,'NCLB Title III-A '!$A$13:$I$197,9,FALSE)</f>
        <v>3843</v>
      </c>
      <c r="H190" s="187">
        <f>IFERROR(VLOOKUP(A190,'NCLB Title III SAI'!$A$13:$G$49,7,FALSE),0)</f>
        <v>0</v>
      </c>
      <c r="I190" s="281">
        <f>IFERROR(VLOOKUP(A190,'NCLB Title VI Rural LI'!$A$13:$E$197,5,FALSE),0)</f>
        <v>0</v>
      </c>
    </row>
    <row r="191" spans="1:9" ht="18.600000000000001" thickBot="1" x14ac:dyDescent="0.4">
      <c r="A191" s="92" t="s">
        <v>375</v>
      </c>
      <c r="B191" s="282" t="s">
        <v>379</v>
      </c>
      <c r="C191" s="187">
        <f>VLOOKUP(A191,'NCLB Title IA Formula'!$A$13:$G$196,7,FALSE)</f>
        <v>305</v>
      </c>
      <c r="D191" s="187">
        <f>IFERROR(VLOOKUP(A191,'NCLB Title I-C Migrant'!$A$11:$E$15,5,FALSE),0)</f>
        <v>0</v>
      </c>
      <c r="E191" s="187">
        <f>IFERROR(VLOOKUP(A191,'NCLB Title I-Delinquent'!$A$11:$E$29,5,FALSE),0)</f>
        <v>0</v>
      </c>
      <c r="F191" s="187">
        <f>IFERROR(VLOOKUP(A191,'NCLB Title II-A Formula'!$A$12:$G$196,7,FALSE),0)</f>
        <v>34</v>
      </c>
      <c r="G191" s="187">
        <f>VLOOKUP(A191,'NCLB Title III-A '!$A$13:$I$197,9,FALSE)</f>
        <v>0</v>
      </c>
      <c r="H191" s="187">
        <f>IFERROR(VLOOKUP(A191,'NCLB Title III SAI'!$A$13:$G$49,7,FALSE),0)</f>
        <v>0</v>
      </c>
      <c r="I191" s="281">
        <f>IFERROR(VLOOKUP(A191,'NCLB Title VI Rural LI'!$A$13:$E$197,5,FALSE),0)</f>
        <v>0</v>
      </c>
    </row>
    <row r="192" spans="1:9" ht="18.600000000000001" thickBot="1" x14ac:dyDescent="0.4">
      <c r="A192" s="93" t="s">
        <v>626</v>
      </c>
      <c r="B192" s="284" t="s">
        <v>627</v>
      </c>
      <c r="C192" s="285"/>
      <c r="D192" s="285">
        <f>'NCLB Title I-C Migrant'!E15</f>
        <v>156044</v>
      </c>
      <c r="E192" s="285"/>
      <c r="F192" s="285"/>
      <c r="G192" s="285"/>
      <c r="H192" s="285"/>
      <c r="I192" s="286"/>
    </row>
    <row r="193" spans="1:9" ht="18" x14ac:dyDescent="0.35">
      <c r="A193" s="93"/>
      <c r="B193" s="93"/>
      <c r="C193" s="94">
        <f>SUM(C4:C192)</f>
        <v>81549</v>
      </c>
      <c r="D193" s="94">
        <f>SUM(D4:D192)</f>
        <v>236831</v>
      </c>
      <c r="E193" s="94">
        <f t="shared" ref="E193:I193" si="0">SUM(E4:E191)</f>
        <v>-13975</v>
      </c>
      <c r="F193" s="94">
        <f t="shared" si="0"/>
        <v>72885</v>
      </c>
      <c r="G193" s="94">
        <f t="shared" si="0"/>
        <v>8406</v>
      </c>
      <c r="H193" s="94">
        <f t="shared" si="0"/>
        <v>88282</v>
      </c>
      <c r="I193" s="94">
        <f t="shared" si="0"/>
        <v>726</v>
      </c>
    </row>
    <row r="194" spans="1:9" x14ac:dyDescent="0.3">
      <c r="A194" s="95"/>
      <c r="B194" s="95"/>
      <c r="C194" s="96"/>
      <c r="D194" s="96"/>
      <c r="E194" s="96"/>
      <c r="F194" s="96"/>
      <c r="G194" s="96"/>
      <c r="H194" s="96"/>
      <c r="I194" s="96"/>
    </row>
    <row r="195" spans="1:9" x14ac:dyDescent="0.3">
      <c r="A195" s="95"/>
      <c r="B195" s="95"/>
      <c r="C195" s="96"/>
      <c r="D195" s="96"/>
      <c r="E195" s="96"/>
      <c r="F195" s="96"/>
      <c r="G195" s="96"/>
      <c r="H195" s="96"/>
      <c r="I195" s="96"/>
    </row>
    <row r="196" spans="1:9" x14ac:dyDescent="0.3">
      <c r="C196" s="90"/>
      <c r="D196" s="90"/>
      <c r="E196" s="90"/>
      <c r="F196" s="90"/>
      <c r="G196" s="90"/>
      <c r="H196" s="90"/>
      <c r="I196" s="90"/>
    </row>
    <row r="197" spans="1:9" x14ac:dyDescent="0.3">
      <c r="C197" s="90"/>
      <c r="D197" s="90"/>
      <c r="E197" s="90"/>
      <c r="F197" s="90"/>
      <c r="G197" s="90"/>
      <c r="H197" s="90"/>
      <c r="I197" s="90"/>
    </row>
    <row r="198" spans="1:9" x14ac:dyDescent="0.3">
      <c r="C198" s="90"/>
      <c r="D198" s="90"/>
      <c r="E198" s="90"/>
      <c r="F198" s="90"/>
      <c r="G198" s="90"/>
      <c r="H198" s="90"/>
      <c r="I198" s="90"/>
    </row>
    <row r="199" spans="1:9" x14ac:dyDescent="0.3">
      <c r="C199" s="90"/>
      <c r="D199" s="90"/>
      <c r="E199" s="90"/>
      <c r="F199" s="90"/>
      <c r="G199" s="90"/>
      <c r="H199" s="90"/>
      <c r="I199" s="90"/>
    </row>
    <row r="200" spans="1:9" x14ac:dyDescent="0.3">
      <c r="C200" s="90"/>
      <c r="D200" s="90"/>
      <c r="E200" s="90"/>
      <c r="F200" s="90"/>
      <c r="G200" s="90"/>
      <c r="H200" s="90"/>
      <c r="I200" s="90"/>
    </row>
    <row r="201" spans="1:9" x14ac:dyDescent="0.3">
      <c r="C201" s="90"/>
      <c r="D201" s="90"/>
      <c r="E201" s="90"/>
      <c r="F201" s="90"/>
      <c r="G201" s="90"/>
      <c r="H201" s="90"/>
      <c r="I201" s="90"/>
    </row>
    <row r="202" spans="1:9" x14ac:dyDescent="0.3">
      <c r="C202" s="90"/>
      <c r="D202" s="90"/>
      <c r="E202" s="90"/>
      <c r="F202" s="90"/>
      <c r="G202" s="90"/>
      <c r="H202" s="90"/>
      <c r="I202" s="90"/>
    </row>
    <row r="203" spans="1:9" x14ac:dyDescent="0.3">
      <c r="C203" s="90"/>
      <c r="D203" s="90"/>
      <c r="E203" s="90"/>
      <c r="F203" s="90"/>
      <c r="G203" s="90"/>
      <c r="H203" s="90"/>
      <c r="I203" s="90"/>
    </row>
    <row r="204" spans="1:9" x14ac:dyDescent="0.3">
      <c r="C204" s="90"/>
      <c r="D204" s="90"/>
      <c r="E204" s="90"/>
      <c r="F204" s="90"/>
      <c r="G204" s="90"/>
      <c r="H204" s="90"/>
      <c r="I204" s="90"/>
    </row>
    <row r="205" spans="1:9" x14ac:dyDescent="0.3">
      <c r="C205" s="90"/>
      <c r="D205" s="90"/>
      <c r="E205" s="90"/>
      <c r="F205" s="90"/>
      <c r="G205" s="90"/>
      <c r="H205" s="90"/>
      <c r="I205" s="90"/>
    </row>
    <row r="206" spans="1:9" x14ac:dyDescent="0.3">
      <c r="C206" s="90"/>
      <c r="D206" s="90"/>
      <c r="E206" s="90"/>
      <c r="F206" s="90"/>
      <c r="G206" s="90"/>
      <c r="H206" s="90"/>
      <c r="I206" s="90"/>
    </row>
    <row r="207" spans="1:9" x14ac:dyDescent="0.3">
      <c r="C207" s="90"/>
      <c r="D207" s="90"/>
      <c r="E207" s="90"/>
      <c r="F207" s="90"/>
      <c r="G207" s="90"/>
      <c r="H207" s="90"/>
      <c r="I207" s="90"/>
    </row>
    <row r="208" spans="1:9" x14ac:dyDescent="0.3">
      <c r="C208" s="90"/>
      <c r="D208" s="90"/>
      <c r="E208" s="90"/>
      <c r="F208" s="90"/>
      <c r="G208" s="90"/>
      <c r="H208" s="90"/>
      <c r="I208" s="90"/>
    </row>
    <row r="209" spans="3:9" x14ac:dyDescent="0.3">
      <c r="C209" s="90"/>
      <c r="D209" s="90"/>
      <c r="E209" s="90"/>
      <c r="F209" s="90"/>
      <c r="G209" s="90"/>
      <c r="H209" s="90"/>
      <c r="I209" s="90"/>
    </row>
    <row r="210" spans="3:9" x14ac:dyDescent="0.3">
      <c r="C210" s="90"/>
      <c r="D210" s="90"/>
      <c r="E210" s="90"/>
      <c r="F210" s="90"/>
      <c r="G210" s="90"/>
      <c r="H210" s="90"/>
      <c r="I210" s="90"/>
    </row>
    <row r="211" spans="3:9" x14ac:dyDescent="0.3">
      <c r="C211" s="90"/>
      <c r="D211" s="90"/>
      <c r="E211" s="90"/>
      <c r="F211" s="90"/>
      <c r="G211" s="90"/>
      <c r="H211" s="90"/>
      <c r="I211" s="90"/>
    </row>
    <row r="212" spans="3:9" x14ac:dyDescent="0.3">
      <c r="C212" s="90"/>
      <c r="D212" s="90"/>
      <c r="E212" s="90"/>
      <c r="F212" s="90"/>
      <c r="G212" s="90"/>
      <c r="H212" s="90"/>
      <c r="I212" s="90"/>
    </row>
    <row r="213" spans="3:9" x14ac:dyDescent="0.3">
      <c r="C213" s="90"/>
      <c r="D213" s="90"/>
      <c r="E213" s="90"/>
      <c r="F213" s="90"/>
      <c r="G213" s="90"/>
      <c r="H213" s="90"/>
      <c r="I213" s="90"/>
    </row>
    <row r="214" spans="3:9" x14ac:dyDescent="0.3">
      <c r="C214" s="90"/>
      <c r="D214" s="90"/>
      <c r="E214" s="90"/>
      <c r="F214" s="90"/>
      <c r="G214" s="90"/>
      <c r="H214" s="90"/>
      <c r="I214" s="90"/>
    </row>
    <row r="215" spans="3:9" x14ac:dyDescent="0.3">
      <c r="C215" s="90"/>
      <c r="D215" s="90"/>
      <c r="E215" s="90"/>
      <c r="F215" s="90"/>
      <c r="G215" s="90"/>
      <c r="H215" s="90"/>
      <c r="I215" s="90"/>
    </row>
    <row r="216" spans="3:9" x14ac:dyDescent="0.3">
      <c r="C216" s="90"/>
      <c r="D216" s="90"/>
      <c r="E216" s="90"/>
      <c r="F216" s="90"/>
      <c r="G216" s="90"/>
      <c r="H216" s="90"/>
      <c r="I216" s="90"/>
    </row>
    <row r="217" spans="3:9" x14ac:dyDescent="0.3">
      <c r="C217" s="90"/>
      <c r="D217" s="90"/>
      <c r="E217" s="90"/>
      <c r="F217" s="90"/>
      <c r="G217" s="90"/>
      <c r="H217" s="90"/>
      <c r="I217" s="90"/>
    </row>
    <row r="218" spans="3:9" x14ac:dyDescent="0.3">
      <c r="C218" s="90"/>
      <c r="D218" s="90"/>
      <c r="E218" s="90"/>
      <c r="F218" s="90"/>
      <c r="G218" s="90"/>
      <c r="H218" s="90"/>
      <c r="I218" s="90"/>
    </row>
    <row r="219" spans="3:9" x14ac:dyDescent="0.3">
      <c r="C219" s="90"/>
      <c r="D219" s="90"/>
      <c r="E219" s="90"/>
      <c r="F219" s="90"/>
      <c r="G219" s="90"/>
      <c r="H219" s="90"/>
      <c r="I219" s="90"/>
    </row>
    <row r="220" spans="3:9" x14ac:dyDescent="0.3">
      <c r="C220" s="90"/>
      <c r="D220" s="90"/>
      <c r="E220" s="90"/>
      <c r="F220" s="90"/>
      <c r="G220" s="90"/>
      <c r="H220" s="90"/>
      <c r="I220" s="90"/>
    </row>
    <row r="221" spans="3:9" x14ac:dyDescent="0.3">
      <c r="C221" s="90"/>
      <c r="D221" s="90"/>
      <c r="E221" s="90"/>
      <c r="F221" s="90"/>
      <c r="G221" s="90"/>
      <c r="H221" s="90"/>
      <c r="I221" s="90"/>
    </row>
    <row r="222" spans="3:9" x14ac:dyDescent="0.3">
      <c r="C222" s="90"/>
      <c r="D222" s="90"/>
      <c r="E222" s="90"/>
      <c r="F222" s="90"/>
      <c r="G222" s="90"/>
      <c r="H222" s="90"/>
      <c r="I222" s="90"/>
    </row>
    <row r="223" spans="3:9" x14ac:dyDescent="0.3">
      <c r="C223" s="90"/>
      <c r="D223" s="90"/>
      <c r="E223" s="90"/>
      <c r="F223" s="90"/>
      <c r="G223" s="90"/>
      <c r="H223" s="90"/>
      <c r="I223" s="90"/>
    </row>
    <row r="224" spans="3:9" x14ac:dyDescent="0.3">
      <c r="C224" s="90"/>
      <c r="D224" s="90"/>
      <c r="E224" s="90"/>
      <c r="F224" s="90"/>
      <c r="G224" s="90"/>
      <c r="H224" s="90"/>
      <c r="I224" s="90"/>
    </row>
    <row r="376" spans="3:3" x14ac:dyDescent="0.3">
      <c r="C376" s="90">
        <f>SUM(C193:C375)</f>
        <v>81549</v>
      </c>
    </row>
  </sheetData>
  <sheetProtection algorithmName="SHA-512" hashValue="ql+TuNCrFiyTS/iTIyQTQqK3oWGXQtwXcsnw2QYoAXq/7+Gt/W7si5Tp9YB9LIEPe921NFPmUlz74wnPV5Y7mg==" saltValue="ve+CJFZuLhsSOTUb0IwVzw==" spinCount="100000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81"/>
  <sheetViews>
    <sheetView workbookViewId="0">
      <pane ySplit="1" topLeftCell="A92" activePane="bottomLeft" state="frozen"/>
      <selection pane="bottomLeft" activeCell="E10" sqref="E10"/>
    </sheetView>
  </sheetViews>
  <sheetFormatPr defaultColWidth="9.109375" defaultRowHeight="14.4" x14ac:dyDescent="0.3"/>
  <cols>
    <col min="1" max="1" width="7" style="123" bestFit="1" customWidth="1"/>
    <col min="2" max="2" width="31.109375" style="123" bestFit="1" customWidth="1"/>
    <col min="3" max="3" width="11.5546875" style="123" bestFit="1" customWidth="1"/>
    <col min="4" max="4" width="9" style="123" bestFit="1" customWidth="1"/>
    <col min="5" max="5" width="7.33203125" style="123" bestFit="1" customWidth="1"/>
    <col min="6" max="6" width="8" style="123" bestFit="1" customWidth="1"/>
    <col min="7" max="7" width="10.33203125" style="123" bestFit="1" customWidth="1"/>
    <col min="8" max="8" width="9.109375" style="123" bestFit="1" customWidth="1"/>
    <col min="9" max="9" width="10.44140625" style="123" bestFit="1" customWidth="1"/>
    <col min="10" max="10" width="7.33203125" style="123" bestFit="1" customWidth="1"/>
    <col min="11" max="16384" width="9.109375" style="123"/>
  </cols>
  <sheetData>
    <row r="1" spans="1:10" ht="15" x14ac:dyDescent="0.25">
      <c r="A1" s="122" t="s">
        <v>589</v>
      </c>
      <c r="B1" s="122" t="s">
        <v>419</v>
      </c>
      <c r="C1" s="122" t="s">
        <v>420</v>
      </c>
      <c r="D1" s="122" t="s">
        <v>421</v>
      </c>
      <c r="E1" s="122" t="s">
        <v>422</v>
      </c>
      <c r="F1" s="122" t="s">
        <v>423</v>
      </c>
      <c r="G1" s="122" t="s">
        <v>424</v>
      </c>
      <c r="H1" s="122" t="s">
        <v>425</v>
      </c>
      <c r="I1" s="122" t="s">
        <v>426</v>
      </c>
      <c r="J1" s="122" t="s">
        <v>397</v>
      </c>
    </row>
    <row r="2" spans="1:10" ht="15" x14ac:dyDescent="0.25">
      <c r="A2" s="124" t="s">
        <v>7</v>
      </c>
      <c r="B2" s="124" t="s">
        <v>185</v>
      </c>
      <c r="C2" s="124" t="s">
        <v>427</v>
      </c>
      <c r="D2" s="125">
        <v>1133906</v>
      </c>
      <c r="E2" s="125">
        <v>0</v>
      </c>
      <c r="F2" s="125">
        <v>177255</v>
      </c>
      <c r="G2" s="125">
        <v>161273</v>
      </c>
      <c r="H2" s="125">
        <v>0</v>
      </c>
      <c r="I2" s="125">
        <v>0</v>
      </c>
      <c r="J2" s="125">
        <v>0</v>
      </c>
    </row>
    <row r="3" spans="1:10" ht="15" x14ac:dyDescent="0.25">
      <c r="A3" s="124" t="s">
        <v>8</v>
      </c>
      <c r="B3" s="124" t="s">
        <v>428</v>
      </c>
      <c r="C3" s="124" t="s">
        <v>427</v>
      </c>
      <c r="D3" s="125">
        <v>4239216</v>
      </c>
      <c r="E3" s="125">
        <v>0</v>
      </c>
      <c r="F3" s="125">
        <v>700052</v>
      </c>
      <c r="G3" s="125">
        <v>439350</v>
      </c>
      <c r="H3" s="125">
        <v>0</v>
      </c>
      <c r="I3" s="125">
        <v>0</v>
      </c>
      <c r="J3" s="125">
        <v>0</v>
      </c>
    </row>
    <row r="4" spans="1:10" ht="15" x14ac:dyDescent="0.25">
      <c r="A4" s="124" t="s">
        <v>9</v>
      </c>
      <c r="B4" s="124" t="s">
        <v>187</v>
      </c>
      <c r="C4" s="124" t="s">
        <v>427</v>
      </c>
      <c r="D4" s="125">
        <v>2219724</v>
      </c>
      <c r="E4" s="125">
        <v>0</v>
      </c>
      <c r="F4" s="125">
        <v>360029</v>
      </c>
      <c r="G4" s="125">
        <v>193055</v>
      </c>
      <c r="H4" s="125">
        <v>259</v>
      </c>
      <c r="I4" s="125">
        <v>1415</v>
      </c>
      <c r="J4" s="125">
        <v>0</v>
      </c>
    </row>
    <row r="5" spans="1:10" ht="15" x14ac:dyDescent="0.25">
      <c r="A5" s="124" t="s">
        <v>10</v>
      </c>
      <c r="B5" s="124" t="s">
        <v>411</v>
      </c>
      <c r="C5" s="124" t="s">
        <v>427</v>
      </c>
      <c r="D5" s="125">
        <v>1291616</v>
      </c>
      <c r="E5" s="125">
        <v>0</v>
      </c>
      <c r="F5" s="125">
        <v>181827</v>
      </c>
      <c r="G5" s="125">
        <v>150638</v>
      </c>
      <c r="H5" s="125">
        <v>0</v>
      </c>
      <c r="I5" s="125">
        <v>0</v>
      </c>
      <c r="J5" s="125">
        <v>0</v>
      </c>
    </row>
    <row r="6" spans="1:10" ht="15" x14ac:dyDescent="0.25">
      <c r="A6" s="124" t="s">
        <v>11</v>
      </c>
      <c r="B6" s="124" t="s">
        <v>189</v>
      </c>
      <c r="C6" s="124" t="s">
        <v>427</v>
      </c>
      <c r="D6" s="125">
        <v>107756</v>
      </c>
      <c r="E6" s="125">
        <v>0</v>
      </c>
      <c r="F6" s="125">
        <v>28866</v>
      </c>
      <c r="G6" s="125">
        <v>5287</v>
      </c>
      <c r="H6" s="125">
        <v>0</v>
      </c>
      <c r="I6" s="125">
        <v>0</v>
      </c>
      <c r="J6" s="125">
        <v>0</v>
      </c>
    </row>
    <row r="7" spans="1:10" ht="15" x14ac:dyDescent="0.25">
      <c r="A7" s="124" t="s">
        <v>12</v>
      </c>
      <c r="B7" s="124" t="s">
        <v>190</v>
      </c>
      <c r="C7" s="124" t="s">
        <v>427</v>
      </c>
      <c r="D7" s="125">
        <v>70669</v>
      </c>
      <c r="E7" s="125">
        <v>0</v>
      </c>
      <c r="F7" s="125">
        <v>9078</v>
      </c>
      <c r="G7" s="125">
        <v>2239</v>
      </c>
      <c r="H7" s="125">
        <v>0</v>
      </c>
      <c r="I7" s="125">
        <v>0</v>
      </c>
      <c r="J7" s="125">
        <v>0</v>
      </c>
    </row>
    <row r="8" spans="1:10" ht="15" x14ac:dyDescent="0.25">
      <c r="A8" s="124" t="s">
        <v>13</v>
      </c>
      <c r="B8" s="124" t="s">
        <v>191</v>
      </c>
      <c r="C8" s="124" t="s">
        <v>427</v>
      </c>
      <c r="D8" s="125">
        <v>3162431</v>
      </c>
      <c r="E8" s="125">
        <v>0</v>
      </c>
      <c r="F8" s="125">
        <v>417424</v>
      </c>
      <c r="G8" s="125">
        <v>251581</v>
      </c>
      <c r="H8" s="125">
        <v>2676</v>
      </c>
      <c r="I8" s="125">
        <v>14617</v>
      </c>
      <c r="J8" s="125">
        <v>0</v>
      </c>
    </row>
    <row r="9" spans="1:10" ht="15" x14ac:dyDescent="0.25">
      <c r="A9" s="124" t="s">
        <v>14</v>
      </c>
      <c r="B9" s="124" t="s">
        <v>429</v>
      </c>
      <c r="C9" s="124" t="s">
        <v>430</v>
      </c>
      <c r="D9" s="125">
        <v>866152</v>
      </c>
      <c r="E9" s="125">
        <v>9173</v>
      </c>
      <c r="F9" s="125">
        <v>164655</v>
      </c>
      <c r="G9" s="125">
        <v>19654</v>
      </c>
      <c r="H9" s="125">
        <v>90</v>
      </c>
      <c r="I9" s="125">
        <v>472</v>
      </c>
      <c r="J9" s="125">
        <v>40761</v>
      </c>
    </row>
    <row r="10" spans="1:10" ht="15" x14ac:dyDescent="0.25">
      <c r="A10" s="124" t="s">
        <v>15</v>
      </c>
      <c r="B10" s="124" t="s">
        <v>431</v>
      </c>
      <c r="C10" s="124" t="s">
        <v>430</v>
      </c>
      <c r="D10" s="125">
        <v>109209</v>
      </c>
      <c r="E10" s="125">
        <v>0</v>
      </c>
      <c r="F10" s="125">
        <v>13394</v>
      </c>
      <c r="G10" s="125">
        <v>2177</v>
      </c>
      <c r="H10" s="125">
        <v>0</v>
      </c>
      <c r="I10" s="125">
        <v>0</v>
      </c>
      <c r="J10" s="125">
        <v>0</v>
      </c>
    </row>
    <row r="11" spans="1:10" ht="15" x14ac:dyDescent="0.25">
      <c r="A11" s="124" t="s">
        <v>16</v>
      </c>
      <c r="B11" s="124" t="s">
        <v>194</v>
      </c>
      <c r="C11" s="124" t="s">
        <v>432</v>
      </c>
      <c r="D11" s="125">
        <v>606895</v>
      </c>
      <c r="E11" s="125">
        <v>0</v>
      </c>
      <c r="F11" s="125">
        <v>173773</v>
      </c>
      <c r="G11" s="125">
        <v>23137</v>
      </c>
      <c r="H11" s="125">
        <v>259</v>
      </c>
      <c r="I11" s="125">
        <v>1415</v>
      </c>
      <c r="J11" s="125">
        <v>0</v>
      </c>
    </row>
    <row r="12" spans="1:10" ht="15" x14ac:dyDescent="0.25">
      <c r="A12" s="124" t="s">
        <v>17</v>
      </c>
      <c r="B12" s="124" t="s">
        <v>195</v>
      </c>
      <c r="C12" s="124" t="s">
        <v>432</v>
      </c>
      <c r="D12" s="125">
        <v>935415</v>
      </c>
      <c r="E12" s="125">
        <v>0</v>
      </c>
      <c r="F12" s="125">
        <v>90140</v>
      </c>
      <c r="G12" s="125">
        <v>37255</v>
      </c>
      <c r="H12" s="125">
        <v>0</v>
      </c>
      <c r="I12" s="125">
        <v>0</v>
      </c>
      <c r="J12" s="125">
        <v>0</v>
      </c>
    </row>
    <row r="13" spans="1:10" ht="15" x14ac:dyDescent="0.25">
      <c r="A13" s="124" t="s">
        <v>18</v>
      </c>
      <c r="B13" s="124" t="s">
        <v>196</v>
      </c>
      <c r="C13" s="124" t="s">
        <v>432</v>
      </c>
      <c r="D13" s="125">
        <v>4700413</v>
      </c>
      <c r="E13" s="125">
        <v>218315</v>
      </c>
      <c r="F13" s="125">
        <v>710985</v>
      </c>
      <c r="G13" s="125">
        <v>357376</v>
      </c>
      <c r="H13" s="125">
        <v>0</v>
      </c>
      <c r="I13" s="125">
        <v>0</v>
      </c>
      <c r="J13" s="125">
        <v>0</v>
      </c>
    </row>
    <row r="14" spans="1:10" ht="15" x14ac:dyDescent="0.25">
      <c r="A14" s="124" t="s">
        <v>19</v>
      </c>
      <c r="B14" s="124" t="s">
        <v>197</v>
      </c>
      <c r="C14" s="124" t="s">
        <v>432</v>
      </c>
      <c r="D14" s="125">
        <v>1184243</v>
      </c>
      <c r="E14" s="125">
        <v>0</v>
      </c>
      <c r="F14" s="125">
        <v>373606</v>
      </c>
      <c r="G14" s="125">
        <v>44719</v>
      </c>
      <c r="H14" s="125">
        <v>1899</v>
      </c>
      <c r="I14" s="125">
        <v>10374</v>
      </c>
      <c r="J14" s="125">
        <v>0</v>
      </c>
    </row>
    <row r="15" spans="1:10" ht="15" x14ac:dyDescent="0.25">
      <c r="A15" s="124" t="s">
        <v>20</v>
      </c>
      <c r="B15" s="124" t="s">
        <v>198</v>
      </c>
      <c r="C15" s="124" t="s">
        <v>432</v>
      </c>
      <c r="D15" s="125">
        <v>35353</v>
      </c>
      <c r="E15" s="125">
        <v>0</v>
      </c>
      <c r="F15" s="125">
        <v>8329</v>
      </c>
      <c r="G15" s="125">
        <v>1244</v>
      </c>
      <c r="H15" s="125">
        <v>0</v>
      </c>
      <c r="I15" s="125">
        <v>0</v>
      </c>
      <c r="J15" s="125">
        <v>0</v>
      </c>
    </row>
    <row r="16" spans="1:10" ht="15" x14ac:dyDescent="0.25">
      <c r="A16" s="124" t="s">
        <v>21</v>
      </c>
      <c r="B16" s="124" t="s">
        <v>199</v>
      </c>
      <c r="C16" s="124" t="s">
        <v>432</v>
      </c>
      <c r="D16" s="125">
        <v>11151156</v>
      </c>
      <c r="E16" s="125">
        <v>79492</v>
      </c>
      <c r="F16" s="125">
        <v>1187501</v>
      </c>
      <c r="G16" s="125">
        <v>1013291</v>
      </c>
      <c r="H16" s="125">
        <v>36085</v>
      </c>
      <c r="I16" s="125">
        <v>197093</v>
      </c>
      <c r="J16" s="125">
        <v>0</v>
      </c>
    </row>
    <row r="17" spans="1:10" ht="15" x14ac:dyDescent="0.25">
      <c r="A17" s="124" t="s">
        <v>22</v>
      </c>
      <c r="B17" s="124" t="s">
        <v>200</v>
      </c>
      <c r="C17" s="124" t="s">
        <v>432</v>
      </c>
      <c r="D17" s="125">
        <v>64682</v>
      </c>
      <c r="E17" s="125">
        <v>0</v>
      </c>
      <c r="F17" s="125">
        <v>20196</v>
      </c>
      <c r="G17" s="125">
        <v>2612</v>
      </c>
      <c r="H17" s="125">
        <v>0</v>
      </c>
      <c r="I17" s="125">
        <v>0</v>
      </c>
      <c r="J17" s="125">
        <v>0</v>
      </c>
    </row>
    <row r="18" spans="1:10" ht="15" x14ac:dyDescent="0.25">
      <c r="A18" s="124" t="s">
        <v>23</v>
      </c>
      <c r="B18" s="124" t="s">
        <v>433</v>
      </c>
      <c r="C18" s="124" t="s">
        <v>434</v>
      </c>
      <c r="D18" s="125">
        <v>349049</v>
      </c>
      <c r="E18" s="125">
        <v>0</v>
      </c>
      <c r="F18" s="125">
        <v>74291</v>
      </c>
      <c r="G18" s="125">
        <v>0</v>
      </c>
      <c r="H18" s="125">
        <v>0</v>
      </c>
      <c r="I18" s="125">
        <v>0</v>
      </c>
      <c r="J18" s="125">
        <v>0</v>
      </c>
    </row>
    <row r="19" spans="1:10" ht="15" x14ac:dyDescent="0.25">
      <c r="A19" s="124" t="s">
        <v>24</v>
      </c>
      <c r="B19" s="124" t="s">
        <v>435</v>
      </c>
      <c r="C19" s="124" t="s">
        <v>436</v>
      </c>
      <c r="D19" s="125">
        <v>49963</v>
      </c>
      <c r="E19" s="125">
        <v>0</v>
      </c>
      <c r="F19" s="125">
        <v>12252</v>
      </c>
      <c r="G19" s="125">
        <v>684</v>
      </c>
      <c r="H19" s="125">
        <v>0</v>
      </c>
      <c r="I19" s="125">
        <v>0</v>
      </c>
      <c r="J19" s="125">
        <v>0</v>
      </c>
    </row>
    <row r="20" spans="1:10" ht="15" x14ac:dyDescent="0.25">
      <c r="A20" s="124" t="s">
        <v>25</v>
      </c>
      <c r="B20" s="124" t="s">
        <v>437</v>
      </c>
      <c r="C20" s="124" t="s">
        <v>436</v>
      </c>
      <c r="D20" s="125">
        <v>18082</v>
      </c>
      <c r="E20" s="125">
        <v>0</v>
      </c>
      <c r="F20" s="125">
        <v>5839</v>
      </c>
      <c r="G20" s="125">
        <v>0</v>
      </c>
      <c r="H20" s="125">
        <v>0</v>
      </c>
      <c r="I20" s="125">
        <v>0</v>
      </c>
      <c r="J20" s="125">
        <v>0</v>
      </c>
    </row>
    <row r="21" spans="1:10" ht="15" x14ac:dyDescent="0.25">
      <c r="A21" s="124" t="s">
        <v>26</v>
      </c>
      <c r="B21" s="124" t="s">
        <v>438</v>
      </c>
      <c r="C21" s="124" t="s">
        <v>436</v>
      </c>
      <c r="D21" s="125">
        <v>69771</v>
      </c>
      <c r="E21" s="125">
        <v>0</v>
      </c>
      <c r="F21" s="125">
        <v>16714</v>
      </c>
      <c r="G21" s="125">
        <v>249</v>
      </c>
      <c r="H21" s="125">
        <v>0</v>
      </c>
      <c r="I21" s="125">
        <v>0</v>
      </c>
      <c r="J21" s="125">
        <v>0</v>
      </c>
    </row>
    <row r="22" spans="1:10" ht="15" x14ac:dyDescent="0.25">
      <c r="A22" s="124" t="s">
        <v>27</v>
      </c>
      <c r="B22" s="124" t="s">
        <v>439</v>
      </c>
      <c r="C22" s="124" t="s">
        <v>436</v>
      </c>
      <c r="D22" s="125">
        <v>816</v>
      </c>
      <c r="E22" s="125">
        <v>0</v>
      </c>
      <c r="F22" s="125">
        <v>1184</v>
      </c>
      <c r="G22" s="125">
        <v>62</v>
      </c>
      <c r="H22" s="125">
        <v>0</v>
      </c>
      <c r="I22" s="125">
        <v>0</v>
      </c>
      <c r="J22" s="125">
        <v>0</v>
      </c>
    </row>
    <row r="23" spans="1:10" ht="15" x14ac:dyDescent="0.25">
      <c r="A23" s="124" t="s">
        <v>28</v>
      </c>
      <c r="B23" s="124" t="s">
        <v>440</v>
      </c>
      <c r="C23" s="124" t="s">
        <v>436</v>
      </c>
      <c r="D23" s="125">
        <v>1799</v>
      </c>
      <c r="E23" s="125">
        <v>0</v>
      </c>
      <c r="F23" s="125">
        <v>2190</v>
      </c>
      <c r="G23" s="125">
        <v>0</v>
      </c>
      <c r="H23" s="125">
        <v>0</v>
      </c>
      <c r="I23" s="125">
        <v>0</v>
      </c>
      <c r="J23" s="125">
        <v>0</v>
      </c>
    </row>
    <row r="24" spans="1:10" ht="15" x14ac:dyDescent="0.25">
      <c r="A24" s="124" t="s">
        <v>29</v>
      </c>
      <c r="B24" s="124" t="s">
        <v>441</v>
      </c>
      <c r="C24" s="124" t="s">
        <v>442</v>
      </c>
      <c r="D24" s="125">
        <v>234982</v>
      </c>
      <c r="E24" s="125">
        <v>0</v>
      </c>
      <c r="F24" s="125">
        <v>50373</v>
      </c>
      <c r="G24" s="125">
        <v>124</v>
      </c>
      <c r="H24" s="125">
        <v>0</v>
      </c>
      <c r="I24" s="125">
        <v>0</v>
      </c>
      <c r="J24" s="125">
        <v>0</v>
      </c>
    </row>
    <row r="25" spans="1:10" ht="15" x14ac:dyDescent="0.25">
      <c r="A25" s="124" t="s">
        <v>30</v>
      </c>
      <c r="B25" s="124" t="s">
        <v>443</v>
      </c>
      <c r="C25" s="124" t="s">
        <v>442</v>
      </c>
      <c r="D25" s="125">
        <v>37907</v>
      </c>
      <c r="E25" s="125">
        <v>0</v>
      </c>
      <c r="F25" s="125">
        <v>10898</v>
      </c>
      <c r="G25" s="125">
        <v>1493</v>
      </c>
      <c r="H25" s="125">
        <v>0</v>
      </c>
      <c r="I25" s="125">
        <v>0</v>
      </c>
      <c r="J25" s="125">
        <v>0</v>
      </c>
    </row>
    <row r="26" spans="1:10" ht="15" x14ac:dyDescent="0.25">
      <c r="A26" s="124" t="s">
        <v>31</v>
      </c>
      <c r="B26" s="124" t="s">
        <v>444</v>
      </c>
      <c r="C26" s="124" t="s">
        <v>445</v>
      </c>
      <c r="D26" s="125">
        <v>3275511</v>
      </c>
      <c r="E26" s="125">
        <v>0</v>
      </c>
      <c r="F26" s="125">
        <v>467170</v>
      </c>
      <c r="G26" s="125">
        <v>280316</v>
      </c>
      <c r="H26" s="125">
        <v>0</v>
      </c>
      <c r="I26" s="125">
        <v>0</v>
      </c>
      <c r="J26" s="125">
        <v>0</v>
      </c>
    </row>
    <row r="27" spans="1:10" ht="15" x14ac:dyDescent="0.25">
      <c r="A27" s="124" t="s">
        <v>32</v>
      </c>
      <c r="B27" s="124" t="s">
        <v>446</v>
      </c>
      <c r="C27" s="124" t="s">
        <v>445</v>
      </c>
      <c r="D27" s="125">
        <v>2119660</v>
      </c>
      <c r="E27" s="125">
        <v>0</v>
      </c>
      <c r="F27" s="125">
        <v>686897</v>
      </c>
      <c r="G27" s="125">
        <v>184348</v>
      </c>
      <c r="H27" s="125">
        <v>0</v>
      </c>
      <c r="I27" s="125">
        <v>0</v>
      </c>
      <c r="J27" s="125">
        <v>0</v>
      </c>
    </row>
    <row r="28" spans="1:10" ht="15" x14ac:dyDescent="0.25">
      <c r="A28" s="124" t="s">
        <v>33</v>
      </c>
      <c r="B28" s="124" t="s">
        <v>211</v>
      </c>
      <c r="C28" s="124" t="s">
        <v>447</v>
      </c>
      <c r="D28" s="125">
        <v>160970</v>
      </c>
      <c r="E28" s="125">
        <v>0</v>
      </c>
      <c r="F28" s="125">
        <v>37339</v>
      </c>
      <c r="G28" s="125">
        <v>498</v>
      </c>
      <c r="H28" s="125">
        <v>0</v>
      </c>
      <c r="I28" s="125">
        <v>0</v>
      </c>
      <c r="J28" s="125">
        <v>0</v>
      </c>
    </row>
    <row r="29" spans="1:10" ht="15" x14ac:dyDescent="0.25">
      <c r="A29" s="124" t="s">
        <v>34</v>
      </c>
      <c r="B29" s="124" t="s">
        <v>212</v>
      </c>
      <c r="C29" s="124" t="s">
        <v>447</v>
      </c>
      <c r="D29" s="125">
        <v>169563</v>
      </c>
      <c r="E29" s="125">
        <v>0</v>
      </c>
      <c r="F29" s="125">
        <v>57158</v>
      </c>
      <c r="G29" s="125">
        <v>1368</v>
      </c>
      <c r="H29" s="125">
        <v>0</v>
      </c>
      <c r="I29" s="125">
        <v>0</v>
      </c>
      <c r="J29" s="125">
        <v>0</v>
      </c>
    </row>
    <row r="30" spans="1:10" ht="15" x14ac:dyDescent="0.25">
      <c r="A30" s="124" t="s">
        <v>35</v>
      </c>
      <c r="B30" s="124" t="s">
        <v>213</v>
      </c>
      <c r="C30" s="124" t="s">
        <v>448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</row>
    <row r="31" spans="1:10" ht="15" x14ac:dyDescent="0.25">
      <c r="A31" s="124" t="s">
        <v>36</v>
      </c>
      <c r="B31" s="124" t="s">
        <v>449</v>
      </c>
      <c r="C31" s="124" t="s">
        <v>448</v>
      </c>
      <c r="D31" s="125">
        <v>28551</v>
      </c>
      <c r="E31" s="125">
        <v>0</v>
      </c>
      <c r="F31" s="125">
        <v>11573</v>
      </c>
      <c r="G31" s="125">
        <v>746</v>
      </c>
      <c r="H31" s="125">
        <v>0</v>
      </c>
      <c r="I31" s="125">
        <v>0</v>
      </c>
      <c r="J31" s="125">
        <v>0</v>
      </c>
    </row>
    <row r="32" spans="1:10" ht="15" x14ac:dyDescent="0.25">
      <c r="A32" s="124" t="s">
        <v>37</v>
      </c>
      <c r="B32" s="124" t="s">
        <v>450</v>
      </c>
      <c r="C32" s="124" t="s">
        <v>451</v>
      </c>
      <c r="D32" s="125">
        <v>97087</v>
      </c>
      <c r="E32" s="125">
        <v>0</v>
      </c>
      <c r="F32" s="125">
        <v>38253</v>
      </c>
      <c r="G32" s="125">
        <v>0</v>
      </c>
      <c r="H32" s="125">
        <v>0</v>
      </c>
      <c r="I32" s="125">
        <v>0</v>
      </c>
      <c r="J32" s="125">
        <v>0</v>
      </c>
    </row>
    <row r="33" spans="1:10" ht="15" x14ac:dyDescent="0.25">
      <c r="A33" s="124" t="s">
        <v>38</v>
      </c>
      <c r="B33" s="124" t="s">
        <v>452</v>
      </c>
      <c r="C33" s="124" t="s">
        <v>453</v>
      </c>
      <c r="D33" s="125">
        <v>298501</v>
      </c>
      <c r="E33" s="125">
        <v>0</v>
      </c>
      <c r="F33" s="125">
        <v>72282</v>
      </c>
      <c r="G33" s="125">
        <v>0</v>
      </c>
      <c r="H33" s="125">
        <v>0</v>
      </c>
      <c r="I33" s="125">
        <v>0</v>
      </c>
      <c r="J33" s="125">
        <v>0</v>
      </c>
    </row>
    <row r="34" spans="1:10" ht="15" x14ac:dyDescent="0.25">
      <c r="A34" s="124" t="s">
        <v>39</v>
      </c>
      <c r="B34" s="124" t="s">
        <v>217</v>
      </c>
      <c r="C34" s="124" t="s">
        <v>453</v>
      </c>
      <c r="D34" s="125">
        <v>52992</v>
      </c>
      <c r="E34" s="125">
        <v>0</v>
      </c>
      <c r="F34" s="125">
        <v>23483</v>
      </c>
      <c r="G34" s="125">
        <v>249</v>
      </c>
      <c r="H34" s="125">
        <v>0</v>
      </c>
      <c r="I34" s="125">
        <v>0</v>
      </c>
      <c r="J34" s="125">
        <v>0</v>
      </c>
    </row>
    <row r="35" spans="1:10" ht="15" x14ac:dyDescent="0.25">
      <c r="A35" s="124" t="s">
        <v>40</v>
      </c>
      <c r="B35" s="124" t="s">
        <v>454</v>
      </c>
      <c r="C35" s="124" t="s">
        <v>453</v>
      </c>
      <c r="D35" s="125">
        <v>153777</v>
      </c>
      <c r="E35" s="125">
        <v>0</v>
      </c>
      <c r="F35" s="125">
        <v>34398</v>
      </c>
      <c r="G35" s="125">
        <v>1741</v>
      </c>
      <c r="H35" s="125">
        <v>0</v>
      </c>
      <c r="I35" s="125">
        <v>0</v>
      </c>
      <c r="J35" s="125">
        <v>0</v>
      </c>
    </row>
    <row r="36" spans="1:10" ht="15" x14ac:dyDescent="0.25">
      <c r="A36" s="124" t="s">
        <v>41</v>
      </c>
      <c r="B36" s="124" t="s">
        <v>219</v>
      </c>
      <c r="C36" s="124" t="s">
        <v>455</v>
      </c>
      <c r="D36" s="125">
        <v>132791</v>
      </c>
      <c r="E36" s="125">
        <v>0</v>
      </c>
      <c r="F36" s="125">
        <v>37411</v>
      </c>
      <c r="G36" s="125">
        <v>1182</v>
      </c>
      <c r="H36" s="125">
        <v>0</v>
      </c>
      <c r="I36" s="125">
        <v>0</v>
      </c>
      <c r="J36" s="125">
        <v>0</v>
      </c>
    </row>
    <row r="37" spans="1:10" ht="15" x14ac:dyDescent="0.25">
      <c r="A37" s="124" t="s">
        <v>42</v>
      </c>
      <c r="B37" s="124" t="s">
        <v>220</v>
      </c>
      <c r="C37" s="124" t="s">
        <v>455</v>
      </c>
      <c r="D37" s="125">
        <v>98450</v>
      </c>
      <c r="E37" s="125">
        <v>0</v>
      </c>
      <c r="F37" s="125">
        <v>25178</v>
      </c>
      <c r="G37" s="125">
        <v>2550</v>
      </c>
      <c r="H37" s="125">
        <v>0</v>
      </c>
      <c r="I37" s="125">
        <v>0</v>
      </c>
      <c r="J37" s="125">
        <v>0</v>
      </c>
    </row>
    <row r="38" spans="1:10" ht="15" x14ac:dyDescent="0.25">
      <c r="A38" s="124" t="s">
        <v>43</v>
      </c>
      <c r="B38" s="124" t="s">
        <v>456</v>
      </c>
      <c r="C38" s="124" t="s">
        <v>457</v>
      </c>
      <c r="D38" s="125">
        <v>211476</v>
      </c>
      <c r="E38" s="125">
        <v>0</v>
      </c>
      <c r="F38" s="125">
        <v>45429</v>
      </c>
      <c r="G38" s="125">
        <v>124</v>
      </c>
      <c r="H38" s="125">
        <v>0</v>
      </c>
      <c r="I38" s="125">
        <v>0</v>
      </c>
      <c r="J38" s="125">
        <v>0</v>
      </c>
    </row>
    <row r="39" spans="1:10" ht="15" x14ac:dyDescent="0.25">
      <c r="A39" s="124" t="s">
        <v>44</v>
      </c>
      <c r="B39" s="124" t="s">
        <v>458</v>
      </c>
      <c r="C39" s="124" t="s">
        <v>459</v>
      </c>
      <c r="D39" s="125">
        <v>109885</v>
      </c>
      <c r="E39" s="125">
        <v>0</v>
      </c>
      <c r="F39" s="125">
        <v>28020</v>
      </c>
      <c r="G39" s="125">
        <v>0</v>
      </c>
      <c r="H39" s="125">
        <v>0</v>
      </c>
      <c r="I39" s="125">
        <v>0</v>
      </c>
      <c r="J39" s="125">
        <v>0</v>
      </c>
    </row>
    <row r="40" spans="1:10" ht="15" x14ac:dyDescent="0.25">
      <c r="A40" s="124" t="s">
        <v>45</v>
      </c>
      <c r="B40" s="124" t="s">
        <v>223</v>
      </c>
      <c r="C40" s="124" t="s">
        <v>460</v>
      </c>
      <c r="D40" s="125">
        <v>848275</v>
      </c>
      <c r="E40" s="125">
        <v>0</v>
      </c>
      <c r="F40" s="125">
        <v>218265</v>
      </c>
      <c r="G40" s="125">
        <v>21520</v>
      </c>
      <c r="H40" s="125">
        <v>173</v>
      </c>
      <c r="I40" s="125">
        <v>943</v>
      </c>
      <c r="J40" s="125">
        <v>0</v>
      </c>
    </row>
    <row r="41" spans="1:10" ht="15" x14ac:dyDescent="0.25">
      <c r="A41" s="124" t="s">
        <v>46</v>
      </c>
      <c r="B41" s="124" t="s">
        <v>224</v>
      </c>
      <c r="C41" s="124" t="s">
        <v>461</v>
      </c>
      <c r="D41" s="125">
        <v>30355586</v>
      </c>
      <c r="E41" s="125">
        <v>525874</v>
      </c>
      <c r="F41" s="125">
        <v>4132234</v>
      </c>
      <c r="G41" s="125">
        <v>1841177</v>
      </c>
      <c r="H41" s="125">
        <v>0</v>
      </c>
      <c r="I41" s="125">
        <v>0</v>
      </c>
      <c r="J41" s="125">
        <v>0</v>
      </c>
    </row>
    <row r="42" spans="1:10" ht="15" x14ac:dyDescent="0.25">
      <c r="A42" s="124" t="s">
        <v>47</v>
      </c>
      <c r="B42" s="124" t="s">
        <v>462</v>
      </c>
      <c r="C42" s="124" t="s">
        <v>463</v>
      </c>
      <c r="D42" s="125">
        <v>44553</v>
      </c>
      <c r="E42" s="125">
        <v>0</v>
      </c>
      <c r="F42" s="125">
        <v>14685</v>
      </c>
      <c r="G42" s="125">
        <v>0</v>
      </c>
      <c r="H42" s="125">
        <v>0</v>
      </c>
      <c r="I42" s="125">
        <v>0</v>
      </c>
      <c r="J42" s="125">
        <v>0</v>
      </c>
    </row>
    <row r="43" spans="1:10" ht="15" x14ac:dyDescent="0.25">
      <c r="A43" s="124" t="s">
        <v>48</v>
      </c>
      <c r="B43" s="124" t="s">
        <v>464</v>
      </c>
      <c r="C43" s="124" t="s">
        <v>465</v>
      </c>
      <c r="D43" s="125">
        <v>1833725</v>
      </c>
      <c r="E43" s="125">
        <v>0</v>
      </c>
      <c r="F43" s="125">
        <v>463330</v>
      </c>
      <c r="G43" s="125">
        <v>200146</v>
      </c>
      <c r="H43" s="125">
        <v>0</v>
      </c>
      <c r="I43" s="125">
        <v>0</v>
      </c>
      <c r="J43" s="125">
        <v>0</v>
      </c>
    </row>
    <row r="44" spans="1:10" ht="15" x14ac:dyDescent="0.25">
      <c r="A44" s="124" t="s">
        <v>49</v>
      </c>
      <c r="B44" s="124" t="s">
        <v>466</v>
      </c>
      <c r="C44" s="124" t="s">
        <v>467</v>
      </c>
      <c r="D44" s="125">
        <v>704856</v>
      </c>
      <c r="E44" s="125">
        <v>0</v>
      </c>
      <c r="F44" s="125">
        <v>103491</v>
      </c>
      <c r="G44" s="125">
        <v>144605</v>
      </c>
      <c r="H44" s="125">
        <v>3108</v>
      </c>
      <c r="I44" s="125">
        <v>16975</v>
      </c>
      <c r="J44" s="125">
        <v>0</v>
      </c>
    </row>
    <row r="45" spans="1:10" ht="15" x14ac:dyDescent="0.25">
      <c r="A45" s="124" t="s">
        <v>50</v>
      </c>
      <c r="B45" s="124" t="s">
        <v>228</v>
      </c>
      <c r="C45" s="124" t="s">
        <v>468</v>
      </c>
      <c r="D45" s="125">
        <v>154546</v>
      </c>
      <c r="E45" s="125">
        <v>0</v>
      </c>
      <c r="F45" s="125">
        <v>41282</v>
      </c>
      <c r="G45" s="125">
        <v>2052</v>
      </c>
      <c r="H45" s="125">
        <v>0</v>
      </c>
      <c r="I45" s="125">
        <v>0</v>
      </c>
      <c r="J45" s="125">
        <v>0</v>
      </c>
    </row>
    <row r="46" spans="1:10" ht="15" x14ac:dyDescent="0.25">
      <c r="A46" s="124" t="s">
        <v>51</v>
      </c>
      <c r="B46" s="124" t="s">
        <v>229</v>
      </c>
      <c r="C46" s="124" t="s">
        <v>468</v>
      </c>
      <c r="D46" s="125">
        <v>24929</v>
      </c>
      <c r="E46" s="125">
        <v>0</v>
      </c>
      <c r="F46" s="125">
        <v>9704</v>
      </c>
      <c r="G46" s="125">
        <v>560</v>
      </c>
      <c r="H46" s="125">
        <v>0</v>
      </c>
      <c r="I46" s="125">
        <v>0</v>
      </c>
      <c r="J46" s="125">
        <v>0</v>
      </c>
    </row>
    <row r="47" spans="1:10" ht="15" x14ac:dyDescent="0.25">
      <c r="A47" s="124" t="s">
        <v>52</v>
      </c>
      <c r="B47" s="124" t="s">
        <v>230</v>
      </c>
      <c r="C47" s="124" t="s">
        <v>468</v>
      </c>
      <c r="D47" s="125">
        <v>61728</v>
      </c>
      <c r="E47" s="125">
        <v>0</v>
      </c>
      <c r="F47" s="125">
        <v>23555</v>
      </c>
      <c r="G47" s="125">
        <v>0</v>
      </c>
      <c r="H47" s="125">
        <v>0</v>
      </c>
      <c r="I47" s="125">
        <v>0</v>
      </c>
      <c r="J47" s="125">
        <v>0</v>
      </c>
    </row>
    <row r="48" spans="1:10" ht="15" x14ac:dyDescent="0.25">
      <c r="A48" s="124" t="s">
        <v>53</v>
      </c>
      <c r="B48" s="124" t="s">
        <v>231</v>
      </c>
      <c r="C48" s="124" t="s">
        <v>468</v>
      </c>
      <c r="D48" s="125">
        <v>18009</v>
      </c>
      <c r="E48" s="125">
        <v>0</v>
      </c>
      <c r="F48" s="125">
        <v>2406</v>
      </c>
      <c r="G48" s="125">
        <v>0</v>
      </c>
      <c r="H48" s="125">
        <v>0</v>
      </c>
      <c r="I48" s="125">
        <v>0</v>
      </c>
      <c r="J48" s="125">
        <v>0</v>
      </c>
    </row>
    <row r="49" spans="1:10" ht="15" x14ac:dyDescent="0.25">
      <c r="A49" s="124" t="s">
        <v>54</v>
      </c>
      <c r="B49" s="124" t="s">
        <v>232</v>
      </c>
      <c r="C49" s="124" t="s">
        <v>468</v>
      </c>
      <c r="D49" s="125">
        <v>9723</v>
      </c>
      <c r="E49" s="125">
        <v>0</v>
      </c>
      <c r="F49" s="125">
        <v>987</v>
      </c>
      <c r="G49" s="125">
        <v>0</v>
      </c>
      <c r="H49" s="125">
        <v>0</v>
      </c>
      <c r="I49" s="125">
        <v>0</v>
      </c>
      <c r="J49" s="125">
        <v>0</v>
      </c>
    </row>
    <row r="50" spans="1:10" ht="15" x14ac:dyDescent="0.25">
      <c r="A50" s="124" t="s">
        <v>55</v>
      </c>
      <c r="B50" s="124" t="s">
        <v>469</v>
      </c>
      <c r="C50" s="124" t="s">
        <v>470</v>
      </c>
      <c r="D50" s="125">
        <v>81203</v>
      </c>
      <c r="E50" s="125">
        <v>0</v>
      </c>
      <c r="F50" s="125">
        <v>12995</v>
      </c>
      <c r="G50" s="125">
        <v>0</v>
      </c>
      <c r="H50" s="125">
        <v>0</v>
      </c>
      <c r="I50" s="125">
        <v>0</v>
      </c>
      <c r="J50" s="125">
        <v>0</v>
      </c>
    </row>
    <row r="51" spans="1:10" ht="15" x14ac:dyDescent="0.25">
      <c r="A51" s="124" t="s">
        <v>56</v>
      </c>
      <c r="B51" s="124" t="s">
        <v>234</v>
      </c>
      <c r="C51" s="124" t="s">
        <v>470</v>
      </c>
      <c r="D51" s="125">
        <v>4058972</v>
      </c>
      <c r="E51" s="125">
        <v>0</v>
      </c>
      <c r="F51" s="125">
        <v>560351</v>
      </c>
      <c r="G51" s="125">
        <v>143983</v>
      </c>
      <c r="H51" s="125">
        <v>86</v>
      </c>
      <c r="I51" s="125">
        <v>472</v>
      </c>
      <c r="J51" s="125">
        <v>0</v>
      </c>
    </row>
    <row r="52" spans="1:10" ht="15" x14ac:dyDescent="0.25">
      <c r="A52" s="124" t="s">
        <v>57</v>
      </c>
      <c r="B52" s="124" t="s">
        <v>235</v>
      </c>
      <c r="C52" s="124" t="s">
        <v>470</v>
      </c>
      <c r="D52" s="125">
        <v>1249697</v>
      </c>
      <c r="E52" s="125">
        <v>0</v>
      </c>
      <c r="F52" s="125">
        <v>245896</v>
      </c>
      <c r="G52" s="125">
        <v>12874</v>
      </c>
      <c r="H52" s="123">
        <v>0</v>
      </c>
      <c r="I52" s="125">
        <v>15560</v>
      </c>
      <c r="J52" s="125">
        <v>0</v>
      </c>
    </row>
    <row r="53" spans="1:10" ht="15" x14ac:dyDescent="0.25">
      <c r="A53" s="124" t="s">
        <v>58</v>
      </c>
      <c r="B53" s="124" t="s">
        <v>236</v>
      </c>
      <c r="C53" s="124" t="s">
        <v>470</v>
      </c>
      <c r="D53" s="125">
        <v>1699157</v>
      </c>
      <c r="E53" s="125">
        <v>0</v>
      </c>
      <c r="F53" s="125">
        <v>146684</v>
      </c>
      <c r="G53" s="125">
        <v>25500</v>
      </c>
      <c r="H53" s="125">
        <v>0</v>
      </c>
      <c r="I53" s="125">
        <v>0</v>
      </c>
      <c r="J53" s="125">
        <v>0</v>
      </c>
    </row>
    <row r="54" spans="1:10" ht="15" x14ac:dyDescent="0.25">
      <c r="A54" s="124" t="s">
        <v>59</v>
      </c>
      <c r="B54" s="124" t="s">
        <v>237</v>
      </c>
      <c r="C54" s="124" t="s">
        <v>470</v>
      </c>
      <c r="D54" s="125">
        <v>7155565</v>
      </c>
      <c r="E54" s="125">
        <v>15287</v>
      </c>
      <c r="F54" s="125">
        <v>1234884</v>
      </c>
      <c r="G54" s="125">
        <v>161211</v>
      </c>
      <c r="H54" s="125">
        <v>0</v>
      </c>
      <c r="I54" s="125">
        <v>0</v>
      </c>
      <c r="J54" s="125">
        <v>0</v>
      </c>
    </row>
    <row r="55" spans="1:10" ht="15" x14ac:dyDescent="0.25">
      <c r="A55" s="124" t="s">
        <v>60</v>
      </c>
      <c r="B55" s="124" t="s">
        <v>238</v>
      </c>
      <c r="C55" s="124" t="s">
        <v>470</v>
      </c>
      <c r="D55" s="125">
        <v>174917</v>
      </c>
      <c r="E55" s="125">
        <v>0</v>
      </c>
      <c r="F55" s="125">
        <v>65839</v>
      </c>
      <c r="G55" s="125">
        <v>9578</v>
      </c>
      <c r="H55" s="125">
        <v>0</v>
      </c>
      <c r="I55" s="125">
        <v>0</v>
      </c>
      <c r="J55" s="125">
        <v>0</v>
      </c>
    </row>
    <row r="56" spans="1:10" ht="15" x14ac:dyDescent="0.25">
      <c r="A56" s="124" t="s">
        <v>61</v>
      </c>
      <c r="B56" s="124" t="s">
        <v>239</v>
      </c>
      <c r="C56" s="124" t="s">
        <v>470</v>
      </c>
      <c r="D56" s="125">
        <v>166287</v>
      </c>
      <c r="E56" s="125">
        <v>0</v>
      </c>
      <c r="F56" s="125">
        <v>87609</v>
      </c>
      <c r="G56" s="125">
        <v>0</v>
      </c>
      <c r="H56" s="125">
        <v>0</v>
      </c>
      <c r="I56" s="125">
        <v>0</v>
      </c>
      <c r="J56" s="125">
        <v>0</v>
      </c>
    </row>
    <row r="57" spans="1:10" ht="15" x14ac:dyDescent="0.25">
      <c r="A57" s="124" t="s">
        <v>62</v>
      </c>
      <c r="B57" s="124" t="s">
        <v>240</v>
      </c>
      <c r="C57" s="124" t="s">
        <v>470</v>
      </c>
      <c r="D57" s="125">
        <v>543699</v>
      </c>
      <c r="E57" s="125">
        <v>0</v>
      </c>
      <c r="F57" s="125">
        <v>236546</v>
      </c>
      <c r="G57" s="125">
        <v>32591</v>
      </c>
      <c r="H57" s="125">
        <v>13900</v>
      </c>
      <c r="I57" s="125">
        <v>75916</v>
      </c>
      <c r="J57" s="125">
        <v>0</v>
      </c>
    </row>
    <row r="58" spans="1:10" ht="15" x14ac:dyDescent="0.25">
      <c r="A58" s="124" t="s">
        <v>63</v>
      </c>
      <c r="B58" s="124" t="s">
        <v>241</v>
      </c>
      <c r="C58" s="124" t="s">
        <v>470</v>
      </c>
      <c r="D58" s="125">
        <v>147637</v>
      </c>
      <c r="E58" s="125">
        <v>0</v>
      </c>
      <c r="F58" s="125">
        <v>29694</v>
      </c>
      <c r="G58" s="125">
        <v>8148</v>
      </c>
      <c r="H58" s="125">
        <v>0</v>
      </c>
      <c r="I58" s="125">
        <v>0</v>
      </c>
      <c r="J58" s="125">
        <v>0</v>
      </c>
    </row>
    <row r="59" spans="1:10" ht="15" x14ac:dyDescent="0.25">
      <c r="A59" s="124" t="s">
        <v>64</v>
      </c>
      <c r="B59" s="124" t="s">
        <v>471</v>
      </c>
      <c r="C59" s="124" t="s">
        <v>470</v>
      </c>
      <c r="D59" s="125">
        <v>116612</v>
      </c>
      <c r="E59" s="125">
        <v>0</v>
      </c>
      <c r="F59" s="125">
        <v>18253</v>
      </c>
      <c r="G59" s="125">
        <v>871</v>
      </c>
      <c r="H59" s="125">
        <v>0</v>
      </c>
      <c r="I59" s="125">
        <v>0</v>
      </c>
      <c r="J59" s="125">
        <v>0</v>
      </c>
    </row>
    <row r="60" spans="1:10" ht="15" x14ac:dyDescent="0.25">
      <c r="A60" s="124" t="s">
        <v>65</v>
      </c>
      <c r="B60" s="124" t="s">
        <v>243</v>
      </c>
      <c r="C60" s="124" t="s">
        <v>470</v>
      </c>
      <c r="D60" s="125">
        <v>38683</v>
      </c>
      <c r="E60" s="125">
        <v>0</v>
      </c>
      <c r="F60" s="125">
        <v>6429</v>
      </c>
      <c r="G60" s="125">
        <v>1990</v>
      </c>
      <c r="H60" s="125">
        <v>0</v>
      </c>
      <c r="I60" s="125">
        <v>0</v>
      </c>
      <c r="J60" s="125">
        <v>0</v>
      </c>
    </row>
    <row r="61" spans="1:10" ht="15" x14ac:dyDescent="0.25">
      <c r="A61" s="124" t="s">
        <v>66</v>
      </c>
      <c r="B61" s="124" t="s">
        <v>244</v>
      </c>
      <c r="C61" s="124" t="s">
        <v>470</v>
      </c>
      <c r="D61" s="125">
        <v>152419</v>
      </c>
      <c r="E61" s="125">
        <v>0</v>
      </c>
      <c r="F61" s="125">
        <v>59545</v>
      </c>
      <c r="G61" s="125">
        <v>14989</v>
      </c>
      <c r="H61" s="125">
        <v>0</v>
      </c>
      <c r="I61" s="125">
        <v>0</v>
      </c>
      <c r="J61" s="125">
        <v>0</v>
      </c>
    </row>
    <row r="62" spans="1:10" ht="15" x14ac:dyDescent="0.25">
      <c r="A62" s="124" t="s">
        <v>67</v>
      </c>
      <c r="B62" s="124" t="s">
        <v>245</v>
      </c>
      <c r="C62" s="124" t="s">
        <v>470</v>
      </c>
      <c r="D62" s="125">
        <v>1061572</v>
      </c>
      <c r="E62" s="125">
        <v>0</v>
      </c>
      <c r="F62" s="125">
        <v>118984</v>
      </c>
      <c r="G62" s="125">
        <v>53177</v>
      </c>
      <c r="H62" s="125">
        <v>1295</v>
      </c>
      <c r="I62" s="125">
        <v>7073</v>
      </c>
      <c r="J62" s="125">
        <v>0</v>
      </c>
    </row>
    <row r="63" spans="1:10" ht="15" x14ac:dyDescent="0.25">
      <c r="A63" s="124" t="s">
        <v>68</v>
      </c>
      <c r="B63" s="124" t="s">
        <v>472</v>
      </c>
      <c r="C63" s="124" t="s">
        <v>470</v>
      </c>
      <c r="D63" s="125">
        <v>22156</v>
      </c>
      <c r="E63" s="125">
        <v>0</v>
      </c>
      <c r="F63" s="125">
        <v>870</v>
      </c>
      <c r="G63" s="125">
        <v>0</v>
      </c>
      <c r="H63" s="125">
        <v>0</v>
      </c>
      <c r="I63" s="125">
        <v>0</v>
      </c>
      <c r="J63" s="125">
        <v>0</v>
      </c>
    </row>
    <row r="64" spans="1:10" ht="15" x14ac:dyDescent="0.25">
      <c r="A64" s="124" t="s">
        <v>69</v>
      </c>
      <c r="B64" s="124" t="s">
        <v>473</v>
      </c>
      <c r="C64" s="124" t="s">
        <v>470</v>
      </c>
      <c r="D64" s="125">
        <v>146240</v>
      </c>
      <c r="E64" s="125">
        <v>0</v>
      </c>
      <c r="F64" s="125">
        <v>12084</v>
      </c>
      <c r="G64" s="125">
        <v>311</v>
      </c>
      <c r="H64" s="125">
        <v>0</v>
      </c>
      <c r="I64" s="125">
        <v>0</v>
      </c>
      <c r="J64" s="125">
        <v>0</v>
      </c>
    </row>
    <row r="65" spans="1:10" ht="15" x14ac:dyDescent="0.25">
      <c r="A65" s="124" t="s">
        <v>70</v>
      </c>
      <c r="B65" s="124" t="s">
        <v>474</v>
      </c>
      <c r="C65" s="124" t="s">
        <v>475</v>
      </c>
      <c r="D65" s="125">
        <v>1058179</v>
      </c>
      <c r="E65" s="125">
        <v>137583</v>
      </c>
      <c r="F65" s="125">
        <v>187367</v>
      </c>
      <c r="G65" s="125">
        <v>2239</v>
      </c>
      <c r="H65" s="125">
        <v>0</v>
      </c>
      <c r="I65" s="125">
        <v>0</v>
      </c>
      <c r="J65" s="125">
        <v>68745</v>
      </c>
    </row>
    <row r="66" spans="1:10" ht="15" x14ac:dyDescent="0.25">
      <c r="A66" s="124" t="s">
        <v>71</v>
      </c>
      <c r="B66" s="124" t="s">
        <v>476</v>
      </c>
      <c r="C66" s="124" t="s">
        <v>475</v>
      </c>
      <c r="D66" s="125">
        <v>447721</v>
      </c>
      <c r="E66" s="125">
        <v>0</v>
      </c>
      <c r="F66" s="125">
        <v>101193</v>
      </c>
      <c r="G66" s="125">
        <v>1493</v>
      </c>
      <c r="H66" s="123">
        <v>0</v>
      </c>
      <c r="I66" s="123">
        <v>0</v>
      </c>
      <c r="J66" s="125">
        <v>26193</v>
      </c>
    </row>
    <row r="67" spans="1:10" ht="15" x14ac:dyDescent="0.25">
      <c r="A67" s="124" t="s">
        <v>72</v>
      </c>
      <c r="B67" s="124" t="s">
        <v>477</v>
      </c>
      <c r="C67" s="124" t="s">
        <v>475</v>
      </c>
      <c r="D67" s="125">
        <v>73925</v>
      </c>
      <c r="E67" s="125">
        <v>0</v>
      </c>
      <c r="F67" s="125">
        <v>6454</v>
      </c>
      <c r="G67" s="125">
        <v>0</v>
      </c>
      <c r="H67" s="125">
        <v>0</v>
      </c>
      <c r="I67" s="125">
        <v>0</v>
      </c>
      <c r="J67" s="125">
        <v>0</v>
      </c>
    </row>
    <row r="68" spans="1:10" ht="15" x14ac:dyDescent="0.25">
      <c r="A68" s="124" t="s">
        <v>73</v>
      </c>
      <c r="B68" s="124" t="s">
        <v>478</v>
      </c>
      <c r="C68" s="124" t="s">
        <v>479</v>
      </c>
      <c r="D68" s="125">
        <v>555726</v>
      </c>
      <c r="E68" s="125">
        <v>0</v>
      </c>
      <c r="F68" s="125">
        <v>118797</v>
      </c>
      <c r="G68" s="125">
        <v>109029</v>
      </c>
      <c r="H68" s="125">
        <v>4230</v>
      </c>
      <c r="I68" s="125">
        <v>23105</v>
      </c>
      <c r="J68" s="125">
        <v>0</v>
      </c>
    </row>
    <row r="69" spans="1:10" ht="15" x14ac:dyDescent="0.25">
      <c r="A69" s="124" t="s">
        <v>74</v>
      </c>
      <c r="B69" s="124" t="s">
        <v>480</v>
      </c>
      <c r="C69" s="124" t="s">
        <v>479</v>
      </c>
      <c r="D69" s="125">
        <v>619654</v>
      </c>
      <c r="E69" s="125">
        <v>0</v>
      </c>
      <c r="F69" s="125">
        <v>125560</v>
      </c>
      <c r="G69" s="125">
        <v>54421</v>
      </c>
      <c r="H69" s="125">
        <v>1036</v>
      </c>
      <c r="I69" s="125">
        <v>5658</v>
      </c>
      <c r="J69" s="125">
        <v>0</v>
      </c>
    </row>
    <row r="70" spans="1:10" ht="15" x14ac:dyDescent="0.25">
      <c r="A70" s="124" t="s">
        <v>75</v>
      </c>
      <c r="B70" s="124" t="s">
        <v>253</v>
      </c>
      <c r="C70" s="124" t="s">
        <v>479</v>
      </c>
      <c r="D70" s="125">
        <v>216322</v>
      </c>
      <c r="E70" s="125">
        <v>0</v>
      </c>
      <c r="F70" s="125">
        <v>27861</v>
      </c>
      <c r="G70" s="125">
        <v>12564</v>
      </c>
      <c r="H70" s="125">
        <v>0</v>
      </c>
      <c r="I70" s="125">
        <v>0</v>
      </c>
      <c r="J70" s="125">
        <v>18169</v>
      </c>
    </row>
    <row r="71" spans="1:10" ht="15" x14ac:dyDescent="0.25">
      <c r="A71" s="124" t="s">
        <v>76</v>
      </c>
      <c r="B71" s="124" t="s">
        <v>481</v>
      </c>
      <c r="C71" s="124" t="s">
        <v>482</v>
      </c>
      <c r="D71" s="125">
        <v>11485</v>
      </c>
      <c r="E71" s="125">
        <v>0</v>
      </c>
      <c r="F71" s="125">
        <v>10933</v>
      </c>
      <c r="G71" s="125">
        <v>0</v>
      </c>
      <c r="H71" s="125">
        <v>0</v>
      </c>
      <c r="I71" s="125">
        <v>0</v>
      </c>
      <c r="J71" s="125">
        <v>0</v>
      </c>
    </row>
    <row r="72" spans="1:10" ht="15" x14ac:dyDescent="0.25">
      <c r="A72" s="124" t="s">
        <v>77</v>
      </c>
      <c r="B72" s="124" t="s">
        <v>483</v>
      </c>
      <c r="C72" s="124" t="s">
        <v>484</v>
      </c>
      <c r="D72" s="125">
        <v>85077</v>
      </c>
      <c r="E72" s="125">
        <v>0</v>
      </c>
      <c r="F72" s="125">
        <v>19354</v>
      </c>
      <c r="G72" s="125">
        <v>2488</v>
      </c>
      <c r="H72" s="125">
        <v>0</v>
      </c>
      <c r="I72" s="125">
        <v>0</v>
      </c>
      <c r="J72" s="125">
        <v>0</v>
      </c>
    </row>
    <row r="73" spans="1:10" ht="15" x14ac:dyDescent="0.25">
      <c r="A73" s="124" t="s">
        <v>78</v>
      </c>
      <c r="B73" s="124" t="s">
        <v>256</v>
      </c>
      <c r="C73" s="124" t="s">
        <v>484</v>
      </c>
      <c r="D73" s="125">
        <v>172435</v>
      </c>
      <c r="E73" s="125">
        <v>0</v>
      </c>
      <c r="F73" s="125">
        <v>27572</v>
      </c>
      <c r="G73" s="125">
        <v>7215</v>
      </c>
      <c r="H73" s="125">
        <v>0</v>
      </c>
      <c r="I73" s="125">
        <v>0</v>
      </c>
      <c r="J73" s="125">
        <v>0</v>
      </c>
    </row>
    <row r="74" spans="1:10" ht="15" x14ac:dyDescent="0.25">
      <c r="A74" s="124" t="s">
        <v>79</v>
      </c>
      <c r="B74" s="124" t="s">
        <v>485</v>
      </c>
      <c r="C74" s="124" t="s">
        <v>486</v>
      </c>
      <c r="D74" s="125">
        <v>277596</v>
      </c>
      <c r="E74" s="125">
        <v>0</v>
      </c>
      <c r="F74" s="125">
        <v>58240</v>
      </c>
      <c r="G74" s="125">
        <v>10573</v>
      </c>
      <c r="H74" s="125">
        <v>0</v>
      </c>
      <c r="I74" s="125">
        <v>0</v>
      </c>
      <c r="J74" s="125">
        <v>0</v>
      </c>
    </row>
    <row r="75" spans="1:10" ht="15" x14ac:dyDescent="0.25">
      <c r="A75" s="124" t="s">
        <v>80</v>
      </c>
      <c r="B75" s="124" t="s">
        <v>487</v>
      </c>
      <c r="C75" s="124" t="s">
        <v>488</v>
      </c>
      <c r="D75" s="125">
        <v>24539</v>
      </c>
      <c r="E75" s="125">
        <v>0</v>
      </c>
      <c r="F75" s="125">
        <v>4042</v>
      </c>
      <c r="G75" s="125">
        <v>187</v>
      </c>
      <c r="H75" s="125">
        <v>0</v>
      </c>
      <c r="I75" s="125">
        <v>0</v>
      </c>
      <c r="J75" s="125">
        <v>0</v>
      </c>
    </row>
    <row r="76" spans="1:10" ht="15" x14ac:dyDescent="0.25">
      <c r="A76" s="124" t="s">
        <v>81</v>
      </c>
      <c r="B76" s="124" t="s">
        <v>489</v>
      </c>
      <c r="C76" s="124" t="s">
        <v>490</v>
      </c>
      <c r="D76" s="125">
        <v>289633</v>
      </c>
      <c r="E76" s="125">
        <v>0</v>
      </c>
      <c r="F76" s="125">
        <v>63831</v>
      </c>
      <c r="G76" s="125">
        <v>746</v>
      </c>
      <c r="H76" s="125">
        <v>0</v>
      </c>
      <c r="I76" s="125">
        <v>0</v>
      </c>
      <c r="J76" s="125">
        <v>0</v>
      </c>
    </row>
    <row r="77" spans="1:10" ht="15" x14ac:dyDescent="0.25">
      <c r="A77" s="124" t="s">
        <v>82</v>
      </c>
      <c r="B77" s="124" t="s">
        <v>491</v>
      </c>
      <c r="C77" s="124" t="s">
        <v>490</v>
      </c>
      <c r="D77" s="125">
        <v>28787</v>
      </c>
      <c r="E77" s="125">
        <v>0</v>
      </c>
      <c r="F77" s="125">
        <v>15280</v>
      </c>
      <c r="G77" s="125">
        <v>0</v>
      </c>
      <c r="H77" s="125">
        <v>0</v>
      </c>
      <c r="I77" s="125">
        <v>0</v>
      </c>
      <c r="J77" s="125">
        <v>0</v>
      </c>
    </row>
    <row r="78" spans="1:10" ht="15" x14ac:dyDescent="0.25">
      <c r="A78" s="124" t="s">
        <v>83</v>
      </c>
      <c r="B78" s="124" t="s">
        <v>261</v>
      </c>
      <c r="C78" s="124" t="s">
        <v>492</v>
      </c>
      <c r="D78" s="125">
        <v>39900</v>
      </c>
      <c r="E78" s="125">
        <v>0</v>
      </c>
      <c r="F78" s="125">
        <v>11116</v>
      </c>
      <c r="G78" s="125">
        <v>1244</v>
      </c>
      <c r="H78" s="125">
        <v>0</v>
      </c>
      <c r="I78" s="125">
        <v>0</v>
      </c>
      <c r="J78" s="125">
        <v>0</v>
      </c>
    </row>
    <row r="79" spans="1:10" ht="15" x14ac:dyDescent="0.25">
      <c r="A79" s="124" t="s">
        <v>84</v>
      </c>
      <c r="B79" s="124" t="s">
        <v>262</v>
      </c>
      <c r="C79" s="124" t="s">
        <v>493</v>
      </c>
      <c r="D79" s="125">
        <v>11137945</v>
      </c>
      <c r="E79" s="125">
        <v>36689</v>
      </c>
      <c r="F79" s="125">
        <v>1901702</v>
      </c>
      <c r="G79" s="125">
        <v>411548</v>
      </c>
      <c r="H79" s="125">
        <v>0</v>
      </c>
      <c r="I79" s="125">
        <v>0</v>
      </c>
      <c r="J79" s="125">
        <v>0</v>
      </c>
    </row>
    <row r="80" spans="1:10" ht="15" x14ac:dyDescent="0.25">
      <c r="A80" s="124" t="s">
        <v>85</v>
      </c>
      <c r="B80" s="124" t="s">
        <v>494</v>
      </c>
      <c r="C80" s="124" t="s">
        <v>495</v>
      </c>
      <c r="D80" s="125">
        <v>24780</v>
      </c>
      <c r="E80" s="125">
        <v>0</v>
      </c>
      <c r="F80" s="125">
        <v>11912</v>
      </c>
      <c r="G80" s="125">
        <v>0</v>
      </c>
      <c r="H80" s="125">
        <v>0</v>
      </c>
      <c r="I80" s="125">
        <v>0</v>
      </c>
      <c r="J80" s="125">
        <v>0</v>
      </c>
    </row>
    <row r="81" spans="1:10" ht="15" x14ac:dyDescent="0.25">
      <c r="A81" s="124" t="s">
        <v>86</v>
      </c>
      <c r="B81" s="124" t="s">
        <v>496</v>
      </c>
      <c r="C81" s="124" t="s">
        <v>495</v>
      </c>
      <c r="D81" s="125">
        <v>13620</v>
      </c>
      <c r="E81" s="125">
        <v>0</v>
      </c>
      <c r="F81" s="125">
        <v>878</v>
      </c>
      <c r="G81" s="125">
        <v>0</v>
      </c>
      <c r="H81" s="125">
        <v>0</v>
      </c>
      <c r="I81" s="125">
        <v>0</v>
      </c>
      <c r="J81" s="125">
        <v>0</v>
      </c>
    </row>
    <row r="82" spans="1:10" ht="15" x14ac:dyDescent="0.25">
      <c r="A82" s="124" t="s">
        <v>87</v>
      </c>
      <c r="B82" s="124" t="s">
        <v>265</v>
      </c>
      <c r="C82" s="124" t="s">
        <v>497</v>
      </c>
      <c r="D82" s="125">
        <v>37403</v>
      </c>
      <c r="E82" s="125">
        <v>0</v>
      </c>
      <c r="F82" s="125">
        <v>11174</v>
      </c>
      <c r="G82" s="125">
        <v>0</v>
      </c>
      <c r="H82" s="125">
        <v>0</v>
      </c>
      <c r="I82" s="125">
        <v>0</v>
      </c>
      <c r="J82" s="125">
        <v>0</v>
      </c>
    </row>
    <row r="83" spans="1:10" ht="15" x14ac:dyDescent="0.25">
      <c r="A83" s="124" t="s">
        <v>88</v>
      </c>
      <c r="B83" s="124" t="s">
        <v>266</v>
      </c>
      <c r="C83" s="124" t="s">
        <v>497</v>
      </c>
      <c r="D83" s="125">
        <v>22333</v>
      </c>
      <c r="E83" s="125">
        <v>0</v>
      </c>
      <c r="F83" s="125">
        <v>4350</v>
      </c>
      <c r="G83" s="125">
        <v>249</v>
      </c>
      <c r="H83" s="125">
        <v>0</v>
      </c>
      <c r="I83" s="125">
        <v>0</v>
      </c>
      <c r="J83" s="125">
        <v>0</v>
      </c>
    </row>
    <row r="84" spans="1:10" ht="15" x14ac:dyDescent="0.25">
      <c r="A84" s="124" t="s">
        <v>89</v>
      </c>
      <c r="B84" s="124" t="s">
        <v>267</v>
      </c>
      <c r="C84" s="124" t="s">
        <v>497</v>
      </c>
      <c r="D84" s="125">
        <v>35451</v>
      </c>
      <c r="E84" s="125">
        <v>0</v>
      </c>
      <c r="F84" s="125">
        <v>9204</v>
      </c>
      <c r="G84" s="125">
        <v>1306</v>
      </c>
      <c r="H84" s="125">
        <v>0</v>
      </c>
      <c r="I84" s="125">
        <v>0</v>
      </c>
      <c r="J84" s="125">
        <v>0</v>
      </c>
    </row>
    <row r="85" spans="1:10" ht="15" x14ac:dyDescent="0.25">
      <c r="A85" s="124" t="s">
        <v>90</v>
      </c>
      <c r="B85" s="124" t="s">
        <v>268</v>
      </c>
      <c r="C85" s="124" t="s">
        <v>497</v>
      </c>
      <c r="D85" s="125">
        <v>28638</v>
      </c>
      <c r="E85" s="125">
        <v>0</v>
      </c>
      <c r="F85" s="125">
        <v>3765</v>
      </c>
      <c r="G85" s="125">
        <v>1990</v>
      </c>
      <c r="H85" s="125">
        <v>0</v>
      </c>
      <c r="I85" s="125">
        <v>0</v>
      </c>
      <c r="J85" s="125">
        <v>0</v>
      </c>
    </row>
    <row r="86" spans="1:10" ht="15" x14ac:dyDescent="0.25">
      <c r="A86" s="124" t="s">
        <v>91</v>
      </c>
      <c r="B86" s="124" t="s">
        <v>498</v>
      </c>
      <c r="C86" s="124" t="s">
        <v>497</v>
      </c>
      <c r="D86" s="125">
        <v>103490</v>
      </c>
      <c r="E86" s="125">
        <v>0</v>
      </c>
      <c r="F86" s="125">
        <v>31869</v>
      </c>
      <c r="G86" s="125">
        <v>10573</v>
      </c>
      <c r="H86" s="125">
        <v>0</v>
      </c>
      <c r="I86" s="125">
        <v>0</v>
      </c>
      <c r="J86" s="125">
        <v>0</v>
      </c>
    </row>
    <row r="87" spans="1:10" ht="15" x14ac:dyDescent="0.25">
      <c r="A87" s="124" t="s">
        <v>92</v>
      </c>
      <c r="B87" s="124" t="s">
        <v>270</v>
      </c>
      <c r="C87" s="124" t="s">
        <v>499</v>
      </c>
      <c r="D87" s="125">
        <v>273952</v>
      </c>
      <c r="E87" s="125">
        <v>0</v>
      </c>
      <c r="F87" s="125">
        <v>43594</v>
      </c>
      <c r="G87" s="125">
        <v>24505</v>
      </c>
      <c r="H87" s="125">
        <v>0</v>
      </c>
      <c r="I87" s="125">
        <v>0</v>
      </c>
      <c r="J87" s="125">
        <v>18745</v>
      </c>
    </row>
    <row r="88" spans="1:10" ht="15" x14ac:dyDescent="0.25">
      <c r="A88" s="124" t="s">
        <v>93</v>
      </c>
      <c r="B88" s="124" t="s">
        <v>271</v>
      </c>
      <c r="C88" s="124" t="s">
        <v>500</v>
      </c>
      <c r="D88" s="125">
        <v>492375</v>
      </c>
      <c r="E88" s="125">
        <v>3830</v>
      </c>
      <c r="F88" s="125">
        <v>165802</v>
      </c>
      <c r="G88" s="125">
        <v>12937</v>
      </c>
      <c r="H88" s="125">
        <v>0</v>
      </c>
      <c r="I88" s="125">
        <v>0</v>
      </c>
      <c r="J88" s="125">
        <v>0</v>
      </c>
    </row>
    <row r="89" spans="1:10" ht="15" x14ac:dyDescent="0.25">
      <c r="A89" s="124" t="s">
        <v>94</v>
      </c>
      <c r="B89" s="124" t="s">
        <v>501</v>
      </c>
      <c r="C89" s="124" t="s">
        <v>500</v>
      </c>
      <c r="D89" s="125">
        <v>88806</v>
      </c>
      <c r="E89" s="125">
        <v>0</v>
      </c>
      <c r="F89" s="125">
        <v>29240</v>
      </c>
      <c r="G89" s="125">
        <v>0</v>
      </c>
      <c r="H89" s="125">
        <v>345</v>
      </c>
      <c r="I89" s="125">
        <v>1886</v>
      </c>
      <c r="J89" s="125">
        <v>0</v>
      </c>
    </row>
    <row r="90" spans="1:10" ht="15" x14ac:dyDescent="0.25">
      <c r="A90" s="124" t="s">
        <v>95</v>
      </c>
      <c r="B90" s="124" t="s">
        <v>502</v>
      </c>
      <c r="C90" s="124" t="s">
        <v>500</v>
      </c>
      <c r="D90" s="125">
        <v>177474</v>
      </c>
      <c r="E90" s="125">
        <v>0</v>
      </c>
      <c r="F90" s="125">
        <v>51208</v>
      </c>
      <c r="G90" s="125">
        <v>0</v>
      </c>
      <c r="H90" s="125">
        <v>0</v>
      </c>
      <c r="I90" s="125">
        <v>0</v>
      </c>
      <c r="J90" s="125">
        <v>15103</v>
      </c>
    </row>
    <row r="91" spans="1:10" ht="15" x14ac:dyDescent="0.25">
      <c r="A91" s="124" t="s">
        <v>96</v>
      </c>
      <c r="B91" s="124" t="s">
        <v>274</v>
      </c>
      <c r="C91" s="124" t="s">
        <v>503</v>
      </c>
      <c r="D91" s="125">
        <v>2746985</v>
      </c>
      <c r="E91" s="125">
        <v>47237</v>
      </c>
      <c r="F91" s="125">
        <v>680174</v>
      </c>
      <c r="G91" s="125">
        <v>128994</v>
      </c>
      <c r="H91" s="125">
        <v>0</v>
      </c>
      <c r="I91" s="125">
        <v>0</v>
      </c>
      <c r="J91" s="125">
        <v>0</v>
      </c>
    </row>
    <row r="92" spans="1:10" ht="15" x14ac:dyDescent="0.25">
      <c r="A92" s="124" t="s">
        <v>97</v>
      </c>
      <c r="B92" s="124" t="s">
        <v>504</v>
      </c>
      <c r="C92" s="124" t="s">
        <v>503</v>
      </c>
      <c r="D92" s="125">
        <v>1592294</v>
      </c>
      <c r="E92" s="125">
        <v>0</v>
      </c>
      <c r="F92" s="125">
        <v>350837</v>
      </c>
      <c r="G92" s="125">
        <v>35452</v>
      </c>
      <c r="H92" s="125">
        <v>0</v>
      </c>
      <c r="I92" s="125">
        <v>0</v>
      </c>
      <c r="J92" s="125">
        <v>0</v>
      </c>
    </row>
    <row r="93" spans="1:10" ht="15" x14ac:dyDescent="0.25">
      <c r="A93" s="124" t="s">
        <v>98</v>
      </c>
      <c r="B93" s="124" t="s">
        <v>505</v>
      </c>
      <c r="C93" s="124" t="s">
        <v>503</v>
      </c>
      <c r="D93" s="125">
        <v>83878</v>
      </c>
      <c r="E93" s="125">
        <v>0</v>
      </c>
      <c r="F93" s="125">
        <v>39492</v>
      </c>
      <c r="G93" s="125">
        <v>11817</v>
      </c>
      <c r="H93" s="125">
        <v>0</v>
      </c>
      <c r="I93" s="125">
        <v>0</v>
      </c>
      <c r="J93" s="125">
        <v>0</v>
      </c>
    </row>
    <row r="94" spans="1:10" ht="15" x14ac:dyDescent="0.25">
      <c r="A94" s="124" t="s">
        <v>99</v>
      </c>
      <c r="B94" s="124" t="s">
        <v>277</v>
      </c>
      <c r="C94" s="124" t="s">
        <v>506</v>
      </c>
      <c r="D94" s="125">
        <v>366181</v>
      </c>
      <c r="E94" s="125">
        <v>0</v>
      </c>
      <c r="F94" s="125">
        <v>114895</v>
      </c>
      <c r="G94" s="125">
        <v>2674</v>
      </c>
      <c r="H94" s="125">
        <v>0</v>
      </c>
      <c r="I94" s="125">
        <v>0</v>
      </c>
      <c r="J94" s="125">
        <v>0</v>
      </c>
    </row>
    <row r="95" spans="1:10" ht="15" x14ac:dyDescent="0.25">
      <c r="A95" s="124" t="s">
        <v>100</v>
      </c>
      <c r="B95" s="124" t="s">
        <v>278</v>
      </c>
      <c r="C95" s="124" t="s">
        <v>506</v>
      </c>
      <c r="D95" s="125">
        <v>32573</v>
      </c>
      <c r="E95" s="125">
        <v>0</v>
      </c>
      <c r="F95" s="125">
        <v>9054</v>
      </c>
      <c r="G95" s="125">
        <v>187</v>
      </c>
      <c r="H95" s="125">
        <v>0</v>
      </c>
      <c r="I95" s="125">
        <v>0</v>
      </c>
      <c r="J95" s="125">
        <v>0</v>
      </c>
    </row>
    <row r="96" spans="1:10" ht="15" x14ac:dyDescent="0.25">
      <c r="A96" s="124" t="s">
        <v>101</v>
      </c>
      <c r="B96" s="124" t="s">
        <v>279</v>
      </c>
      <c r="C96" s="124" t="s">
        <v>506</v>
      </c>
      <c r="D96" s="125">
        <v>34711</v>
      </c>
      <c r="E96" s="125">
        <v>0</v>
      </c>
      <c r="F96" s="125">
        <v>12530</v>
      </c>
      <c r="G96" s="125">
        <v>373</v>
      </c>
      <c r="H96" s="125">
        <v>0</v>
      </c>
      <c r="I96" s="125">
        <v>0</v>
      </c>
      <c r="J96" s="125">
        <v>0</v>
      </c>
    </row>
    <row r="97" spans="1:10" ht="15" x14ac:dyDescent="0.25">
      <c r="A97" s="124" t="s">
        <v>102</v>
      </c>
      <c r="B97" s="124" t="s">
        <v>507</v>
      </c>
      <c r="C97" s="124" t="s">
        <v>506</v>
      </c>
      <c r="D97" s="125">
        <v>94315</v>
      </c>
      <c r="E97" s="125">
        <v>0</v>
      </c>
      <c r="F97" s="125">
        <v>18199</v>
      </c>
      <c r="G97" s="125">
        <v>187</v>
      </c>
      <c r="H97" s="125">
        <v>0</v>
      </c>
      <c r="I97" s="125">
        <v>0</v>
      </c>
      <c r="J97" s="125">
        <v>0</v>
      </c>
    </row>
    <row r="98" spans="1:10" ht="15" x14ac:dyDescent="0.25">
      <c r="A98" s="124" t="s">
        <v>103</v>
      </c>
      <c r="B98" s="124" t="s">
        <v>281</v>
      </c>
      <c r="C98" s="124" t="s">
        <v>506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</row>
    <row r="99" spans="1:10" ht="15" x14ac:dyDescent="0.25">
      <c r="A99" s="124" t="s">
        <v>104</v>
      </c>
      <c r="B99" s="124" t="s">
        <v>282</v>
      </c>
      <c r="C99" s="124" t="s">
        <v>506</v>
      </c>
      <c r="D99" s="125">
        <v>1541</v>
      </c>
      <c r="E99" s="125">
        <v>0</v>
      </c>
      <c r="F99" s="125">
        <v>5204</v>
      </c>
      <c r="G99" s="125">
        <v>0</v>
      </c>
      <c r="H99" s="125">
        <v>0</v>
      </c>
      <c r="I99" s="125">
        <v>0</v>
      </c>
      <c r="J99" s="125">
        <v>0</v>
      </c>
    </row>
    <row r="100" spans="1:10" ht="15" x14ac:dyDescent="0.25">
      <c r="A100" s="124" t="s">
        <v>105</v>
      </c>
      <c r="B100" s="124" t="s">
        <v>283</v>
      </c>
      <c r="C100" s="124" t="s">
        <v>508</v>
      </c>
      <c r="D100" s="125">
        <v>38757</v>
      </c>
      <c r="E100" s="125">
        <v>0</v>
      </c>
      <c r="F100" s="125">
        <v>11442</v>
      </c>
      <c r="G100" s="125">
        <v>0</v>
      </c>
      <c r="H100" s="125">
        <v>0</v>
      </c>
      <c r="I100" s="125">
        <v>0</v>
      </c>
      <c r="J100" s="125">
        <v>0</v>
      </c>
    </row>
    <row r="101" spans="1:10" ht="15" x14ac:dyDescent="0.25">
      <c r="A101" s="124" t="s">
        <v>106</v>
      </c>
      <c r="B101" s="124" t="s">
        <v>509</v>
      </c>
      <c r="C101" s="124" t="s">
        <v>508</v>
      </c>
      <c r="D101" s="125">
        <v>78445</v>
      </c>
      <c r="E101" s="125">
        <v>0</v>
      </c>
      <c r="F101" s="125">
        <v>19317</v>
      </c>
      <c r="G101" s="125">
        <v>1306</v>
      </c>
      <c r="H101" s="125">
        <v>0</v>
      </c>
      <c r="I101" s="125">
        <v>0</v>
      </c>
      <c r="J101" s="125">
        <v>0</v>
      </c>
    </row>
    <row r="102" spans="1:10" ht="15" x14ac:dyDescent="0.25">
      <c r="A102" s="124" t="s">
        <v>107</v>
      </c>
      <c r="B102" s="124" t="s">
        <v>510</v>
      </c>
      <c r="C102" s="124" t="s">
        <v>508</v>
      </c>
      <c r="D102" s="125">
        <v>16185</v>
      </c>
      <c r="E102" s="125">
        <v>0</v>
      </c>
      <c r="F102" s="125">
        <v>3350</v>
      </c>
      <c r="G102" s="125">
        <v>0</v>
      </c>
      <c r="H102" s="125">
        <v>0</v>
      </c>
      <c r="I102" s="125">
        <v>0</v>
      </c>
      <c r="J102" s="125">
        <v>0</v>
      </c>
    </row>
    <row r="103" spans="1:10" ht="15" x14ac:dyDescent="0.25">
      <c r="A103" s="124" t="s">
        <v>108</v>
      </c>
      <c r="B103" s="124" t="s">
        <v>511</v>
      </c>
      <c r="C103" s="124" t="s">
        <v>512</v>
      </c>
      <c r="D103" s="125">
        <v>428678</v>
      </c>
      <c r="E103" s="125">
        <v>0</v>
      </c>
      <c r="F103" s="125">
        <v>121938</v>
      </c>
      <c r="G103" s="125">
        <v>7339</v>
      </c>
      <c r="H103" s="125">
        <v>0</v>
      </c>
      <c r="I103" s="125">
        <v>0</v>
      </c>
      <c r="J103" s="125">
        <v>0</v>
      </c>
    </row>
    <row r="104" spans="1:10" ht="15" x14ac:dyDescent="0.25">
      <c r="A104" s="124" t="s">
        <v>109</v>
      </c>
      <c r="B104" s="124" t="s">
        <v>513</v>
      </c>
      <c r="C104" s="124" t="s">
        <v>512</v>
      </c>
      <c r="D104" s="125">
        <v>31736</v>
      </c>
      <c r="E104" s="125">
        <v>0</v>
      </c>
      <c r="F104" s="125">
        <v>5824</v>
      </c>
      <c r="G104" s="125">
        <v>0</v>
      </c>
      <c r="H104" s="125">
        <v>0</v>
      </c>
      <c r="I104" s="125">
        <v>0</v>
      </c>
      <c r="J104" s="125">
        <v>0</v>
      </c>
    </row>
    <row r="105" spans="1:10" ht="15" x14ac:dyDescent="0.25">
      <c r="A105" s="124" t="s">
        <v>110</v>
      </c>
      <c r="B105" s="124" t="s">
        <v>514</v>
      </c>
      <c r="C105" s="124" t="s">
        <v>512</v>
      </c>
      <c r="D105" s="125">
        <v>22176</v>
      </c>
      <c r="E105" s="125">
        <v>0</v>
      </c>
      <c r="F105" s="125">
        <v>7606</v>
      </c>
      <c r="G105" s="125">
        <v>0</v>
      </c>
      <c r="H105" s="125">
        <v>0</v>
      </c>
      <c r="I105" s="125">
        <v>0</v>
      </c>
      <c r="J105" s="125">
        <v>0</v>
      </c>
    </row>
    <row r="106" spans="1:10" ht="15" x14ac:dyDescent="0.25">
      <c r="A106" s="124" t="s">
        <v>111</v>
      </c>
      <c r="B106" s="124" t="s">
        <v>515</v>
      </c>
      <c r="C106" s="124" t="s">
        <v>512</v>
      </c>
      <c r="D106" s="125">
        <v>2101</v>
      </c>
      <c r="E106" s="125">
        <v>0</v>
      </c>
      <c r="F106" s="125">
        <v>5221</v>
      </c>
      <c r="G106" s="125">
        <v>0</v>
      </c>
      <c r="H106" s="125">
        <v>0</v>
      </c>
      <c r="I106" s="125">
        <v>0</v>
      </c>
      <c r="J106" s="125">
        <v>0</v>
      </c>
    </row>
    <row r="107" spans="1:10" ht="15" x14ac:dyDescent="0.25">
      <c r="A107" s="124" t="s">
        <v>112</v>
      </c>
      <c r="B107" s="124" t="s">
        <v>516</v>
      </c>
      <c r="C107" s="124" t="s">
        <v>517</v>
      </c>
      <c r="D107" s="125">
        <v>22779</v>
      </c>
      <c r="E107" s="125">
        <v>0</v>
      </c>
      <c r="F107" s="125">
        <v>5993</v>
      </c>
      <c r="G107" s="125">
        <v>0</v>
      </c>
      <c r="H107" s="125">
        <v>0</v>
      </c>
      <c r="I107" s="125">
        <v>0</v>
      </c>
      <c r="J107" s="125">
        <v>0</v>
      </c>
    </row>
    <row r="108" spans="1:10" x14ac:dyDescent="0.3">
      <c r="A108" s="124" t="s">
        <v>113</v>
      </c>
      <c r="B108" s="124" t="s">
        <v>291</v>
      </c>
      <c r="C108" s="124" t="s">
        <v>517</v>
      </c>
      <c r="D108" s="125">
        <v>83549</v>
      </c>
      <c r="E108" s="125">
        <v>0</v>
      </c>
      <c r="F108" s="125">
        <v>16976</v>
      </c>
      <c r="G108" s="125">
        <v>0</v>
      </c>
      <c r="H108" s="125">
        <v>0</v>
      </c>
      <c r="I108" s="125">
        <v>0</v>
      </c>
      <c r="J108" s="125">
        <v>0</v>
      </c>
    </row>
    <row r="109" spans="1:10" x14ac:dyDescent="0.3">
      <c r="A109" s="124" t="s">
        <v>114</v>
      </c>
      <c r="B109" s="124" t="s">
        <v>292</v>
      </c>
      <c r="C109" s="124" t="s">
        <v>517</v>
      </c>
      <c r="D109" s="125">
        <v>4214972</v>
      </c>
      <c r="E109" s="125">
        <v>30576</v>
      </c>
      <c r="F109" s="125">
        <v>792610</v>
      </c>
      <c r="G109" s="125">
        <v>72334</v>
      </c>
      <c r="H109" s="125">
        <v>0</v>
      </c>
      <c r="I109" s="125">
        <v>0</v>
      </c>
      <c r="J109" s="125">
        <v>0</v>
      </c>
    </row>
    <row r="110" spans="1:10" x14ac:dyDescent="0.3">
      <c r="A110" s="124" t="s">
        <v>115</v>
      </c>
      <c r="B110" s="124" t="s">
        <v>518</v>
      </c>
      <c r="C110" s="124" t="s">
        <v>519</v>
      </c>
      <c r="D110" s="125">
        <v>1387</v>
      </c>
      <c r="E110" s="125">
        <v>0</v>
      </c>
      <c r="F110" s="125">
        <v>4360</v>
      </c>
      <c r="G110" s="125">
        <v>0</v>
      </c>
      <c r="H110" s="125">
        <v>0</v>
      </c>
      <c r="I110" s="125">
        <v>0</v>
      </c>
      <c r="J110" s="125">
        <v>0</v>
      </c>
    </row>
    <row r="111" spans="1:10" x14ac:dyDescent="0.3">
      <c r="A111" s="124" t="s">
        <v>116</v>
      </c>
      <c r="B111" s="124" t="s">
        <v>520</v>
      </c>
      <c r="C111" s="124" t="s">
        <v>521</v>
      </c>
      <c r="D111" s="125">
        <v>244368</v>
      </c>
      <c r="E111" s="125">
        <v>0</v>
      </c>
      <c r="F111" s="125">
        <v>89859</v>
      </c>
      <c r="G111" s="125">
        <v>14056</v>
      </c>
      <c r="H111" s="125">
        <v>0</v>
      </c>
      <c r="I111" s="125">
        <v>0</v>
      </c>
      <c r="J111" s="125">
        <v>0</v>
      </c>
    </row>
    <row r="112" spans="1:10" x14ac:dyDescent="0.3">
      <c r="A112" s="124" t="s">
        <v>117</v>
      </c>
      <c r="B112" s="124" t="s">
        <v>522</v>
      </c>
      <c r="C112" s="124" t="s">
        <v>523</v>
      </c>
      <c r="D112" s="125">
        <v>808632</v>
      </c>
      <c r="E112" s="125">
        <v>0</v>
      </c>
      <c r="F112" s="125">
        <v>186156</v>
      </c>
      <c r="G112" s="125">
        <v>11133</v>
      </c>
      <c r="H112" s="125">
        <v>0</v>
      </c>
      <c r="I112" s="125">
        <v>0</v>
      </c>
      <c r="J112" s="125">
        <v>51111</v>
      </c>
    </row>
    <row r="113" spans="1:10" x14ac:dyDescent="0.3">
      <c r="A113" s="124" t="s">
        <v>118</v>
      </c>
      <c r="B113" s="124" t="s">
        <v>524</v>
      </c>
      <c r="C113" s="124" t="s">
        <v>523</v>
      </c>
      <c r="D113" s="125">
        <v>132124</v>
      </c>
      <c r="E113" s="125">
        <v>0</v>
      </c>
      <c r="F113" s="125">
        <v>24320</v>
      </c>
      <c r="G113" s="125">
        <v>0</v>
      </c>
      <c r="H113" s="125">
        <v>0</v>
      </c>
      <c r="I113" s="125">
        <v>0</v>
      </c>
      <c r="J113" s="125">
        <v>13951</v>
      </c>
    </row>
    <row r="114" spans="1:10" x14ac:dyDescent="0.3">
      <c r="A114" s="124" t="s">
        <v>119</v>
      </c>
      <c r="B114" s="124" t="s">
        <v>525</v>
      </c>
      <c r="C114" s="124" t="s">
        <v>523</v>
      </c>
      <c r="D114" s="125">
        <v>94676</v>
      </c>
      <c r="E114" s="125">
        <v>0</v>
      </c>
      <c r="F114" s="125">
        <v>22083</v>
      </c>
      <c r="G114" s="125">
        <v>0</v>
      </c>
      <c r="H114" s="125">
        <v>345</v>
      </c>
      <c r="I114" s="125">
        <v>1886</v>
      </c>
      <c r="J114" s="125">
        <v>0</v>
      </c>
    </row>
    <row r="115" spans="1:10" x14ac:dyDescent="0.3">
      <c r="A115" s="124" t="s">
        <v>120</v>
      </c>
      <c r="B115" s="124" t="s">
        <v>526</v>
      </c>
      <c r="C115" s="124" t="s">
        <v>527</v>
      </c>
      <c r="D115" s="125">
        <v>1266562</v>
      </c>
      <c r="E115" s="125">
        <v>0</v>
      </c>
      <c r="F115" s="125">
        <v>226556</v>
      </c>
      <c r="G115" s="125">
        <v>61885</v>
      </c>
      <c r="H115" s="125">
        <v>0</v>
      </c>
      <c r="I115" s="125">
        <v>0</v>
      </c>
      <c r="J115" s="125">
        <v>110906</v>
      </c>
    </row>
    <row r="116" spans="1:10" x14ac:dyDescent="0.3">
      <c r="A116" s="124" t="s">
        <v>121</v>
      </c>
      <c r="B116" s="124" t="s">
        <v>528</v>
      </c>
      <c r="C116" s="124" t="s">
        <v>527</v>
      </c>
      <c r="D116" s="125">
        <v>67345</v>
      </c>
      <c r="E116" s="125">
        <v>0</v>
      </c>
      <c r="F116" s="125">
        <v>18077</v>
      </c>
      <c r="G116" s="125">
        <v>435</v>
      </c>
      <c r="H116" s="125">
        <v>0</v>
      </c>
      <c r="I116" s="125">
        <v>0</v>
      </c>
      <c r="J116" s="125">
        <v>0</v>
      </c>
    </row>
    <row r="117" spans="1:10" x14ac:dyDescent="0.3">
      <c r="A117" s="124" t="s">
        <v>122</v>
      </c>
      <c r="B117" s="124" t="s">
        <v>529</v>
      </c>
      <c r="C117" s="124" t="s">
        <v>530</v>
      </c>
      <c r="D117" s="125">
        <v>206970</v>
      </c>
      <c r="E117" s="125">
        <v>0</v>
      </c>
      <c r="F117" s="125">
        <v>55409</v>
      </c>
      <c r="G117" s="125">
        <v>13496</v>
      </c>
      <c r="H117" s="125">
        <v>0</v>
      </c>
      <c r="I117" s="125">
        <v>0</v>
      </c>
      <c r="J117" s="125">
        <v>0</v>
      </c>
    </row>
    <row r="118" spans="1:10" x14ac:dyDescent="0.3">
      <c r="A118" s="124" t="s">
        <v>123</v>
      </c>
      <c r="B118" s="124" t="s">
        <v>531</v>
      </c>
      <c r="C118" s="124" t="s">
        <v>530</v>
      </c>
      <c r="D118" s="125">
        <v>589685</v>
      </c>
      <c r="E118" s="125">
        <v>0</v>
      </c>
      <c r="F118" s="125">
        <v>144585</v>
      </c>
      <c r="G118" s="125">
        <v>57718</v>
      </c>
      <c r="H118" s="125">
        <v>2590</v>
      </c>
      <c r="I118" s="125">
        <v>14146</v>
      </c>
      <c r="J118" s="125">
        <v>56667</v>
      </c>
    </row>
    <row r="119" spans="1:10" x14ac:dyDescent="0.3">
      <c r="A119" s="124" t="s">
        <v>124</v>
      </c>
      <c r="B119" s="124" t="s">
        <v>532</v>
      </c>
      <c r="C119" s="124" t="s">
        <v>530</v>
      </c>
      <c r="D119" s="125">
        <v>10363</v>
      </c>
      <c r="E119" s="125">
        <v>0</v>
      </c>
      <c r="F119" s="125">
        <v>6938</v>
      </c>
      <c r="G119" s="125">
        <v>124</v>
      </c>
      <c r="H119" s="125">
        <v>0</v>
      </c>
      <c r="I119" s="125">
        <v>0</v>
      </c>
      <c r="J119" s="125">
        <v>0</v>
      </c>
    </row>
    <row r="120" spans="1:10" x14ac:dyDescent="0.3">
      <c r="A120" s="124" t="s">
        <v>125</v>
      </c>
      <c r="B120" s="124" t="s">
        <v>533</v>
      </c>
      <c r="C120" s="124" t="s">
        <v>530</v>
      </c>
      <c r="D120" s="125">
        <v>84209</v>
      </c>
      <c r="E120" s="125">
        <v>0</v>
      </c>
      <c r="F120" s="125">
        <v>14226</v>
      </c>
      <c r="G120" s="125">
        <v>5909</v>
      </c>
      <c r="H120" s="125">
        <v>0</v>
      </c>
      <c r="I120" s="125">
        <v>0</v>
      </c>
      <c r="J120" s="125">
        <v>0</v>
      </c>
    </row>
    <row r="121" spans="1:10" x14ac:dyDescent="0.3">
      <c r="A121" s="124" t="s">
        <v>126</v>
      </c>
      <c r="B121" s="124" t="s">
        <v>304</v>
      </c>
      <c r="C121" s="124" t="s">
        <v>534</v>
      </c>
      <c r="D121" s="125">
        <v>730774</v>
      </c>
      <c r="E121" s="125">
        <v>0</v>
      </c>
      <c r="F121" s="125">
        <v>102095</v>
      </c>
      <c r="G121" s="125">
        <v>1306</v>
      </c>
      <c r="H121" s="125">
        <v>0</v>
      </c>
      <c r="I121" s="125">
        <v>0</v>
      </c>
      <c r="J121" s="125">
        <v>24979</v>
      </c>
    </row>
    <row r="122" spans="1:10" x14ac:dyDescent="0.3">
      <c r="A122" s="124" t="s">
        <v>127</v>
      </c>
      <c r="B122" s="124" t="s">
        <v>305</v>
      </c>
      <c r="C122" s="124" t="s">
        <v>534</v>
      </c>
      <c r="D122" s="125">
        <v>512908</v>
      </c>
      <c r="E122" s="125">
        <v>0</v>
      </c>
      <c r="F122" s="125">
        <v>101553</v>
      </c>
      <c r="G122" s="125">
        <v>3359</v>
      </c>
      <c r="H122" s="125">
        <v>0</v>
      </c>
      <c r="I122" s="125">
        <v>0</v>
      </c>
      <c r="J122" s="125">
        <v>14856</v>
      </c>
    </row>
    <row r="123" spans="1:10" x14ac:dyDescent="0.3">
      <c r="A123" s="124" t="s">
        <v>128</v>
      </c>
      <c r="B123" s="124" t="s">
        <v>306</v>
      </c>
      <c r="C123" s="124" t="s">
        <v>534</v>
      </c>
      <c r="D123" s="125">
        <v>111959</v>
      </c>
      <c r="E123" s="125">
        <v>0</v>
      </c>
      <c r="F123" s="125">
        <v>14652</v>
      </c>
      <c r="G123" s="125">
        <v>1866</v>
      </c>
      <c r="H123" s="125">
        <v>0</v>
      </c>
      <c r="I123" s="125">
        <v>0</v>
      </c>
      <c r="J123" s="125">
        <v>0</v>
      </c>
    </row>
    <row r="124" spans="1:10" x14ac:dyDescent="0.3">
      <c r="A124" s="124" t="s">
        <v>129</v>
      </c>
      <c r="B124" s="124" t="s">
        <v>307</v>
      </c>
      <c r="C124" s="124" t="s">
        <v>534</v>
      </c>
      <c r="D124" s="125">
        <v>91106</v>
      </c>
      <c r="E124" s="125">
        <v>0</v>
      </c>
      <c r="F124" s="125">
        <v>21195</v>
      </c>
      <c r="G124" s="125">
        <v>124</v>
      </c>
      <c r="H124" s="125">
        <v>0</v>
      </c>
      <c r="I124" s="125">
        <v>0</v>
      </c>
      <c r="J124" s="125">
        <v>0</v>
      </c>
    </row>
    <row r="125" spans="1:10" x14ac:dyDescent="0.3">
      <c r="A125" s="124" t="s">
        <v>130</v>
      </c>
      <c r="B125" s="124" t="s">
        <v>308</v>
      </c>
      <c r="C125" s="124" t="s">
        <v>534</v>
      </c>
      <c r="D125" s="125">
        <v>34743</v>
      </c>
      <c r="E125" s="125">
        <v>0</v>
      </c>
      <c r="F125" s="125">
        <v>9657</v>
      </c>
      <c r="G125" s="125">
        <v>0</v>
      </c>
      <c r="H125" s="125">
        <v>0</v>
      </c>
      <c r="I125" s="125">
        <v>0</v>
      </c>
      <c r="J125" s="125">
        <v>0</v>
      </c>
    </row>
    <row r="126" spans="1:10" x14ac:dyDescent="0.3">
      <c r="A126" s="124" t="s">
        <v>131</v>
      </c>
      <c r="B126" s="124" t="s">
        <v>309</v>
      </c>
      <c r="C126" s="124" t="s">
        <v>534</v>
      </c>
      <c r="D126" s="125">
        <v>55059</v>
      </c>
      <c r="E126" s="125">
        <v>0</v>
      </c>
      <c r="F126" s="125">
        <v>10669</v>
      </c>
      <c r="G126" s="125">
        <v>0</v>
      </c>
      <c r="H126" s="125">
        <v>0</v>
      </c>
      <c r="I126" s="125">
        <v>0</v>
      </c>
      <c r="J126" s="125">
        <v>0</v>
      </c>
    </row>
    <row r="127" spans="1:10" x14ac:dyDescent="0.3">
      <c r="A127" s="124" t="s">
        <v>132</v>
      </c>
      <c r="B127" s="124" t="s">
        <v>310</v>
      </c>
      <c r="C127" s="124" t="s">
        <v>535</v>
      </c>
      <c r="D127" s="125">
        <v>24732</v>
      </c>
      <c r="E127" s="125">
        <v>0</v>
      </c>
      <c r="F127" s="125">
        <v>6036</v>
      </c>
      <c r="G127" s="125">
        <v>0</v>
      </c>
      <c r="H127" s="125">
        <v>0</v>
      </c>
      <c r="I127" s="125">
        <v>0</v>
      </c>
      <c r="J127" s="125">
        <v>0</v>
      </c>
    </row>
    <row r="128" spans="1:10" x14ac:dyDescent="0.3">
      <c r="A128" s="124" t="s">
        <v>133</v>
      </c>
      <c r="B128" s="124" t="s">
        <v>311</v>
      </c>
      <c r="C128" s="124" t="s">
        <v>535</v>
      </c>
      <c r="D128" s="125">
        <v>47202</v>
      </c>
      <c r="E128" s="125">
        <v>0</v>
      </c>
      <c r="F128" s="125">
        <v>8393</v>
      </c>
      <c r="G128" s="125">
        <v>809</v>
      </c>
      <c r="H128" s="125">
        <v>0</v>
      </c>
      <c r="I128" s="125">
        <v>0</v>
      </c>
      <c r="J128" s="125">
        <v>0</v>
      </c>
    </row>
    <row r="129" spans="1:10" x14ac:dyDescent="0.3">
      <c r="A129" s="124" t="s">
        <v>134</v>
      </c>
      <c r="B129" s="124" t="s">
        <v>312</v>
      </c>
      <c r="C129" s="124" t="s">
        <v>536</v>
      </c>
      <c r="D129" s="125">
        <v>141807</v>
      </c>
      <c r="E129" s="125">
        <v>0</v>
      </c>
      <c r="F129" s="125">
        <v>44888</v>
      </c>
      <c r="G129" s="125">
        <v>0</v>
      </c>
      <c r="H129" s="125">
        <v>0</v>
      </c>
      <c r="I129" s="125">
        <v>0</v>
      </c>
      <c r="J129" s="125">
        <v>0</v>
      </c>
    </row>
    <row r="130" spans="1:10" x14ac:dyDescent="0.3">
      <c r="A130" s="124" t="s">
        <v>135</v>
      </c>
      <c r="B130" s="124" t="s">
        <v>537</v>
      </c>
      <c r="C130" s="124" t="s">
        <v>536</v>
      </c>
      <c r="D130" s="125">
        <v>122000</v>
      </c>
      <c r="E130" s="125">
        <v>0</v>
      </c>
      <c r="F130" s="125">
        <v>17546</v>
      </c>
      <c r="G130" s="125">
        <v>0</v>
      </c>
      <c r="H130" s="125">
        <v>0</v>
      </c>
      <c r="I130" s="125">
        <v>0</v>
      </c>
      <c r="J130" s="125">
        <v>0</v>
      </c>
    </row>
    <row r="131" spans="1:10" x14ac:dyDescent="0.3">
      <c r="A131" s="124" t="s">
        <v>136</v>
      </c>
      <c r="B131" s="124" t="s">
        <v>538</v>
      </c>
      <c r="C131" s="124" t="s">
        <v>539</v>
      </c>
      <c r="D131" s="125">
        <v>89100</v>
      </c>
      <c r="E131" s="125">
        <v>0</v>
      </c>
      <c r="F131" s="125">
        <v>19811</v>
      </c>
      <c r="G131" s="125">
        <v>8956</v>
      </c>
      <c r="H131" s="125">
        <v>0</v>
      </c>
      <c r="I131" s="125">
        <v>0</v>
      </c>
      <c r="J131" s="125">
        <v>0</v>
      </c>
    </row>
    <row r="132" spans="1:10" x14ac:dyDescent="0.3">
      <c r="A132" s="124" t="s">
        <v>137</v>
      </c>
      <c r="B132" s="124" t="s">
        <v>540</v>
      </c>
      <c r="C132" s="124" t="s">
        <v>539</v>
      </c>
      <c r="D132" s="125">
        <v>29771</v>
      </c>
      <c r="E132" s="125">
        <v>0</v>
      </c>
      <c r="F132" s="125">
        <v>8958</v>
      </c>
      <c r="G132" s="125">
        <v>0</v>
      </c>
      <c r="H132" s="125">
        <v>0</v>
      </c>
      <c r="I132" s="125">
        <v>0</v>
      </c>
      <c r="J132" s="125">
        <v>0</v>
      </c>
    </row>
    <row r="133" spans="1:10" x14ac:dyDescent="0.3">
      <c r="A133" s="124" t="s">
        <v>138</v>
      </c>
      <c r="B133" s="124" t="s">
        <v>316</v>
      </c>
      <c r="C133" s="124" t="s">
        <v>541</v>
      </c>
      <c r="D133" s="125">
        <v>83319</v>
      </c>
      <c r="E133" s="125">
        <v>0</v>
      </c>
      <c r="F133" s="125">
        <v>25140</v>
      </c>
      <c r="G133" s="125">
        <v>11195</v>
      </c>
      <c r="H133" s="125">
        <v>0</v>
      </c>
      <c r="I133" s="125">
        <v>0</v>
      </c>
      <c r="J133" s="125">
        <v>0</v>
      </c>
    </row>
    <row r="134" spans="1:10" x14ac:dyDescent="0.3">
      <c r="A134" s="124" t="s">
        <v>139</v>
      </c>
      <c r="B134" s="124" t="s">
        <v>542</v>
      </c>
      <c r="C134" s="124" t="s">
        <v>543</v>
      </c>
      <c r="D134" s="125">
        <v>62658</v>
      </c>
      <c r="E134" s="125">
        <v>0</v>
      </c>
      <c r="F134" s="125">
        <v>14517</v>
      </c>
      <c r="G134" s="125">
        <v>1555</v>
      </c>
      <c r="H134" s="125">
        <v>0</v>
      </c>
      <c r="I134" s="125">
        <v>0</v>
      </c>
      <c r="J134" s="125">
        <v>0</v>
      </c>
    </row>
    <row r="135" spans="1:10" x14ac:dyDescent="0.3">
      <c r="A135" s="124" t="s">
        <v>140</v>
      </c>
      <c r="B135" s="124" t="s">
        <v>544</v>
      </c>
      <c r="C135" s="124" t="s">
        <v>543</v>
      </c>
      <c r="D135" s="125">
        <v>468449</v>
      </c>
      <c r="E135" s="125">
        <v>0</v>
      </c>
      <c r="F135" s="125">
        <v>120050</v>
      </c>
      <c r="G135" s="125">
        <v>7339</v>
      </c>
      <c r="H135" s="125">
        <v>0</v>
      </c>
      <c r="I135" s="125">
        <v>0</v>
      </c>
      <c r="J135" s="125">
        <v>0</v>
      </c>
    </row>
    <row r="136" spans="1:10" x14ac:dyDescent="0.3">
      <c r="A136" s="124" t="s">
        <v>141</v>
      </c>
      <c r="B136" s="124" t="s">
        <v>545</v>
      </c>
      <c r="C136" s="124" t="s">
        <v>543</v>
      </c>
      <c r="D136" s="125">
        <v>100173</v>
      </c>
      <c r="E136" s="125">
        <v>0</v>
      </c>
      <c r="F136" s="125">
        <v>14889</v>
      </c>
      <c r="G136" s="125">
        <v>4602</v>
      </c>
      <c r="H136" s="125">
        <v>0</v>
      </c>
      <c r="I136" s="125">
        <v>0</v>
      </c>
      <c r="J136" s="125">
        <v>0</v>
      </c>
    </row>
    <row r="137" spans="1:10" x14ac:dyDescent="0.3">
      <c r="A137" s="124" t="s">
        <v>142</v>
      </c>
      <c r="B137" s="124" t="s">
        <v>546</v>
      </c>
      <c r="C137" s="124" t="s">
        <v>543</v>
      </c>
      <c r="D137" s="125">
        <v>38363</v>
      </c>
      <c r="E137" s="125">
        <v>0</v>
      </c>
      <c r="F137" s="125">
        <v>13277</v>
      </c>
      <c r="G137" s="125">
        <v>684</v>
      </c>
      <c r="H137" s="125">
        <v>0</v>
      </c>
      <c r="I137" s="125">
        <v>0</v>
      </c>
      <c r="J137" s="125">
        <v>0</v>
      </c>
    </row>
    <row r="138" spans="1:10" x14ac:dyDescent="0.3">
      <c r="A138" s="124" t="s">
        <v>143</v>
      </c>
      <c r="B138" s="124" t="s">
        <v>321</v>
      </c>
      <c r="C138" s="124" t="s">
        <v>547</v>
      </c>
      <c r="D138" s="125">
        <v>5791514</v>
      </c>
      <c r="E138" s="125">
        <v>71849</v>
      </c>
      <c r="F138" s="125">
        <v>1116143</v>
      </c>
      <c r="G138" s="125">
        <v>67171</v>
      </c>
      <c r="H138" s="125">
        <v>0</v>
      </c>
      <c r="I138" s="125">
        <v>0</v>
      </c>
      <c r="J138" s="125">
        <v>0</v>
      </c>
    </row>
    <row r="139" spans="1:10" x14ac:dyDescent="0.3">
      <c r="A139" s="124" t="s">
        <v>144</v>
      </c>
      <c r="B139" s="124" t="s">
        <v>548</v>
      </c>
      <c r="C139" s="124" t="s">
        <v>547</v>
      </c>
      <c r="D139" s="125">
        <v>1108748</v>
      </c>
      <c r="E139" s="125">
        <v>0</v>
      </c>
      <c r="F139" s="125">
        <v>185937</v>
      </c>
      <c r="G139" s="125">
        <v>18410</v>
      </c>
      <c r="H139" s="125">
        <v>0</v>
      </c>
      <c r="I139" s="125">
        <v>0</v>
      </c>
      <c r="J139" s="125">
        <v>0</v>
      </c>
    </row>
    <row r="140" spans="1:10" x14ac:dyDescent="0.3">
      <c r="A140" s="124" t="s">
        <v>145</v>
      </c>
      <c r="B140" s="124" t="s">
        <v>549</v>
      </c>
      <c r="C140" s="124" t="s">
        <v>550</v>
      </c>
      <c r="D140" s="125">
        <v>46838</v>
      </c>
      <c r="E140" s="125">
        <v>0</v>
      </c>
      <c r="F140" s="125">
        <v>25082</v>
      </c>
      <c r="G140" s="125">
        <v>3545</v>
      </c>
      <c r="H140" s="125">
        <v>0</v>
      </c>
      <c r="I140" s="125">
        <v>0</v>
      </c>
      <c r="J140" s="125">
        <v>0</v>
      </c>
    </row>
    <row r="141" spans="1:10" x14ac:dyDescent="0.3">
      <c r="A141" s="124" t="s">
        <v>146</v>
      </c>
      <c r="B141" s="124" t="s">
        <v>551</v>
      </c>
      <c r="C141" s="124" t="s">
        <v>550</v>
      </c>
      <c r="D141" s="125">
        <v>65600</v>
      </c>
      <c r="E141" s="125">
        <v>0</v>
      </c>
      <c r="F141" s="125">
        <v>13091</v>
      </c>
      <c r="G141" s="125">
        <v>0</v>
      </c>
      <c r="H141" s="125">
        <v>0</v>
      </c>
      <c r="I141" s="125">
        <v>0</v>
      </c>
      <c r="J141" s="125">
        <v>0</v>
      </c>
    </row>
    <row r="142" spans="1:10" x14ac:dyDescent="0.3">
      <c r="A142" s="124" t="s">
        <v>147</v>
      </c>
      <c r="B142" s="124" t="s">
        <v>325</v>
      </c>
      <c r="C142" s="124" t="s">
        <v>552</v>
      </c>
      <c r="D142" s="125">
        <v>272226</v>
      </c>
      <c r="E142" s="125">
        <v>0</v>
      </c>
      <c r="F142" s="125">
        <v>39614</v>
      </c>
      <c r="G142" s="125">
        <v>1679</v>
      </c>
      <c r="H142" s="125">
        <v>0</v>
      </c>
      <c r="I142" s="125">
        <v>0</v>
      </c>
      <c r="J142" s="125">
        <v>0</v>
      </c>
    </row>
    <row r="143" spans="1:10" x14ac:dyDescent="0.3">
      <c r="A143" s="124" t="s">
        <v>148</v>
      </c>
      <c r="B143" s="124" t="s">
        <v>326</v>
      </c>
      <c r="C143" s="124" t="s">
        <v>552</v>
      </c>
      <c r="D143" s="125">
        <v>276082</v>
      </c>
      <c r="E143" s="125">
        <v>0</v>
      </c>
      <c r="F143" s="125">
        <v>92590</v>
      </c>
      <c r="G143" s="125">
        <v>8085</v>
      </c>
      <c r="H143" s="125">
        <v>0</v>
      </c>
      <c r="I143" s="125">
        <v>0</v>
      </c>
      <c r="J143" s="125">
        <v>20412</v>
      </c>
    </row>
    <row r="144" spans="1:10" x14ac:dyDescent="0.3">
      <c r="A144" s="124" t="s">
        <v>149</v>
      </c>
      <c r="B144" s="124" t="s">
        <v>553</v>
      </c>
      <c r="C144" s="124" t="s">
        <v>552</v>
      </c>
      <c r="D144" s="125">
        <v>64744</v>
      </c>
      <c r="E144" s="125">
        <v>0</v>
      </c>
      <c r="F144" s="125">
        <v>14364</v>
      </c>
      <c r="G144" s="125">
        <v>1493</v>
      </c>
      <c r="H144" s="125">
        <v>0</v>
      </c>
      <c r="I144" s="125">
        <v>0</v>
      </c>
      <c r="J144" s="125">
        <v>0</v>
      </c>
    </row>
    <row r="145" spans="1:10" x14ac:dyDescent="0.3">
      <c r="A145" s="124" t="s">
        <v>150</v>
      </c>
      <c r="B145" s="124" t="s">
        <v>554</v>
      </c>
      <c r="C145" s="124" t="s">
        <v>555</v>
      </c>
      <c r="D145" s="125">
        <v>71699</v>
      </c>
      <c r="E145" s="125">
        <v>0</v>
      </c>
      <c r="F145" s="125">
        <v>10517</v>
      </c>
      <c r="G145" s="125">
        <v>1120</v>
      </c>
      <c r="H145" s="125">
        <v>0</v>
      </c>
      <c r="I145" s="125">
        <v>0</v>
      </c>
      <c r="J145" s="125">
        <v>0</v>
      </c>
    </row>
    <row r="146" spans="1:10" x14ac:dyDescent="0.3">
      <c r="A146" s="124" t="s">
        <v>151</v>
      </c>
      <c r="B146" s="124" t="s">
        <v>556</v>
      </c>
      <c r="C146" s="124" t="s">
        <v>555</v>
      </c>
      <c r="D146" s="125">
        <v>140793</v>
      </c>
      <c r="E146" s="125">
        <v>0</v>
      </c>
      <c r="F146" s="125">
        <v>48941</v>
      </c>
      <c r="G146" s="125">
        <v>13310</v>
      </c>
      <c r="H146" s="125">
        <v>259</v>
      </c>
      <c r="I146" s="125">
        <v>1415</v>
      </c>
      <c r="J146" s="125">
        <v>0</v>
      </c>
    </row>
    <row r="147" spans="1:10" x14ac:dyDescent="0.3">
      <c r="A147" s="124" t="s">
        <v>152</v>
      </c>
      <c r="B147" s="124" t="s">
        <v>557</v>
      </c>
      <c r="C147" s="124" t="s">
        <v>555</v>
      </c>
      <c r="D147" s="125">
        <v>70955</v>
      </c>
      <c r="E147" s="125">
        <v>0</v>
      </c>
      <c r="F147" s="125">
        <v>11432</v>
      </c>
      <c r="G147" s="125">
        <v>933</v>
      </c>
      <c r="H147" s="125">
        <v>0</v>
      </c>
      <c r="I147" s="125">
        <v>0</v>
      </c>
      <c r="J147" s="125">
        <v>0</v>
      </c>
    </row>
    <row r="148" spans="1:10" x14ac:dyDescent="0.3">
      <c r="A148" s="124" t="s">
        <v>153</v>
      </c>
      <c r="B148" s="124" t="s">
        <v>558</v>
      </c>
      <c r="C148" s="124" t="s">
        <v>559</v>
      </c>
      <c r="D148" s="125">
        <v>90012</v>
      </c>
      <c r="E148" s="125">
        <v>0</v>
      </c>
      <c r="F148" s="125">
        <v>19417</v>
      </c>
      <c r="G148" s="125">
        <v>0</v>
      </c>
      <c r="H148" s="125">
        <v>0</v>
      </c>
      <c r="I148" s="125">
        <v>0</v>
      </c>
      <c r="J148" s="125">
        <v>0</v>
      </c>
    </row>
    <row r="149" spans="1:10" x14ac:dyDescent="0.3">
      <c r="A149" s="124" t="s">
        <v>154</v>
      </c>
      <c r="B149" s="124" t="s">
        <v>332</v>
      </c>
      <c r="C149" s="124" t="s">
        <v>559</v>
      </c>
      <c r="D149" s="125">
        <v>112185</v>
      </c>
      <c r="E149" s="125">
        <v>0</v>
      </c>
      <c r="F149" s="125">
        <v>10175</v>
      </c>
      <c r="G149" s="125">
        <v>0</v>
      </c>
      <c r="H149" s="123">
        <v>0</v>
      </c>
      <c r="I149" s="123">
        <v>0</v>
      </c>
      <c r="J149" s="125">
        <v>0</v>
      </c>
    </row>
    <row r="150" spans="1:10" x14ac:dyDescent="0.3">
      <c r="A150" s="124" t="s">
        <v>155</v>
      </c>
      <c r="B150" s="124" t="s">
        <v>560</v>
      </c>
      <c r="C150" s="124" t="s">
        <v>559</v>
      </c>
      <c r="D150" s="125">
        <v>455651</v>
      </c>
      <c r="E150" s="125">
        <v>0</v>
      </c>
      <c r="F150" s="125">
        <v>60228</v>
      </c>
      <c r="G150" s="125">
        <v>15425</v>
      </c>
      <c r="H150" s="125">
        <v>432</v>
      </c>
      <c r="I150" s="125">
        <v>2358</v>
      </c>
      <c r="J150" s="125">
        <v>0</v>
      </c>
    </row>
    <row r="151" spans="1:10" x14ac:dyDescent="0.3">
      <c r="A151" s="124" t="s">
        <v>156</v>
      </c>
      <c r="B151" s="124" t="s">
        <v>334</v>
      </c>
      <c r="C151" s="124" t="s">
        <v>561</v>
      </c>
      <c r="D151" s="125">
        <v>18106</v>
      </c>
      <c r="E151" s="125">
        <v>0</v>
      </c>
      <c r="F151" s="125">
        <v>6213</v>
      </c>
      <c r="G151" s="125">
        <v>0</v>
      </c>
      <c r="H151" s="125">
        <v>0</v>
      </c>
      <c r="I151" s="125">
        <v>0</v>
      </c>
      <c r="J151" s="125">
        <v>0</v>
      </c>
    </row>
    <row r="152" spans="1:10" x14ac:dyDescent="0.3">
      <c r="A152" s="124" t="s">
        <v>157</v>
      </c>
      <c r="B152" s="124" t="s">
        <v>335</v>
      </c>
      <c r="C152" s="124" t="s">
        <v>562</v>
      </c>
      <c r="D152" s="125">
        <v>74791</v>
      </c>
      <c r="E152" s="125">
        <v>0</v>
      </c>
      <c r="F152" s="125">
        <v>18786</v>
      </c>
      <c r="G152" s="125">
        <v>5846</v>
      </c>
      <c r="H152" s="125">
        <v>863</v>
      </c>
      <c r="I152" s="125">
        <v>4715</v>
      </c>
      <c r="J152" s="125">
        <v>0</v>
      </c>
    </row>
    <row r="153" spans="1:10" x14ac:dyDescent="0.3">
      <c r="A153" s="124" t="s">
        <v>158</v>
      </c>
      <c r="B153" s="124" t="s">
        <v>336</v>
      </c>
      <c r="C153" s="124" t="s">
        <v>562</v>
      </c>
      <c r="D153" s="125">
        <v>79601</v>
      </c>
      <c r="E153" s="125">
        <v>0</v>
      </c>
      <c r="F153" s="125">
        <v>9879</v>
      </c>
      <c r="G153" s="125">
        <v>1057</v>
      </c>
      <c r="H153" s="125">
        <v>0</v>
      </c>
      <c r="I153" s="125">
        <v>0</v>
      </c>
      <c r="J153" s="125">
        <v>0</v>
      </c>
    </row>
    <row r="154" spans="1:10" x14ac:dyDescent="0.3">
      <c r="A154" s="124" t="s">
        <v>159</v>
      </c>
      <c r="B154" s="124" t="s">
        <v>563</v>
      </c>
      <c r="C154" s="124" t="s">
        <v>564</v>
      </c>
      <c r="D154" s="125">
        <v>38482</v>
      </c>
      <c r="E154" s="125">
        <v>0</v>
      </c>
      <c r="F154" s="125">
        <v>10894</v>
      </c>
      <c r="G154" s="125">
        <v>1306</v>
      </c>
      <c r="H154" s="125">
        <v>0</v>
      </c>
      <c r="I154" s="125">
        <v>0</v>
      </c>
      <c r="J154" s="125">
        <v>0</v>
      </c>
    </row>
    <row r="155" spans="1:10" x14ac:dyDescent="0.3">
      <c r="A155" s="124" t="s">
        <v>160</v>
      </c>
      <c r="B155" s="124" t="s">
        <v>565</v>
      </c>
      <c r="C155" s="124" t="s">
        <v>564</v>
      </c>
      <c r="D155" s="125">
        <v>26254</v>
      </c>
      <c r="E155" s="125">
        <v>0</v>
      </c>
      <c r="F155" s="125">
        <v>8018</v>
      </c>
      <c r="G155" s="125">
        <v>0</v>
      </c>
      <c r="H155" s="125">
        <v>0</v>
      </c>
      <c r="I155" s="125">
        <v>0</v>
      </c>
      <c r="J155" s="125">
        <v>0</v>
      </c>
    </row>
    <row r="156" spans="1:10" x14ac:dyDescent="0.3">
      <c r="A156" s="124" t="s">
        <v>161</v>
      </c>
      <c r="B156" s="124" t="s">
        <v>566</v>
      </c>
      <c r="C156" s="124" t="s">
        <v>567</v>
      </c>
      <c r="D156" s="125">
        <v>256233</v>
      </c>
      <c r="E156" s="125">
        <v>0</v>
      </c>
      <c r="F156" s="125">
        <v>55814</v>
      </c>
      <c r="G156" s="125">
        <v>54048</v>
      </c>
      <c r="H156" s="125">
        <v>777</v>
      </c>
      <c r="I156" s="125">
        <v>4244</v>
      </c>
      <c r="J156" s="125">
        <v>0</v>
      </c>
    </row>
    <row r="157" spans="1:10" x14ac:dyDescent="0.3">
      <c r="A157" s="124" t="s">
        <v>162</v>
      </c>
      <c r="B157" s="124" t="s">
        <v>568</v>
      </c>
      <c r="C157" s="124" t="s">
        <v>569</v>
      </c>
      <c r="D157" s="125">
        <v>61191</v>
      </c>
      <c r="E157" s="125">
        <v>0</v>
      </c>
      <c r="F157" s="125">
        <v>15903</v>
      </c>
      <c r="G157" s="125">
        <v>435</v>
      </c>
      <c r="H157" s="125">
        <v>0</v>
      </c>
      <c r="I157" s="125">
        <v>0</v>
      </c>
      <c r="J157" s="125">
        <v>0</v>
      </c>
    </row>
    <row r="158" spans="1:10" x14ac:dyDescent="0.3">
      <c r="A158" s="124" t="s">
        <v>163</v>
      </c>
      <c r="B158" s="124" t="s">
        <v>570</v>
      </c>
      <c r="C158" s="124" t="s">
        <v>569</v>
      </c>
      <c r="D158" s="125">
        <v>282298</v>
      </c>
      <c r="E158" s="125">
        <v>0</v>
      </c>
      <c r="F158" s="125">
        <v>100826</v>
      </c>
      <c r="G158" s="125">
        <v>3048</v>
      </c>
      <c r="H158" s="125">
        <v>0</v>
      </c>
      <c r="I158" s="125">
        <v>0</v>
      </c>
      <c r="J158" s="125">
        <v>0</v>
      </c>
    </row>
    <row r="159" spans="1:10" x14ac:dyDescent="0.3">
      <c r="A159" s="124" t="s">
        <v>164</v>
      </c>
      <c r="B159" s="124" t="s">
        <v>341</v>
      </c>
      <c r="C159" s="124" t="s">
        <v>571</v>
      </c>
      <c r="D159" s="125">
        <v>54935</v>
      </c>
      <c r="E159" s="125">
        <v>0</v>
      </c>
      <c r="F159" s="125">
        <v>17950</v>
      </c>
      <c r="G159" s="125">
        <v>0</v>
      </c>
      <c r="H159" s="125">
        <v>0</v>
      </c>
      <c r="I159" s="125">
        <v>0</v>
      </c>
      <c r="J159" s="125">
        <v>0</v>
      </c>
    </row>
    <row r="160" spans="1:10" x14ac:dyDescent="0.3">
      <c r="A160" s="124" t="s">
        <v>165</v>
      </c>
      <c r="B160" s="124" t="s">
        <v>342</v>
      </c>
      <c r="C160" s="124" t="s">
        <v>571</v>
      </c>
      <c r="D160" s="125">
        <v>13895</v>
      </c>
      <c r="E160" s="125">
        <v>0</v>
      </c>
      <c r="F160" s="125">
        <v>3863</v>
      </c>
      <c r="G160" s="125">
        <v>1804</v>
      </c>
      <c r="H160" s="125">
        <v>0</v>
      </c>
      <c r="I160" s="125">
        <v>0</v>
      </c>
      <c r="J160" s="125">
        <v>0</v>
      </c>
    </row>
    <row r="161" spans="1:10" x14ac:dyDescent="0.3">
      <c r="A161" s="124" t="s">
        <v>166</v>
      </c>
      <c r="B161" s="124" t="s">
        <v>343</v>
      </c>
      <c r="C161" s="124" t="s">
        <v>571</v>
      </c>
      <c r="D161" s="125">
        <v>16736</v>
      </c>
      <c r="E161" s="125">
        <v>0</v>
      </c>
      <c r="F161" s="125">
        <v>4787</v>
      </c>
      <c r="G161" s="125">
        <v>0</v>
      </c>
      <c r="H161" s="125">
        <v>0</v>
      </c>
      <c r="I161" s="125">
        <v>0</v>
      </c>
      <c r="J161" s="125">
        <v>0</v>
      </c>
    </row>
    <row r="162" spans="1:10" x14ac:dyDescent="0.3">
      <c r="A162" s="124" t="s">
        <v>167</v>
      </c>
      <c r="B162" s="124" t="s">
        <v>344</v>
      </c>
      <c r="C162" s="124" t="s">
        <v>571</v>
      </c>
      <c r="D162" s="125">
        <v>1003</v>
      </c>
      <c r="E162" s="125">
        <v>0</v>
      </c>
      <c r="F162" s="125">
        <v>2385</v>
      </c>
      <c r="G162" s="125">
        <v>0</v>
      </c>
      <c r="H162" s="125">
        <v>0</v>
      </c>
      <c r="I162" s="125">
        <v>0</v>
      </c>
      <c r="J162" s="125">
        <v>0</v>
      </c>
    </row>
    <row r="163" spans="1:10" x14ac:dyDescent="0.3">
      <c r="A163" s="124" t="s">
        <v>168</v>
      </c>
      <c r="B163" s="124" t="s">
        <v>345</v>
      </c>
      <c r="C163" s="124" t="s">
        <v>571</v>
      </c>
      <c r="D163" s="125">
        <v>27809</v>
      </c>
      <c r="E163" s="125">
        <v>0</v>
      </c>
      <c r="F163" s="125">
        <v>3938</v>
      </c>
      <c r="G163" s="125">
        <v>124</v>
      </c>
      <c r="H163" s="125">
        <v>0</v>
      </c>
      <c r="I163" s="125">
        <v>0</v>
      </c>
      <c r="J163" s="125">
        <v>0</v>
      </c>
    </row>
    <row r="164" spans="1:10" x14ac:dyDescent="0.3">
      <c r="A164" s="124" t="s">
        <v>169</v>
      </c>
      <c r="B164" s="124" t="s">
        <v>572</v>
      </c>
      <c r="C164" s="124" t="s">
        <v>573</v>
      </c>
      <c r="D164" s="125">
        <v>320384</v>
      </c>
      <c r="E164" s="125">
        <v>0</v>
      </c>
      <c r="F164" s="125">
        <v>61651</v>
      </c>
      <c r="G164" s="125">
        <v>22577</v>
      </c>
      <c r="H164" s="125">
        <v>0</v>
      </c>
      <c r="I164" s="125">
        <v>0</v>
      </c>
      <c r="J164" s="125">
        <v>0</v>
      </c>
    </row>
    <row r="165" spans="1:10" x14ac:dyDescent="0.3">
      <c r="A165" s="124" t="s">
        <v>170</v>
      </c>
      <c r="B165" s="124" t="s">
        <v>574</v>
      </c>
      <c r="C165" s="124" t="s">
        <v>573</v>
      </c>
      <c r="D165" s="125">
        <v>142825</v>
      </c>
      <c r="E165" s="125">
        <v>0</v>
      </c>
      <c r="F165" s="125">
        <v>34393</v>
      </c>
      <c r="G165" s="125">
        <v>8023</v>
      </c>
      <c r="H165" s="125">
        <v>0</v>
      </c>
      <c r="I165" s="125">
        <v>0</v>
      </c>
      <c r="J165" s="125">
        <v>0</v>
      </c>
    </row>
    <row r="166" spans="1:10" x14ac:dyDescent="0.3">
      <c r="A166" s="124" t="s">
        <v>171</v>
      </c>
      <c r="B166" s="124" t="s">
        <v>413</v>
      </c>
      <c r="C166" s="124" t="s">
        <v>573</v>
      </c>
      <c r="D166" s="125">
        <v>211260</v>
      </c>
      <c r="E166" s="125">
        <v>0</v>
      </c>
      <c r="F166" s="125">
        <v>52170</v>
      </c>
      <c r="G166" s="125">
        <v>25438</v>
      </c>
      <c r="H166" s="125">
        <v>691</v>
      </c>
      <c r="I166" s="125">
        <v>3772</v>
      </c>
      <c r="J166" s="125">
        <v>0</v>
      </c>
    </row>
    <row r="167" spans="1:10" x14ac:dyDescent="0.3">
      <c r="A167" s="124" t="s">
        <v>172</v>
      </c>
      <c r="B167" s="124" t="s">
        <v>575</v>
      </c>
      <c r="C167" s="124" t="s">
        <v>573</v>
      </c>
      <c r="D167" s="125">
        <v>215568</v>
      </c>
      <c r="E167" s="125">
        <v>0</v>
      </c>
      <c r="F167" s="125">
        <v>52170</v>
      </c>
      <c r="G167" s="125">
        <v>4540</v>
      </c>
      <c r="H167" s="125">
        <v>0</v>
      </c>
      <c r="I167" s="125">
        <v>0</v>
      </c>
      <c r="J167" s="125">
        <v>0</v>
      </c>
    </row>
    <row r="168" spans="1:10" x14ac:dyDescent="0.3">
      <c r="A168" s="124" t="s">
        <v>173</v>
      </c>
      <c r="B168" s="124" t="s">
        <v>576</v>
      </c>
      <c r="C168" s="124" t="s">
        <v>573</v>
      </c>
      <c r="D168" s="125">
        <v>235121</v>
      </c>
      <c r="E168" s="125">
        <v>0</v>
      </c>
      <c r="F168" s="125">
        <v>52592</v>
      </c>
      <c r="G168" s="125">
        <v>16171</v>
      </c>
      <c r="H168" s="125">
        <v>0</v>
      </c>
      <c r="I168" s="125">
        <v>0</v>
      </c>
      <c r="J168" s="125">
        <v>0</v>
      </c>
    </row>
    <row r="169" spans="1:10" x14ac:dyDescent="0.3">
      <c r="A169" s="124" t="s">
        <v>174</v>
      </c>
      <c r="B169" s="124" t="s">
        <v>350</v>
      </c>
      <c r="C169" s="124" t="s">
        <v>573</v>
      </c>
      <c r="D169" s="125">
        <v>4868735</v>
      </c>
      <c r="E169" s="125">
        <v>15286</v>
      </c>
      <c r="F169" s="125">
        <v>662721</v>
      </c>
      <c r="G169" s="125">
        <v>301960</v>
      </c>
      <c r="H169" s="125">
        <v>0</v>
      </c>
      <c r="I169" s="125">
        <v>0</v>
      </c>
      <c r="J169" s="125">
        <v>0</v>
      </c>
    </row>
    <row r="170" spans="1:10" x14ac:dyDescent="0.3">
      <c r="A170" s="124" t="s">
        <v>175</v>
      </c>
      <c r="B170" s="124" t="s">
        <v>577</v>
      </c>
      <c r="C170" s="124" t="s">
        <v>573</v>
      </c>
      <c r="D170" s="125">
        <v>90035</v>
      </c>
      <c r="E170" s="125">
        <v>0</v>
      </c>
      <c r="F170" s="125">
        <v>20182</v>
      </c>
      <c r="G170" s="125">
        <v>5411</v>
      </c>
      <c r="H170" s="125">
        <v>0</v>
      </c>
      <c r="I170" s="125">
        <v>0</v>
      </c>
      <c r="J170" s="125">
        <v>0</v>
      </c>
    </row>
    <row r="171" spans="1:10" x14ac:dyDescent="0.3">
      <c r="A171" s="124" t="s">
        <v>176</v>
      </c>
      <c r="B171" s="124" t="s">
        <v>578</v>
      </c>
      <c r="C171" s="124" t="s">
        <v>573</v>
      </c>
      <c r="D171" s="125">
        <v>412385</v>
      </c>
      <c r="E171" s="125">
        <v>0</v>
      </c>
      <c r="F171" s="125">
        <v>100885</v>
      </c>
      <c r="G171" s="125">
        <v>47206</v>
      </c>
      <c r="H171" s="125">
        <v>0</v>
      </c>
      <c r="I171" s="125">
        <v>0</v>
      </c>
      <c r="J171" s="125">
        <v>0</v>
      </c>
    </row>
    <row r="172" spans="1:10" x14ac:dyDescent="0.3">
      <c r="A172" s="124" t="s">
        <v>177</v>
      </c>
      <c r="B172" s="124" t="s">
        <v>579</v>
      </c>
      <c r="C172" s="124" t="s">
        <v>573</v>
      </c>
      <c r="D172" s="125">
        <v>159149</v>
      </c>
      <c r="E172" s="125">
        <v>0</v>
      </c>
      <c r="F172" s="125">
        <v>45014</v>
      </c>
      <c r="G172" s="125">
        <v>5535</v>
      </c>
      <c r="H172" s="125">
        <v>0</v>
      </c>
      <c r="I172" s="125">
        <v>0</v>
      </c>
      <c r="J172" s="125">
        <v>0</v>
      </c>
    </row>
    <row r="173" spans="1:10" x14ac:dyDescent="0.3">
      <c r="A173" s="124" t="s">
        <v>178</v>
      </c>
      <c r="B173" s="124" t="s">
        <v>580</v>
      </c>
      <c r="C173" s="124" t="s">
        <v>573</v>
      </c>
      <c r="D173" s="125">
        <v>13128</v>
      </c>
      <c r="E173" s="125">
        <v>0</v>
      </c>
      <c r="F173" s="125">
        <v>3701</v>
      </c>
      <c r="G173" s="125">
        <v>124</v>
      </c>
      <c r="H173" s="125">
        <v>0</v>
      </c>
      <c r="I173" s="125">
        <v>0</v>
      </c>
      <c r="J173" s="125">
        <v>0</v>
      </c>
    </row>
    <row r="174" spans="1:10" x14ac:dyDescent="0.3">
      <c r="A174" s="124" t="s">
        <v>179</v>
      </c>
      <c r="B174" s="124" t="s">
        <v>581</v>
      </c>
      <c r="C174" s="124" t="s">
        <v>573</v>
      </c>
      <c r="D174" s="125">
        <v>15043</v>
      </c>
      <c r="E174" s="125">
        <v>0</v>
      </c>
      <c r="F174" s="125">
        <v>5613</v>
      </c>
      <c r="G174" s="125">
        <v>0</v>
      </c>
      <c r="H174" s="125">
        <v>0</v>
      </c>
      <c r="I174" s="125">
        <v>0</v>
      </c>
      <c r="J174" s="125">
        <v>0</v>
      </c>
    </row>
    <row r="175" spans="1:10" x14ac:dyDescent="0.3">
      <c r="A175" s="124" t="s">
        <v>180</v>
      </c>
      <c r="B175" s="124" t="s">
        <v>582</v>
      </c>
      <c r="C175" s="124" t="s">
        <v>573</v>
      </c>
      <c r="D175" s="125">
        <v>6281</v>
      </c>
      <c r="E175" s="125">
        <v>0</v>
      </c>
      <c r="F175" s="125">
        <v>4827</v>
      </c>
      <c r="G175" s="125">
        <v>0</v>
      </c>
      <c r="H175" s="125">
        <v>0</v>
      </c>
      <c r="I175" s="125">
        <v>0</v>
      </c>
      <c r="J175" s="125">
        <v>0</v>
      </c>
    </row>
    <row r="176" spans="1:10" x14ac:dyDescent="0.3">
      <c r="A176" s="124" t="s">
        <v>181</v>
      </c>
      <c r="B176" s="124" t="s">
        <v>357</v>
      </c>
      <c r="C176" s="124" t="s">
        <v>583</v>
      </c>
      <c r="D176" s="125">
        <v>151015</v>
      </c>
      <c r="E176" s="125">
        <v>0</v>
      </c>
      <c r="F176" s="125">
        <v>34559</v>
      </c>
      <c r="G176" s="125">
        <v>18596</v>
      </c>
      <c r="H176" s="125">
        <v>259</v>
      </c>
      <c r="I176" s="125">
        <v>1415</v>
      </c>
      <c r="J176" s="125">
        <v>0</v>
      </c>
    </row>
    <row r="177" spans="1:10" x14ac:dyDescent="0.3">
      <c r="A177" s="124" t="s">
        <v>182</v>
      </c>
      <c r="B177" s="124" t="s">
        <v>584</v>
      </c>
      <c r="C177" s="124" t="s">
        <v>583</v>
      </c>
      <c r="D177" s="125">
        <v>106817</v>
      </c>
      <c r="E177" s="125">
        <v>0</v>
      </c>
      <c r="F177" s="125">
        <v>22126</v>
      </c>
      <c r="G177" s="125">
        <v>7650</v>
      </c>
      <c r="H177" s="125">
        <v>0</v>
      </c>
      <c r="I177" s="125">
        <v>0</v>
      </c>
      <c r="J177" s="125">
        <v>0</v>
      </c>
    </row>
    <row r="178" spans="1:10" x14ac:dyDescent="0.3">
      <c r="A178" s="124" t="s">
        <v>183</v>
      </c>
      <c r="B178" s="124" t="s">
        <v>585</v>
      </c>
      <c r="C178" s="124" t="s">
        <v>583</v>
      </c>
      <c r="D178" s="125">
        <v>37779</v>
      </c>
      <c r="E178" s="125">
        <v>0</v>
      </c>
      <c r="F178" s="125">
        <v>6746</v>
      </c>
      <c r="G178" s="125">
        <v>2488</v>
      </c>
      <c r="H178" s="125">
        <v>173</v>
      </c>
      <c r="I178" s="125">
        <v>943</v>
      </c>
      <c r="J178" s="125">
        <v>0</v>
      </c>
    </row>
    <row r="179" spans="1:10" x14ac:dyDescent="0.3">
      <c r="A179" s="124" t="s">
        <v>184</v>
      </c>
      <c r="B179" s="124" t="s">
        <v>360</v>
      </c>
      <c r="C179" s="124" t="s">
        <v>583</v>
      </c>
      <c r="D179" s="125">
        <v>9402</v>
      </c>
      <c r="E179" s="125">
        <v>0</v>
      </c>
      <c r="F179" s="125">
        <v>5090</v>
      </c>
      <c r="G179" s="125">
        <v>311</v>
      </c>
      <c r="H179" s="125">
        <v>0</v>
      </c>
      <c r="I179" s="125">
        <v>0</v>
      </c>
      <c r="J179" s="125">
        <v>0</v>
      </c>
    </row>
    <row r="180" spans="1:10" x14ac:dyDescent="0.3">
      <c r="A180" s="124" t="s">
        <v>417</v>
      </c>
      <c r="B180" s="124" t="s">
        <v>586</v>
      </c>
      <c r="C180" s="124" t="s">
        <v>587</v>
      </c>
      <c r="D180" s="125">
        <v>1937006</v>
      </c>
      <c r="E180" s="125">
        <v>0</v>
      </c>
      <c r="F180" s="125">
        <v>31916</v>
      </c>
      <c r="G180" s="125">
        <v>207609</v>
      </c>
      <c r="H180" s="125">
        <v>5180</v>
      </c>
      <c r="I180" s="125">
        <v>28292</v>
      </c>
      <c r="J180" s="125">
        <v>0</v>
      </c>
    </row>
    <row r="181" spans="1:10" x14ac:dyDescent="0.3">
      <c r="A181" s="124" t="s">
        <v>364</v>
      </c>
      <c r="B181" s="124" t="s">
        <v>588</v>
      </c>
      <c r="C181" s="124" t="s">
        <v>587</v>
      </c>
      <c r="D181" s="123">
        <v>96246</v>
      </c>
      <c r="E181" s="125">
        <v>0</v>
      </c>
      <c r="F181" s="125">
        <v>9762</v>
      </c>
      <c r="G181" s="126">
        <v>0</v>
      </c>
      <c r="H181" s="126">
        <v>0</v>
      </c>
      <c r="I181" s="126">
        <v>0</v>
      </c>
      <c r="J181" s="126">
        <v>0</v>
      </c>
    </row>
  </sheetData>
  <sheetProtection algorithmName="SHA-512" hashValue="OU4o67ENhICPvcyE89K5zh3/OO/D5HEWHWvCQbvWu60wtkCcdKiDeC/7tflzruPlyOBFoGqOl01nv6idakjYoA==" saltValue="FjGrfilnqZuyrxTCiAvl/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7"/>
  <sheetViews>
    <sheetView workbookViewId="0">
      <pane xSplit="7" ySplit="12" topLeftCell="AI13" activePane="bottomRight" state="frozen"/>
      <selection pane="topRight" activeCell="H1" sqref="H1"/>
      <selection pane="bottomLeft" activeCell="A13" sqref="A13"/>
      <selection pane="bottomRight" activeCell="A13" sqref="A13"/>
    </sheetView>
  </sheetViews>
  <sheetFormatPr defaultRowHeight="14.4" x14ac:dyDescent="0.3"/>
  <cols>
    <col min="2" max="2" width="34.21875" bestFit="1" customWidth="1"/>
    <col min="3" max="3" width="17.6640625" customWidth="1"/>
    <col min="5" max="5" width="12.6640625" customWidth="1"/>
    <col min="6" max="6" width="14.21875" customWidth="1"/>
    <col min="7" max="7" width="13.88671875" customWidth="1"/>
    <col min="10" max="10" width="12.109375" customWidth="1"/>
    <col min="11" max="11" width="9.88671875" customWidth="1"/>
    <col min="12" max="12" width="12.21875" customWidth="1"/>
    <col min="13" max="13" width="12.44140625" customWidth="1"/>
    <col min="14" max="14" width="11.6640625" customWidth="1"/>
    <col min="15" max="15" width="12.109375" customWidth="1"/>
    <col min="16" max="16" width="11.109375" customWidth="1"/>
    <col min="17" max="17" width="11.88671875" customWidth="1"/>
    <col min="18" max="18" width="13.21875" customWidth="1"/>
    <col min="19" max="19" width="12.21875" customWidth="1"/>
    <col min="20" max="20" width="11.6640625" customWidth="1"/>
    <col min="21" max="21" width="12.33203125" customWidth="1"/>
    <col min="22" max="22" width="11.5546875" customWidth="1"/>
    <col min="23" max="23" width="11.44140625" customWidth="1"/>
    <col min="24" max="25" width="12" customWidth="1"/>
    <col min="26" max="26" width="11.21875" bestFit="1" customWidth="1"/>
    <col min="27" max="27" width="11.77734375" customWidth="1"/>
    <col min="28" max="28" width="12.88671875" customWidth="1"/>
    <col min="29" max="29" width="12.21875" customWidth="1"/>
    <col min="30" max="30" width="12.77734375" customWidth="1"/>
    <col min="31" max="32" width="12" customWidth="1"/>
    <col min="33" max="33" width="11.77734375" customWidth="1"/>
    <col min="34" max="34" width="11.33203125" customWidth="1"/>
    <col min="35" max="35" width="11" customWidth="1"/>
    <col min="36" max="36" width="12.5546875" customWidth="1"/>
  </cols>
  <sheetData>
    <row r="1" spans="1:39" ht="21" x14ac:dyDescent="0.4">
      <c r="A1" s="228" t="s">
        <v>0</v>
      </c>
      <c r="B1" s="227"/>
      <c r="C1" s="228" t="s">
        <v>6</v>
      </c>
      <c r="D1" s="250"/>
      <c r="E1" s="228"/>
      <c r="F1" s="226"/>
      <c r="G1" s="226"/>
      <c r="H1" s="229"/>
      <c r="I1" s="229"/>
      <c r="J1" s="228" t="s">
        <v>6</v>
      </c>
      <c r="K1" s="228"/>
      <c r="L1" s="226"/>
      <c r="M1" s="226"/>
      <c r="N1" s="226"/>
      <c r="O1" s="226"/>
      <c r="P1" s="228" t="s">
        <v>6</v>
      </c>
      <c r="Q1" s="244"/>
      <c r="R1" s="228"/>
      <c r="S1" s="228"/>
      <c r="T1" s="226"/>
      <c r="U1" s="226"/>
      <c r="V1" s="228" t="s">
        <v>6</v>
      </c>
      <c r="W1" s="226"/>
      <c r="X1" s="229"/>
      <c r="Y1" s="229"/>
      <c r="Z1" s="228"/>
      <c r="AA1" s="228"/>
      <c r="AB1" s="228" t="s">
        <v>6</v>
      </c>
      <c r="AC1" s="226"/>
      <c r="AD1" s="226"/>
      <c r="AE1" s="226"/>
      <c r="AF1" s="228" t="s">
        <v>6</v>
      </c>
      <c r="AG1" s="229"/>
      <c r="AH1" s="228"/>
      <c r="AI1" s="228"/>
      <c r="AJ1" s="225"/>
      <c r="AK1" s="225"/>
      <c r="AL1" s="225"/>
      <c r="AM1" s="225"/>
    </row>
    <row r="2" spans="1:39" ht="15.6" x14ac:dyDescent="0.3">
      <c r="A2" s="232" t="s">
        <v>1</v>
      </c>
      <c r="B2" s="227"/>
      <c r="C2" s="231" t="s">
        <v>365</v>
      </c>
      <c r="D2" s="251"/>
      <c r="E2" s="231"/>
      <c r="F2" s="230"/>
      <c r="G2" s="230"/>
      <c r="H2" s="229"/>
      <c r="I2" s="229"/>
      <c r="J2" s="230" t="s">
        <v>651</v>
      </c>
      <c r="K2" s="230"/>
      <c r="L2" s="232"/>
      <c r="M2" s="232"/>
      <c r="N2" s="230"/>
      <c r="O2" s="230"/>
      <c r="P2" s="230" t="s">
        <v>651</v>
      </c>
      <c r="Q2" s="245"/>
      <c r="R2" s="230"/>
      <c r="S2" s="230"/>
      <c r="T2" s="232"/>
      <c r="U2" s="232"/>
      <c r="V2" s="230" t="s">
        <v>651</v>
      </c>
      <c r="W2" s="230"/>
      <c r="X2" s="230"/>
      <c r="Y2" s="230"/>
      <c r="Z2" s="230"/>
      <c r="AA2" s="230"/>
      <c r="AB2" s="230" t="s">
        <v>651</v>
      </c>
      <c r="AC2" s="232"/>
      <c r="AD2" s="230"/>
      <c r="AE2" s="230"/>
      <c r="AF2" s="230" t="s">
        <v>651</v>
      </c>
      <c r="AG2" s="230"/>
      <c r="AH2" s="230"/>
      <c r="AI2" s="230"/>
      <c r="AJ2" s="225"/>
      <c r="AK2" s="225"/>
      <c r="AL2" s="225"/>
      <c r="AM2" s="225"/>
    </row>
    <row r="3" spans="1:39" ht="15.6" x14ac:dyDescent="0.3">
      <c r="A3" s="232" t="s">
        <v>3</v>
      </c>
      <c r="B3" s="227"/>
      <c r="C3" s="232">
        <v>4010</v>
      </c>
      <c r="D3" s="252"/>
      <c r="E3" s="232"/>
      <c r="F3" s="230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44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5"/>
      <c r="AK3" s="225"/>
      <c r="AL3" s="225"/>
      <c r="AM3" s="225"/>
    </row>
    <row r="4" spans="1:39" ht="21" x14ac:dyDescent="0.4">
      <c r="A4" s="232" t="s">
        <v>2</v>
      </c>
      <c r="B4" s="227"/>
      <c r="C4" s="228" t="s">
        <v>593</v>
      </c>
      <c r="D4" s="252"/>
      <c r="E4" s="232"/>
      <c r="F4" s="230"/>
      <c r="G4" s="230"/>
      <c r="H4" s="229"/>
      <c r="I4" s="229"/>
      <c r="J4" s="229"/>
      <c r="K4" s="229"/>
      <c r="L4" s="229"/>
      <c r="M4" s="229"/>
      <c r="N4" s="229"/>
      <c r="O4" s="229"/>
      <c r="P4" s="229"/>
      <c r="Q4" s="244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5"/>
      <c r="AK4" s="225"/>
      <c r="AL4" s="225"/>
      <c r="AM4" s="225"/>
    </row>
    <row r="5" spans="1:39" ht="15.6" x14ac:dyDescent="0.3">
      <c r="A5" s="232" t="s">
        <v>406</v>
      </c>
      <c r="B5" s="227"/>
      <c r="C5" s="230" t="s">
        <v>645</v>
      </c>
      <c r="D5" s="253"/>
      <c r="E5" s="230"/>
      <c r="F5" s="230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46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25"/>
      <c r="AK5" s="225"/>
      <c r="AL5" s="225"/>
      <c r="AM5" s="225"/>
    </row>
    <row r="6" spans="1:39" ht="15.6" x14ac:dyDescent="0.3">
      <c r="A6" s="232" t="s">
        <v>4</v>
      </c>
      <c r="B6" s="227"/>
      <c r="C6" s="230" t="s">
        <v>366</v>
      </c>
      <c r="D6" s="253"/>
      <c r="E6" s="230"/>
      <c r="F6" s="230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46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25"/>
      <c r="AK6" s="225"/>
      <c r="AL6" s="225"/>
      <c r="AM6" s="225"/>
    </row>
    <row r="7" spans="1:39" ht="15.6" x14ac:dyDescent="0.3">
      <c r="A7" s="232"/>
      <c r="B7" s="227"/>
      <c r="C7" s="230" t="s">
        <v>410</v>
      </c>
      <c r="D7" s="253"/>
      <c r="E7" s="230"/>
      <c r="F7" s="230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46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25"/>
      <c r="AK7" s="225"/>
      <c r="AL7" s="225"/>
      <c r="AM7" s="225"/>
    </row>
    <row r="8" spans="1:39" ht="15.6" x14ac:dyDescent="0.3">
      <c r="A8" s="232"/>
      <c r="B8" s="227"/>
      <c r="C8" s="230"/>
      <c r="D8" s="253"/>
      <c r="E8" s="230"/>
      <c r="F8" s="230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46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25"/>
      <c r="AK8" s="225"/>
      <c r="AL8" s="225"/>
      <c r="AM8" s="225"/>
    </row>
    <row r="9" spans="1:39" ht="15.6" x14ac:dyDescent="0.3">
      <c r="A9" s="232" t="s">
        <v>380</v>
      </c>
      <c r="B9" s="227"/>
      <c r="C9" s="230" t="s">
        <v>635</v>
      </c>
      <c r="D9" s="253"/>
      <c r="E9" s="230"/>
      <c r="F9" s="230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46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25"/>
      <c r="AK9" s="225"/>
      <c r="AL9" s="225"/>
      <c r="AM9" s="225"/>
    </row>
    <row r="10" spans="1:39" ht="15.6" x14ac:dyDescent="0.3">
      <c r="A10" s="232" t="s">
        <v>381</v>
      </c>
      <c r="B10" s="227"/>
      <c r="C10" s="230" t="s">
        <v>382</v>
      </c>
      <c r="D10" s="253"/>
      <c r="E10" s="230"/>
      <c r="F10" s="230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46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25"/>
      <c r="AK10" s="225"/>
      <c r="AL10" s="225"/>
      <c r="AM10" s="225"/>
    </row>
    <row r="11" spans="1:39" ht="16.2" thickBot="1" x14ac:dyDescent="0.35">
      <c r="A11" s="232" t="s">
        <v>407</v>
      </c>
      <c r="B11" s="227"/>
      <c r="C11" s="230" t="s">
        <v>595</v>
      </c>
      <c r="D11" s="253"/>
      <c r="E11" s="230"/>
      <c r="F11" s="230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46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25"/>
      <c r="AK11" s="225"/>
      <c r="AL11" s="225"/>
      <c r="AM11" s="225"/>
    </row>
    <row r="12" spans="1:39" ht="43.8" thickBot="1" x14ac:dyDescent="0.35">
      <c r="A12" s="260" t="s">
        <v>367</v>
      </c>
      <c r="B12" s="219" t="s">
        <v>368</v>
      </c>
      <c r="C12" s="219" t="s">
        <v>369</v>
      </c>
      <c r="D12" s="254" t="s">
        <v>386</v>
      </c>
      <c r="E12" s="220" t="s">
        <v>403</v>
      </c>
      <c r="F12" s="221" t="s">
        <v>370</v>
      </c>
      <c r="G12" s="223" t="s">
        <v>371</v>
      </c>
      <c r="H12" s="247" t="s">
        <v>598</v>
      </c>
      <c r="I12" s="247" t="s">
        <v>599</v>
      </c>
      <c r="J12" s="247" t="s">
        <v>600</v>
      </c>
      <c r="K12" s="247" t="s">
        <v>601</v>
      </c>
      <c r="L12" s="247" t="s">
        <v>602</v>
      </c>
      <c r="M12" s="247" t="s">
        <v>603</v>
      </c>
      <c r="N12" s="247" t="s">
        <v>604</v>
      </c>
      <c r="O12" s="247" t="s">
        <v>605</v>
      </c>
      <c r="P12" s="247" t="s">
        <v>606</v>
      </c>
      <c r="Q12" s="248" t="s">
        <v>607</v>
      </c>
      <c r="R12" s="247" t="s">
        <v>608</v>
      </c>
      <c r="S12" s="247" t="s">
        <v>609</v>
      </c>
      <c r="T12" s="247" t="s">
        <v>610</v>
      </c>
      <c r="U12" s="247" t="s">
        <v>611</v>
      </c>
      <c r="V12" s="247" t="s">
        <v>612</v>
      </c>
      <c r="W12" s="247" t="s">
        <v>613</v>
      </c>
      <c r="X12" s="247" t="s">
        <v>614</v>
      </c>
      <c r="Y12" s="247" t="s">
        <v>615</v>
      </c>
      <c r="Z12" s="247" t="s">
        <v>616</v>
      </c>
      <c r="AA12" s="247" t="s">
        <v>617</v>
      </c>
      <c r="AB12" s="247" t="s">
        <v>618</v>
      </c>
      <c r="AC12" s="247" t="s">
        <v>619</v>
      </c>
      <c r="AD12" s="247" t="s">
        <v>620</v>
      </c>
      <c r="AE12" s="247" t="s">
        <v>621</v>
      </c>
      <c r="AF12" s="247" t="s">
        <v>622</v>
      </c>
      <c r="AG12" s="247" t="s">
        <v>623</v>
      </c>
      <c r="AH12" s="247" t="s">
        <v>624</v>
      </c>
      <c r="AI12" s="247" t="s">
        <v>650</v>
      </c>
      <c r="AJ12" s="310" t="s">
        <v>654</v>
      </c>
      <c r="AK12" s="218"/>
      <c r="AL12" s="218"/>
      <c r="AM12" s="218"/>
    </row>
    <row r="13" spans="1:39" ht="16.2" thickBot="1" x14ac:dyDescent="0.35">
      <c r="A13" s="262" t="s">
        <v>7</v>
      </c>
      <c r="B13" s="262" t="s">
        <v>185</v>
      </c>
      <c r="C13" s="239">
        <v>1108927</v>
      </c>
      <c r="D13" s="249" t="s">
        <v>587</v>
      </c>
      <c r="E13" s="238"/>
      <c r="F13" s="238">
        <f>SUM(H13:AI13)</f>
        <v>1108927</v>
      </c>
      <c r="G13" s="238">
        <f t="shared" ref="G13:G76" si="0">C13-F13</f>
        <v>0</v>
      </c>
      <c r="H13" s="240"/>
      <c r="I13" s="240"/>
      <c r="J13" s="240"/>
      <c r="K13" s="240"/>
      <c r="L13" s="240"/>
      <c r="M13" s="240">
        <v>49854</v>
      </c>
      <c r="N13" s="240">
        <v>92837</v>
      </c>
      <c r="O13" s="240">
        <v>122256</v>
      </c>
      <c r="P13" s="240">
        <v>97468</v>
      </c>
      <c r="Q13" s="240">
        <v>107421</v>
      </c>
      <c r="R13" s="240">
        <v>101272</v>
      </c>
      <c r="S13" s="240">
        <v>100876</v>
      </c>
      <c r="T13" s="240">
        <v>92670</v>
      </c>
      <c r="U13" s="240">
        <v>98377</v>
      </c>
      <c r="V13" s="240">
        <v>83059</v>
      </c>
      <c r="W13" s="240">
        <v>88527</v>
      </c>
      <c r="X13" s="240">
        <v>74310</v>
      </c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16"/>
      <c r="AK13" s="216"/>
      <c r="AL13" s="216"/>
      <c r="AM13" s="216"/>
    </row>
    <row r="14" spans="1:39" ht="16.2" thickBot="1" x14ac:dyDescent="0.35">
      <c r="A14" s="262" t="s">
        <v>8</v>
      </c>
      <c r="B14" s="262" t="s">
        <v>428</v>
      </c>
      <c r="C14" s="239">
        <v>4330521</v>
      </c>
      <c r="D14" s="249" t="s">
        <v>587</v>
      </c>
      <c r="E14" s="238"/>
      <c r="F14" s="238">
        <f t="shared" ref="F14:F77" si="1">SUM(H14:AI14)</f>
        <v>4330521</v>
      </c>
      <c r="G14" s="238">
        <f t="shared" si="0"/>
        <v>0</v>
      </c>
      <c r="H14" s="240"/>
      <c r="I14" s="240"/>
      <c r="J14" s="240"/>
      <c r="K14" s="240"/>
      <c r="L14" s="240">
        <v>484626</v>
      </c>
      <c r="M14" s="240">
        <v>353520</v>
      </c>
      <c r="N14" s="240">
        <v>357253</v>
      </c>
      <c r="O14" s="240">
        <v>320847</v>
      </c>
      <c r="P14" s="240">
        <v>370393</v>
      </c>
      <c r="Q14" s="240">
        <v>333122</v>
      </c>
      <c r="R14" s="240">
        <v>345069</v>
      </c>
      <c r="S14" s="240">
        <v>322781</v>
      </c>
      <c r="T14" s="240"/>
      <c r="U14" s="240"/>
      <c r="V14" s="240">
        <v>467950</v>
      </c>
      <c r="W14" s="240">
        <v>510110</v>
      </c>
      <c r="X14" s="240">
        <v>464850</v>
      </c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16"/>
      <c r="AK14" s="216"/>
      <c r="AL14" s="216"/>
      <c r="AM14" s="216"/>
    </row>
    <row r="15" spans="1:39" ht="16.2" thickBot="1" x14ac:dyDescent="0.35">
      <c r="A15" s="262" t="s">
        <v>9</v>
      </c>
      <c r="B15" s="262" t="s">
        <v>187</v>
      </c>
      <c r="C15" s="239">
        <v>2120283</v>
      </c>
      <c r="D15" s="249" t="s">
        <v>587</v>
      </c>
      <c r="E15" s="238"/>
      <c r="F15" s="238">
        <f t="shared" si="1"/>
        <v>2120283</v>
      </c>
      <c r="G15" s="238">
        <f t="shared" si="0"/>
        <v>0</v>
      </c>
      <c r="H15" s="240"/>
      <c r="I15" s="240"/>
      <c r="J15" s="240"/>
      <c r="K15" s="240"/>
      <c r="L15" s="240"/>
      <c r="M15" s="240">
        <v>266591</v>
      </c>
      <c r="N15" s="240"/>
      <c r="O15" s="240">
        <v>141826</v>
      </c>
      <c r="P15" s="240">
        <v>167653</v>
      </c>
      <c r="Q15" s="240">
        <v>150591</v>
      </c>
      <c r="R15" s="240">
        <v>169367</v>
      </c>
      <c r="S15" s="240">
        <v>165763</v>
      </c>
      <c r="T15" s="240">
        <v>187707</v>
      </c>
      <c r="U15" s="240">
        <v>326219</v>
      </c>
      <c r="V15" s="240">
        <v>249364</v>
      </c>
      <c r="W15" s="240">
        <v>6441</v>
      </c>
      <c r="X15" s="240"/>
      <c r="Y15" s="240">
        <v>288761</v>
      </c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16"/>
      <c r="AK15" s="216"/>
      <c r="AL15" s="216"/>
      <c r="AM15" s="216"/>
    </row>
    <row r="16" spans="1:39" ht="16.2" thickBot="1" x14ac:dyDescent="0.35">
      <c r="A16" s="262" t="s">
        <v>10</v>
      </c>
      <c r="B16" s="262" t="s">
        <v>411</v>
      </c>
      <c r="C16" s="239">
        <v>1278777</v>
      </c>
      <c r="D16" s="249" t="s">
        <v>587</v>
      </c>
      <c r="E16" s="238"/>
      <c r="F16" s="238">
        <f t="shared" si="1"/>
        <v>1278777</v>
      </c>
      <c r="G16" s="238">
        <f t="shared" si="0"/>
        <v>0</v>
      </c>
      <c r="H16" s="240"/>
      <c r="I16" s="240"/>
      <c r="J16" s="240"/>
      <c r="K16" s="240"/>
      <c r="L16" s="240"/>
      <c r="M16" s="240"/>
      <c r="N16" s="240"/>
      <c r="O16" s="240">
        <v>528825</v>
      </c>
      <c r="P16" s="240"/>
      <c r="Q16" s="240"/>
      <c r="R16" s="240">
        <v>299557</v>
      </c>
      <c r="S16" s="240">
        <v>91496</v>
      </c>
      <c r="T16" s="240">
        <v>105305</v>
      </c>
      <c r="U16" s="240"/>
      <c r="V16" s="240"/>
      <c r="W16" s="240"/>
      <c r="X16" s="240">
        <v>253594</v>
      </c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16"/>
      <c r="AK16" s="216"/>
      <c r="AL16" s="216"/>
      <c r="AM16" s="216"/>
    </row>
    <row r="17" spans="1:39" ht="16.2" thickBot="1" x14ac:dyDescent="0.35">
      <c r="A17" s="262" t="s">
        <v>11</v>
      </c>
      <c r="B17" s="262" t="s">
        <v>189</v>
      </c>
      <c r="C17" s="239">
        <v>106699</v>
      </c>
      <c r="D17" s="249" t="s">
        <v>372</v>
      </c>
      <c r="E17" s="238">
        <v>106699</v>
      </c>
      <c r="F17" s="238">
        <f t="shared" si="1"/>
        <v>0</v>
      </c>
      <c r="G17" s="238">
        <v>0</v>
      </c>
      <c r="H17" s="240"/>
      <c r="I17" s="240"/>
      <c r="J17" s="240"/>
      <c r="K17" s="240"/>
      <c r="L17" s="240"/>
      <c r="M17" s="240"/>
      <c r="N17" s="240"/>
      <c r="O17" s="240" t="s">
        <v>587</v>
      </c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16"/>
      <c r="AK17" s="216"/>
      <c r="AL17" s="216"/>
      <c r="AM17" s="216"/>
    </row>
    <row r="18" spans="1:39" ht="16.2" thickBot="1" x14ac:dyDescent="0.35">
      <c r="A18" s="262" t="s">
        <v>12</v>
      </c>
      <c r="B18" s="262" t="s">
        <v>190</v>
      </c>
      <c r="C18" s="239">
        <v>69966</v>
      </c>
      <c r="D18" s="249" t="s">
        <v>372</v>
      </c>
      <c r="E18" s="238">
        <v>69966</v>
      </c>
      <c r="F18" s="238">
        <f t="shared" si="1"/>
        <v>0</v>
      </c>
      <c r="G18" s="238">
        <v>0</v>
      </c>
      <c r="H18" s="240"/>
      <c r="I18" s="240"/>
      <c r="J18" s="240"/>
      <c r="K18" s="240"/>
      <c r="L18" s="240"/>
      <c r="M18" s="240"/>
      <c r="N18" s="240"/>
      <c r="O18" s="240" t="s">
        <v>587</v>
      </c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16"/>
      <c r="AK18" s="216"/>
      <c r="AL18" s="216"/>
      <c r="AM18" s="216"/>
    </row>
    <row r="19" spans="1:39" ht="16.2" thickBot="1" x14ac:dyDescent="0.35">
      <c r="A19" s="262" t="s">
        <v>13</v>
      </c>
      <c r="B19" s="262" t="s">
        <v>191</v>
      </c>
      <c r="C19" s="239">
        <v>2950345</v>
      </c>
      <c r="D19" s="249" t="s">
        <v>587</v>
      </c>
      <c r="E19" s="238"/>
      <c r="F19" s="238">
        <f t="shared" si="1"/>
        <v>2950345</v>
      </c>
      <c r="G19" s="238">
        <f t="shared" si="0"/>
        <v>0</v>
      </c>
      <c r="H19" s="240"/>
      <c r="I19" s="240"/>
      <c r="J19" s="240"/>
      <c r="K19" s="240"/>
      <c r="L19" s="240"/>
      <c r="M19" s="240"/>
      <c r="N19" s="240">
        <v>81257</v>
      </c>
      <c r="O19" s="240">
        <v>267323</v>
      </c>
      <c r="P19" s="240">
        <v>413727</v>
      </c>
      <c r="Q19" s="240">
        <v>273354</v>
      </c>
      <c r="R19" s="240">
        <v>433049</v>
      </c>
      <c r="S19" s="240">
        <v>289818</v>
      </c>
      <c r="T19" s="240">
        <v>306168</v>
      </c>
      <c r="U19" s="240">
        <v>327578</v>
      </c>
      <c r="V19" s="240">
        <v>212618</v>
      </c>
      <c r="W19" s="240"/>
      <c r="X19" s="240">
        <v>345453</v>
      </c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16"/>
      <c r="AK19" s="216"/>
      <c r="AL19" s="216"/>
      <c r="AM19" s="216"/>
    </row>
    <row r="20" spans="1:39" ht="16.2" thickBot="1" x14ac:dyDescent="0.35">
      <c r="A20" s="262" t="s">
        <v>14</v>
      </c>
      <c r="B20" s="262" t="s">
        <v>429</v>
      </c>
      <c r="C20" s="239">
        <v>857542</v>
      </c>
      <c r="D20" s="249" t="s">
        <v>587</v>
      </c>
      <c r="E20" s="238"/>
      <c r="F20" s="238">
        <f t="shared" si="1"/>
        <v>857542</v>
      </c>
      <c r="G20" s="238">
        <f t="shared" si="0"/>
        <v>0</v>
      </c>
      <c r="H20" s="240"/>
      <c r="I20" s="240"/>
      <c r="J20" s="240"/>
      <c r="K20" s="240">
        <v>58603</v>
      </c>
      <c r="L20" s="240">
        <v>62121</v>
      </c>
      <c r="M20" s="240">
        <v>66695</v>
      </c>
      <c r="N20" s="240">
        <v>84410</v>
      </c>
      <c r="O20" s="240">
        <v>70542</v>
      </c>
      <c r="P20" s="240">
        <v>63632</v>
      </c>
      <c r="Q20" s="240">
        <v>76889</v>
      </c>
      <c r="R20" s="240">
        <v>70659</v>
      </c>
      <c r="S20" s="240">
        <v>64715</v>
      </c>
      <c r="T20" s="240">
        <v>109621</v>
      </c>
      <c r="U20" s="240">
        <v>60819</v>
      </c>
      <c r="V20" s="240">
        <v>60928</v>
      </c>
      <c r="W20" s="240"/>
      <c r="X20" s="240"/>
      <c r="Y20" s="240"/>
      <c r="Z20" s="240">
        <v>7908</v>
      </c>
      <c r="AA20" s="240"/>
      <c r="AB20" s="240"/>
      <c r="AC20" s="240"/>
      <c r="AD20" s="240"/>
      <c r="AE20" s="240"/>
      <c r="AF20" s="240"/>
      <c r="AG20" s="240"/>
      <c r="AH20" s="240"/>
      <c r="AI20" s="240"/>
      <c r="AJ20" s="216"/>
      <c r="AK20" s="216"/>
      <c r="AL20" s="216"/>
      <c r="AM20" s="216"/>
    </row>
    <row r="21" spans="1:39" ht="16.2" thickBot="1" x14ac:dyDescent="0.35">
      <c r="A21" s="262" t="s">
        <v>15</v>
      </c>
      <c r="B21" s="262" t="s">
        <v>431</v>
      </c>
      <c r="C21" s="239">
        <v>108123</v>
      </c>
      <c r="D21" s="249" t="s">
        <v>587</v>
      </c>
      <c r="E21" s="238"/>
      <c r="F21" s="238">
        <f t="shared" si="1"/>
        <v>108123</v>
      </c>
      <c r="G21" s="238">
        <f t="shared" si="0"/>
        <v>0</v>
      </c>
      <c r="H21" s="240"/>
      <c r="I21" s="240"/>
      <c r="J21" s="240"/>
      <c r="K21" s="240"/>
      <c r="L21" s="240"/>
      <c r="M21" s="240"/>
      <c r="N21" s="240"/>
      <c r="O21" s="240" t="s">
        <v>587</v>
      </c>
      <c r="P21" s="240"/>
      <c r="Q21" s="240">
        <v>80672</v>
      </c>
      <c r="R21" s="240"/>
      <c r="S21" s="240">
        <v>27421</v>
      </c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>
        <v>30</v>
      </c>
      <c r="AE21" s="240"/>
      <c r="AF21" s="240"/>
      <c r="AG21" s="240"/>
      <c r="AH21" s="240"/>
      <c r="AI21" s="240"/>
      <c r="AJ21" s="216"/>
      <c r="AK21" s="216"/>
      <c r="AL21" s="216"/>
      <c r="AM21" s="216"/>
    </row>
    <row r="22" spans="1:39" ht="16.2" thickBot="1" x14ac:dyDescent="0.35">
      <c r="A22" s="262" t="s">
        <v>16</v>
      </c>
      <c r="B22" s="262" t="s">
        <v>194</v>
      </c>
      <c r="C22" s="239">
        <v>600863</v>
      </c>
      <c r="D22" s="249" t="s">
        <v>587</v>
      </c>
      <c r="E22" s="238"/>
      <c r="F22" s="238">
        <f t="shared" si="1"/>
        <v>600863</v>
      </c>
      <c r="G22" s="238">
        <f t="shared" si="0"/>
        <v>0</v>
      </c>
      <c r="H22" s="240"/>
      <c r="I22" s="240"/>
      <c r="J22" s="240"/>
      <c r="K22" s="240"/>
      <c r="L22" s="240">
        <v>65194</v>
      </c>
      <c r="M22" s="240">
        <v>51032</v>
      </c>
      <c r="N22" s="240">
        <v>51579</v>
      </c>
      <c r="O22" s="240">
        <v>50447</v>
      </c>
      <c r="P22" s="240">
        <v>56122</v>
      </c>
      <c r="Q22" s="240">
        <v>51233</v>
      </c>
      <c r="R22" s="240">
        <v>60425</v>
      </c>
      <c r="S22" s="240">
        <v>57796</v>
      </c>
      <c r="T22" s="240">
        <v>52709</v>
      </c>
      <c r="U22" s="240">
        <v>79905</v>
      </c>
      <c r="V22" s="240"/>
      <c r="W22" s="240"/>
      <c r="X22" s="240"/>
      <c r="Y22" s="240">
        <v>24421</v>
      </c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16"/>
      <c r="AK22" s="216"/>
      <c r="AL22" s="216"/>
      <c r="AM22" s="216"/>
    </row>
    <row r="23" spans="1:39" ht="16.2" thickBot="1" x14ac:dyDescent="0.35">
      <c r="A23" s="262" t="s">
        <v>17</v>
      </c>
      <c r="B23" s="262" t="s">
        <v>195</v>
      </c>
      <c r="C23" s="239">
        <v>976958</v>
      </c>
      <c r="D23" s="249" t="s">
        <v>587</v>
      </c>
      <c r="E23" s="238"/>
      <c r="F23" s="238">
        <f t="shared" si="1"/>
        <v>976958</v>
      </c>
      <c r="G23" s="238">
        <f t="shared" si="0"/>
        <v>0</v>
      </c>
      <c r="H23" s="240"/>
      <c r="I23" s="240"/>
      <c r="J23" s="240"/>
      <c r="K23" s="240"/>
      <c r="L23" s="240"/>
      <c r="M23" s="240">
        <v>157988</v>
      </c>
      <c r="N23" s="240"/>
      <c r="O23" s="240">
        <v>218036</v>
      </c>
      <c r="P23" s="240"/>
      <c r="Q23" s="240">
        <v>142214</v>
      </c>
      <c r="R23" s="240"/>
      <c r="S23" s="240">
        <v>237814</v>
      </c>
      <c r="T23" s="240"/>
      <c r="U23" s="240"/>
      <c r="V23" s="240">
        <v>143543</v>
      </c>
      <c r="W23" s="240"/>
      <c r="X23" s="240"/>
      <c r="Y23" s="240">
        <v>77363</v>
      </c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16"/>
      <c r="AK23" s="216"/>
      <c r="AL23" s="216"/>
      <c r="AM23" s="216"/>
    </row>
    <row r="24" spans="1:39" ht="16.2" thickBot="1" x14ac:dyDescent="0.35">
      <c r="A24" s="262" t="s">
        <v>18</v>
      </c>
      <c r="B24" s="262" t="s">
        <v>196</v>
      </c>
      <c r="C24" s="239">
        <v>5232044</v>
      </c>
      <c r="D24" s="249" t="s">
        <v>587</v>
      </c>
      <c r="E24" s="238"/>
      <c r="F24" s="238">
        <f t="shared" si="1"/>
        <v>5232044</v>
      </c>
      <c r="G24" s="238">
        <f t="shared" si="0"/>
        <v>0</v>
      </c>
      <c r="H24" s="240"/>
      <c r="I24" s="240"/>
      <c r="J24" s="240"/>
      <c r="K24" s="240"/>
      <c r="L24" s="240"/>
      <c r="M24" s="240">
        <v>922014</v>
      </c>
      <c r="N24" s="240">
        <v>425236</v>
      </c>
      <c r="O24" s="240">
        <v>674721</v>
      </c>
      <c r="P24" s="240">
        <v>97212</v>
      </c>
      <c r="Q24" s="240">
        <v>377018</v>
      </c>
      <c r="R24" s="240">
        <v>412743</v>
      </c>
      <c r="S24" s="240">
        <v>396627</v>
      </c>
      <c r="T24" s="240">
        <v>439964</v>
      </c>
      <c r="U24" s="240"/>
      <c r="V24" s="240">
        <v>1082891</v>
      </c>
      <c r="W24" s="240"/>
      <c r="X24" s="240">
        <v>237365</v>
      </c>
      <c r="Y24" s="240">
        <v>166253</v>
      </c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16"/>
      <c r="AK24" s="216"/>
      <c r="AL24" s="216"/>
      <c r="AM24" s="216"/>
    </row>
    <row r="25" spans="1:39" ht="16.2" thickBot="1" x14ac:dyDescent="0.35">
      <c r="A25" s="262" t="s">
        <v>19</v>
      </c>
      <c r="B25" s="262" t="s">
        <v>197</v>
      </c>
      <c r="C25" s="239">
        <v>1172471</v>
      </c>
      <c r="D25" s="249" t="s">
        <v>587</v>
      </c>
      <c r="E25" s="238"/>
      <c r="F25" s="238">
        <f t="shared" si="1"/>
        <v>1172471</v>
      </c>
      <c r="G25" s="238">
        <f t="shared" si="0"/>
        <v>0</v>
      </c>
      <c r="H25" s="240"/>
      <c r="I25" s="240"/>
      <c r="J25" s="240"/>
      <c r="K25" s="240"/>
      <c r="L25" s="240"/>
      <c r="M25" s="240"/>
      <c r="N25" s="240"/>
      <c r="O25" s="240">
        <v>265735</v>
      </c>
      <c r="P25" s="240">
        <v>96792</v>
      </c>
      <c r="Q25" s="240">
        <v>96318</v>
      </c>
      <c r="R25" s="240">
        <v>96603</v>
      </c>
      <c r="S25" s="240">
        <v>115087</v>
      </c>
      <c r="T25" s="240">
        <v>84620</v>
      </c>
      <c r="U25" s="240"/>
      <c r="V25" s="240">
        <v>95959</v>
      </c>
      <c r="W25" s="240"/>
      <c r="X25" s="240"/>
      <c r="Y25" s="240">
        <v>321357</v>
      </c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16"/>
      <c r="AK25" s="216"/>
      <c r="AL25" s="216"/>
      <c r="AM25" s="216"/>
    </row>
    <row r="26" spans="1:39" ht="16.2" thickBot="1" x14ac:dyDescent="0.35">
      <c r="A26" s="262" t="s">
        <v>20</v>
      </c>
      <c r="B26" s="262" t="s">
        <v>198</v>
      </c>
      <c r="C26" s="239">
        <v>34429</v>
      </c>
      <c r="D26" s="249" t="s">
        <v>372</v>
      </c>
      <c r="E26" s="238">
        <v>34429</v>
      </c>
      <c r="F26" s="238">
        <f t="shared" si="1"/>
        <v>0</v>
      </c>
      <c r="G26" s="238">
        <v>0</v>
      </c>
      <c r="H26" s="240"/>
      <c r="I26" s="240"/>
      <c r="J26" s="240"/>
      <c r="K26" s="240"/>
      <c r="L26" s="240"/>
      <c r="M26" s="240"/>
      <c r="N26" s="240"/>
      <c r="O26" s="240" t="s">
        <v>587</v>
      </c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16"/>
      <c r="AK26" s="216"/>
      <c r="AL26" s="216"/>
      <c r="AM26" s="216"/>
    </row>
    <row r="27" spans="1:39" ht="16.2" thickBot="1" x14ac:dyDescent="0.35">
      <c r="A27" s="262" t="s">
        <v>21</v>
      </c>
      <c r="B27" s="262" t="s">
        <v>199</v>
      </c>
      <c r="C27" s="239">
        <v>12457997</v>
      </c>
      <c r="D27" s="249" t="s">
        <v>587</v>
      </c>
      <c r="E27" s="238"/>
      <c r="F27" s="238">
        <f t="shared" si="1"/>
        <v>12457997</v>
      </c>
      <c r="G27" s="238">
        <f t="shared" si="0"/>
        <v>0</v>
      </c>
      <c r="H27" s="240"/>
      <c r="I27" s="240"/>
      <c r="J27" s="240"/>
      <c r="K27" s="240"/>
      <c r="L27" s="240"/>
      <c r="M27" s="240">
        <v>143119</v>
      </c>
      <c r="N27" s="240">
        <v>1345311</v>
      </c>
      <c r="O27" s="240">
        <v>1215764</v>
      </c>
      <c r="P27" s="240">
        <v>1425221</v>
      </c>
      <c r="Q27" s="240">
        <v>1281190</v>
      </c>
      <c r="R27" s="240">
        <v>1183051</v>
      </c>
      <c r="S27" s="240">
        <v>1208077</v>
      </c>
      <c r="T27" s="240">
        <v>1334688</v>
      </c>
      <c r="U27" s="240">
        <v>859836</v>
      </c>
      <c r="V27" s="240">
        <v>1808</v>
      </c>
      <c r="W27" s="240">
        <v>171906</v>
      </c>
      <c r="X27" s="240"/>
      <c r="Y27" s="240">
        <v>2288026</v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16"/>
      <c r="AK27" s="216"/>
      <c r="AL27" s="216"/>
      <c r="AM27" s="216"/>
    </row>
    <row r="28" spans="1:39" ht="16.2" thickBot="1" x14ac:dyDescent="0.35">
      <c r="A28" s="262" t="s">
        <v>22</v>
      </c>
      <c r="B28" s="262" t="s">
        <v>200</v>
      </c>
      <c r="C28" s="239">
        <v>385646</v>
      </c>
      <c r="D28" s="249"/>
      <c r="E28" s="238"/>
      <c r="F28" s="238">
        <f t="shared" si="1"/>
        <v>385646</v>
      </c>
      <c r="G28" s="238">
        <f t="shared" si="0"/>
        <v>0</v>
      </c>
      <c r="H28" s="240"/>
      <c r="I28" s="240"/>
      <c r="J28" s="240"/>
      <c r="K28" s="240"/>
      <c r="L28" s="240"/>
      <c r="M28" s="240"/>
      <c r="N28" s="240"/>
      <c r="O28" s="240" t="s">
        <v>587</v>
      </c>
      <c r="P28" s="240"/>
      <c r="Q28" s="240">
        <v>53320</v>
      </c>
      <c r="R28" s="240">
        <v>145656</v>
      </c>
      <c r="S28" s="240">
        <v>133504</v>
      </c>
      <c r="T28" s="240">
        <v>50553</v>
      </c>
      <c r="U28" s="240"/>
      <c r="V28" s="240"/>
      <c r="W28" s="240"/>
      <c r="X28" s="240"/>
      <c r="Y28" s="240"/>
      <c r="Z28" s="240"/>
      <c r="AA28" s="240">
        <v>2613</v>
      </c>
      <c r="AB28" s="240"/>
      <c r="AC28" s="240"/>
      <c r="AD28" s="240"/>
      <c r="AE28" s="240"/>
      <c r="AF28" s="240"/>
      <c r="AG28" s="240"/>
      <c r="AH28" s="240"/>
      <c r="AI28" s="240"/>
      <c r="AJ28" s="216"/>
      <c r="AK28" s="216"/>
      <c r="AL28" s="216"/>
      <c r="AM28" s="216"/>
    </row>
    <row r="29" spans="1:39" ht="16.2" thickBot="1" x14ac:dyDescent="0.35">
      <c r="A29" s="262" t="s">
        <v>23</v>
      </c>
      <c r="B29" s="262" t="s">
        <v>433</v>
      </c>
      <c r="C29" s="239">
        <v>377553</v>
      </c>
      <c r="D29" s="249" t="s">
        <v>587</v>
      </c>
      <c r="E29" s="238"/>
      <c r="F29" s="238">
        <f t="shared" si="1"/>
        <v>377553</v>
      </c>
      <c r="G29" s="238">
        <f t="shared" si="0"/>
        <v>0</v>
      </c>
      <c r="H29" s="240"/>
      <c r="I29" s="240"/>
      <c r="J29" s="240"/>
      <c r="K29" s="240"/>
      <c r="L29" s="240">
        <v>110485</v>
      </c>
      <c r="M29" s="240">
        <v>36091</v>
      </c>
      <c r="N29" s="240">
        <v>34996</v>
      </c>
      <c r="O29" s="240">
        <v>33011</v>
      </c>
      <c r="P29" s="240">
        <v>28408</v>
      </c>
      <c r="Q29" s="240">
        <v>32243</v>
      </c>
      <c r="R29" s="240">
        <v>32527</v>
      </c>
      <c r="S29" s="240">
        <v>33273</v>
      </c>
      <c r="T29" s="240">
        <v>34905</v>
      </c>
      <c r="U29" s="240"/>
      <c r="V29" s="240"/>
      <c r="W29" s="240"/>
      <c r="X29" s="240"/>
      <c r="Y29" s="240">
        <v>1614</v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16"/>
      <c r="AK29" s="216"/>
      <c r="AL29" s="216"/>
      <c r="AM29" s="216"/>
    </row>
    <row r="30" spans="1:39" ht="16.2" thickBot="1" x14ac:dyDescent="0.35">
      <c r="A30" s="262" t="s">
        <v>24</v>
      </c>
      <c r="B30" s="262" t="s">
        <v>435</v>
      </c>
      <c r="C30" s="239">
        <v>50673</v>
      </c>
      <c r="D30" s="249" t="s">
        <v>587</v>
      </c>
      <c r="E30" s="238"/>
      <c r="F30" s="238">
        <f t="shared" si="1"/>
        <v>50673</v>
      </c>
      <c r="G30" s="238">
        <f t="shared" si="0"/>
        <v>0</v>
      </c>
      <c r="H30" s="240"/>
      <c r="I30" s="240"/>
      <c r="J30" s="240"/>
      <c r="K30" s="240"/>
      <c r="L30" s="240">
        <v>21182</v>
      </c>
      <c r="M30" s="240"/>
      <c r="N30" s="240"/>
      <c r="O30" s="240" t="s">
        <v>587</v>
      </c>
      <c r="P30" s="240"/>
      <c r="Q30" s="240"/>
      <c r="R30" s="240">
        <v>17990</v>
      </c>
      <c r="S30" s="240">
        <v>11132</v>
      </c>
      <c r="T30" s="240"/>
      <c r="U30" s="240"/>
      <c r="V30" s="240"/>
      <c r="W30" s="240"/>
      <c r="X30" s="240"/>
      <c r="Y30" s="240"/>
      <c r="Z30" s="240">
        <v>369</v>
      </c>
      <c r="AA30" s="240"/>
      <c r="AB30" s="240"/>
      <c r="AC30" s="240"/>
      <c r="AD30" s="240"/>
      <c r="AE30" s="240"/>
      <c r="AF30" s="240"/>
      <c r="AG30" s="240"/>
      <c r="AH30" s="240"/>
      <c r="AI30" s="240"/>
      <c r="AJ30" s="216"/>
      <c r="AK30" s="216"/>
      <c r="AL30" s="216"/>
      <c r="AM30" s="216"/>
    </row>
    <row r="31" spans="1:39" ht="16.2" thickBot="1" x14ac:dyDescent="0.35">
      <c r="A31" s="262" t="s">
        <v>25</v>
      </c>
      <c r="B31" s="262" t="s">
        <v>437</v>
      </c>
      <c r="C31" s="239">
        <v>1651</v>
      </c>
      <c r="D31" s="249" t="s">
        <v>587</v>
      </c>
      <c r="E31" s="238"/>
      <c r="F31" s="238">
        <f t="shared" si="1"/>
        <v>1651</v>
      </c>
      <c r="G31" s="238">
        <f t="shared" si="0"/>
        <v>0</v>
      </c>
      <c r="H31" s="240"/>
      <c r="I31" s="240"/>
      <c r="J31" s="240"/>
      <c r="K31" s="240"/>
      <c r="L31" s="240"/>
      <c r="M31" s="240"/>
      <c r="N31" s="240"/>
      <c r="O31" s="240" t="s">
        <v>587</v>
      </c>
      <c r="P31" s="240"/>
      <c r="Q31" s="240">
        <v>1651</v>
      </c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16"/>
      <c r="AK31" s="216"/>
      <c r="AL31" s="216"/>
      <c r="AM31" s="216"/>
    </row>
    <row r="32" spans="1:39" ht="16.2" thickBot="1" x14ac:dyDescent="0.35">
      <c r="A32" s="262" t="s">
        <v>26</v>
      </c>
      <c r="B32" s="262" t="s">
        <v>438</v>
      </c>
      <c r="C32" s="239">
        <v>75626</v>
      </c>
      <c r="D32" s="249" t="s">
        <v>587</v>
      </c>
      <c r="E32" s="238"/>
      <c r="F32" s="238">
        <f t="shared" si="1"/>
        <v>75626</v>
      </c>
      <c r="G32" s="238">
        <f t="shared" si="0"/>
        <v>0</v>
      </c>
      <c r="H32" s="240"/>
      <c r="I32" s="240"/>
      <c r="J32" s="240"/>
      <c r="K32" s="240"/>
      <c r="L32" s="240"/>
      <c r="M32" s="240"/>
      <c r="N32" s="240"/>
      <c r="O32" s="240" t="s">
        <v>587</v>
      </c>
      <c r="P32" s="240">
        <v>35790</v>
      </c>
      <c r="Q32" s="240">
        <v>6247</v>
      </c>
      <c r="R32" s="240">
        <v>5583</v>
      </c>
      <c r="S32" s="240">
        <v>12069</v>
      </c>
      <c r="T32" s="240"/>
      <c r="U32" s="240"/>
      <c r="V32" s="240"/>
      <c r="W32" s="240"/>
      <c r="X32" s="240"/>
      <c r="Y32" s="240"/>
      <c r="Z32" s="240"/>
      <c r="AA32" s="240"/>
      <c r="AB32" s="240">
        <v>15937</v>
      </c>
      <c r="AC32" s="240"/>
      <c r="AD32" s="240"/>
      <c r="AE32" s="240"/>
      <c r="AF32" s="240"/>
      <c r="AG32" s="240"/>
      <c r="AH32" s="240"/>
      <c r="AI32" s="240"/>
      <c r="AJ32" s="216"/>
      <c r="AK32" s="216"/>
      <c r="AL32" s="216"/>
      <c r="AM32" s="216"/>
    </row>
    <row r="33" spans="1:39" ht="16.2" thickBot="1" x14ac:dyDescent="0.35">
      <c r="A33" s="262" t="s">
        <v>27</v>
      </c>
      <c r="B33" s="262" t="s">
        <v>439</v>
      </c>
      <c r="C33" s="239">
        <v>16130</v>
      </c>
      <c r="D33" s="249" t="s">
        <v>587</v>
      </c>
      <c r="E33" s="238"/>
      <c r="F33" s="238">
        <f t="shared" si="1"/>
        <v>16130</v>
      </c>
      <c r="G33" s="238">
        <f t="shared" si="0"/>
        <v>0</v>
      </c>
      <c r="H33" s="240"/>
      <c r="I33" s="240"/>
      <c r="J33" s="240"/>
      <c r="K33" s="240"/>
      <c r="L33" s="240"/>
      <c r="M33" s="240"/>
      <c r="N33" s="240"/>
      <c r="O33" s="240">
        <v>8794</v>
      </c>
      <c r="P33" s="240"/>
      <c r="Q33" s="240"/>
      <c r="R33" s="240">
        <v>7218</v>
      </c>
      <c r="S33" s="240"/>
      <c r="T33" s="240"/>
      <c r="U33" s="240"/>
      <c r="V33" s="240"/>
      <c r="W33" s="240"/>
      <c r="X33" s="240"/>
      <c r="Y33" s="240"/>
      <c r="Z33" s="240"/>
      <c r="AA33" s="240">
        <v>118</v>
      </c>
      <c r="AB33" s="240"/>
      <c r="AC33" s="240"/>
      <c r="AD33" s="240"/>
      <c r="AE33" s="240"/>
      <c r="AF33" s="240"/>
      <c r="AG33" s="240"/>
      <c r="AH33" s="240"/>
      <c r="AI33" s="240"/>
      <c r="AJ33" s="216"/>
      <c r="AK33" s="216"/>
      <c r="AL33" s="216"/>
      <c r="AM33" s="216"/>
    </row>
    <row r="34" spans="1:39" ht="16.2" thickBot="1" x14ac:dyDescent="0.35">
      <c r="A34" s="262" t="s">
        <v>28</v>
      </c>
      <c r="B34" s="262" t="s">
        <v>440</v>
      </c>
      <c r="C34" s="239" t="s">
        <v>636</v>
      </c>
      <c r="D34" s="249" t="s">
        <v>587</v>
      </c>
      <c r="E34" s="238"/>
      <c r="F34" s="238">
        <f t="shared" si="1"/>
        <v>0</v>
      </c>
      <c r="G34" s="238">
        <v>0</v>
      </c>
      <c r="H34" s="240"/>
      <c r="I34" s="240"/>
      <c r="J34" s="240"/>
      <c r="K34" s="240"/>
      <c r="L34" s="240"/>
      <c r="M34" s="240"/>
      <c r="N34" s="240"/>
      <c r="O34" s="240" t="s">
        <v>587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16"/>
      <c r="AK34" s="216"/>
      <c r="AL34" s="216"/>
      <c r="AM34" s="216"/>
    </row>
    <row r="35" spans="1:39" ht="16.2" thickBot="1" x14ac:dyDescent="0.35">
      <c r="A35" s="262" t="s">
        <v>29</v>
      </c>
      <c r="B35" s="262" t="s">
        <v>441</v>
      </c>
      <c r="C35" s="239">
        <v>223305</v>
      </c>
      <c r="D35" s="249" t="s">
        <v>587</v>
      </c>
      <c r="E35" s="238"/>
      <c r="F35" s="238">
        <f t="shared" si="1"/>
        <v>223305</v>
      </c>
      <c r="G35" s="238">
        <f t="shared" si="0"/>
        <v>0</v>
      </c>
      <c r="H35" s="240"/>
      <c r="I35" s="240"/>
      <c r="J35" s="240"/>
      <c r="K35" s="240"/>
      <c r="L35" s="240"/>
      <c r="M35" s="240"/>
      <c r="N35" s="240">
        <v>75094</v>
      </c>
      <c r="O35" s="240" t="s">
        <v>587</v>
      </c>
      <c r="P35" s="240"/>
      <c r="Q35" s="240"/>
      <c r="R35" s="240"/>
      <c r="S35" s="240">
        <v>103660</v>
      </c>
      <c r="T35" s="240"/>
      <c r="U35" s="240"/>
      <c r="V35" s="240"/>
      <c r="W35" s="240"/>
      <c r="X35" s="240"/>
      <c r="Y35" s="240">
        <v>44551</v>
      </c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16"/>
      <c r="AK35" s="216"/>
      <c r="AL35" s="216"/>
      <c r="AM35" s="216"/>
    </row>
    <row r="36" spans="1:39" ht="16.2" thickBot="1" x14ac:dyDescent="0.35">
      <c r="A36" s="262" t="s">
        <v>30</v>
      </c>
      <c r="B36" s="262" t="s">
        <v>443</v>
      </c>
      <c r="C36" s="239">
        <v>37530</v>
      </c>
      <c r="D36" s="249" t="s">
        <v>587</v>
      </c>
      <c r="E36" s="238"/>
      <c r="F36" s="238">
        <f t="shared" si="1"/>
        <v>37530</v>
      </c>
      <c r="G36" s="238">
        <f t="shared" si="0"/>
        <v>0</v>
      </c>
      <c r="H36" s="240"/>
      <c r="I36" s="240"/>
      <c r="J36" s="240"/>
      <c r="K36" s="240"/>
      <c r="L36" s="240"/>
      <c r="M36" s="240"/>
      <c r="N36" s="240"/>
      <c r="O36" s="240" t="s">
        <v>587</v>
      </c>
      <c r="P36" s="240">
        <v>21500</v>
      </c>
      <c r="Q36" s="240"/>
      <c r="R36" s="240">
        <v>16028</v>
      </c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>
        <v>2</v>
      </c>
      <c r="AD36" s="240"/>
      <c r="AE36" s="240"/>
      <c r="AF36" s="240"/>
      <c r="AG36" s="240"/>
      <c r="AH36" s="240"/>
      <c r="AI36" s="240"/>
      <c r="AJ36" s="216"/>
      <c r="AK36" s="216"/>
      <c r="AL36" s="216"/>
      <c r="AM36" s="216"/>
    </row>
    <row r="37" spans="1:39" ht="16.2" thickBot="1" x14ac:dyDescent="0.35">
      <c r="A37" s="262" t="s">
        <v>31</v>
      </c>
      <c r="B37" s="262" t="s">
        <v>444</v>
      </c>
      <c r="C37" s="239">
        <v>3470028</v>
      </c>
      <c r="D37" s="249" t="s">
        <v>587</v>
      </c>
      <c r="E37" s="238"/>
      <c r="F37" s="238">
        <f t="shared" si="1"/>
        <v>3470028</v>
      </c>
      <c r="G37" s="238">
        <f t="shared" si="0"/>
        <v>0</v>
      </c>
      <c r="H37" s="240"/>
      <c r="I37" s="240"/>
      <c r="J37" s="240"/>
      <c r="K37" s="240"/>
      <c r="L37" s="240">
        <v>35184</v>
      </c>
      <c r="M37" s="240"/>
      <c r="N37" s="240">
        <v>472953</v>
      </c>
      <c r="O37" s="240">
        <v>254093</v>
      </c>
      <c r="P37" s="240"/>
      <c r="Q37" s="240">
        <v>453435</v>
      </c>
      <c r="R37" s="240">
        <v>247812</v>
      </c>
      <c r="S37" s="240">
        <v>275547</v>
      </c>
      <c r="T37" s="240"/>
      <c r="U37" s="240"/>
      <c r="V37" s="240"/>
      <c r="W37" s="240">
        <v>1084938</v>
      </c>
      <c r="X37" s="240"/>
      <c r="Y37" s="240">
        <v>646066</v>
      </c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16"/>
      <c r="AK37" s="216"/>
      <c r="AL37" s="216"/>
      <c r="AM37" s="216"/>
    </row>
    <row r="38" spans="1:39" ht="16.2" thickBot="1" x14ac:dyDescent="0.35">
      <c r="A38" s="262" t="s">
        <v>32</v>
      </c>
      <c r="B38" s="262" t="s">
        <v>446</v>
      </c>
      <c r="C38" s="239">
        <v>2403279</v>
      </c>
      <c r="D38" s="249" t="s">
        <v>587</v>
      </c>
      <c r="E38" s="238"/>
      <c r="F38" s="238">
        <f t="shared" si="1"/>
        <v>2403279</v>
      </c>
      <c r="G38" s="238">
        <f t="shared" si="0"/>
        <v>0</v>
      </c>
      <c r="H38" s="240"/>
      <c r="I38" s="240"/>
      <c r="J38" s="240"/>
      <c r="K38" s="240"/>
      <c r="L38" s="240">
        <v>480315</v>
      </c>
      <c r="M38" s="240">
        <v>159230</v>
      </c>
      <c r="N38" s="240">
        <v>202237</v>
      </c>
      <c r="O38" s="240">
        <v>228421</v>
      </c>
      <c r="P38" s="240">
        <v>195420</v>
      </c>
      <c r="Q38" s="240">
        <v>196762</v>
      </c>
      <c r="R38" s="240">
        <v>216328</v>
      </c>
      <c r="S38" s="240"/>
      <c r="T38" s="240">
        <v>297586</v>
      </c>
      <c r="U38" s="240"/>
      <c r="V38" s="240">
        <v>126033</v>
      </c>
      <c r="W38" s="240"/>
      <c r="X38" s="240">
        <v>300947</v>
      </c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16"/>
      <c r="AK38" s="216"/>
      <c r="AL38" s="216"/>
      <c r="AM38" s="216"/>
    </row>
    <row r="39" spans="1:39" ht="16.2" thickBot="1" x14ac:dyDescent="0.35">
      <c r="A39" s="262" t="s">
        <v>33</v>
      </c>
      <c r="B39" s="262" t="s">
        <v>211</v>
      </c>
      <c r="C39" s="239">
        <v>172052</v>
      </c>
      <c r="D39" s="249" t="s">
        <v>587</v>
      </c>
      <c r="E39" s="238"/>
      <c r="F39" s="238">
        <f t="shared" si="1"/>
        <v>172052</v>
      </c>
      <c r="G39" s="238">
        <f t="shared" si="0"/>
        <v>0</v>
      </c>
      <c r="H39" s="240"/>
      <c r="I39" s="240"/>
      <c r="J39" s="240"/>
      <c r="K39" s="240"/>
      <c r="L39" s="240"/>
      <c r="M39" s="240"/>
      <c r="N39" s="240">
        <v>70778</v>
      </c>
      <c r="O39" s="240" t="s">
        <v>587</v>
      </c>
      <c r="P39" s="240"/>
      <c r="Q39" s="240"/>
      <c r="R39" s="240">
        <v>97590</v>
      </c>
      <c r="S39" s="240"/>
      <c r="T39" s="240"/>
      <c r="U39" s="240"/>
      <c r="V39" s="240"/>
      <c r="W39" s="240"/>
      <c r="X39" s="240"/>
      <c r="Y39" s="240">
        <v>3684</v>
      </c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16"/>
      <c r="AK39" s="216"/>
      <c r="AL39" s="216"/>
      <c r="AM39" s="216"/>
    </row>
    <row r="40" spans="1:39" ht="16.2" thickBot="1" x14ac:dyDescent="0.35">
      <c r="A40" s="262" t="s">
        <v>34</v>
      </c>
      <c r="B40" s="262" t="s">
        <v>212</v>
      </c>
      <c r="C40" s="239">
        <v>152607</v>
      </c>
      <c r="D40" s="249" t="s">
        <v>587</v>
      </c>
      <c r="E40" s="238"/>
      <c r="F40" s="238">
        <f t="shared" si="1"/>
        <v>152607</v>
      </c>
      <c r="G40" s="238">
        <f t="shared" si="0"/>
        <v>0</v>
      </c>
      <c r="H40" s="240"/>
      <c r="I40" s="240"/>
      <c r="J40" s="240"/>
      <c r="K40" s="240">
        <v>21078</v>
      </c>
      <c r="L40" s="240">
        <v>974</v>
      </c>
      <c r="M40" s="240">
        <v>14704</v>
      </c>
      <c r="N40" s="240">
        <v>14704</v>
      </c>
      <c r="O40" s="240">
        <v>29408</v>
      </c>
      <c r="P40" s="240">
        <v>29409</v>
      </c>
      <c r="Q40" s="240">
        <v>14704</v>
      </c>
      <c r="R40" s="240"/>
      <c r="S40" s="240">
        <v>27526</v>
      </c>
      <c r="T40" s="240"/>
      <c r="U40" s="240"/>
      <c r="V40" s="240"/>
      <c r="W40" s="240"/>
      <c r="X40" s="240"/>
      <c r="Y40" s="240"/>
      <c r="Z40" s="240"/>
      <c r="AA40" s="240">
        <v>46</v>
      </c>
      <c r="AB40" s="240"/>
      <c r="AC40" s="240">
        <v>54</v>
      </c>
      <c r="AD40" s="240"/>
      <c r="AE40" s="240"/>
      <c r="AF40" s="240"/>
      <c r="AG40" s="240"/>
      <c r="AH40" s="240"/>
      <c r="AI40" s="240"/>
      <c r="AJ40" s="216"/>
      <c r="AK40" s="216"/>
      <c r="AL40" s="216"/>
      <c r="AM40" s="216"/>
    </row>
    <row r="41" spans="1:39" ht="16.2" thickBot="1" x14ac:dyDescent="0.35">
      <c r="A41" s="262" t="s">
        <v>35</v>
      </c>
      <c r="B41" s="262" t="s">
        <v>213</v>
      </c>
      <c r="C41" s="239">
        <v>2804</v>
      </c>
      <c r="D41" s="249" t="s">
        <v>372</v>
      </c>
      <c r="E41" s="238">
        <v>2804</v>
      </c>
      <c r="F41" s="238">
        <f t="shared" si="1"/>
        <v>0</v>
      </c>
      <c r="G41" s="238">
        <v>0</v>
      </c>
      <c r="H41" s="240"/>
      <c r="I41" s="240"/>
      <c r="J41" s="240"/>
      <c r="K41" s="240"/>
      <c r="L41" s="240"/>
      <c r="M41" s="240"/>
      <c r="N41" s="240"/>
      <c r="O41" s="240" t="s">
        <v>587</v>
      </c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16"/>
      <c r="AK41" s="216"/>
      <c r="AL41" s="216"/>
      <c r="AM41" s="216"/>
    </row>
    <row r="42" spans="1:39" ht="16.2" thickBot="1" x14ac:dyDescent="0.35">
      <c r="A42" s="262" t="s">
        <v>36</v>
      </c>
      <c r="B42" s="262" t="s">
        <v>449</v>
      </c>
      <c r="C42" s="239">
        <v>47067</v>
      </c>
      <c r="D42" s="249" t="s">
        <v>372</v>
      </c>
      <c r="E42" s="238">
        <v>47067</v>
      </c>
      <c r="F42" s="238">
        <f t="shared" si="1"/>
        <v>0</v>
      </c>
      <c r="G42" s="238">
        <v>0</v>
      </c>
      <c r="H42" s="240"/>
      <c r="I42" s="240"/>
      <c r="J42" s="240"/>
      <c r="K42" s="240"/>
      <c r="L42" s="240"/>
      <c r="M42" s="240"/>
      <c r="N42" s="240"/>
      <c r="O42" s="240" t="s">
        <v>587</v>
      </c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16"/>
      <c r="AK42" s="216"/>
      <c r="AL42" s="216"/>
      <c r="AM42" s="216"/>
    </row>
    <row r="43" spans="1:39" ht="16.2" thickBot="1" x14ac:dyDescent="0.35">
      <c r="A43" s="262" t="s">
        <v>37</v>
      </c>
      <c r="B43" s="262" t="s">
        <v>450</v>
      </c>
      <c r="C43" s="239">
        <v>97280</v>
      </c>
      <c r="D43" s="249"/>
      <c r="E43" s="238"/>
      <c r="F43" s="238">
        <f t="shared" si="1"/>
        <v>97280</v>
      </c>
      <c r="G43" s="238">
        <f t="shared" si="0"/>
        <v>0</v>
      </c>
      <c r="H43" s="240"/>
      <c r="I43" s="240"/>
      <c r="J43" s="240"/>
      <c r="K43" s="240"/>
      <c r="L43" s="240"/>
      <c r="M43" s="240"/>
      <c r="N43" s="240">
        <v>33960</v>
      </c>
      <c r="O43" s="240" t="s">
        <v>587</v>
      </c>
      <c r="P43" s="240"/>
      <c r="Q43" s="240"/>
      <c r="R43" s="240">
        <v>33220</v>
      </c>
      <c r="S43" s="240"/>
      <c r="T43" s="240"/>
      <c r="U43" s="240">
        <v>28438</v>
      </c>
      <c r="V43" s="240"/>
      <c r="W43" s="240"/>
      <c r="X43" s="240"/>
      <c r="Y43" s="240"/>
      <c r="Z43" s="240"/>
      <c r="AA43" s="240">
        <v>1662</v>
      </c>
      <c r="AB43" s="240"/>
      <c r="AC43" s="240"/>
      <c r="AD43" s="240"/>
      <c r="AE43" s="240"/>
      <c r="AF43" s="240"/>
      <c r="AG43" s="240"/>
      <c r="AH43" s="240"/>
      <c r="AI43" s="240"/>
      <c r="AJ43" s="216"/>
      <c r="AK43" s="216"/>
      <c r="AL43" s="216"/>
      <c r="AM43" s="216"/>
    </row>
    <row r="44" spans="1:39" ht="16.2" thickBot="1" x14ac:dyDescent="0.35">
      <c r="A44" s="262" t="s">
        <v>38</v>
      </c>
      <c r="B44" s="262" t="s">
        <v>452</v>
      </c>
      <c r="C44" s="239">
        <v>295534</v>
      </c>
      <c r="D44" s="249" t="s">
        <v>587</v>
      </c>
      <c r="E44" s="238"/>
      <c r="F44" s="238">
        <f t="shared" si="1"/>
        <v>295534</v>
      </c>
      <c r="G44" s="238">
        <f t="shared" si="0"/>
        <v>0</v>
      </c>
      <c r="H44" s="240"/>
      <c r="I44" s="240"/>
      <c r="J44" s="240"/>
      <c r="K44" s="240"/>
      <c r="L44" s="240">
        <v>43737</v>
      </c>
      <c r="M44" s="240">
        <v>27459</v>
      </c>
      <c r="N44" s="240"/>
      <c r="O44" s="240">
        <v>49924</v>
      </c>
      <c r="P44" s="240">
        <v>23920</v>
      </c>
      <c r="Q44" s="240">
        <v>27065</v>
      </c>
      <c r="R44" s="240">
        <v>22895</v>
      </c>
      <c r="S44" s="240">
        <v>24251</v>
      </c>
      <c r="T44" s="240">
        <v>24251</v>
      </c>
      <c r="U44" s="240">
        <v>24164</v>
      </c>
      <c r="V44" s="240">
        <v>27694</v>
      </c>
      <c r="W44" s="240"/>
      <c r="X44" s="240"/>
      <c r="Y44" s="240">
        <v>174</v>
      </c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16"/>
      <c r="AK44" s="216"/>
      <c r="AL44" s="216"/>
      <c r="AM44" s="216"/>
    </row>
    <row r="45" spans="1:39" ht="16.2" thickBot="1" x14ac:dyDescent="0.35">
      <c r="A45" s="262" t="s">
        <v>39</v>
      </c>
      <c r="B45" s="262" t="s">
        <v>217</v>
      </c>
      <c r="C45" s="239">
        <v>52013</v>
      </c>
      <c r="D45" s="249" t="s">
        <v>587</v>
      </c>
      <c r="E45" s="238"/>
      <c r="F45" s="238">
        <f t="shared" si="1"/>
        <v>52013</v>
      </c>
      <c r="G45" s="238">
        <f t="shared" si="0"/>
        <v>0</v>
      </c>
      <c r="H45" s="240"/>
      <c r="I45" s="240"/>
      <c r="J45" s="240"/>
      <c r="K45" s="240"/>
      <c r="L45" s="240"/>
      <c r="M45" s="240"/>
      <c r="N45" s="240">
        <v>15296</v>
      </c>
      <c r="O45" s="240" t="s">
        <v>587</v>
      </c>
      <c r="P45" s="240"/>
      <c r="Q45" s="240"/>
      <c r="R45" s="240"/>
      <c r="S45" s="240">
        <v>30591</v>
      </c>
      <c r="T45" s="240">
        <v>5909</v>
      </c>
      <c r="U45" s="240"/>
      <c r="V45" s="240"/>
      <c r="W45" s="240"/>
      <c r="X45" s="240"/>
      <c r="Y45" s="240"/>
      <c r="Z45" s="240"/>
      <c r="AA45" s="240">
        <v>217</v>
      </c>
      <c r="AB45" s="240"/>
      <c r="AC45" s="240"/>
      <c r="AD45" s="240"/>
      <c r="AE45" s="240"/>
      <c r="AF45" s="240"/>
      <c r="AG45" s="240"/>
      <c r="AH45" s="240"/>
      <c r="AI45" s="240"/>
      <c r="AJ45" s="216"/>
      <c r="AK45" s="216"/>
      <c r="AL45" s="216"/>
      <c r="AM45" s="216"/>
    </row>
    <row r="46" spans="1:39" ht="16.2" thickBot="1" x14ac:dyDescent="0.35">
      <c r="A46" s="262" t="s">
        <v>40</v>
      </c>
      <c r="B46" s="262" t="s">
        <v>454</v>
      </c>
      <c r="C46" s="239">
        <v>146135</v>
      </c>
      <c r="D46" s="249" t="s">
        <v>587</v>
      </c>
      <c r="E46" s="238"/>
      <c r="F46" s="238">
        <f t="shared" si="1"/>
        <v>146135</v>
      </c>
      <c r="G46" s="238">
        <f t="shared" si="0"/>
        <v>0</v>
      </c>
      <c r="H46" s="240"/>
      <c r="I46" s="240"/>
      <c r="J46" s="240"/>
      <c r="K46" s="240"/>
      <c r="L46" s="240"/>
      <c r="M46" s="240"/>
      <c r="N46" s="240">
        <v>9249</v>
      </c>
      <c r="O46" s="240">
        <v>26592</v>
      </c>
      <c r="P46" s="240">
        <v>23253</v>
      </c>
      <c r="Q46" s="240">
        <v>38351</v>
      </c>
      <c r="R46" s="240">
        <v>35099</v>
      </c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>
        <v>13591</v>
      </c>
      <c r="AF46" s="240"/>
      <c r="AG46" s="240"/>
      <c r="AH46" s="240"/>
      <c r="AI46" s="240"/>
      <c r="AJ46" s="216"/>
      <c r="AK46" s="216"/>
      <c r="AL46" s="216"/>
      <c r="AM46" s="216"/>
    </row>
    <row r="47" spans="1:39" ht="16.2" thickBot="1" x14ac:dyDescent="0.35">
      <c r="A47" s="262" t="s">
        <v>41</v>
      </c>
      <c r="B47" s="262" t="s">
        <v>219</v>
      </c>
      <c r="C47" s="239">
        <v>131471</v>
      </c>
      <c r="D47" s="249" t="s">
        <v>587</v>
      </c>
      <c r="E47" s="238"/>
      <c r="F47" s="238">
        <f t="shared" si="1"/>
        <v>131471</v>
      </c>
      <c r="G47" s="238">
        <f t="shared" si="0"/>
        <v>0</v>
      </c>
      <c r="H47" s="240"/>
      <c r="I47" s="240"/>
      <c r="J47" s="240"/>
      <c r="K47" s="240"/>
      <c r="L47" s="240"/>
      <c r="M47" s="240"/>
      <c r="N47" s="240"/>
      <c r="O47" s="240" t="s">
        <v>587</v>
      </c>
      <c r="P47" s="240"/>
      <c r="Q47" s="240"/>
      <c r="R47" s="240"/>
      <c r="S47" s="240"/>
      <c r="T47" s="240"/>
      <c r="U47" s="240"/>
      <c r="V47" s="240"/>
      <c r="W47" s="240"/>
      <c r="X47" s="240"/>
      <c r="Y47" s="240">
        <v>62306</v>
      </c>
      <c r="Z47" s="240"/>
      <c r="AA47" s="240">
        <v>6859</v>
      </c>
      <c r="AB47" s="240"/>
      <c r="AC47" s="240"/>
      <c r="AD47" s="240"/>
      <c r="AE47" s="240"/>
      <c r="AF47" s="240"/>
      <c r="AG47" s="240"/>
      <c r="AH47" s="240">
        <v>62306</v>
      </c>
      <c r="AI47" s="240"/>
      <c r="AJ47" s="216"/>
      <c r="AK47" s="216"/>
      <c r="AL47" s="216"/>
      <c r="AM47" s="216"/>
    </row>
    <row r="48" spans="1:39" ht="16.2" thickBot="1" x14ac:dyDescent="0.35">
      <c r="A48" s="262" t="s">
        <v>42</v>
      </c>
      <c r="B48" s="262" t="s">
        <v>220</v>
      </c>
      <c r="C48" s="239">
        <v>96704</v>
      </c>
      <c r="D48" s="249" t="s">
        <v>587</v>
      </c>
      <c r="E48" s="238"/>
      <c r="F48" s="238">
        <f t="shared" si="1"/>
        <v>96704</v>
      </c>
      <c r="G48" s="238">
        <f t="shared" si="0"/>
        <v>0</v>
      </c>
      <c r="H48" s="240"/>
      <c r="I48" s="240"/>
      <c r="J48" s="240"/>
      <c r="K48" s="240"/>
      <c r="L48" s="240"/>
      <c r="M48" s="240">
        <v>21689</v>
      </c>
      <c r="N48" s="240"/>
      <c r="O48" s="240" t="s">
        <v>587</v>
      </c>
      <c r="P48" s="240">
        <v>32867</v>
      </c>
      <c r="Q48" s="240"/>
      <c r="R48" s="240"/>
      <c r="S48" s="240"/>
      <c r="T48" s="240">
        <v>32977</v>
      </c>
      <c r="U48" s="240"/>
      <c r="V48" s="240"/>
      <c r="W48" s="240"/>
      <c r="X48" s="240"/>
      <c r="Y48" s="240"/>
      <c r="Z48" s="240"/>
      <c r="AA48" s="240"/>
      <c r="AB48" s="240">
        <v>9171</v>
      </c>
      <c r="AC48" s="240"/>
      <c r="AD48" s="240"/>
      <c r="AE48" s="240"/>
      <c r="AF48" s="240"/>
      <c r="AG48" s="240"/>
      <c r="AH48" s="240"/>
      <c r="AI48" s="240"/>
      <c r="AJ48" s="216"/>
      <c r="AK48" s="216"/>
      <c r="AL48" s="216"/>
      <c r="AM48" s="216"/>
    </row>
    <row r="49" spans="1:39" ht="16.2" thickBot="1" x14ac:dyDescent="0.35">
      <c r="A49" s="262" t="s">
        <v>43</v>
      </c>
      <c r="B49" s="262" t="s">
        <v>456</v>
      </c>
      <c r="C49" s="239">
        <v>218057</v>
      </c>
      <c r="D49" s="249" t="s">
        <v>587</v>
      </c>
      <c r="E49" s="238"/>
      <c r="F49" s="238">
        <f t="shared" si="1"/>
        <v>218057</v>
      </c>
      <c r="G49" s="238">
        <f t="shared" si="0"/>
        <v>0</v>
      </c>
      <c r="H49" s="240"/>
      <c r="I49" s="240"/>
      <c r="J49" s="240"/>
      <c r="K49" s="240"/>
      <c r="L49" s="240"/>
      <c r="M49" s="240"/>
      <c r="N49" s="240"/>
      <c r="O49" s="240" t="s">
        <v>587</v>
      </c>
      <c r="P49" s="240">
        <v>32477</v>
      </c>
      <c r="Q49" s="240"/>
      <c r="R49" s="240"/>
      <c r="S49" s="240">
        <v>72639</v>
      </c>
      <c r="T49" s="240"/>
      <c r="U49" s="240"/>
      <c r="V49" s="240"/>
      <c r="W49" s="240">
        <v>52584</v>
      </c>
      <c r="X49" s="240"/>
      <c r="Y49" s="240">
        <v>44498</v>
      </c>
      <c r="Z49" s="240"/>
      <c r="AA49" s="240"/>
      <c r="AB49" s="240">
        <v>15859</v>
      </c>
      <c r="AC49" s="240"/>
      <c r="AD49" s="240"/>
      <c r="AE49" s="240"/>
      <c r="AF49" s="240"/>
      <c r="AG49" s="240"/>
      <c r="AH49" s="240"/>
      <c r="AI49" s="240"/>
      <c r="AJ49" s="216"/>
      <c r="AK49" s="216"/>
      <c r="AL49" s="216"/>
      <c r="AM49" s="216"/>
    </row>
    <row r="50" spans="1:39" ht="16.2" thickBot="1" x14ac:dyDescent="0.35">
      <c r="A50" s="262" t="s">
        <v>44</v>
      </c>
      <c r="B50" s="262" t="s">
        <v>458</v>
      </c>
      <c r="C50" s="239">
        <v>117110</v>
      </c>
      <c r="D50" s="249" t="s">
        <v>587</v>
      </c>
      <c r="E50" s="238"/>
      <c r="F50" s="238">
        <f t="shared" si="1"/>
        <v>117110</v>
      </c>
      <c r="G50" s="238">
        <f t="shared" si="0"/>
        <v>0</v>
      </c>
      <c r="H50" s="240"/>
      <c r="I50" s="240"/>
      <c r="J50" s="240"/>
      <c r="K50" s="240"/>
      <c r="L50" s="240"/>
      <c r="M50" s="240"/>
      <c r="N50" s="240"/>
      <c r="O50" s="240" t="s">
        <v>587</v>
      </c>
      <c r="P50" s="240"/>
      <c r="Q50" s="240"/>
      <c r="R50" s="240"/>
      <c r="S50" s="240">
        <v>116277</v>
      </c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>
        <v>833</v>
      </c>
      <c r="AF50" s="240"/>
      <c r="AG50" s="240"/>
      <c r="AH50" s="240"/>
      <c r="AI50" s="240"/>
      <c r="AJ50" s="216"/>
      <c r="AK50" s="216"/>
      <c r="AL50" s="216"/>
      <c r="AM50" s="216"/>
    </row>
    <row r="51" spans="1:39" ht="16.2" thickBot="1" x14ac:dyDescent="0.35">
      <c r="A51" s="262" t="s">
        <v>45</v>
      </c>
      <c r="B51" s="262" t="s">
        <v>223</v>
      </c>
      <c r="C51" s="239">
        <v>839842</v>
      </c>
      <c r="D51" s="249" t="s">
        <v>587</v>
      </c>
      <c r="E51" s="238"/>
      <c r="F51" s="238">
        <f t="shared" si="1"/>
        <v>839842</v>
      </c>
      <c r="G51" s="238">
        <f t="shared" si="0"/>
        <v>0</v>
      </c>
      <c r="H51" s="240"/>
      <c r="I51" s="240"/>
      <c r="J51" s="240"/>
      <c r="K51" s="240"/>
      <c r="L51" s="240"/>
      <c r="M51" s="240"/>
      <c r="N51" s="240"/>
      <c r="O51" s="240" t="s">
        <v>587</v>
      </c>
      <c r="P51" s="240">
        <v>7848</v>
      </c>
      <c r="Q51" s="240"/>
      <c r="R51" s="240">
        <v>30991</v>
      </c>
      <c r="S51" s="240"/>
      <c r="T51" s="240"/>
      <c r="U51" s="240"/>
      <c r="V51" s="240"/>
      <c r="W51" s="240">
        <v>727450</v>
      </c>
      <c r="X51" s="240"/>
      <c r="Y51" s="240"/>
      <c r="Z51" s="240"/>
      <c r="AA51" s="240"/>
      <c r="AB51" s="240"/>
      <c r="AC51" s="240">
        <v>73553</v>
      </c>
      <c r="AD51" s="240"/>
      <c r="AE51" s="240"/>
      <c r="AF51" s="240"/>
      <c r="AG51" s="240"/>
      <c r="AH51" s="240"/>
      <c r="AI51" s="240"/>
      <c r="AJ51" s="216"/>
      <c r="AK51" s="216"/>
      <c r="AL51" s="216"/>
      <c r="AM51" s="216"/>
    </row>
    <row r="52" spans="1:39" ht="16.2" thickBot="1" x14ac:dyDescent="0.35">
      <c r="A52" s="262" t="s">
        <v>46</v>
      </c>
      <c r="B52" s="262" t="s">
        <v>224</v>
      </c>
      <c r="C52" s="239">
        <v>29715197</v>
      </c>
      <c r="D52" s="249" t="s">
        <v>587</v>
      </c>
      <c r="E52" s="238"/>
      <c r="F52" s="238">
        <f t="shared" si="1"/>
        <v>29715197</v>
      </c>
      <c r="G52" s="238">
        <f t="shared" si="0"/>
        <v>0</v>
      </c>
      <c r="H52" s="240"/>
      <c r="I52" s="240"/>
      <c r="J52" s="240"/>
      <c r="K52" s="240"/>
      <c r="L52" s="240"/>
      <c r="M52" s="240">
        <v>142958</v>
      </c>
      <c r="N52" s="240"/>
      <c r="O52" s="240">
        <v>8676693</v>
      </c>
      <c r="P52" s="240"/>
      <c r="Q52" s="240">
        <v>563102</v>
      </c>
      <c r="R52" s="240">
        <v>6841391</v>
      </c>
      <c r="S52" s="240"/>
      <c r="T52" s="240"/>
      <c r="U52" s="240">
        <v>8607154</v>
      </c>
      <c r="V52" s="240"/>
      <c r="W52" s="240"/>
      <c r="X52" s="240">
        <v>2066141</v>
      </c>
      <c r="Y52" s="240">
        <v>2817758</v>
      </c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16"/>
      <c r="AK52" s="216"/>
      <c r="AL52" s="216"/>
      <c r="AM52" s="216"/>
    </row>
    <row r="53" spans="1:39" ht="16.2" thickBot="1" x14ac:dyDescent="0.35">
      <c r="A53" s="262" t="s">
        <v>47</v>
      </c>
      <c r="B53" s="262" t="s">
        <v>462</v>
      </c>
      <c r="C53" s="239">
        <v>47860</v>
      </c>
      <c r="D53" s="249" t="s">
        <v>587</v>
      </c>
      <c r="E53" s="238"/>
      <c r="F53" s="238">
        <f t="shared" si="1"/>
        <v>47860</v>
      </c>
      <c r="G53" s="238">
        <f t="shared" si="0"/>
        <v>0</v>
      </c>
      <c r="H53" s="240"/>
      <c r="I53" s="240"/>
      <c r="J53" s="240"/>
      <c r="K53" s="240"/>
      <c r="L53" s="240"/>
      <c r="M53" s="240">
        <v>28377</v>
      </c>
      <c r="N53" s="240"/>
      <c r="O53" s="240" t="s">
        <v>587</v>
      </c>
      <c r="P53" s="240">
        <v>11697</v>
      </c>
      <c r="Q53" s="240"/>
      <c r="R53" s="240">
        <v>7452</v>
      </c>
      <c r="S53" s="240"/>
      <c r="T53" s="240"/>
      <c r="U53" s="240"/>
      <c r="V53" s="240"/>
      <c r="W53" s="240"/>
      <c r="X53" s="240"/>
      <c r="Y53" s="240"/>
      <c r="Z53" s="240"/>
      <c r="AA53" s="240">
        <v>334</v>
      </c>
      <c r="AB53" s="240"/>
      <c r="AC53" s="240"/>
      <c r="AD53" s="240"/>
      <c r="AE53" s="240"/>
      <c r="AF53" s="240"/>
      <c r="AG53" s="240"/>
      <c r="AH53" s="240"/>
      <c r="AI53" s="240"/>
      <c r="AJ53" s="216"/>
      <c r="AK53" s="216"/>
      <c r="AL53" s="216"/>
      <c r="AM53" s="216"/>
    </row>
    <row r="54" spans="1:39" ht="16.2" thickBot="1" x14ac:dyDescent="0.35">
      <c r="A54" s="262" t="s">
        <v>48</v>
      </c>
      <c r="B54" s="262" t="s">
        <v>464</v>
      </c>
      <c r="C54" s="239">
        <v>1815497</v>
      </c>
      <c r="D54" s="249" t="s">
        <v>587</v>
      </c>
      <c r="E54" s="238"/>
      <c r="F54" s="238">
        <f t="shared" si="1"/>
        <v>1815497</v>
      </c>
      <c r="G54" s="238">
        <f t="shared" si="0"/>
        <v>0</v>
      </c>
      <c r="H54" s="240"/>
      <c r="I54" s="240"/>
      <c r="J54" s="240"/>
      <c r="K54" s="240"/>
      <c r="L54" s="240"/>
      <c r="M54" s="240">
        <v>171646</v>
      </c>
      <c r="N54" s="240">
        <v>88530</v>
      </c>
      <c r="O54" s="240">
        <v>124544</v>
      </c>
      <c r="P54" s="240">
        <v>253731</v>
      </c>
      <c r="Q54" s="240"/>
      <c r="R54" s="240">
        <v>396399</v>
      </c>
      <c r="S54" s="240">
        <v>165250</v>
      </c>
      <c r="T54" s="240">
        <v>258767</v>
      </c>
      <c r="U54" s="240">
        <v>71196</v>
      </c>
      <c r="V54" s="240"/>
      <c r="W54" s="240">
        <v>143436</v>
      </c>
      <c r="X54" s="240">
        <v>72518</v>
      </c>
      <c r="Y54" s="240">
        <v>69480</v>
      </c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16"/>
      <c r="AK54" s="216"/>
      <c r="AL54" s="216"/>
      <c r="AM54" s="216"/>
    </row>
    <row r="55" spans="1:39" ht="16.2" thickBot="1" x14ac:dyDescent="0.35">
      <c r="A55" s="262" t="s">
        <v>49</v>
      </c>
      <c r="B55" s="262" t="s">
        <v>466</v>
      </c>
      <c r="C55" s="239">
        <v>697850</v>
      </c>
      <c r="D55" s="249" t="s">
        <v>587</v>
      </c>
      <c r="E55" s="238"/>
      <c r="F55" s="238">
        <f t="shared" si="1"/>
        <v>697850</v>
      </c>
      <c r="G55" s="238">
        <f t="shared" si="0"/>
        <v>0</v>
      </c>
      <c r="H55" s="240"/>
      <c r="I55" s="240"/>
      <c r="J55" s="240"/>
      <c r="K55" s="240"/>
      <c r="L55" s="240">
        <v>187360</v>
      </c>
      <c r="M55" s="240"/>
      <c r="N55" s="240"/>
      <c r="O55" s="240">
        <v>159070</v>
      </c>
      <c r="P55" s="240"/>
      <c r="Q55" s="240">
        <v>181352</v>
      </c>
      <c r="R55" s="240"/>
      <c r="S55" s="240">
        <v>170040</v>
      </c>
      <c r="T55" s="240"/>
      <c r="U55" s="240"/>
      <c r="V55" s="240"/>
      <c r="W55" s="240">
        <v>28</v>
      </c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16"/>
      <c r="AK55" s="216"/>
      <c r="AL55" s="216"/>
      <c r="AM55" s="216"/>
    </row>
    <row r="56" spans="1:39" ht="16.2" thickBot="1" x14ac:dyDescent="0.35">
      <c r="A56" s="262" t="s">
        <v>50</v>
      </c>
      <c r="B56" s="262" t="s">
        <v>228</v>
      </c>
      <c r="C56" s="239">
        <v>153010</v>
      </c>
      <c r="D56" s="249" t="s">
        <v>587</v>
      </c>
      <c r="E56" s="238"/>
      <c r="F56" s="238">
        <f t="shared" si="1"/>
        <v>153010</v>
      </c>
      <c r="G56" s="238">
        <f t="shared" si="0"/>
        <v>0</v>
      </c>
      <c r="H56" s="240"/>
      <c r="I56" s="240"/>
      <c r="J56" s="240"/>
      <c r="K56" s="240"/>
      <c r="L56" s="240"/>
      <c r="M56" s="240"/>
      <c r="N56" s="240"/>
      <c r="O56" s="240">
        <v>48739</v>
      </c>
      <c r="P56" s="240"/>
      <c r="Q56" s="240">
        <v>30147</v>
      </c>
      <c r="R56" s="240"/>
      <c r="S56" s="240"/>
      <c r="T56" s="240">
        <v>74118</v>
      </c>
      <c r="U56" s="240"/>
      <c r="V56" s="240"/>
      <c r="W56" s="240"/>
      <c r="X56" s="240"/>
      <c r="Y56" s="240"/>
      <c r="Z56" s="240"/>
      <c r="AA56" s="240">
        <v>6</v>
      </c>
      <c r="AB56" s="240"/>
      <c r="AC56" s="240"/>
      <c r="AD56" s="240"/>
      <c r="AE56" s="240"/>
      <c r="AF56" s="240"/>
      <c r="AG56" s="240"/>
      <c r="AH56" s="240"/>
      <c r="AI56" s="240"/>
      <c r="AJ56" s="216"/>
      <c r="AK56" s="216"/>
      <c r="AL56" s="216"/>
      <c r="AM56" s="216"/>
    </row>
    <row r="57" spans="1:39" ht="16.2" thickBot="1" x14ac:dyDescent="0.35">
      <c r="A57" s="262" t="s">
        <v>51</v>
      </c>
      <c r="B57" s="262" t="s">
        <v>229</v>
      </c>
      <c r="C57" s="239">
        <v>22431</v>
      </c>
      <c r="D57" s="249" t="s">
        <v>372</v>
      </c>
      <c r="E57" s="238">
        <v>22431</v>
      </c>
      <c r="F57" s="238">
        <f t="shared" si="1"/>
        <v>0</v>
      </c>
      <c r="G57" s="238">
        <v>0</v>
      </c>
      <c r="H57" s="240"/>
      <c r="I57" s="240"/>
      <c r="J57" s="240"/>
      <c r="K57" s="240"/>
      <c r="L57" s="240"/>
      <c r="M57" s="240"/>
      <c r="N57" s="240"/>
      <c r="O57" s="240" t="s">
        <v>587</v>
      </c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16"/>
      <c r="AK57" s="216"/>
      <c r="AL57" s="216"/>
      <c r="AM57" s="216"/>
    </row>
    <row r="58" spans="1:39" ht="16.2" thickBot="1" x14ac:dyDescent="0.35">
      <c r="A58" s="262" t="s">
        <v>52</v>
      </c>
      <c r="B58" s="262" t="s">
        <v>230</v>
      </c>
      <c r="C58" s="239">
        <v>52468</v>
      </c>
      <c r="D58" s="249" t="s">
        <v>587</v>
      </c>
      <c r="E58" s="238"/>
      <c r="F58" s="238">
        <f t="shared" si="1"/>
        <v>52468</v>
      </c>
      <c r="G58" s="238">
        <f t="shared" si="0"/>
        <v>0</v>
      </c>
      <c r="H58" s="240"/>
      <c r="I58" s="240"/>
      <c r="J58" s="240"/>
      <c r="K58" s="240"/>
      <c r="L58" s="240"/>
      <c r="M58" s="240"/>
      <c r="N58" s="240"/>
      <c r="O58" s="240" t="s">
        <v>587</v>
      </c>
      <c r="P58" s="240"/>
      <c r="Q58" s="240"/>
      <c r="R58" s="240"/>
      <c r="S58" s="240">
        <v>52468</v>
      </c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16"/>
      <c r="AK58" s="216"/>
      <c r="AL58" s="216"/>
      <c r="AM58" s="216"/>
    </row>
    <row r="59" spans="1:39" ht="16.2" thickBot="1" x14ac:dyDescent="0.35">
      <c r="A59" s="262" t="s">
        <v>53</v>
      </c>
      <c r="B59" s="262" t="s">
        <v>231</v>
      </c>
      <c r="C59" s="239">
        <v>15318</v>
      </c>
      <c r="D59" s="249" t="s">
        <v>587</v>
      </c>
      <c r="E59" s="238"/>
      <c r="F59" s="238">
        <f t="shared" si="1"/>
        <v>15318</v>
      </c>
      <c r="G59" s="238">
        <f t="shared" si="0"/>
        <v>0</v>
      </c>
      <c r="H59" s="240"/>
      <c r="I59" s="240"/>
      <c r="J59" s="240"/>
      <c r="K59" s="240"/>
      <c r="L59" s="240"/>
      <c r="M59" s="240"/>
      <c r="N59" s="240">
        <v>14665</v>
      </c>
      <c r="O59" s="240" t="s">
        <v>587</v>
      </c>
      <c r="P59" s="240"/>
      <c r="Q59" s="240"/>
      <c r="R59" s="240">
        <v>642</v>
      </c>
      <c r="S59" s="240"/>
      <c r="T59" s="240"/>
      <c r="U59" s="240"/>
      <c r="V59" s="240"/>
      <c r="W59" s="240"/>
      <c r="X59" s="240"/>
      <c r="Y59" s="240"/>
      <c r="Z59" s="240"/>
      <c r="AA59" s="240">
        <v>11</v>
      </c>
      <c r="AB59" s="240"/>
      <c r="AC59" s="240"/>
      <c r="AD59" s="240"/>
      <c r="AE59" s="240"/>
      <c r="AF59" s="240"/>
      <c r="AG59" s="240"/>
      <c r="AH59" s="240"/>
      <c r="AI59" s="240"/>
      <c r="AJ59" s="216"/>
      <c r="AK59" s="216"/>
      <c r="AL59" s="216"/>
      <c r="AM59" s="216"/>
    </row>
    <row r="60" spans="1:39" ht="16.2" thickBot="1" x14ac:dyDescent="0.35">
      <c r="A60" s="262" t="s">
        <v>54</v>
      </c>
      <c r="B60" s="262" t="s">
        <v>232</v>
      </c>
      <c r="C60" s="239">
        <v>9926</v>
      </c>
      <c r="D60" s="249" t="s">
        <v>372</v>
      </c>
      <c r="E60" s="238">
        <v>9926</v>
      </c>
      <c r="F60" s="238">
        <f t="shared" si="1"/>
        <v>0</v>
      </c>
      <c r="G60" s="238">
        <v>0</v>
      </c>
      <c r="H60" s="240"/>
      <c r="I60" s="240"/>
      <c r="J60" s="240"/>
      <c r="K60" s="240"/>
      <c r="L60" s="240"/>
      <c r="M60" s="240"/>
      <c r="N60" s="240"/>
      <c r="O60" s="240" t="s">
        <v>587</v>
      </c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16"/>
      <c r="AK60" s="216"/>
      <c r="AL60" s="216"/>
      <c r="AM60" s="216"/>
    </row>
    <row r="61" spans="1:39" ht="16.2" thickBot="1" x14ac:dyDescent="0.35">
      <c r="A61" s="262" t="s">
        <v>55</v>
      </c>
      <c r="B61" s="262" t="s">
        <v>469</v>
      </c>
      <c r="C61" s="239">
        <v>69022</v>
      </c>
      <c r="D61" s="249" t="s">
        <v>587</v>
      </c>
      <c r="E61" s="238"/>
      <c r="F61" s="238">
        <f t="shared" si="1"/>
        <v>69022</v>
      </c>
      <c r="G61" s="238">
        <f t="shared" si="0"/>
        <v>0</v>
      </c>
      <c r="H61" s="240"/>
      <c r="I61" s="240"/>
      <c r="J61" s="240"/>
      <c r="K61" s="240"/>
      <c r="L61" s="240"/>
      <c r="M61" s="240"/>
      <c r="N61" s="240"/>
      <c r="O61" s="240" t="s">
        <v>587</v>
      </c>
      <c r="P61" s="240"/>
      <c r="Q61" s="240"/>
      <c r="R61" s="240"/>
      <c r="S61" s="240">
        <v>69022</v>
      </c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16"/>
      <c r="AK61" s="216"/>
      <c r="AL61" s="216"/>
      <c r="AM61" s="216"/>
    </row>
    <row r="62" spans="1:39" ht="16.2" thickBot="1" x14ac:dyDescent="0.35">
      <c r="A62" s="262" t="s">
        <v>56</v>
      </c>
      <c r="B62" s="262" t="s">
        <v>234</v>
      </c>
      <c r="C62" s="239">
        <v>3872976</v>
      </c>
      <c r="D62" s="249" t="s">
        <v>587</v>
      </c>
      <c r="E62" s="238"/>
      <c r="F62" s="238">
        <f t="shared" si="1"/>
        <v>3872976</v>
      </c>
      <c r="G62" s="238">
        <f t="shared" si="0"/>
        <v>0</v>
      </c>
      <c r="H62" s="240"/>
      <c r="I62" s="240"/>
      <c r="J62" s="240"/>
      <c r="K62" s="240">
        <v>170569</v>
      </c>
      <c r="L62" s="240">
        <v>349529</v>
      </c>
      <c r="M62" s="240">
        <v>287252</v>
      </c>
      <c r="N62" s="240">
        <v>289888</v>
      </c>
      <c r="O62" s="240">
        <v>324965</v>
      </c>
      <c r="P62" s="240">
        <v>296105</v>
      </c>
      <c r="Q62" s="240">
        <v>273787</v>
      </c>
      <c r="R62" s="240"/>
      <c r="S62" s="240">
        <v>560983</v>
      </c>
      <c r="T62" s="240">
        <v>270278</v>
      </c>
      <c r="U62" s="240"/>
      <c r="V62" s="240"/>
      <c r="W62" s="240"/>
      <c r="X62" s="240"/>
      <c r="Y62" s="240"/>
      <c r="Z62" s="240">
        <v>510061</v>
      </c>
      <c r="AA62" s="240"/>
      <c r="AB62" s="240"/>
      <c r="AC62" s="240"/>
      <c r="AD62" s="240">
        <v>539559</v>
      </c>
      <c r="AE62" s="240"/>
      <c r="AF62" s="240"/>
      <c r="AG62" s="240"/>
      <c r="AH62" s="240"/>
      <c r="AI62" s="240"/>
      <c r="AJ62" s="216"/>
      <c r="AK62" s="216"/>
      <c r="AL62" s="216"/>
      <c r="AM62" s="216"/>
    </row>
    <row r="63" spans="1:39" ht="16.2" thickBot="1" x14ac:dyDescent="0.35">
      <c r="A63" s="262" t="s">
        <v>57</v>
      </c>
      <c r="B63" s="262" t="s">
        <v>235</v>
      </c>
      <c r="C63" s="239">
        <v>1510066</v>
      </c>
      <c r="D63" s="249" t="s">
        <v>587</v>
      </c>
      <c r="E63" s="238"/>
      <c r="F63" s="238">
        <f t="shared" si="1"/>
        <v>1510066</v>
      </c>
      <c r="G63" s="238">
        <f t="shared" si="0"/>
        <v>0</v>
      </c>
      <c r="H63" s="240"/>
      <c r="I63" s="240"/>
      <c r="J63" s="240"/>
      <c r="K63" s="240"/>
      <c r="L63" s="240">
        <v>214460</v>
      </c>
      <c r="M63" s="240">
        <v>113145</v>
      </c>
      <c r="N63" s="240">
        <v>113398</v>
      </c>
      <c r="O63" s="240" t="s">
        <v>587</v>
      </c>
      <c r="P63" s="240">
        <v>228587</v>
      </c>
      <c r="Q63" s="240">
        <v>116031</v>
      </c>
      <c r="R63" s="240">
        <v>113104</v>
      </c>
      <c r="S63" s="240">
        <v>115741</v>
      </c>
      <c r="T63" s="240">
        <v>124301</v>
      </c>
      <c r="U63" s="240"/>
      <c r="V63" s="240"/>
      <c r="W63" s="240"/>
      <c r="X63" s="240"/>
      <c r="Y63" s="240">
        <v>371299</v>
      </c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16"/>
      <c r="AK63" s="216"/>
      <c r="AL63" s="216"/>
      <c r="AM63" s="216"/>
    </row>
    <row r="64" spans="1:39" ht="16.2" thickBot="1" x14ac:dyDescent="0.35">
      <c r="A64" s="262" t="s">
        <v>58</v>
      </c>
      <c r="B64" s="262" t="s">
        <v>236</v>
      </c>
      <c r="C64" s="239">
        <v>1529241</v>
      </c>
      <c r="D64" s="249" t="s">
        <v>587</v>
      </c>
      <c r="E64" s="238"/>
      <c r="F64" s="238">
        <f t="shared" si="1"/>
        <v>1529241</v>
      </c>
      <c r="G64" s="238">
        <f t="shared" si="0"/>
        <v>0</v>
      </c>
      <c r="H64" s="240"/>
      <c r="I64" s="240"/>
      <c r="J64" s="240"/>
      <c r="K64" s="240">
        <v>238584</v>
      </c>
      <c r="L64" s="240">
        <v>111208</v>
      </c>
      <c r="M64" s="240">
        <v>108816</v>
      </c>
      <c r="N64" s="240">
        <v>107940</v>
      </c>
      <c r="O64" s="240">
        <v>111498</v>
      </c>
      <c r="P64" s="240">
        <v>112970</v>
      </c>
      <c r="Q64" s="240">
        <v>110265</v>
      </c>
      <c r="R64" s="240">
        <v>109618</v>
      </c>
      <c r="S64" s="240">
        <v>288215</v>
      </c>
      <c r="T64" s="240"/>
      <c r="U64" s="240"/>
      <c r="V64" s="240"/>
      <c r="W64" s="240">
        <v>230127</v>
      </c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16"/>
      <c r="AK64" s="216"/>
      <c r="AL64" s="216"/>
      <c r="AM64" s="216"/>
    </row>
    <row r="65" spans="1:39" ht="16.2" thickBot="1" x14ac:dyDescent="0.35">
      <c r="A65" s="262" t="s">
        <v>59</v>
      </c>
      <c r="B65" s="262" t="s">
        <v>237</v>
      </c>
      <c r="C65" s="239">
        <v>7084434</v>
      </c>
      <c r="D65" s="249" t="s">
        <v>587</v>
      </c>
      <c r="E65" s="238"/>
      <c r="F65" s="238">
        <f t="shared" si="1"/>
        <v>7084434</v>
      </c>
      <c r="G65" s="238">
        <f t="shared" si="0"/>
        <v>0</v>
      </c>
      <c r="H65" s="240"/>
      <c r="I65" s="240"/>
      <c r="J65" s="240"/>
      <c r="K65" s="240"/>
      <c r="L65" s="240">
        <v>482574</v>
      </c>
      <c r="M65" s="240">
        <v>673080</v>
      </c>
      <c r="N65" s="240">
        <v>460666</v>
      </c>
      <c r="O65" s="240">
        <v>575256</v>
      </c>
      <c r="P65" s="240">
        <v>607065</v>
      </c>
      <c r="Q65" s="240">
        <v>548952</v>
      </c>
      <c r="R65" s="240">
        <v>629191</v>
      </c>
      <c r="S65" s="240">
        <v>519697</v>
      </c>
      <c r="T65" s="240"/>
      <c r="U65" s="240"/>
      <c r="V65" s="240">
        <v>1460861</v>
      </c>
      <c r="W65" s="240">
        <v>1127092</v>
      </c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16"/>
      <c r="AK65" s="216"/>
      <c r="AL65" s="216"/>
      <c r="AM65" s="216"/>
    </row>
    <row r="66" spans="1:39" ht="16.2" thickBot="1" x14ac:dyDescent="0.35">
      <c r="A66" s="262" t="s">
        <v>60</v>
      </c>
      <c r="B66" s="262" t="s">
        <v>238</v>
      </c>
      <c r="C66" s="239">
        <v>173178</v>
      </c>
      <c r="D66" s="249" t="s">
        <v>587</v>
      </c>
      <c r="E66" s="238"/>
      <c r="F66" s="238">
        <f t="shared" si="1"/>
        <v>173178</v>
      </c>
      <c r="G66" s="238">
        <f t="shared" si="0"/>
        <v>0</v>
      </c>
      <c r="H66" s="240"/>
      <c r="I66" s="240"/>
      <c r="J66" s="240"/>
      <c r="K66" s="240"/>
      <c r="L66" s="240"/>
      <c r="M66" s="240"/>
      <c r="N66" s="240"/>
      <c r="O66" s="240" t="s">
        <v>587</v>
      </c>
      <c r="P66" s="240"/>
      <c r="Q66" s="240"/>
      <c r="R66" s="240"/>
      <c r="S66" s="240">
        <v>139774</v>
      </c>
      <c r="T66" s="240"/>
      <c r="U66" s="240"/>
      <c r="V66" s="240">
        <v>33177</v>
      </c>
      <c r="W66" s="240"/>
      <c r="X66" s="240"/>
      <c r="Y66" s="240"/>
      <c r="Z66" s="240"/>
      <c r="AA66" s="240"/>
      <c r="AB66" s="240"/>
      <c r="AC66" s="240"/>
      <c r="AD66" s="240"/>
      <c r="AE66" s="240">
        <v>227</v>
      </c>
      <c r="AF66" s="240"/>
      <c r="AG66" s="240"/>
      <c r="AH66" s="240"/>
      <c r="AI66" s="240"/>
      <c r="AJ66" s="216"/>
      <c r="AK66" s="216"/>
      <c r="AL66" s="216"/>
      <c r="AM66" s="216"/>
    </row>
    <row r="67" spans="1:39" ht="16.2" thickBot="1" x14ac:dyDescent="0.35">
      <c r="A67" s="262" t="s">
        <v>61</v>
      </c>
      <c r="B67" s="262" t="s">
        <v>239</v>
      </c>
      <c r="C67" s="239">
        <v>169329</v>
      </c>
      <c r="D67" s="249" t="s">
        <v>587</v>
      </c>
      <c r="E67" s="238"/>
      <c r="F67" s="238">
        <f t="shared" si="1"/>
        <v>169329</v>
      </c>
      <c r="G67" s="238">
        <f t="shared" si="0"/>
        <v>0</v>
      </c>
      <c r="H67" s="240"/>
      <c r="I67" s="240"/>
      <c r="J67" s="240"/>
      <c r="K67" s="240"/>
      <c r="L67" s="240"/>
      <c r="M67" s="240"/>
      <c r="N67" s="240"/>
      <c r="O67" s="240" t="s">
        <v>587</v>
      </c>
      <c r="P67" s="240"/>
      <c r="Q67" s="240">
        <v>31962</v>
      </c>
      <c r="R67" s="240"/>
      <c r="S67" s="240">
        <v>39233</v>
      </c>
      <c r="T67" s="240"/>
      <c r="U67" s="240"/>
      <c r="V67" s="240"/>
      <c r="W67" s="240"/>
      <c r="X67" s="240"/>
      <c r="Y67" s="240">
        <v>98134</v>
      </c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16"/>
      <c r="AK67" s="216"/>
      <c r="AL67" s="216"/>
      <c r="AM67" s="216"/>
    </row>
    <row r="68" spans="1:39" ht="16.2" thickBot="1" x14ac:dyDescent="0.35">
      <c r="A68" s="262" t="s">
        <v>62</v>
      </c>
      <c r="B68" s="262" t="s">
        <v>240</v>
      </c>
      <c r="C68" s="239">
        <v>1054776</v>
      </c>
      <c r="D68" s="249" t="s">
        <v>587</v>
      </c>
      <c r="E68" s="238"/>
      <c r="F68" s="238">
        <f t="shared" si="1"/>
        <v>1054776</v>
      </c>
      <c r="G68" s="238">
        <f t="shared" si="0"/>
        <v>0</v>
      </c>
      <c r="H68" s="240"/>
      <c r="I68" s="240"/>
      <c r="J68" s="240"/>
      <c r="K68" s="240"/>
      <c r="L68" s="240">
        <v>44640</v>
      </c>
      <c r="M68" s="240"/>
      <c r="N68" s="240"/>
      <c r="O68" s="240">
        <v>270009</v>
      </c>
      <c r="P68" s="240"/>
      <c r="Q68" s="240"/>
      <c r="R68" s="240">
        <v>252832</v>
      </c>
      <c r="S68" s="240"/>
      <c r="T68" s="240">
        <v>187835</v>
      </c>
      <c r="U68" s="240">
        <v>76633</v>
      </c>
      <c r="V68" s="240">
        <v>61846</v>
      </c>
      <c r="W68" s="240">
        <v>68961</v>
      </c>
      <c r="X68" s="240">
        <v>92020</v>
      </c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16"/>
      <c r="AK68" s="216"/>
      <c r="AL68" s="216"/>
      <c r="AM68" s="216"/>
    </row>
    <row r="69" spans="1:39" ht="16.2" thickBot="1" x14ac:dyDescent="0.35">
      <c r="A69" s="262" t="s">
        <v>63</v>
      </c>
      <c r="B69" s="262" t="s">
        <v>241</v>
      </c>
      <c r="C69" s="239">
        <v>146169</v>
      </c>
      <c r="D69" s="249" t="s">
        <v>587</v>
      </c>
      <c r="E69" s="238"/>
      <c r="F69" s="238">
        <f t="shared" si="1"/>
        <v>146169</v>
      </c>
      <c r="G69" s="238">
        <f t="shared" si="0"/>
        <v>0</v>
      </c>
      <c r="H69" s="240"/>
      <c r="I69" s="240"/>
      <c r="J69" s="240"/>
      <c r="K69" s="240"/>
      <c r="L69" s="240"/>
      <c r="M69" s="240"/>
      <c r="N69" s="240"/>
      <c r="O69" s="240" t="s">
        <v>587</v>
      </c>
      <c r="P69" s="240"/>
      <c r="Q69" s="240"/>
      <c r="R69" s="240"/>
      <c r="S69" s="240">
        <v>109572</v>
      </c>
      <c r="T69" s="240"/>
      <c r="U69" s="240"/>
      <c r="V69" s="240"/>
      <c r="W69" s="240">
        <v>36541</v>
      </c>
      <c r="X69" s="240"/>
      <c r="Y69" s="240"/>
      <c r="Z69" s="240"/>
      <c r="AA69" s="240"/>
      <c r="AB69" s="240"/>
      <c r="AC69" s="240"/>
      <c r="AD69" s="240"/>
      <c r="AE69" s="240">
        <v>56</v>
      </c>
      <c r="AF69" s="240"/>
      <c r="AG69" s="240"/>
      <c r="AH69" s="240"/>
      <c r="AI69" s="240"/>
      <c r="AJ69" s="216"/>
      <c r="AK69" s="216"/>
      <c r="AL69" s="216"/>
      <c r="AM69" s="216"/>
    </row>
    <row r="70" spans="1:39" ht="16.2" thickBot="1" x14ac:dyDescent="0.35">
      <c r="A70" s="262" t="s">
        <v>64</v>
      </c>
      <c r="B70" s="262" t="s">
        <v>471</v>
      </c>
      <c r="C70" s="239">
        <v>99120</v>
      </c>
      <c r="D70" s="249" t="s">
        <v>587</v>
      </c>
      <c r="E70" s="238"/>
      <c r="F70" s="238">
        <f t="shared" si="1"/>
        <v>99120</v>
      </c>
      <c r="G70" s="238">
        <f t="shared" si="0"/>
        <v>0</v>
      </c>
      <c r="H70" s="240"/>
      <c r="I70" s="240"/>
      <c r="J70" s="240"/>
      <c r="K70" s="240"/>
      <c r="L70" s="240"/>
      <c r="M70" s="240"/>
      <c r="N70" s="240"/>
      <c r="O70" s="240">
        <v>51806</v>
      </c>
      <c r="P70" s="240"/>
      <c r="Q70" s="240"/>
      <c r="R70" s="240"/>
      <c r="S70" s="240">
        <v>47314</v>
      </c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16"/>
      <c r="AK70" s="216"/>
      <c r="AL70" s="216"/>
      <c r="AM70" s="216"/>
    </row>
    <row r="71" spans="1:39" ht="16.2" thickBot="1" x14ac:dyDescent="0.35">
      <c r="A71" s="262" t="s">
        <v>65</v>
      </c>
      <c r="B71" s="262" t="s">
        <v>243</v>
      </c>
      <c r="C71" s="239">
        <v>42541</v>
      </c>
      <c r="D71" s="249" t="s">
        <v>587</v>
      </c>
      <c r="E71" s="238"/>
      <c r="F71" s="238">
        <f t="shared" si="1"/>
        <v>42541</v>
      </c>
      <c r="G71" s="238">
        <f t="shared" si="0"/>
        <v>0</v>
      </c>
      <c r="H71" s="240"/>
      <c r="I71" s="240"/>
      <c r="J71" s="240"/>
      <c r="K71" s="240"/>
      <c r="L71" s="240"/>
      <c r="M71" s="240"/>
      <c r="N71" s="240"/>
      <c r="O71" s="240" t="s">
        <v>587</v>
      </c>
      <c r="P71" s="240"/>
      <c r="Q71" s="240">
        <v>27655</v>
      </c>
      <c r="R71" s="240"/>
      <c r="S71" s="240">
        <v>14591</v>
      </c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>
        <v>295</v>
      </c>
      <c r="AG71" s="240"/>
      <c r="AH71" s="240"/>
      <c r="AI71" s="240"/>
      <c r="AJ71" s="216"/>
      <c r="AK71" s="216"/>
      <c r="AL71" s="216"/>
      <c r="AM71" s="216"/>
    </row>
    <row r="72" spans="1:39" ht="16.2" thickBot="1" x14ac:dyDescent="0.35">
      <c r="A72" s="262" t="s">
        <v>66</v>
      </c>
      <c r="B72" s="262" t="s">
        <v>244</v>
      </c>
      <c r="C72" s="239">
        <v>135998</v>
      </c>
      <c r="D72" s="249" t="s">
        <v>587</v>
      </c>
      <c r="E72" s="238"/>
      <c r="F72" s="238">
        <f t="shared" si="1"/>
        <v>135998</v>
      </c>
      <c r="G72" s="238">
        <f t="shared" si="0"/>
        <v>0</v>
      </c>
      <c r="H72" s="240"/>
      <c r="I72" s="240"/>
      <c r="J72" s="240"/>
      <c r="K72" s="240"/>
      <c r="L72" s="240"/>
      <c r="M72" s="240">
        <v>24205</v>
      </c>
      <c r="N72" s="240"/>
      <c r="O72" s="240">
        <v>19686</v>
      </c>
      <c r="P72" s="240"/>
      <c r="Q72" s="240">
        <v>9906</v>
      </c>
      <c r="R72" s="240">
        <v>23338</v>
      </c>
      <c r="S72" s="240">
        <v>9906</v>
      </c>
      <c r="T72" s="240">
        <v>9906</v>
      </c>
      <c r="U72" s="240"/>
      <c r="V72" s="240"/>
      <c r="W72" s="240"/>
      <c r="X72" s="240"/>
      <c r="Y72" s="240"/>
      <c r="Z72" s="240">
        <v>32107</v>
      </c>
      <c r="AA72" s="240">
        <v>6944</v>
      </c>
      <c r="AB72" s="240"/>
      <c r="AC72" s="240"/>
      <c r="AD72" s="240"/>
      <c r="AE72" s="240"/>
      <c r="AF72" s="240"/>
      <c r="AG72" s="240"/>
      <c r="AH72" s="240"/>
      <c r="AI72" s="240"/>
      <c r="AJ72" s="216"/>
      <c r="AK72" s="216"/>
      <c r="AL72" s="216"/>
      <c r="AM72" s="216"/>
    </row>
    <row r="73" spans="1:39" ht="16.2" thickBot="1" x14ac:dyDescent="0.35">
      <c r="A73" s="262" t="s">
        <v>67</v>
      </c>
      <c r="B73" s="262" t="s">
        <v>245</v>
      </c>
      <c r="C73" s="239">
        <v>1124648</v>
      </c>
      <c r="D73" s="249" t="s">
        <v>587</v>
      </c>
      <c r="E73" s="238"/>
      <c r="F73" s="238">
        <f t="shared" si="1"/>
        <v>1124648</v>
      </c>
      <c r="G73" s="238">
        <f t="shared" si="0"/>
        <v>0</v>
      </c>
      <c r="H73" s="240"/>
      <c r="I73" s="240"/>
      <c r="J73" s="240"/>
      <c r="K73" s="240"/>
      <c r="L73" s="240">
        <v>160645</v>
      </c>
      <c r="M73" s="240">
        <v>133479</v>
      </c>
      <c r="N73" s="240">
        <v>86743</v>
      </c>
      <c r="O73" s="240">
        <v>113476</v>
      </c>
      <c r="P73" s="240">
        <v>95149</v>
      </c>
      <c r="Q73" s="240">
        <v>110781</v>
      </c>
      <c r="R73" s="240"/>
      <c r="S73" s="240">
        <v>99982</v>
      </c>
      <c r="T73" s="240"/>
      <c r="U73" s="240">
        <v>192999</v>
      </c>
      <c r="V73" s="240"/>
      <c r="W73" s="240"/>
      <c r="X73" s="240"/>
      <c r="Y73" s="240">
        <v>131394</v>
      </c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16"/>
      <c r="AK73" s="216"/>
      <c r="AL73" s="216"/>
      <c r="AM73" s="216"/>
    </row>
    <row r="74" spans="1:39" ht="16.2" thickBot="1" x14ac:dyDescent="0.35">
      <c r="A74" s="262" t="s">
        <v>68</v>
      </c>
      <c r="B74" s="262" t="s">
        <v>472</v>
      </c>
      <c r="C74" s="239">
        <v>19941</v>
      </c>
      <c r="D74" s="249" t="s">
        <v>587</v>
      </c>
      <c r="E74" s="238"/>
      <c r="F74" s="238">
        <f t="shared" si="1"/>
        <v>19941</v>
      </c>
      <c r="G74" s="238">
        <f t="shared" si="0"/>
        <v>0</v>
      </c>
      <c r="H74" s="240"/>
      <c r="I74" s="240"/>
      <c r="J74" s="240"/>
      <c r="K74" s="240"/>
      <c r="L74" s="240"/>
      <c r="M74" s="240"/>
      <c r="N74" s="240">
        <v>13367</v>
      </c>
      <c r="O74" s="240" t="s">
        <v>587</v>
      </c>
      <c r="P74" s="240"/>
      <c r="Q74" s="240"/>
      <c r="R74" s="240">
        <v>6574</v>
      </c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16"/>
      <c r="AK74" s="216"/>
      <c r="AL74" s="216"/>
      <c r="AM74" s="216"/>
    </row>
    <row r="75" spans="1:39" ht="16.2" thickBot="1" x14ac:dyDescent="0.35">
      <c r="A75" s="262" t="s">
        <v>69</v>
      </c>
      <c r="B75" s="262" t="s">
        <v>473</v>
      </c>
      <c r="C75" s="239">
        <v>131658</v>
      </c>
      <c r="D75" s="249" t="s">
        <v>587</v>
      </c>
      <c r="E75" s="238"/>
      <c r="F75" s="238">
        <f t="shared" si="1"/>
        <v>131658</v>
      </c>
      <c r="G75" s="238">
        <f t="shared" si="0"/>
        <v>0</v>
      </c>
      <c r="H75" s="240"/>
      <c r="I75" s="240"/>
      <c r="J75" s="240"/>
      <c r="K75" s="240"/>
      <c r="L75" s="240"/>
      <c r="M75" s="240"/>
      <c r="N75" s="240">
        <v>52182</v>
      </c>
      <c r="O75" s="240" t="s">
        <v>587</v>
      </c>
      <c r="P75" s="240"/>
      <c r="Q75" s="240"/>
      <c r="R75" s="240">
        <v>46227</v>
      </c>
      <c r="S75" s="240">
        <v>24872</v>
      </c>
      <c r="T75" s="240"/>
      <c r="U75" s="240"/>
      <c r="V75" s="240"/>
      <c r="W75" s="240"/>
      <c r="X75" s="240"/>
      <c r="Y75" s="240"/>
      <c r="Z75" s="240"/>
      <c r="AA75" s="240">
        <v>8377</v>
      </c>
      <c r="AB75" s="240"/>
      <c r="AC75" s="240"/>
      <c r="AD75" s="240"/>
      <c r="AE75" s="240"/>
      <c r="AF75" s="240"/>
      <c r="AG75" s="240"/>
      <c r="AH75" s="240"/>
      <c r="AI75" s="240"/>
      <c r="AJ75" s="216"/>
      <c r="AK75" s="216"/>
      <c r="AL75" s="216"/>
      <c r="AM75" s="216"/>
    </row>
    <row r="76" spans="1:39" ht="16.2" thickBot="1" x14ac:dyDescent="0.35">
      <c r="A76" s="262" t="s">
        <v>70</v>
      </c>
      <c r="B76" s="262" t="s">
        <v>474</v>
      </c>
      <c r="C76" s="239">
        <v>1029941</v>
      </c>
      <c r="D76" s="249" t="s">
        <v>587</v>
      </c>
      <c r="E76" s="238"/>
      <c r="F76" s="238">
        <f t="shared" si="1"/>
        <v>1029941</v>
      </c>
      <c r="G76" s="238">
        <f t="shared" si="0"/>
        <v>0</v>
      </c>
      <c r="H76" s="240"/>
      <c r="I76" s="240"/>
      <c r="J76" s="240"/>
      <c r="K76" s="240"/>
      <c r="L76" s="240"/>
      <c r="M76" s="240">
        <v>430020</v>
      </c>
      <c r="N76" s="240"/>
      <c r="O76" s="240" t="s">
        <v>587</v>
      </c>
      <c r="P76" s="240">
        <v>174967</v>
      </c>
      <c r="Q76" s="240"/>
      <c r="R76" s="240"/>
      <c r="S76" s="240">
        <v>384035</v>
      </c>
      <c r="T76" s="240"/>
      <c r="U76" s="240">
        <v>40878</v>
      </c>
      <c r="V76" s="240"/>
      <c r="W76" s="240"/>
      <c r="X76" s="240"/>
      <c r="Y76" s="240"/>
      <c r="Z76" s="240">
        <v>41</v>
      </c>
      <c r="AA76" s="240"/>
      <c r="AB76" s="240"/>
      <c r="AC76" s="240"/>
      <c r="AD76" s="240"/>
      <c r="AE76" s="240"/>
      <c r="AF76" s="240"/>
      <c r="AG76" s="240"/>
      <c r="AH76" s="240"/>
      <c r="AI76" s="240"/>
      <c r="AJ76" s="216"/>
      <c r="AK76" s="216"/>
      <c r="AL76" s="216"/>
      <c r="AM76" s="216"/>
    </row>
    <row r="77" spans="1:39" ht="16.2" thickBot="1" x14ac:dyDescent="0.35">
      <c r="A77" s="262" t="s">
        <v>71</v>
      </c>
      <c r="B77" s="262" t="s">
        <v>476</v>
      </c>
      <c r="C77" s="239">
        <v>437436</v>
      </c>
      <c r="D77" s="249" t="s">
        <v>587</v>
      </c>
      <c r="E77" s="238"/>
      <c r="F77" s="238">
        <f t="shared" si="1"/>
        <v>437436</v>
      </c>
      <c r="G77" s="238">
        <f t="shared" ref="G77:G140" si="2">C77-F77</f>
        <v>0</v>
      </c>
      <c r="H77" s="240"/>
      <c r="I77" s="240"/>
      <c r="J77" s="240"/>
      <c r="K77" s="240"/>
      <c r="L77" s="240"/>
      <c r="M77" s="240">
        <v>108086</v>
      </c>
      <c r="N77" s="240"/>
      <c r="O77" s="240" t="s">
        <v>587</v>
      </c>
      <c r="P77" s="240"/>
      <c r="Q77" s="240">
        <v>111728</v>
      </c>
      <c r="R77" s="240">
        <v>42682</v>
      </c>
      <c r="S77" s="240"/>
      <c r="T77" s="240"/>
      <c r="U77" s="240">
        <v>158548</v>
      </c>
      <c r="V77" s="240">
        <v>9367</v>
      </c>
      <c r="W77" s="240"/>
      <c r="X77" s="240"/>
      <c r="Y77" s="240">
        <v>7025</v>
      </c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16"/>
      <c r="AK77" s="216"/>
      <c r="AL77" s="216"/>
      <c r="AM77" s="216"/>
    </row>
    <row r="78" spans="1:39" ht="16.2" thickBot="1" x14ac:dyDescent="0.35">
      <c r="A78" s="262" t="s">
        <v>72</v>
      </c>
      <c r="B78" s="262" t="s">
        <v>477</v>
      </c>
      <c r="C78" s="239">
        <v>71992</v>
      </c>
      <c r="D78" s="249" t="s">
        <v>587</v>
      </c>
      <c r="E78" s="238"/>
      <c r="F78" s="238">
        <f t="shared" ref="F78:F141" si="3">SUM(H78:AI78)</f>
        <v>71992</v>
      </c>
      <c r="G78" s="238">
        <f t="shared" si="2"/>
        <v>0</v>
      </c>
      <c r="H78" s="240"/>
      <c r="I78" s="240"/>
      <c r="J78" s="240"/>
      <c r="K78" s="240"/>
      <c r="L78" s="240"/>
      <c r="M78" s="240"/>
      <c r="N78" s="240"/>
      <c r="O78" s="240" t="s">
        <v>587</v>
      </c>
      <c r="P78" s="240">
        <v>71989</v>
      </c>
      <c r="Q78" s="240"/>
      <c r="R78" s="240"/>
      <c r="S78" s="240"/>
      <c r="T78" s="240"/>
      <c r="U78" s="240"/>
      <c r="V78" s="240"/>
      <c r="W78" s="240">
        <v>3</v>
      </c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16"/>
      <c r="AK78" s="216"/>
      <c r="AL78" s="216"/>
      <c r="AM78" s="216"/>
    </row>
    <row r="79" spans="1:39" ht="16.2" thickBot="1" x14ac:dyDescent="0.35">
      <c r="A79" s="262" t="s">
        <v>73</v>
      </c>
      <c r="B79" s="262" t="s">
        <v>478</v>
      </c>
      <c r="C79" s="239">
        <v>531696</v>
      </c>
      <c r="D79" s="249" t="s">
        <v>587</v>
      </c>
      <c r="E79" s="238"/>
      <c r="F79" s="238">
        <f t="shared" si="3"/>
        <v>531696</v>
      </c>
      <c r="G79" s="238">
        <f t="shared" si="2"/>
        <v>0</v>
      </c>
      <c r="H79" s="240"/>
      <c r="I79" s="240"/>
      <c r="J79" s="240"/>
      <c r="K79" s="240"/>
      <c r="L79" s="240"/>
      <c r="M79" s="240"/>
      <c r="N79" s="240"/>
      <c r="O79" s="240" t="s">
        <v>587</v>
      </c>
      <c r="P79" s="240">
        <v>212106</v>
      </c>
      <c r="Q79" s="240"/>
      <c r="R79" s="240"/>
      <c r="S79" s="240">
        <v>147487</v>
      </c>
      <c r="T79" s="240"/>
      <c r="U79" s="240"/>
      <c r="V79" s="240"/>
      <c r="W79" s="240"/>
      <c r="X79" s="240">
        <v>167357</v>
      </c>
      <c r="Y79" s="240"/>
      <c r="Z79" s="240"/>
      <c r="AA79" s="240"/>
      <c r="AB79" s="240"/>
      <c r="AC79" s="240">
        <v>4746</v>
      </c>
      <c r="AD79" s="240"/>
      <c r="AE79" s="240"/>
      <c r="AF79" s="240"/>
      <c r="AG79" s="240"/>
      <c r="AH79" s="240"/>
      <c r="AI79" s="240"/>
      <c r="AJ79" s="216"/>
      <c r="AK79" s="216"/>
      <c r="AL79" s="216"/>
      <c r="AM79" s="216"/>
    </row>
    <row r="80" spans="1:39" ht="16.2" thickBot="1" x14ac:dyDescent="0.35">
      <c r="A80" s="262" t="s">
        <v>74</v>
      </c>
      <c r="B80" s="262" t="s">
        <v>480</v>
      </c>
      <c r="C80" s="239">
        <v>588015</v>
      </c>
      <c r="D80" s="249" t="s">
        <v>587</v>
      </c>
      <c r="E80" s="238"/>
      <c r="F80" s="238">
        <f t="shared" si="3"/>
        <v>588015</v>
      </c>
      <c r="G80" s="238">
        <f t="shared" si="2"/>
        <v>0</v>
      </c>
      <c r="H80" s="240"/>
      <c r="I80" s="240"/>
      <c r="J80" s="240"/>
      <c r="K80" s="240"/>
      <c r="L80" s="240"/>
      <c r="M80" s="240">
        <v>133396</v>
      </c>
      <c r="N80" s="240">
        <v>111895</v>
      </c>
      <c r="O80" s="240">
        <v>48782</v>
      </c>
      <c r="P80" s="240">
        <v>52635</v>
      </c>
      <c r="Q80" s="240">
        <v>55996</v>
      </c>
      <c r="R80" s="240"/>
      <c r="S80" s="240">
        <v>42624</v>
      </c>
      <c r="T80" s="240">
        <v>93793</v>
      </c>
      <c r="U80" s="240">
        <v>36350</v>
      </c>
      <c r="V80" s="240"/>
      <c r="W80" s="240"/>
      <c r="X80" s="240">
        <v>12544</v>
      </c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16"/>
      <c r="AK80" s="216"/>
      <c r="AL80" s="216"/>
      <c r="AM80" s="216"/>
    </row>
    <row r="81" spans="1:39" ht="16.2" thickBot="1" x14ac:dyDescent="0.35">
      <c r="A81" s="262" t="s">
        <v>75</v>
      </c>
      <c r="B81" s="262" t="s">
        <v>253</v>
      </c>
      <c r="C81" s="239">
        <v>214171</v>
      </c>
      <c r="D81" s="249" t="s">
        <v>587</v>
      </c>
      <c r="E81" s="238"/>
      <c r="F81" s="238">
        <f t="shared" si="3"/>
        <v>214171</v>
      </c>
      <c r="G81" s="238">
        <f t="shared" si="2"/>
        <v>0</v>
      </c>
      <c r="H81" s="240"/>
      <c r="I81" s="240"/>
      <c r="J81" s="240"/>
      <c r="K81" s="240"/>
      <c r="L81" s="240"/>
      <c r="M81" s="240"/>
      <c r="N81" s="240"/>
      <c r="O81" s="240" t="s">
        <v>587</v>
      </c>
      <c r="P81" s="240"/>
      <c r="Q81" s="240"/>
      <c r="R81" s="240">
        <v>214162</v>
      </c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>
        <v>9</v>
      </c>
      <c r="AF81" s="240"/>
      <c r="AG81" s="240"/>
      <c r="AH81" s="240"/>
      <c r="AI81" s="240"/>
      <c r="AJ81" s="216"/>
      <c r="AK81" s="216"/>
      <c r="AL81" s="216"/>
      <c r="AM81" s="216"/>
    </row>
    <row r="82" spans="1:39" ht="16.2" thickBot="1" x14ac:dyDescent="0.35">
      <c r="A82" s="262" t="s">
        <v>76</v>
      </c>
      <c r="B82" s="262" t="s">
        <v>481</v>
      </c>
      <c r="C82" s="239">
        <v>15365</v>
      </c>
      <c r="D82" s="249" t="s">
        <v>587</v>
      </c>
      <c r="E82" s="238"/>
      <c r="F82" s="238">
        <f t="shared" si="3"/>
        <v>15365</v>
      </c>
      <c r="G82" s="238">
        <f t="shared" si="2"/>
        <v>0</v>
      </c>
      <c r="H82" s="240"/>
      <c r="I82" s="240"/>
      <c r="J82" s="240"/>
      <c r="K82" s="240"/>
      <c r="L82" s="240"/>
      <c r="M82" s="240"/>
      <c r="N82" s="240"/>
      <c r="O82" s="240">
        <v>2725</v>
      </c>
      <c r="P82" s="240"/>
      <c r="Q82" s="240"/>
      <c r="R82" s="240">
        <v>4141</v>
      </c>
      <c r="S82" s="240">
        <v>4582</v>
      </c>
      <c r="T82" s="240"/>
      <c r="U82" s="240"/>
      <c r="V82" s="240"/>
      <c r="W82" s="240"/>
      <c r="X82" s="240"/>
      <c r="Y82" s="240"/>
      <c r="Z82" s="240"/>
      <c r="AA82" s="240">
        <v>3917</v>
      </c>
      <c r="AB82" s="240"/>
      <c r="AC82" s="240"/>
      <c r="AD82" s="240"/>
      <c r="AE82" s="240"/>
      <c r="AF82" s="240"/>
      <c r="AG82" s="240"/>
      <c r="AH82" s="240"/>
      <c r="AI82" s="240"/>
      <c r="AJ82" s="216"/>
      <c r="AK82" s="216"/>
      <c r="AL82" s="216"/>
      <c r="AM82" s="216"/>
    </row>
    <row r="83" spans="1:39" ht="16.2" thickBot="1" x14ac:dyDescent="0.35">
      <c r="A83" s="262" t="s">
        <v>77</v>
      </c>
      <c r="B83" s="262" t="s">
        <v>483</v>
      </c>
      <c r="C83" s="239">
        <v>87970</v>
      </c>
      <c r="D83" s="249" t="s">
        <v>587</v>
      </c>
      <c r="E83" s="238"/>
      <c r="F83" s="238">
        <f t="shared" si="3"/>
        <v>87970</v>
      </c>
      <c r="G83" s="238">
        <f t="shared" si="2"/>
        <v>0</v>
      </c>
      <c r="H83" s="240"/>
      <c r="I83" s="240"/>
      <c r="J83" s="240"/>
      <c r="K83" s="240"/>
      <c r="L83" s="240"/>
      <c r="M83" s="240"/>
      <c r="N83" s="240"/>
      <c r="O83" s="240" t="s">
        <v>587</v>
      </c>
      <c r="P83" s="240"/>
      <c r="Q83" s="240"/>
      <c r="R83" s="240">
        <v>52621</v>
      </c>
      <c r="S83" s="240"/>
      <c r="T83" s="240"/>
      <c r="U83" s="240"/>
      <c r="V83" s="240"/>
      <c r="W83" s="240"/>
      <c r="X83" s="240"/>
      <c r="Y83" s="240"/>
      <c r="Z83" s="240">
        <v>35349</v>
      </c>
      <c r="AA83" s="240"/>
      <c r="AB83" s="240"/>
      <c r="AC83" s="240"/>
      <c r="AD83" s="240"/>
      <c r="AE83" s="240"/>
      <c r="AF83" s="240"/>
      <c r="AG83" s="240"/>
      <c r="AH83" s="240"/>
      <c r="AI83" s="240"/>
      <c r="AJ83" s="216"/>
      <c r="AK83" s="216"/>
      <c r="AL83" s="216"/>
      <c r="AM83" s="216"/>
    </row>
    <row r="84" spans="1:39" ht="16.2" thickBot="1" x14ac:dyDescent="0.35">
      <c r="A84" s="262" t="s">
        <v>78</v>
      </c>
      <c r="B84" s="262" t="s">
        <v>256</v>
      </c>
      <c r="C84" s="239">
        <v>151064</v>
      </c>
      <c r="D84" s="249" t="s">
        <v>587</v>
      </c>
      <c r="E84" s="238"/>
      <c r="F84" s="238">
        <f t="shared" si="3"/>
        <v>151064</v>
      </c>
      <c r="G84" s="238">
        <f t="shared" si="2"/>
        <v>0</v>
      </c>
      <c r="H84" s="240"/>
      <c r="I84" s="240"/>
      <c r="J84" s="240"/>
      <c r="K84" s="240"/>
      <c r="L84" s="240">
        <v>35325</v>
      </c>
      <c r="M84" s="240"/>
      <c r="N84" s="240"/>
      <c r="O84" s="240">
        <v>35651</v>
      </c>
      <c r="P84" s="240">
        <v>12514</v>
      </c>
      <c r="Q84" s="240">
        <v>12212</v>
      </c>
      <c r="R84" s="240"/>
      <c r="S84" s="240">
        <v>35564</v>
      </c>
      <c r="T84" s="240"/>
      <c r="U84" s="240"/>
      <c r="V84" s="240">
        <v>19311</v>
      </c>
      <c r="W84" s="240"/>
      <c r="X84" s="240"/>
      <c r="Y84" s="240"/>
      <c r="Z84" s="240"/>
      <c r="AA84" s="240">
        <v>487</v>
      </c>
      <c r="AB84" s="240"/>
      <c r="AC84" s="240"/>
      <c r="AD84" s="240"/>
      <c r="AE84" s="240"/>
      <c r="AF84" s="240"/>
      <c r="AG84" s="240"/>
      <c r="AH84" s="240"/>
      <c r="AI84" s="240"/>
      <c r="AJ84" s="216"/>
      <c r="AK84" s="216"/>
      <c r="AL84" s="216"/>
      <c r="AM84" s="216"/>
    </row>
    <row r="85" spans="1:39" ht="16.2" thickBot="1" x14ac:dyDescent="0.35">
      <c r="A85" s="262" t="s">
        <v>79</v>
      </c>
      <c r="B85" s="262" t="s">
        <v>485</v>
      </c>
      <c r="C85" s="239">
        <v>274837</v>
      </c>
      <c r="D85" s="249" t="s">
        <v>587</v>
      </c>
      <c r="E85" s="238"/>
      <c r="F85" s="238">
        <f t="shared" si="3"/>
        <v>274837</v>
      </c>
      <c r="G85" s="238">
        <f t="shared" si="2"/>
        <v>0</v>
      </c>
      <c r="H85" s="240"/>
      <c r="I85" s="240"/>
      <c r="J85" s="240"/>
      <c r="K85" s="240"/>
      <c r="L85" s="240"/>
      <c r="M85" s="240"/>
      <c r="N85" s="240">
        <v>57582</v>
      </c>
      <c r="O85" s="240" t="s">
        <v>587</v>
      </c>
      <c r="P85" s="240"/>
      <c r="Q85" s="240">
        <v>73417</v>
      </c>
      <c r="R85" s="240"/>
      <c r="S85" s="240">
        <v>73511</v>
      </c>
      <c r="T85" s="240"/>
      <c r="U85" s="240">
        <v>70316</v>
      </c>
      <c r="V85" s="240"/>
      <c r="W85" s="240"/>
      <c r="X85" s="240">
        <v>11</v>
      </c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16"/>
      <c r="AK85" s="216"/>
      <c r="AL85" s="216"/>
      <c r="AM85" s="216"/>
    </row>
    <row r="86" spans="1:39" ht="16.2" thickBot="1" x14ac:dyDescent="0.35">
      <c r="A86" s="262" t="s">
        <v>80</v>
      </c>
      <c r="B86" s="262" t="s">
        <v>632</v>
      </c>
      <c r="C86" s="239">
        <v>23897</v>
      </c>
      <c r="D86" s="249" t="s">
        <v>587</v>
      </c>
      <c r="E86" s="238"/>
      <c r="F86" s="238">
        <f t="shared" si="3"/>
        <v>23897</v>
      </c>
      <c r="G86" s="238">
        <f t="shared" si="2"/>
        <v>0</v>
      </c>
      <c r="H86" s="240"/>
      <c r="I86" s="240"/>
      <c r="J86" s="240"/>
      <c r="K86" s="240"/>
      <c r="L86" s="240"/>
      <c r="M86" s="240"/>
      <c r="N86" s="240"/>
      <c r="O86" s="240" t="s">
        <v>587</v>
      </c>
      <c r="P86" s="240"/>
      <c r="Q86" s="240"/>
      <c r="R86" s="240">
        <v>23896</v>
      </c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>
        <v>1</v>
      </c>
      <c r="AE86" s="240"/>
      <c r="AF86" s="240"/>
      <c r="AG86" s="240"/>
      <c r="AH86" s="240"/>
      <c r="AI86" s="240"/>
      <c r="AJ86" s="216"/>
      <c r="AK86" s="216"/>
      <c r="AL86" s="216"/>
      <c r="AM86" s="216"/>
    </row>
    <row r="87" spans="1:39" ht="16.2" thickBot="1" x14ac:dyDescent="0.35">
      <c r="A87" s="262" t="s">
        <v>81</v>
      </c>
      <c r="B87" s="262" t="s">
        <v>489</v>
      </c>
      <c r="C87" s="239">
        <v>278424</v>
      </c>
      <c r="D87" s="249" t="s">
        <v>587</v>
      </c>
      <c r="E87" s="238"/>
      <c r="F87" s="238">
        <f t="shared" si="3"/>
        <v>278424</v>
      </c>
      <c r="G87" s="238">
        <f t="shared" si="2"/>
        <v>0</v>
      </c>
      <c r="H87" s="240"/>
      <c r="I87" s="240"/>
      <c r="J87" s="240"/>
      <c r="K87" s="240"/>
      <c r="L87" s="240"/>
      <c r="M87" s="240"/>
      <c r="N87" s="240"/>
      <c r="O87" s="240">
        <v>143128</v>
      </c>
      <c r="P87" s="240"/>
      <c r="Q87" s="240"/>
      <c r="R87" s="240"/>
      <c r="S87" s="240"/>
      <c r="T87" s="240"/>
      <c r="U87" s="240"/>
      <c r="V87" s="240"/>
      <c r="W87" s="240"/>
      <c r="X87" s="240">
        <v>135296</v>
      </c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16"/>
      <c r="AK87" s="216"/>
      <c r="AL87" s="216"/>
      <c r="AM87" s="216"/>
    </row>
    <row r="88" spans="1:39" ht="16.2" thickBot="1" x14ac:dyDescent="0.35">
      <c r="A88" s="262" t="s">
        <v>82</v>
      </c>
      <c r="B88" s="262" t="s">
        <v>491</v>
      </c>
      <c r="C88" s="239">
        <v>69396</v>
      </c>
      <c r="D88" s="249" t="s">
        <v>587</v>
      </c>
      <c r="E88" s="238"/>
      <c r="F88" s="238">
        <f t="shared" si="3"/>
        <v>69396</v>
      </c>
      <c r="G88" s="238">
        <f t="shared" si="2"/>
        <v>0</v>
      </c>
      <c r="H88" s="240"/>
      <c r="I88" s="240"/>
      <c r="J88" s="240"/>
      <c r="K88" s="240"/>
      <c r="L88" s="240"/>
      <c r="M88" s="240">
        <v>16955</v>
      </c>
      <c r="N88" s="240"/>
      <c r="O88" s="240" t="s">
        <v>587</v>
      </c>
      <c r="P88" s="240">
        <v>17243</v>
      </c>
      <c r="Q88" s="240"/>
      <c r="R88" s="240">
        <v>18107</v>
      </c>
      <c r="S88" s="240"/>
      <c r="T88" s="240">
        <v>10135</v>
      </c>
      <c r="U88" s="240"/>
      <c r="V88" s="240">
        <v>4503</v>
      </c>
      <c r="W88" s="240"/>
      <c r="X88" s="240"/>
      <c r="Y88" s="240"/>
      <c r="Z88" s="240"/>
      <c r="AA88" s="240">
        <v>2453</v>
      </c>
      <c r="AB88" s="240"/>
      <c r="AC88" s="240"/>
      <c r="AD88" s="240"/>
      <c r="AE88" s="240"/>
      <c r="AF88" s="240"/>
      <c r="AG88" s="240"/>
      <c r="AH88" s="240"/>
      <c r="AI88" s="240"/>
      <c r="AJ88" s="216"/>
      <c r="AK88" s="216"/>
      <c r="AL88" s="216"/>
      <c r="AM88" s="216"/>
    </row>
    <row r="89" spans="1:39" ht="16.2" thickBot="1" x14ac:dyDescent="0.35">
      <c r="A89" s="262" t="s">
        <v>83</v>
      </c>
      <c r="B89" s="262" t="s">
        <v>261</v>
      </c>
      <c r="C89" s="239">
        <v>42295</v>
      </c>
      <c r="D89" s="249" t="s">
        <v>375</v>
      </c>
      <c r="E89" s="238">
        <v>42295</v>
      </c>
      <c r="F89" s="238">
        <f t="shared" si="3"/>
        <v>0</v>
      </c>
      <c r="G89" s="238">
        <v>0</v>
      </c>
      <c r="H89" s="240"/>
      <c r="I89" s="240"/>
      <c r="J89" s="240"/>
      <c r="K89" s="240"/>
      <c r="L89" s="240"/>
      <c r="M89" s="240"/>
      <c r="N89" s="240"/>
      <c r="O89" s="240" t="s">
        <v>587</v>
      </c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16"/>
      <c r="AK89" s="216"/>
      <c r="AL89" s="216"/>
      <c r="AM89" s="216"/>
    </row>
    <row r="90" spans="1:39" ht="16.2" thickBot="1" x14ac:dyDescent="0.35">
      <c r="A90" s="262" t="s">
        <v>84</v>
      </c>
      <c r="B90" s="262" t="s">
        <v>262</v>
      </c>
      <c r="C90" s="239">
        <v>10430149</v>
      </c>
      <c r="D90" s="249" t="s">
        <v>587</v>
      </c>
      <c r="E90" s="238"/>
      <c r="F90" s="238">
        <f t="shared" si="3"/>
        <v>10430149</v>
      </c>
      <c r="G90" s="238">
        <f t="shared" si="2"/>
        <v>0</v>
      </c>
      <c r="H90" s="240"/>
      <c r="I90" s="240"/>
      <c r="J90" s="240"/>
      <c r="K90" s="240"/>
      <c r="L90" s="240">
        <v>677884</v>
      </c>
      <c r="M90" s="240"/>
      <c r="N90" s="240">
        <v>1825175</v>
      </c>
      <c r="O90" s="240">
        <v>817564</v>
      </c>
      <c r="P90" s="240">
        <v>953888</v>
      </c>
      <c r="Q90" s="240">
        <v>972161</v>
      </c>
      <c r="R90" s="240">
        <v>1035799</v>
      </c>
      <c r="S90" s="240"/>
      <c r="T90" s="240">
        <v>1047840</v>
      </c>
      <c r="U90" s="240">
        <v>1001569</v>
      </c>
      <c r="V90" s="240">
        <v>982650</v>
      </c>
      <c r="W90" s="240"/>
      <c r="X90" s="240">
        <v>1115619</v>
      </c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16"/>
      <c r="AK90" s="216"/>
      <c r="AL90" s="216"/>
      <c r="AM90" s="216"/>
    </row>
    <row r="91" spans="1:39" ht="16.2" thickBot="1" x14ac:dyDescent="0.35">
      <c r="A91" s="262" t="s">
        <v>85</v>
      </c>
      <c r="B91" s="262" t="s">
        <v>494</v>
      </c>
      <c r="C91" s="239">
        <v>24132</v>
      </c>
      <c r="D91" s="249" t="s">
        <v>587</v>
      </c>
      <c r="E91" s="238"/>
      <c r="F91" s="238">
        <f t="shared" si="3"/>
        <v>24132</v>
      </c>
      <c r="G91" s="238">
        <f t="shared" si="2"/>
        <v>0</v>
      </c>
      <c r="H91" s="240"/>
      <c r="I91" s="240"/>
      <c r="J91" s="240"/>
      <c r="K91" s="240"/>
      <c r="L91" s="240"/>
      <c r="M91" s="240"/>
      <c r="N91" s="240"/>
      <c r="O91" s="240" t="s">
        <v>587</v>
      </c>
      <c r="P91" s="240"/>
      <c r="Q91" s="240"/>
      <c r="R91" s="240"/>
      <c r="S91" s="240">
        <v>24131</v>
      </c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>
        <v>1</v>
      </c>
      <c r="AF91" s="240"/>
      <c r="AG91" s="240"/>
      <c r="AH91" s="240"/>
      <c r="AI91" s="240"/>
      <c r="AJ91" s="216"/>
      <c r="AK91" s="216"/>
      <c r="AL91" s="216"/>
      <c r="AM91" s="216"/>
    </row>
    <row r="92" spans="1:39" ht="16.2" thickBot="1" x14ac:dyDescent="0.35">
      <c r="A92" s="262" t="s">
        <v>86</v>
      </c>
      <c r="B92" s="262" t="s">
        <v>496</v>
      </c>
      <c r="C92" s="239">
        <v>15987</v>
      </c>
      <c r="D92" s="249" t="s">
        <v>587</v>
      </c>
      <c r="E92" s="238"/>
      <c r="F92" s="238">
        <f t="shared" si="3"/>
        <v>15987</v>
      </c>
      <c r="G92" s="238">
        <f t="shared" si="2"/>
        <v>0</v>
      </c>
      <c r="H92" s="240"/>
      <c r="I92" s="240"/>
      <c r="J92" s="240"/>
      <c r="K92" s="240"/>
      <c r="L92" s="240"/>
      <c r="M92" s="240"/>
      <c r="N92" s="240"/>
      <c r="O92" s="240" t="s">
        <v>587</v>
      </c>
      <c r="P92" s="240"/>
      <c r="Q92" s="240"/>
      <c r="R92" s="240"/>
      <c r="S92" s="240"/>
      <c r="T92" s="240"/>
      <c r="U92" s="240">
        <v>10237</v>
      </c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>
        <v>0</v>
      </c>
      <c r="AI92" s="240">
        <v>5750</v>
      </c>
      <c r="AJ92" s="216"/>
      <c r="AK92" s="216"/>
      <c r="AL92" s="216"/>
      <c r="AM92" s="216"/>
    </row>
    <row r="93" spans="1:39" ht="16.2" thickBot="1" x14ac:dyDescent="0.35">
      <c r="A93" s="262" t="s">
        <v>87</v>
      </c>
      <c r="B93" s="262" t="s">
        <v>265</v>
      </c>
      <c r="C93" s="239">
        <v>36425</v>
      </c>
      <c r="D93" s="249" t="s">
        <v>372</v>
      </c>
      <c r="E93" s="238">
        <v>36425</v>
      </c>
      <c r="F93" s="238">
        <f t="shared" si="3"/>
        <v>0</v>
      </c>
      <c r="G93" s="238">
        <v>0</v>
      </c>
      <c r="H93" s="240"/>
      <c r="I93" s="240"/>
      <c r="J93" s="240"/>
      <c r="K93" s="240"/>
      <c r="L93" s="240"/>
      <c r="M93" s="240"/>
      <c r="N93" s="240"/>
      <c r="O93" s="240" t="s">
        <v>587</v>
      </c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16"/>
      <c r="AK93" s="216"/>
      <c r="AL93" s="216"/>
      <c r="AM93" s="216"/>
    </row>
    <row r="94" spans="1:39" ht="16.2" thickBot="1" x14ac:dyDescent="0.35">
      <c r="A94" s="262" t="s">
        <v>88</v>
      </c>
      <c r="B94" s="262" t="s">
        <v>266</v>
      </c>
      <c r="C94" s="239">
        <v>20106</v>
      </c>
      <c r="D94" s="249" t="s">
        <v>372</v>
      </c>
      <c r="E94" s="238">
        <v>20106</v>
      </c>
      <c r="F94" s="238">
        <f t="shared" si="3"/>
        <v>0</v>
      </c>
      <c r="G94" s="238">
        <v>0</v>
      </c>
      <c r="H94" s="240"/>
      <c r="I94" s="240"/>
      <c r="J94" s="240"/>
      <c r="K94" s="240"/>
      <c r="L94" s="240"/>
      <c r="M94" s="240"/>
      <c r="N94" s="240"/>
      <c r="O94" s="240" t="s">
        <v>587</v>
      </c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16"/>
      <c r="AK94" s="216"/>
      <c r="AL94" s="216"/>
      <c r="AM94" s="216"/>
    </row>
    <row r="95" spans="1:39" ht="16.2" thickBot="1" x14ac:dyDescent="0.35">
      <c r="A95" s="262" t="s">
        <v>89</v>
      </c>
      <c r="B95" s="262" t="s">
        <v>267</v>
      </c>
      <c r="C95" s="239">
        <v>36575</v>
      </c>
      <c r="D95" s="249" t="s">
        <v>372</v>
      </c>
      <c r="E95" s="238">
        <v>36575</v>
      </c>
      <c r="F95" s="238">
        <f t="shared" si="3"/>
        <v>0</v>
      </c>
      <c r="G95" s="238">
        <v>0</v>
      </c>
      <c r="H95" s="240"/>
      <c r="I95" s="240"/>
      <c r="J95" s="240"/>
      <c r="K95" s="240"/>
      <c r="L95" s="240"/>
      <c r="M95" s="240"/>
      <c r="N95" s="240"/>
      <c r="O95" s="240" t="s">
        <v>587</v>
      </c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16"/>
      <c r="AK95" s="216"/>
      <c r="AL95" s="216"/>
      <c r="AM95" s="216"/>
    </row>
    <row r="96" spans="1:39" ht="16.2" thickBot="1" x14ac:dyDescent="0.35">
      <c r="A96" s="262" t="s">
        <v>90</v>
      </c>
      <c r="B96" s="262" t="s">
        <v>268</v>
      </c>
      <c r="C96" s="239">
        <v>28219</v>
      </c>
      <c r="D96" s="249" t="s">
        <v>372</v>
      </c>
      <c r="E96" s="238">
        <v>28219</v>
      </c>
      <c r="F96" s="238">
        <f t="shared" si="3"/>
        <v>0</v>
      </c>
      <c r="G96" s="238">
        <v>0</v>
      </c>
      <c r="H96" s="240"/>
      <c r="I96" s="240"/>
      <c r="J96" s="240"/>
      <c r="K96" s="240"/>
      <c r="L96" s="240"/>
      <c r="M96" s="240"/>
      <c r="N96" s="240"/>
      <c r="O96" s="240" t="s">
        <v>587</v>
      </c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16"/>
      <c r="AK96" s="216"/>
      <c r="AL96" s="216"/>
      <c r="AM96" s="216"/>
    </row>
    <row r="97" spans="1:39" ht="16.2" thickBot="1" x14ac:dyDescent="0.35">
      <c r="A97" s="262" t="s">
        <v>91</v>
      </c>
      <c r="B97" s="262" t="s">
        <v>498</v>
      </c>
      <c r="C97" s="239">
        <v>139214</v>
      </c>
      <c r="D97" s="249" t="s">
        <v>372</v>
      </c>
      <c r="E97" s="238">
        <v>139214</v>
      </c>
      <c r="F97" s="238">
        <f t="shared" si="3"/>
        <v>0</v>
      </c>
      <c r="G97" s="238">
        <v>0</v>
      </c>
      <c r="H97" s="240"/>
      <c r="I97" s="240"/>
      <c r="J97" s="240"/>
      <c r="K97" s="240"/>
      <c r="L97" s="240"/>
      <c r="M97" s="240"/>
      <c r="N97" s="240"/>
      <c r="O97" s="240" t="s">
        <v>587</v>
      </c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16"/>
      <c r="AK97" s="216"/>
      <c r="AL97" s="216"/>
      <c r="AM97" s="216"/>
    </row>
    <row r="98" spans="1:39" ht="16.2" thickBot="1" x14ac:dyDescent="0.35">
      <c r="A98" s="262" t="s">
        <v>92</v>
      </c>
      <c r="B98" s="262" t="s">
        <v>270</v>
      </c>
      <c r="C98" s="239">
        <v>271229</v>
      </c>
      <c r="D98" s="249" t="s">
        <v>587</v>
      </c>
      <c r="E98" s="238"/>
      <c r="F98" s="238">
        <f t="shared" si="3"/>
        <v>271229</v>
      </c>
      <c r="G98" s="238">
        <f t="shared" si="2"/>
        <v>0</v>
      </c>
      <c r="H98" s="240"/>
      <c r="I98" s="240"/>
      <c r="J98" s="240"/>
      <c r="K98" s="240"/>
      <c r="L98" s="240"/>
      <c r="M98" s="240">
        <v>55527</v>
      </c>
      <c r="N98" s="240">
        <v>4426</v>
      </c>
      <c r="O98" s="240">
        <v>26618</v>
      </c>
      <c r="P98" s="240"/>
      <c r="Q98" s="240">
        <v>25985</v>
      </c>
      <c r="R98" s="240">
        <v>21985</v>
      </c>
      <c r="S98" s="240">
        <v>17542</v>
      </c>
      <c r="T98" s="240"/>
      <c r="U98" s="240"/>
      <c r="V98" s="240">
        <v>80441</v>
      </c>
      <c r="W98" s="240"/>
      <c r="X98" s="240">
        <v>38705</v>
      </c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16"/>
      <c r="AK98" s="216"/>
      <c r="AL98" s="216"/>
      <c r="AM98" s="216"/>
    </row>
    <row r="99" spans="1:39" ht="16.2" thickBot="1" x14ac:dyDescent="0.35">
      <c r="A99" s="262" t="s">
        <v>93</v>
      </c>
      <c r="B99" s="262" t="s">
        <v>271</v>
      </c>
      <c r="C99" s="239">
        <v>482296</v>
      </c>
      <c r="D99" s="249" t="s">
        <v>587</v>
      </c>
      <c r="E99" s="238"/>
      <c r="F99" s="238">
        <f t="shared" si="3"/>
        <v>482296</v>
      </c>
      <c r="G99" s="238">
        <f t="shared" si="2"/>
        <v>0</v>
      </c>
      <c r="H99" s="240"/>
      <c r="I99" s="240"/>
      <c r="J99" s="240"/>
      <c r="K99" s="240"/>
      <c r="L99" s="240"/>
      <c r="M99" s="240"/>
      <c r="N99" s="240"/>
      <c r="O99" s="240">
        <v>139555</v>
      </c>
      <c r="P99" s="240">
        <v>87155</v>
      </c>
      <c r="Q99" s="240"/>
      <c r="R99" s="240"/>
      <c r="S99" s="240">
        <v>81845</v>
      </c>
      <c r="T99" s="240">
        <v>40921</v>
      </c>
      <c r="U99" s="240"/>
      <c r="V99" s="240">
        <v>114599</v>
      </c>
      <c r="W99" s="240"/>
      <c r="X99" s="240"/>
      <c r="Y99" s="240">
        <v>18221</v>
      </c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16"/>
      <c r="AK99" s="216"/>
      <c r="AL99" s="216"/>
      <c r="AM99" s="216"/>
    </row>
    <row r="100" spans="1:39" ht="16.2" thickBot="1" x14ac:dyDescent="0.35">
      <c r="A100" s="262" t="s">
        <v>94</v>
      </c>
      <c r="B100" s="262" t="s">
        <v>501</v>
      </c>
      <c r="C100" s="239">
        <v>108256</v>
      </c>
      <c r="D100" s="249" t="s">
        <v>587</v>
      </c>
      <c r="E100" s="238"/>
      <c r="F100" s="238">
        <f t="shared" si="3"/>
        <v>108256</v>
      </c>
      <c r="G100" s="238">
        <f t="shared" si="2"/>
        <v>0</v>
      </c>
      <c r="H100" s="240"/>
      <c r="I100" s="240"/>
      <c r="J100" s="240"/>
      <c r="K100" s="240"/>
      <c r="L100" s="240"/>
      <c r="M100" s="240"/>
      <c r="N100" s="240"/>
      <c r="O100" s="240" t="s">
        <v>587</v>
      </c>
      <c r="P100" s="240"/>
      <c r="Q100" s="240"/>
      <c r="R100" s="240"/>
      <c r="S100" s="240">
        <v>95383</v>
      </c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>
        <v>12873</v>
      </c>
      <c r="AF100" s="240"/>
      <c r="AG100" s="240"/>
      <c r="AH100" s="240"/>
      <c r="AI100" s="240"/>
      <c r="AJ100" s="216"/>
      <c r="AK100" s="216"/>
      <c r="AL100" s="216"/>
      <c r="AM100" s="216"/>
    </row>
    <row r="101" spans="1:39" ht="16.2" thickBot="1" x14ac:dyDescent="0.35">
      <c r="A101" s="262" t="s">
        <v>95</v>
      </c>
      <c r="B101" s="262" t="s">
        <v>502</v>
      </c>
      <c r="C101" s="239">
        <v>169431</v>
      </c>
      <c r="D101" s="249" t="s">
        <v>587</v>
      </c>
      <c r="E101" s="238"/>
      <c r="F101" s="238">
        <f t="shared" si="3"/>
        <v>169431</v>
      </c>
      <c r="G101" s="238">
        <f t="shared" si="2"/>
        <v>0</v>
      </c>
      <c r="H101" s="240"/>
      <c r="I101" s="240"/>
      <c r="J101" s="240"/>
      <c r="K101" s="240"/>
      <c r="L101" s="240"/>
      <c r="M101" s="240">
        <v>41495</v>
      </c>
      <c r="N101" s="240"/>
      <c r="O101" s="240" t="s">
        <v>587</v>
      </c>
      <c r="P101" s="240">
        <v>68691</v>
      </c>
      <c r="Q101" s="240"/>
      <c r="R101" s="240"/>
      <c r="S101" s="240"/>
      <c r="T101" s="240"/>
      <c r="U101" s="240"/>
      <c r="V101" s="240"/>
      <c r="W101" s="240"/>
      <c r="X101" s="240">
        <v>45206</v>
      </c>
      <c r="Y101" s="240"/>
      <c r="Z101" s="240">
        <v>14039</v>
      </c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16"/>
      <c r="AK101" s="216"/>
      <c r="AL101" s="216"/>
      <c r="AM101" s="216"/>
    </row>
    <row r="102" spans="1:39" ht="16.2" thickBot="1" x14ac:dyDescent="0.35">
      <c r="A102" s="262" t="s">
        <v>96</v>
      </c>
      <c r="B102" s="262" t="s">
        <v>274</v>
      </c>
      <c r="C102" s="239">
        <v>2772233</v>
      </c>
      <c r="D102" s="249" t="s">
        <v>587</v>
      </c>
      <c r="E102" s="238"/>
      <c r="F102" s="238">
        <f t="shared" si="3"/>
        <v>2772233</v>
      </c>
      <c r="G102" s="238">
        <f t="shared" si="2"/>
        <v>0</v>
      </c>
      <c r="H102" s="240"/>
      <c r="I102" s="240"/>
      <c r="J102" s="240"/>
      <c r="K102" s="240"/>
      <c r="L102" s="240">
        <v>149931</v>
      </c>
      <c r="M102" s="240"/>
      <c r="N102" s="240"/>
      <c r="O102" s="240">
        <v>707753</v>
      </c>
      <c r="P102" s="240"/>
      <c r="Q102" s="240"/>
      <c r="R102" s="240">
        <v>635640</v>
      </c>
      <c r="S102" s="240"/>
      <c r="T102" s="240"/>
      <c r="U102" s="240">
        <v>733883</v>
      </c>
      <c r="V102" s="240"/>
      <c r="W102" s="240">
        <v>355320</v>
      </c>
      <c r="X102" s="240">
        <v>189706</v>
      </c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16"/>
      <c r="AK102" s="216"/>
      <c r="AL102" s="216"/>
      <c r="AM102" s="216"/>
    </row>
    <row r="103" spans="1:39" ht="16.2" thickBot="1" x14ac:dyDescent="0.35">
      <c r="A103" s="262" t="s">
        <v>97</v>
      </c>
      <c r="B103" s="262" t="s">
        <v>504</v>
      </c>
      <c r="C103" s="239">
        <v>1686234</v>
      </c>
      <c r="D103" s="249" t="s">
        <v>587</v>
      </c>
      <c r="E103" s="238"/>
      <c r="F103" s="238">
        <f t="shared" si="3"/>
        <v>1686234</v>
      </c>
      <c r="G103" s="238">
        <f t="shared" si="2"/>
        <v>0</v>
      </c>
      <c r="H103" s="240"/>
      <c r="I103" s="240"/>
      <c r="J103" s="240"/>
      <c r="K103" s="240"/>
      <c r="L103" s="240">
        <v>165457</v>
      </c>
      <c r="M103" s="240">
        <v>145609</v>
      </c>
      <c r="N103" s="240">
        <v>134582</v>
      </c>
      <c r="O103" s="240">
        <v>143276</v>
      </c>
      <c r="P103" s="240">
        <v>134354</v>
      </c>
      <c r="Q103" s="240">
        <v>130413</v>
      </c>
      <c r="R103" s="240">
        <v>139798</v>
      </c>
      <c r="S103" s="240">
        <v>132070</v>
      </c>
      <c r="T103" s="240">
        <v>132469</v>
      </c>
      <c r="U103" s="240"/>
      <c r="V103" s="240">
        <v>245552</v>
      </c>
      <c r="W103" s="240"/>
      <c r="X103" s="240">
        <v>182654</v>
      </c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16"/>
      <c r="AK103" s="216"/>
      <c r="AL103" s="216"/>
      <c r="AM103" s="216"/>
    </row>
    <row r="104" spans="1:39" ht="16.2" thickBot="1" x14ac:dyDescent="0.35">
      <c r="A104" s="262" t="s">
        <v>98</v>
      </c>
      <c r="B104" s="262" t="s">
        <v>505</v>
      </c>
      <c r="C104" s="239">
        <v>282676</v>
      </c>
      <c r="D104" s="249" t="s">
        <v>587</v>
      </c>
      <c r="E104" s="238"/>
      <c r="F104" s="238">
        <f t="shared" si="3"/>
        <v>282676</v>
      </c>
      <c r="G104" s="238">
        <f t="shared" si="2"/>
        <v>0</v>
      </c>
      <c r="H104" s="240"/>
      <c r="I104" s="240"/>
      <c r="J104" s="240"/>
      <c r="K104" s="240"/>
      <c r="L104" s="240"/>
      <c r="M104" s="240">
        <v>30060</v>
      </c>
      <c r="N104" s="240"/>
      <c r="O104" s="240" t="s">
        <v>587</v>
      </c>
      <c r="P104" s="240"/>
      <c r="Q104" s="240">
        <v>86001</v>
      </c>
      <c r="R104" s="240"/>
      <c r="S104" s="240"/>
      <c r="T104" s="240">
        <v>48476</v>
      </c>
      <c r="U104" s="240"/>
      <c r="V104" s="240">
        <v>23627</v>
      </c>
      <c r="W104" s="240"/>
      <c r="X104" s="240"/>
      <c r="Y104" s="240">
        <v>76108</v>
      </c>
      <c r="Z104" s="240">
        <v>18404</v>
      </c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16"/>
      <c r="AK104" s="216"/>
      <c r="AL104" s="216"/>
      <c r="AM104" s="216"/>
    </row>
    <row r="105" spans="1:39" ht="16.2" thickBot="1" x14ac:dyDescent="0.35">
      <c r="A105" s="262" t="s">
        <v>99</v>
      </c>
      <c r="B105" s="262" t="s">
        <v>277</v>
      </c>
      <c r="C105" s="239">
        <v>362541</v>
      </c>
      <c r="D105" s="249" t="s">
        <v>587</v>
      </c>
      <c r="E105" s="238"/>
      <c r="F105" s="238">
        <f t="shared" si="3"/>
        <v>362541</v>
      </c>
      <c r="G105" s="238">
        <f t="shared" si="2"/>
        <v>0</v>
      </c>
      <c r="H105" s="240"/>
      <c r="I105" s="240"/>
      <c r="J105" s="240"/>
      <c r="K105" s="240"/>
      <c r="L105" s="240"/>
      <c r="M105" s="240">
        <v>10978</v>
      </c>
      <c r="N105" s="240"/>
      <c r="O105" s="240">
        <v>119127</v>
      </c>
      <c r="P105" s="240"/>
      <c r="Q105" s="240">
        <v>24986</v>
      </c>
      <c r="R105" s="240"/>
      <c r="S105" s="240">
        <v>135370</v>
      </c>
      <c r="T105" s="240"/>
      <c r="U105" s="240">
        <v>36883</v>
      </c>
      <c r="V105" s="240"/>
      <c r="W105" s="240"/>
      <c r="X105" s="240"/>
      <c r="Y105" s="240">
        <v>35197</v>
      </c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16"/>
      <c r="AK105" s="216"/>
      <c r="AL105" s="216"/>
      <c r="AM105" s="216"/>
    </row>
    <row r="106" spans="1:39" ht="16.2" thickBot="1" x14ac:dyDescent="0.35">
      <c r="A106" s="262" t="s">
        <v>100</v>
      </c>
      <c r="B106" s="262" t="s">
        <v>278</v>
      </c>
      <c r="C106" s="239">
        <v>29484</v>
      </c>
      <c r="D106" s="249" t="s">
        <v>587</v>
      </c>
      <c r="E106" s="238"/>
      <c r="F106" s="238">
        <f t="shared" si="3"/>
        <v>29484</v>
      </c>
      <c r="G106" s="238">
        <f t="shared" si="2"/>
        <v>0</v>
      </c>
      <c r="H106" s="240"/>
      <c r="I106" s="240"/>
      <c r="J106" s="240"/>
      <c r="K106" s="240"/>
      <c r="L106" s="240"/>
      <c r="M106" s="240"/>
      <c r="N106" s="240"/>
      <c r="O106" s="240" t="s">
        <v>587</v>
      </c>
      <c r="P106" s="240"/>
      <c r="Q106" s="240"/>
      <c r="R106" s="240"/>
      <c r="S106" s="240"/>
      <c r="T106" s="240">
        <v>29450</v>
      </c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>
        <v>34</v>
      </c>
      <c r="AF106" s="240"/>
      <c r="AG106" s="240"/>
      <c r="AH106" s="240"/>
      <c r="AI106" s="240"/>
      <c r="AJ106" s="216"/>
      <c r="AK106" s="216"/>
      <c r="AL106" s="216"/>
      <c r="AM106" s="216"/>
    </row>
    <row r="107" spans="1:39" ht="16.2" thickBot="1" x14ac:dyDescent="0.35">
      <c r="A107" s="262" t="s">
        <v>101</v>
      </c>
      <c r="B107" s="262" t="s">
        <v>279</v>
      </c>
      <c r="C107" s="239">
        <v>41227</v>
      </c>
      <c r="D107" s="249" t="s">
        <v>587</v>
      </c>
      <c r="E107" s="238"/>
      <c r="F107" s="238">
        <f t="shared" si="3"/>
        <v>41227</v>
      </c>
      <c r="G107" s="238">
        <f t="shared" si="2"/>
        <v>0</v>
      </c>
      <c r="H107" s="240"/>
      <c r="I107" s="240"/>
      <c r="J107" s="240"/>
      <c r="K107" s="240"/>
      <c r="L107" s="240"/>
      <c r="M107" s="240"/>
      <c r="N107" s="240"/>
      <c r="O107" s="240" t="s">
        <v>587</v>
      </c>
      <c r="P107" s="240"/>
      <c r="Q107" s="240"/>
      <c r="R107" s="240"/>
      <c r="S107" s="240">
        <v>40939</v>
      </c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>
        <v>288</v>
      </c>
      <c r="AE107" s="240"/>
      <c r="AF107" s="240"/>
      <c r="AG107" s="240"/>
      <c r="AH107" s="240"/>
      <c r="AI107" s="240"/>
      <c r="AJ107" s="216"/>
      <c r="AK107" s="216"/>
      <c r="AL107" s="216"/>
      <c r="AM107" s="216"/>
    </row>
    <row r="108" spans="1:39" ht="16.2" thickBot="1" x14ac:dyDescent="0.35">
      <c r="A108" s="262" t="s">
        <v>102</v>
      </c>
      <c r="B108" s="262" t="s">
        <v>507</v>
      </c>
      <c r="C108" s="239">
        <v>89628</v>
      </c>
      <c r="D108" s="249" t="s">
        <v>587</v>
      </c>
      <c r="E108" s="238"/>
      <c r="F108" s="238">
        <f t="shared" si="3"/>
        <v>89628</v>
      </c>
      <c r="G108" s="238">
        <f t="shared" si="2"/>
        <v>0</v>
      </c>
      <c r="H108" s="240"/>
      <c r="I108" s="240"/>
      <c r="J108" s="240"/>
      <c r="K108" s="240"/>
      <c r="L108" s="240"/>
      <c r="M108" s="240"/>
      <c r="N108" s="240"/>
      <c r="O108" s="240" t="s">
        <v>587</v>
      </c>
      <c r="P108" s="240"/>
      <c r="Q108" s="240"/>
      <c r="R108" s="240">
        <v>27042</v>
      </c>
      <c r="S108" s="240"/>
      <c r="T108" s="240"/>
      <c r="U108" s="240"/>
      <c r="V108" s="240"/>
      <c r="W108" s="240"/>
      <c r="X108" s="240">
        <v>51423</v>
      </c>
      <c r="Y108" s="240">
        <v>11163</v>
      </c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16"/>
      <c r="AK108" s="216"/>
      <c r="AL108" s="216"/>
      <c r="AM108" s="216"/>
    </row>
    <row r="109" spans="1:39" ht="16.2" thickBot="1" x14ac:dyDescent="0.35">
      <c r="A109" s="262" t="s">
        <v>103</v>
      </c>
      <c r="B109" s="262" t="s">
        <v>281</v>
      </c>
      <c r="C109" s="239">
        <v>0</v>
      </c>
      <c r="D109" s="249" t="s">
        <v>587</v>
      </c>
      <c r="E109" s="238"/>
      <c r="F109" s="238">
        <f t="shared" si="3"/>
        <v>0</v>
      </c>
      <c r="G109" s="238">
        <f t="shared" si="2"/>
        <v>0</v>
      </c>
      <c r="H109" s="240"/>
      <c r="I109" s="240"/>
      <c r="J109" s="240"/>
      <c r="K109" s="240"/>
      <c r="L109" s="240"/>
      <c r="M109" s="240"/>
      <c r="N109" s="240"/>
      <c r="O109" s="240" t="s">
        <v>587</v>
      </c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16"/>
      <c r="AK109" s="216"/>
      <c r="AL109" s="216"/>
      <c r="AM109" s="216"/>
    </row>
    <row r="110" spans="1:39" ht="16.2" thickBot="1" x14ac:dyDescent="0.35">
      <c r="A110" s="262" t="s">
        <v>104</v>
      </c>
      <c r="B110" s="262" t="s">
        <v>282</v>
      </c>
      <c r="C110" s="239">
        <v>1310</v>
      </c>
      <c r="D110" s="249" t="s">
        <v>587</v>
      </c>
      <c r="E110" s="238"/>
      <c r="F110" s="238">
        <f t="shared" si="3"/>
        <v>1311</v>
      </c>
      <c r="G110" s="238">
        <f t="shared" si="2"/>
        <v>-1</v>
      </c>
      <c r="H110" s="240"/>
      <c r="I110" s="240"/>
      <c r="J110" s="240"/>
      <c r="K110" s="240"/>
      <c r="L110" s="240">
        <v>1311</v>
      </c>
      <c r="M110" s="240"/>
      <c r="N110" s="240"/>
      <c r="O110" s="240" t="s">
        <v>587</v>
      </c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16"/>
      <c r="AK110" s="216"/>
      <c r="AL110" s="216"/>
      <c r="AM110" s="216"/>
    </row>
    <row r="111" spans="1:39" ht="16.2" thickBot="1" x14ac:dyDescent="0.35">
      <c r="A111" s="262" t="s">
        <v>105</v>
      </c>
      <c r="B111" s="262" t="s">
        <v>283</v>
      </c>
      <c r="C111" s="239">
        <v>38267</v>
      </c>
      <c r="D111" s="249" t="s">
        <v>372</v>
      </c>
      <c r="E111" s="238">
        <v>38267</v>
      </c>
      <c r="F111" s="238">
        <f t="shared" si="3"/>
        <v>0</v>
      </c>
      <c r="G111" s="238">
        <v>0</v>
      </c>
      <c r="H111" s="240"/>
      <c r="I111" s="240"/>
      <c r="J111" s="240"/>
      <c r="K111" s="240"/>
      <c r="L111" s="240"/>
      <c r="M111" s="240"/>
      <c r="N111" s="240"/>
      <c r="O111" s="240" t="s">
        <v>587</v>
      </c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16"/>
      <c r="AK111" s="216"/>
      <c r="AL111" s="216"/>
      <c r="AM111" s="216"/>
    </row>
    <row r="112" spans="1:39" ht="16.2" thickBot="1" x14ac:dyDescent="0.35">
      <c r="A112" s="262" t="s">
        <v>106</v>
      </c>
      <c r="B112" s="262" t="s">
        <v>509</v>
      </c>
      <c r="C112" s="239">
        <v>88446</v>
      </c>
      <c r="D112" s="249" t="s">
        <v>372</v>
      </c>
      <c r="E112" s="238">
        <v>88446</v>
      </c>
      <c r="F112" s="238">
        <f t="shared" si="3"/>
        <v>0</v>
      </c>
      <c r="G112" s="238">
        <v>0</v>
      </c>
      <c r="H112" s="240"/>
      <c r="I112" s="240"/>
      <c r="J112" s="240"/>
      <c r="K112" s="240"/>
      <c r="L112" s="240"/>
      <c r="M112" s="240"/>
      <c r="N112" s="240"/>
      <c r="O112" s="240" t="s">
        <v>587</v>
      </c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16"/>
      <c r="AK112" s="216"/>
      <c r="AL112" s="216"/>
      <c r="AM112" s="216"/>
    </row>
    <row r="113" spans="1:39" ht="16.2" thickBot="1" x14ac:dyDescent="0.35">
      <c r="A113" s="262" t="s">
        <v>107</v>
      </c>
      <c r="B113" s="262" t="s">
        <v>510</v>
      </c>
      <c r="C113" s="239">
        <v>15761</v>
      </c>
      <c r="D113" s="249" t="s">
        <v>372</v>
      </c>
      <c r="E113" s="238">
        <v>15761</v>
      </c>
      <c r="F113" s="238">
        <f t="shared" si="3"/>
        <v>0</v>
      </c>
      <c r="G113" s="238">
        <v>0</v>
      </c>
      <c r="H113" s="240"/>
      <c r="I113" s="240"/>
      <c r="J113" s="240"/>
      <c r="K113" s="240"/>
      <c r="L113" s="240"/>
      <c r="M113" s="240"/>
      <c r="N113" s="240"/>
      <c r="O113" s="240" t="s">
        <v>587</v>
      </c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16"/>
      <c r="AK113" s="216"/>
      <c r="AL113" s="216"/>
      <c r="AM113" s="216"/>
    </row>
    <row r="114" spans="1:39" ht="16.2" thickBot="1" x14ac:dyDescent="0.35">
      <c r="A114" s="262" t="s">
        <v>108</v>
      </c>
      <c r="B114" s="262" t="s">
        <v>511</v>
      </c>
      <c r="C114" s="239">
        <v>440617</v>
      </c>
      <c r="D114" s="249" t="s">
        <v>373</v>
      </c>
      <c r="E114" s="238">
        <v>62557</v>
      </c>
      <c r="F114" s="238">
        <f t="shared" si="3"/>
        <v>345223</v>
      </c>
      <c r="G114" s="238">
        <f>C114-E114-F114</f>
        <v>32837</v>
      </c>
      <c r="H114" s="240"/>
      <c r="I114" s="240"/>
      <c r="J114" s="240"/>
      <c r="K114" s="240"/>
      <c r="L114" s="240">
        <v>26922</v>
      </c>
      <c r="M114" s="240">
        <v>40198</v>
      </c>
      <c r="N114" s="240">
        <v>26594</v>
      </c>
      <c r="O114" s="240">
        <v>25290</v>
      </c>
      <c r="P114" s="240">
        <v>31224</v>
      </c>
      <c r="Q114" s="240">
        <v>26452</v>
      </c>
      <c r="R114" s="240">
        <v>38416</v>
      </c>
      <c r="S114" s="240">
        <v>31940</v>
      </c>
      <c r="T114" s="240"/>
      <c r="U114" s="240">
        <v>35104</v>
      </c>
      <c r="V114" s="240"/>
      <c r="W114" s="240"/>
      <c r="X114" s="240">
        <v>63083</v>
      </c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16"/>
      <c r="AK114" s="216"/>
      <c r="AL114" s="216"/>
      <c r="AM114" s="216"/>
    </row>
    <row r="115" spans="1:39" ht="16.2" thickBot="1" x14ac:dyDescent="0.35">
      <c r="A115" s="262" t="s">
        <v>109</v>
      </c>
      <c r="B115" s="262" t="s">
        <v>513</v>
      </c>
      <c r="C115" s="239">
        <v>23828</v>
      </c>
      <c r="D115" s="249" t="s">
        <v>374</v>
      </c>
      <c r="E115" s="238">
        <v>23828</v>
      </c>
      <c r="F115" s="238">
        <f t="shared" si="3"/>
        <v>0</v>
      </c>
      <c r="G115" s="238">
        <v>0</v>
      </c>
      <c r="H115" s="240"/>
      <c r="I115" s="240"/>
      <c r="J115" s="240"/>
      <c r="K115" s="240"/>
      <c r="L115" s="240"/>
      <c r="M115" s="240"/>
      <c r="N115" s="240"/>
      <c r="O115" s="240" t="s">
        <v>587</v>
      </c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16"/>
      <c r="AK115" s="216"/>
      <c r="AL115" s="216"/>
      <c r="AM115" s="216"/>
    </row>
    <row r="116" spans="1:39" ht="16.2" thickBot="1" x14ac:dyDescent="0.35">
      <c r="A116" s="262" t="s">
        <v>110</v>
      </c>
      <c r="B116" s="262" t="s">
        <v>514</v>
      </c>
      <c r="C116" s="239">
        <v>23535</v>
      </c>
      <c r="D116" s="249" t="s">
        <v>374</v>
      </c>
      <c r="E116" s="238">
        <v>23535</v>
      </c>
      <c r="F116" s="238">
        <f t="shared" si="3"/>
        <v>0</v>
      </c>
      <c r="G116" s="238">
        <v>0</v>
      </c>
      <c r="H116" s="240"/>
      <c r="I116" s="240"/>
      <c r="J116" s="240"/>
      <c r="K116" s="240"/>
      <c r="L116" s="240"/>
      <c r="M116" s="240"/>
      <c r="N116" s="240"/>
      <c r="O116" s="240" t="s">
        <v>587</v>
      </c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16"/>
      <c r="AK116" s="216"/>
      <c r="AL116" s="216"/>
      <c r="AM116" s="216"/>
    </row>
    <row r="117" spans="1:39" ht="16.2" thickBot="1" x14ac:dyDescent="0.35">
      <c r="A117" s="262" t="s">
        <v>111</v>
      </c>
      <c r="B117" s="262" t="s">
        <v>515</v>
      </c>
      <c r="C117" s="239">
        <v>8381</v>
      </c>
      <c r="D117" s="249" t="s">
        <v>374</v>
      </c>
      <c r="E117" s="238">
        <v>8381</v>
      </c>
      <c r="F117" s="238">
        <f t="shared" si="3"/>
        <v>0</v>
      </c>
      <c r="G117" s="238">
        <v>0</v>
      </c>
      <c r="H117" s="240"/>
      <c r="I117" s="240"/>
      <c r="J117" s="240"/>
      <c r="K117" s="240"/>
      <c r="L117" s="240"/>
      <c r="M117" s="240"/>
      <c r="N117" s="240"/>
      <c r="O117" s="240" t="s">
        <v>587</v>
      </c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16"/>
      <c r="AK117" s="216"/>
      <c r="AL117" s="216"/>
      <c r="AM117" s="216"/>
    </row>
    <row r="118" spans="1:39" ht="16.2" thickBot="1" x14ac:dyDescent="0.35">
      <c r="A118" s="262" t="s">
        <v>112</v>
      </c>
      <c r="B118" s="262" t="s">
        <v>516</v>
      </c>
      <c r="C118" s="239">
        <v>21241</v>
      </c>
      <c r="D118" s="249" t="s">
        <v>587</v>
      </c>
      <c r="E118" s="238"/>
      <c r="F118" s="238">
        <f t="shared" si="3"/>
        <v>21241</v>
      </c>
      <c r="G118" s="238">
        <f t="shared" si="2"/>
        <v>0</v>
      </c>
      <c r="H118" s="240"/>
      <c r="I118" s="240"/>
      <c r="J118" s="240"/>
      <c r="K118" s="240"/>
      <c r="L118" s="240"/>
      <c r="M118" s="240"/>
      <c r="N118" s="240"/>
      <c r="O118" s="240" t="s">
        <v>587</v>
      </c>
      <c r="P118" s="240">
        <v>21240</v>
      </c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>
        <v>1</v>
      </c>
      <c r="AC118" s="240"/>
      <c r="AD118" s="240"/>
      <c r="AE118" s="240"/>
      <c r="AF118" s="240"/>
      <c r="AG118" s="240"/>
      <c r="AH118" s="240"/>
      <c r="AI118" s="240"/>
      <c r="AJ118" s="216"/>
      <c r="AK118" s="216"/>
      <c r="AL118" s="216"/>
      <c r="AM118" s="216"/>
    </row>
    <row r="119" spans="1:39" ht="16.2" thickBot="1" x14ac:dyDescent="0.35">
      <c r="A119" s="262" t="s">
        <v>113</v>
      </c>
      <c r="B119" s="262" t="s">
        <v>291</v>
      </c>
      <c r="C119" s="239">
        <v>81364</v>
      </c>
      <c r="D119" s="249" t="s">
        <v>587</v>
      </c>
      <c r="E119" s="238"/>
      <c r="F119" s="238">
        <f t="shared" si="3"/>
        <v>81364</v>
      </c>
      <c r="G119" s="238">
        <f t="shared" si="2"/>
        <v>0</v>
      </c>
      <c r="H119" s="240"/>
      <c r="I119" s="240"/>
      <c r="J119" s="240"/>
      <c r="K119" s="240">
        <v>5384</v>
      </c>
      <c r="L119" s="240"/>
      <c r="M119" s="240"/>
      <c r="N119" s="240"/>
      <c r="O119" s="240">
        <v>31250</v>
      </c>
      <c r="P119" s="240"/>
      <c r="Q119" s="240"/>
      <c r="R119" s="240">
        <v>23510</v>
      </c>
      <c r="S119" s="240">
        <v>18760</v>
      </c>
      <c r="T119" s="240"/>
      <c r="U119" s="240"/>
      <c r="V119" s="240"/>
      <c r="W119" s="240"/>
      <c r="X119" s="240"/>
      <c r="Y119" s="240">
        <v>2460</v>
      </c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16"/>
      <c r="AK119" s="216"/>
      <c r="AL119" s="216"/>
      <c r="AM119" s="216"/>
    </row>
    <row r="120" spans="1:39" ht="16.2" thickBot="1" x14ac:dyDescent="0.35">
      <c r="A120" s="262" t="s">
        <v>114</v>
      </c>
      <c r="B120" s="262" t="s">
        <v>292</v>
      </c>
      <c r="C120" s="239">
        <v>4173073</v>
      </c>
      <c r="D120" s="249" t="s">
        <v>587</v>
      </c>
      <c r="E120" s="238"/>
      <c r="F120" s="238">
        <f t="shared" si="3"/>
        <v>4173073</v>
      </c>
      <c r="G120" s="238">
        <f t="shared" si="2"/>
        <v>0</v>
      </c>
      <c r="H120" s="240"/>
      <c r="I120" s="240"/>
      <c r="J120" s="240"/>
      <c r="K120" s="240"/>
      <c r="L120" s="240">
        <v>256443</v>
      </c>
      <c r="M120" s="240"/>
      <c r="N120" s="240">
        <v>722128</v>
      </c>
      <c r="O120" s="240" t="s">
        <v>587</v>
      </c>
      <c r="P120" s="240">
        <v>611017</v>
      </c>
      <c r="Q120" s="240">
        <v>338790</v>
      </c>
      <c r="R120" s="240"/>
      <c r="S120" s="240">
        <v>674550</v>
      </c>
      <c r="T120" s="240"/>
      <c r="U120" s="240"/>
      <c r="V120" s="240"/>
      <c r="W120" s="240">
        <v>736975</v>
      </c>
      <c r="X120" s="240"/>
      <c r="Y120" s="240">
        <v>833170</v>
      </c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16"/>
      <c r="AK120" s="216"/>
      <c r="AL120" s="216"/>
      <c r="AM120" s="216"/>
    </row>
    <row r="121" spans="1:39" ht="16.2" thickBot="1" x14ac:dyDescent="0.35">
      <c r="A121" s="262" t="s">
        <v>115</v>
      </c>
      <c r="B121" s="262" t="s">
        <v>518</v>
      </c>
      <c r="C121" s="239">
        <v>1249</v>
      </c>
      <c r="D121" s="249" t="s">
        <v>587</v>
      </c>
      <c r="E121" s="238"/>
      <c r="F121" s="238">
        <f t="shared" si="3"/>
        <v>1249</v>
      </c>
      <c r="G121" s="238">
        <f t="shared" si="2"/>
        <v>0</v>
      </c>
      <c r="H121" s="240"/>
      <c r="I121" s="240"/>
      <c r="J121" s="240"/>
      <c r="K121" s="240"/>
      <c r="L121" s="240"/>
      <c r="M121" s="240"/>
      <c r="N121" s="240"/>
      <c r="O121" s="240" t="s">
        <v>587</v>
      </c>
      <c r="P121" s="240"/>
      <c r="Q121" s="240"/>
      <c r="R121" s="240">
        <v>784</v>
      </c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>
        <v>465</v>
      </c>
      <c r="AF121" s="240"/>
      <c r="AG121" s="240"/>
      <c r="AH121" s="240"/>
      <c r="AI121" s="240"/>
      <c r="AJ121" s="216"/>
      <c r="AK121" s="216"/>
      <c r="AL121" s="216"/>
      <c r="AM121" s="216"/>
    </row>
    <row r="122" spans="1:39" ht="16.2" thickBot="1" x14ac:dyDescent="0.35">
      <c r="A122" s="262" t="s">
        <v>116</v>
      </c>
      <c r="B122" s="262" t="s">
        <v>520</v>
      </c>
      <c r="C122" s="239">
        <v>249338</v>
      </c>
      <c r="D122" s="249" t="s">
        <v>587</v>
      </c>
      <c r="E122" s="238"/>
      <c r="F122" s="238">
        <f t="shared" si="3"/>
        <v>249338</v>
      </c>
      <c r="G122" s="238">
        <f t="shared" si="2"/>
        <v>0</v>
      </c>
      <c r="H122" s="240"/>
      <c r="I122" s="240"/>
      <c r="J122" s="240"/>
      <c r="K122" s="240"/>
      <c r="L122" s="240"/>
      <c r="M122" s="240"/>
      <c r="N122" s="240"/>
      <c r="O122" s="240" t="s">
        <v>587</v>
      </c>
      <c r="P122" s="240"/>
      <c r="Q122" s="240"/>
      <c r="R122" s="240"/>
      <c r="S122" s="240">
        <v>162025</v>
      </c>
      <c r="T122" s="240"/>
      <c r="U122" s="240">
        <v>51726</v>
      </c>
      <c r="V122" s="240"/>
      <c r="W122" s="240"/>
      <c r="X122" s="240">
        <v>920</v>
      </c>
      <c r="Y122" s="240"/>
      <c r="Z122" s="240"/>
      <c r="AA122" s="240">
        <v>34667</v>
      </c>
      <c r="AB122" s="240"/>
      <c r="AC122" s="240"/>
      <c r="AD122" s="240"/>
      <c r="AE122" s="240"/>
      <c r="AF122" s="240"/>
      <c r="AG122" s="240"/>
      <c r="AH122" s="240"/>
      <c r="AI122" s="240"/>
      <c r="AJ122" s="216"/>
      <c r="AK122" s="216"/>
      <c r="AL122" s="216"/>
      <c r="AM122" s="216"/>
    </row>
    <row r="123" spans="1:39" ht="16.2" thickBot="1" x14ac:dyDescent="0.35">
      <c r="A123" s="262" t="s">
        <v>117</v>
      </c>
      <c r="B123" s="262" t="s">
        <v>522</v>
      </c>
      <c r="C123" s="239">
        <v>800593</v>
      </c>
      <c r="D123" s="249" t="s">
        <v>587</v>
      </c>
      <c r="E123" s="238"/>
      <c r="F123" s="238">
        <f t="shared" si="3"/>
        <v>800593</v>
      </c>
      <c r="G123" s="238">
        <f t="shared" si="2"/>
        <v>0</v>
      </c>
      <c r="H123" s="240"/>
      <c r="I123" s="240"/>
      <c r="J123" s="240"/>
      <c r="K123" s="240">
        <v>127894</v>
      </c>
      <c r="L123" s="240">
        <v>59174</v>
      </c>
      <c r="M123" s="240"/>
      <c r="N123" s="240">
        <v>130962</v>
      </c>
      <c r="O123" s="240">
        <v>52365</v>
      </c>
      <c r="P123" s="240">
        <v>67211</v>
      </c>
      <c r="Q123" s="240">
        <v>60491</v>
      </c>
      <c r="R123" s="240">
        <v>70544</v>
      </c>
      <c r="S123" s="240">
        <v>73046</v>
      </c>
      <c r="T123" s="240">
        <v>52352</v>
      </c>
      <c r="U123" s="240">
        <v>46997</v>
      </c>
      <c r="V123" s="240">
        <v>1</v>
      </c>
      <c r="W123" s="240"/>
      <c r="X123" s="240"/>
      <c r="Y123" s="240">
        <v>59556</v>
      </c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16"/>
      <c r="AK123" s="216"/>
      <c r="AL123" s="216"/>
      <c r="AM123" s="216"/>
    </row>
    <row r="124" spans="1:39" ht="16.2" thickBot="1" x14ac:dyDescent="0.35">
      <c r="A124" s="262" t="s">
        <v>118</v>
      </c>
      <c r="B124" s="262" t="s">
        <v>524</v>
      </c>
      <c r="C124" s="239">
        <v>118949</v>
      </c>
      <c r="D124" s="249" t="s">
        <v>587</v>
      </c>
      <c r="E124" s="238"/>
      <c r="F124" s="238">
        <f t="shared" si="3"/>
        <v>118949</v>
      </c>
      <c r="G124" s="238">
        <f t="shared" si="2"/>
        <v>0</v>
      </c>
      <c r="H124" s="240"/>
      <c r="I124" s="240"/>
      <c r="J124" s="240"/>
      <c r="K124" s="240"/>
      <c r="L124" s="240"/>
      <c r="M124" s="240"/>
      <c r="N124" s="240"/>
      <c r="O124" s="240" t="s">
        <v>587</v>
      </c>
      <c r="P124" s="240">
        <v>53813</v>
      </c>
      <c r="Q124" s="240"/>
      <c r="R124" s="240"/>
      <c r="S124" s="240">
        <v>20050</v>
      </c>
      <c r="T124" s="240"/>
      <c r="U124" s="240"/>
      <c r="V124" s="240">
        <v>6529</v>
      </c>
      <c r="W124" s="240"/>
      <c r="X124" s="240"/>
      <c r="Y124" s="240"/>
      <c r="Z124" s="240"/>
      <c r="AA124" s="240"/>
      <c r="AB124" s="240"/>
      <c r="AC124" s="240"/>
      <c r="AD124" s="240">
        <v>21510</v>
      </c>
      <c r="AE124" s="240">
        <v>17047</v>
      </c>
      <c r="AF124" s="240"/>
      <c r="AG124" s="240"/>
      <c r="AH124" s="240"/>
      <c r="AI124" s="240"/>
      <c r="AJ124" s="216"/>
      <c r="AK124" s="216"/>
      <c r="AL124" s="216"/>
      <c r="AM124" s="216"/>
    </row>
    <row r="125" spans="1:39" ht="16.2" thickBot="1" x14ac:dyDescent="0.35">
      <c r="A125" s="262" t="s">
        <v>119</v>
      </c>
      <c r="B125" s="262" t="s">
        <v>525</v>
      </c>
      <c r="C125" s="239">
        <v>93735</v>
      </c>
      <c r="D125" s="249" t="s">
        <v>587</v>
      </c>
      <c r="E125" s="238"/>
      <c r="F125" s="238">
        <f t="shared" si="3"/>
        <v>93735</v>
      </c>
      <c r="G125" s="238">
        <f t="shared" si="2"/>
        <v>0</v>
      </c>
      <c r="H125" s="240"/>
      <c r="I125" s="240"/>
      <c r="J125" s="240"/>
      <c r="K125" s="240"/>
      <c r="L125" s="240"/>
      <c r="M125" s="240">
        <v>23985</v>
      </c>
      <c r="N125" s="240"/>
      <c r="O125" s="240" t="s">
        <v>587</v>
      </c>
      <c r="P125" s="240">
        <v>38560</v>
      </c>
      <c r="Q125" s="240"/>
      <c r="R125" s="240">
        <v>13979</v>
      </c>
      <c r="S125" s="240">
        <v>6940</v>
      </c>
      <c r="T125" s="240">
        <v>10267</v>
      </c>
      <c r="U125" s="240"/>
      <c r="V125" s="240"/>
      <c r="W125" s="240"/>
      <c r="X125" s="240"/>
      <c r="Y125" s="240">
        <v>4</v>
      </c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16"/>
      <c r="AK125" s="216"/>
      <c r="AL125" s="216"/>
      <c r="AM125" s="216"/>
    </row>
    <row r="126" spans="1:39" ht="16.2" thickBot="1" x14ac:dyDescent="0.35">
      <c r="A126" s="262" t="s">
        <v>120</v>
      </c>
      <c r="B126" s="262" t="s">
        <v>526</v>
      </c>
      <c r="C126" s="239">
        <v>1253972</v>
      </c>
      <c r="D126" s="249" t="s">
        <v>587</v>
      </c>
      <c r="E126" s="238"/>
      <c r="F126" s="238">
        <f t="shared" si="3"/>
        <v>1253972</v>
      </c>
      <c r="G126" s="238">
        <f t="shared" si="2"/>
        <v>0</v>
      </c>
      <c r="H126" s="240"/>
      <c r="I126" s="240"/>
      <c r="J126" s="240"/>
      <c r="K126" s="240"/>
      <c r="L126" s="240">
        <v>198220</v>
      </c>
      <c r="M126" s="240">
        <v>103248</v>
      </c>
      <c r="N126" s="240">
        <v>126897</v>
      </c>
      <c r="O126" s="240">
        <v>97362</v>
      </c>
      <c r="P126" s="240">
        <v>100373</v>
      </c>
      <c r="Q126" s="240">
        <v>103658</v>
      </c>
      <c r="R126" s="240">
        <v>102136</v>
      </c>
      <c r="S126" s="240">
        <v>103299</v>
      </c>
      <c r="T126" s="240">
        <v>92407</v>
      </c>
      <c r="U126" s="240">
        <v>174333</v>
      </c>
      <c r="V126" s="240"/>
      <c r="W126" s="240">
        <v>32974</v>
      </c>
      <c r="X126" s="240">
        <v>19065</v>
      </c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16"/>
      <c r="AK126" s="216"/>
      <c r="AL126" s="216"/>
      <c r="AM126" s="216"/>
    </row>
    <row r="127" spans="1:39" ht="16.2" thickBot="1" x14ac:dyDescent="0.35">
      <c r="A127" s="262" t="s">
        <v>121</v>
      </c>
      <c r="B127" s="262" t="s">
        <v>528</v>
      </c>
      <c r="C127" s="239">
        <v>66676</v>
      </c>
      <c r="D127" s="249" t="s">
        <v>587</v>
      </c>
      <c r="E127" s="238"/>
      <c r="F127" s="238">
        <f t="shared" si="3"/>
        <v>66676</v>
      </c>
      <c r="G127" s="238">
        <f t="shared" si="2"/>
        <v>0</v>
      </c>
      <c r="H127" s="240"/>
      <c r="I127" s="240"/>
      <c r="J127" s="240"/>
      <c r="K127" s="240"/>
      <c r="L127" s="240"/>
      <c r="M127" s="240"/>
      <c r="N127" s="240"/>
      <c r="O127" s="240" t="s">
        <v>587</v>
      </c>
      <c r="P127" s="240"/>
      <c r="Q127" s="240"/>
      <c r="R127" s="240"/>
      <c r="S127" s="240"/>
      <c r="T127" s="240"/>
      <c r="U127" s="240">
        <v>13088</v>
      </c>
      <c r="V127" s="240"/>
      <c r="W127" s="240"/>
      <c r="X127" s="240">
        <v>30198</v>
      </c>
      <c r="Y127" s="240"/>
      <c r="Z127" s="240"/>
      <c r="AA127" s="240">
        <v>23390</v>
      </c>
      <c r="AB127" s="240"/>
      <c r="AC127" s="240"/>
      <c r="AD127" s="240"/>
      <c r="AE127" s="240"/>
      <c r="AF127" s="240"/>
      <c r="AG127" s="240"/>
      <c r="AH127" s="240"/>
      <c r="AI127" s="240"/>
      <c r="AJ127" s="216"/>
      <c r="AK127" s="216"/>
      <c r="AL127" s="216"/>
      <c r="AM127" s="216"/>
    </row>
    <row r="128" spans="1:39" ht="16.2" thickBot="1" x14ac:dyDescent="0.35">
      <c r="A128" s="262" t="s">
        <v>122</v>
      </c>
      <c r="B128" s="262" t="s">
        <v>529</v>
      </c>
      <c r="C128" s="239">
        <v>190948</v>
      </c>
      <c r="D128" s="249" t="s">
        <v>373</v>
      </c>
      <c r="E128" s="238">
        <v>190948</v>
      </c>
      <c r="F128" s="238">
        <f t="shared" si="3"/>
        <v>0</v>
      </c>
      <c r="G128" s="238">
        <v>0</v>
      </c>
      <c r="H128" s="240"/>
      <c r="I128" s="240"/>
      <c r="J128" s="240"/>
      <c r="K128" s="240"/>
      <c r="L128" s="240"/>
      <c r="M128" s="240"/>
      <c r="N128" s="240"/>
      <c r="O128" s="240" t="s">
        <v>587</v>
      </c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16"/>
      <c r="AK128" s="216"/>
      <c r="AL128" s="216"/>
      <c r="AM128" s="216"/>
    </row>
    <row r="129" spans="1:39" ht="16.2" thickBot="1" x14ac:dyDescent="0.35">
      <c r="A129" s="262" t="s">
        <v>123</v>
      </c>
      <c r="B129" s="262" t="s">
        <v>531</v>
      </c>
      <c r="C129" s="239">
        <v>583823</v>
      </c>
      <c r="D129" s="249" t="s">
        <v>587</v>
      </c>
      <c r="E129" s="238"/>
      <c r="F129" s="238">
        <f t="shared" si="3"/>
        <v>583823</v>
      </c>
      <c r="G129" s="238">
        <f t="shared" si="2"/>
        <v>0</v>
      </c>
      <c r="H129" s="240"/>
      <c r="I129" s="240"/>
      <c r="J129" s="240"/>
      <c r="K129" s="240"/>
      <c r="L129" s="240">
        <v>31314</v>
      </c>
      <c r="M129" s="240">
        <v>55043</v>
      </c>
      <c r="N129" s="240">
        <v>49218</v>
      </c>
      <c r="O129" s="240">
        <v>43937</v>
      </c>
      <c r="P129" s="240">
        <v>54309</v>
      </c>
      <c r="Q129" s="240">
        <v>53989</v>
      </c>
      <c r="R129" s="240">
        <v>51839</v>
      </c>
      <c r="S129" s="240">
        <v>57874</v>
      </c>
      <c r="T129" s="240">
        <v>47047</v>
      </c>
      <c r="U129" s="240">
        <v>31874</v>
      </c>
      <c r="V129" s="240">
        <v>26002</v>
      </c>
      <c r="W129" s="240"/>
      <c r="X129" s="240">
        <v>81377</v>
      </c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16"/>
      <c r="AK129" s="216"/>
      <c r="AL129" s="216"/>
      <c r="AM129" s="216"/>
    </row>
    <row r="130" spans="1:39" ht="16.2" thickBot="1" x14ac:dyDescent="0.35">
      <c r="A130" s="262" t="s">
        <v>124</v>
      </c>
      <c r="B130" s="262" t="s">
        <v>532</v>
      </c>
      <c r="C130" s="239">
        <v>9366</v>
      </c>
      <c r="D130" s="249" t="s">
        <v>373</v>
      </c>
      <c r="E130" s="238">
        <v>9366</v>
      </c>
      <c r="F130" s="238">
        <f t="shared" si="3"/>
        <v>0</v>
      </c>
      <c r="G130" s="238">
        <v>0</v>
      </c>
      <c r="H130" s="240"/>
      <c r="I130" s="240"/>
      <c r="J130" s="240"/>
      <c r="K130" s="240"/>
      <c r="L130" s="240"/>
      <c r="M130" s="240"/>
      <c r="N130" s="240"/>
      <c r="O130" s="240" t="s">
        <v>587</v>
      </c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16"/>
      <c r="AK130" s="216"/>
      <c r="AL130" s="216"/>
      <c r="AM130" s="216"/>
    </row>
    <row r="131" spans="1:39" ht="16.2" thickBot="1" x14ac:dyDescent="0.35">
      <c r="A131" s="262" t="s">
        <v>125</v>
      </c>
      <c r="B131" s="262" t="s">
        <v>533</v>
      </c>
      <c r="C131" s="239">
        <v>83371</v>
      </c>
      <c r="D131" s="249" t="s">
        <v>373</v>
      </c>
      <c r="E131" s="238">
        <v>83371</v>
      </c>
      <c r="F131" s="238">
        <f t="shared" si="3"/>
        <v>0</v>
      </c>
      <c r="G131" s="238">
        <v>0</v>
      </c>
      <c r="H131" s="240"/>
      <c r="I131" s="240"/>
      <c r="J131" s="240"/>
      <c r="K131" s="240"/>
      <c r="L131" s="240"/>
      <c r="M131" s="240"/>
      <c r="N131" s="240"/>
      <c r="O131" s="240" t="s">
        <v>587</v>
      </c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16"/>
      <c r="AK131" s="216"/>
      <c r="AL131" s="216"/>
      <c r="AM131" s="216"/>
    </row>
    <row r="132" spans="1:39" ht="16.2" thickBot="1" x14ac:dyDescent="0.35">
      <c r="A132" s="262" t="s">
        <v>126</v>
      </c>
      <c r="B132" s="262" t="s">
        <v>304</v>
      </c>
      <c r="C132" s="239">
        <v>694457</v>
      </c>
      <c r="D132" s="249" t="s">
        <v>587</v>
      </c>
      <c r="E132" s="238"/>
      <c r="F132" s="238">
        <f t="shared" si="3"/>
        <v>694457</v>
      </c>
      <c r="G132" s="238">
        <f t="shared" si="2"/>
        <v>0</v>
      </c>
      <c r="H132" s="240"/>
      <c r="I132" s="240"/>
      <c r="J132" s="240"/>
      <c r="K132" s="240"/>
      <c r="L132" s="240"/>
      <c r="M132" s="240"/>
      <c r="N132" s="240"/>
      <c r="O132" s="240" t="s">
        <v>587</v>
      </c>
      <c r="P132" s="240"/>
      <c r="Q132" s="240"/>
      <c r="R132" s="240">
        <v>480951</v>
      </c>
      <c r="S132" s="240"/>
      <c r="T132" s="240">
        <v>136527</v>
      </c>
      <c r="U132" s="240"/>
      <c r="V132" s="240"/>
      <c r="W132" s="240"/>
      <c r="X132" s="240"/>
      <c r="Y132" s="240"/>
      <c r="Z132" s="240">
        <v>76979</v>
      </c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16"/>
      <c r="AK132" s="216"/>
      <c r="AL132" s="216"/>
      <c r="AM132" s="216"/>
    </row>
    <row r="133" spans="1:39" ht="16.2" thickBot="1" x14ac:dyDescent="0.35">
      <c r="A133" s="262" t="s">
        <v>127</v>
      </c>
      <c r="B133" s="262" t="s">
        <v>305</v>
      </c>
      <c r="C133" s="239">
        <v>487418</v>
      </c>
      <c r="D133" s="249" t="s">
        <v>587</v>
      </c>
      <c r="E133" s="238"/>
      <c r="F133" s="238">
        <f t="shared" si="3"/>
        <v>487418</v>
      </c>
      <c r="G133" s="238">
        <f t="shared" si="2"/>
        <v>0</v>
      </c>
      <c r="H133" s="240"/>
      <c r="I133" s="240"/>
      <c r="J133" s="240"/>
      <c r="K133" s="240"/>
      <c r="L133" s="240"/>
      <c r="M133" s="240"/>
      <c r="N133" s="240"/>
      <c r="O133" s="240" t="s">
        <v>587</v>
      </c>
      <c r="P133" s="240"/>
      <c r="Q133" s="240"/>
      <c r="R133" s="240"/>
      <c r="S133" s="240">
        <v>464625</v>
      </c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>
        <v>22793</v>
      </c>
      <c r="AE133" s="240"/>
      <c r="AF133" s="240"/>
      <c r="AG133" s="240"/>
      <c r="AH133" s="240"/>
      <c r="AI133" s="240"/>
      <c r="AJ133" s="216"/>
      <c r="AK133" s="216"/>
      <c r="AL133" s="216"/>
      <c r="AM133" s="216"/>
    </row>
    <row r="134" spans="1:39" ht="16.2" thickBot="1" x14ac:dyDescent="0.35">
      <c r="A134" s="262" t="s">
        <v>128</v>
      </c>
      <c r="B134" s="262" t="s">
        <v>306</v>
      </c>
      <c r="C134" s="239">
        <v>100795</v>
      </c>
      <c r="D134" s="249" t="s">
        <v>587</v>
      </c>
      <c r="E134" s="238"/>
      <c r="F134" s="238">
        <f t="shared" si="3"/>
        <v>100795</v>
      </c>
      <c r="G134" s="238">
        <f t="shared" si="2"/>
        <v>0</v>
      </c>
      <c r="H134" s="240"/>
      <c r="I134" s="240"/>
      <c r="J134" s="240"/>
      <c r="K134" s="240"/>
      <c r="L134" s="240"/>
      <c r="M134" s="240"/>
      <c r="N134" s="240">
        <v>40102</v>
      </c>
      <c r="O134" s="240" t="s">
        <v>587</v>
      </c>
      <c r="P134" s="240"/>
      <c r="Q134" s="240"/>
      <c r="R134" s="240">
        <v>34423</v>
      </c>
      <c r="S134" s="240"/>
      <c r="T134" s="240"/>
      <c r="U134" s="240"/>
      <c r="V134" s="240">
        <v>26266</v>
      </c>
      <c r="W134" s="240"/>
      <c r="X134" s="240"/>
      <c r="Y134" s="240"/>
      <c r="Z134" s="240"/>
      <c r="AA134" s="240"/>
      <c r="AB134" s="240"/>
      <c r="AC134" s="240"/>
      <c r="AD134" s="240">
        <v>4</v>
      </c>
      <c r="AE134" s="240"/>
      <c r="AF134" s="240"/>
      <c r="AG134" s="240"/>
      <c r="AH134" s="240"/>
      <c r="AI134" s="240"/>
      <c r="AJ134" s="216"/>
      <c r="AK134" s="216"/>
      <c r="AL134" s="216"/>
      <c r="AM134" s="216"/>
    </row>
    <row r="135" spans="1:39" ht="16.2" thickBot="1" x14ac:dyDescent="0.35">
      <c r="A135" s="262" t="s">
        <v>129</v>
      </c>
      <c r="B135" s="262" t="s">
        <v>307</v>
      </c>
      <c r="C135" s="239">
        <v>105325</v>
      </c>
      <c r="D135" s="249" t="s">
        <v>587</v>
      </c>
      <c r="E135" s="238"/>
      <c r="F135" s="238">
        <f t="shared" si="3"/>
        <v>105325</v>
      </c>
      <c r="G135" s="238">
        <f t="shared" si="2"/>
        <v>0</v>
      </c>
      <c r="H135" s="240"/>
      <c r="I135" s="240"/>
      <c r="J135" s="240"/>
      <c r="K135" s="240"/>
      <c r="L135" s="240"/>
      <c r="M135" s="240"/>
      <c r="N135" s="240"/>
      <c r="O135" s="240" t="s">
        <v>587</v>
      </c>
      <c r="P135" s="240"/>
      <c r="Q135" s="240"/>
      <c r="R135" s="240"/>
      <c r="S135" s="240">
        <v>86997</v>
      </c>
      <c r="T135" s="240"/>
      <c r="U135" s="240">
        <v>17573</v>
      </c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>
        <v>755</v>
      </c>
      <c r="AG135" s="240"/>
      <c r="AH135" s="240"/>
      <c r="AI135" s="240"/>
      <c r="AJ135" s="216"/>
      <c r="AK135" s="216"/>
      <c r="AL135" s="216"/>
      <c r="AM135" s="216"/>
    </row>
    <row r="136" spans="1:39" ht="16.2" thickBot="1" x14ac:dyDescent="0.35">
      <c r="A136" s="262" t="s">
        <v>130</v>
      </c>
      <c r="B136" s="262" t="s">
        <v>308</v>
      </c>
      <c r="C136" s="239">
        <v>33835</v>
      </c>
      <c r="D136" s="249" t="s">
        <v>587</v>
      </c>
      <c r="E136" s="238"/>
      <c r="F136" s="238">
        <f t="shared" si="3"/>
        <v>33835</v>
      </c>
      <c r="G136" s="238">
        <f t="shared" si="2"/>
        <v>0</v>
      </c>
      <c r="H136" s="240"/>
      <c r="I136" s="240"/>
      <c r="J136" s="240"/>
      <c r="K136" s="240"/>
      <c r="L136" s="240"/>
      <c r="M136" s="240"/>
      <c r="N136" s="240"/>
      <c r="O136" s="240" t="s">
        <v>587</v>
      </c>
      <c r="P136" s="240"/>
      <c r="Q136" s="240"/>
      <c r="R136" s="240">
        <v>33832</v>
      </c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>
        <v>3</v>
      </c>
      <c r="AF136" s="240"/>
      <c r="AG136" s="240"/>
      <c r="AH136" s="240"/>
      <c r="AI136" s="240"/>
      <c r="AJ136" s="216"/>
      <c r="AK136" s="216"/>
      <c r="AL136" s="216"/>
      <c r="AM136" s="216"/>
    </row>
    <row r="137" spans="1:39" ht="16.2" thickBot="1" x14ac:dyDescent="0.35">
      <c r="A137" s="262" t="s">
        <v>131</v>
      </c>
      <c r="B137" s="262" t="s">
        <v>309</v>
      </c>
      <c r="C137" s="239">
        <v>53620</v>
      </c>
      <c r="D137" s="249" t="s">
        <v>587</v>
      </c>
      <c r="E137" s="238"/>
      <c r="F137" s="238">
        <f t="shared" si="3"/>
        <v>53620</v>
      </c>
      <c r="G137" s="238">
        <f t="shared" si="2"/>
        <v>0</v>
      </c>
      <c r="H137" s="240"/>
      <c r="I137" s="240"/>
      <c r="J137" s="240"/>
      <c r="K137" s="240"/>
      <c r="L137" s="240">
        <v>11929</v>
      </c>
      <c r="M137" s="240">
        <v>5964</v>
      </c>
      <c r="N137" s="240">
        <v>5964</v>
      </c>
      <c r="O137" s="240">
        <v>5965</v>
      </c>
      <c r="P137" s="240">
        <v>5964</v>
      </c>
      <c r="Q137" s="240">
        <v>5964</v>
      </c>
      <c r="R137" s="240">
        <v>5079</v>
      </c>
      <c r="S137" s="240">
        <v>6789</v>
      </c>
      <c r="T137" s="240"/>
      <c r="U137" s="240"/>
      <c r="V137" s="240"/>
      <c r="W137" s="240"/>
      <c r="X137" s="240"/>
      <c r="Y137" s="240">
        <v>2</v>
      </c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16"/>
      <c r="AK137" s="216"/>
      <c r="AL137" s="216"/>
      <c r="AM137" s="216"/>
    </row>
    <row r="138" spans="1:39" ht="16.2" thickBot="1" x14ac:dyDescent="0.35">
      <c r="A138" s="262" t="s">
        <v>132</v>
      </c>
      <c r="B138" s="262" t="s">
        <v>310</v>
      </c>
      <c r="C138" s="239">
        <v>24487</v>
      </c>
      <c r="D138" s="249" t="s">
        <v>587</v>
      </c>
      <c r="E138" s="238"/>
      <c r="F138" s="238">
        <f t="shared" si="3"/>
        <v>24480</v>
      </c>
      <c r="G138" s="238">
        <f t="shared" si="2"/>
        <v>7</v>
      </c>
      <c r="H138" s="240"/>
      <c r="I138" s="240"/>
      <c r="J138" s="240"/>
      <c r="K138" s="240"/>
      <c r="L138" s="240"/>
      <c r="M138" s="240"/>
      <c r="N138" s="240"/>
      <c r="O138" s="240" t="s">
        <v>587</v>
      </c>
      <c r="P138" s="240"/>
      <c r="Q138" s="240"/>
      <c r="R138" s="240"/>
      <c r="S138" s="240"/>
      <c r="T138" s="240"/>
      <c r="U138" s="240"/>
      <c r="V138" s="240"/>
      <c r="W138" s="240">
        <v>24480</v>
      </c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16"/>
      <c r="AK138" s="216"/>
      <c r="AL138" s="216"/>
      <c r="AM138" s="216"/>
    </row>
    <row r="139" spans="1:39" ht="16.2" thickBot="1" x14ac:dyDescent="0.35">
      <c r="A139" s="262" t="s">
        <v>133</v>
      </c>
      <c r="B139" s="262" t="s">
        <v>311</v>
      </c>
      <c r="C139" s="239">
        <v>40638</v>
      </c>
      <c r="D139" s="249" t="s">
        <v>587</v>
      </c>
      <c r="E139" s="238"/>
      <c r="F139" s="238">
        <f t="shared" si="3"/>
        <v>40638</v>
      </c>
      <c r="G139" s="238">
        <f t="shared" si="2"/>
        <v>0</v>
      </c>
      <c r="H139" s="240"/>
      <c r="I139" s="240"/>
      <c r="J139" s="240"/>
      <c r="K139" s="240"/>
      <c r="L139" s="240"/>
      <c r="M139" s="240"/>
      <c r="N139" s="240">
        <v>27400</v>
      </c>
      <c r="O139" s="240" t="s">
        <v>587</v>
      </c>
      <c r="P139" s="240"/>
      <c r="Q139" s="240"/>
      <c r="R139" s="240">
        <v>13114</v>
      </c>
      <c r="S139" s="240"/>
      <c r="T139" s="240"/>
      <c r="U139" s="240"/>
      <c r="V139" s="240"/>
      <c r="W139" s="240"/>
      <c r="X139" s="240"/>
      <c r="Y139" s="240"/>
      <c r="Z139" s="240">
        <v>124</v>
      </c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16"/>
      <c r="AK139" s="216"/>
      <c r="AL139" s="216"/>
      <c r="AM139" s="216"/>
    </row>
    <row r="140" spans="1:39" ht="16.2" thickBot="1" x14ac:dyDescent="0.35">
      <c r="A140" s="262" t="s">
        <v>134</v>
      </c>
      <c r="B140" s="262" t="s">
        <v>312</v>
      </c>
      <c r="C140" s="239">
        <v>131569</v>
      </c>
      <c r="D140" s="249" t="s">
        <v>587</v>
      </c>
      <c r="E140" s="238"/>
      <c r="F140" s="238">
        <f t="shared" si="3"/>
        <v>131569</v>
      </c>
      <c r="G140" s="238">
        <f t="shared" si="2"/>
        <v>0</v>
      </c>
      <c r="H140" s="240"/>
      <c r="I140" s="240"/>
      <c r="J140" s="240"/>
      <c r="K140" s="240"/>
      <c r="L140" s="240"/>
      <c r="M140" s="240"/>
      <c r="N140" s="240">
        <v>37910</v>
      </c>
      <c r="O140" s="240" t="s">
        <v>587</v>
      </c>
      <c r="P140" s="240"/>
      <c r="Q140" s="240"/>
      <c r="R140" s="240"/>
      <c r="S140" s="240">
        <v>93231</v>
      </c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>
        <v>428</v>
      </c>
      <c r="AD140" s="240"/>
      <c r="AE140" s="240"/>
      <c r="AF140" s="240"/>
      <c r="AG140" s="240"/>
      <c r="AH140" s="240"/>
      <c r="AI140" s="240"/>
      <c r="AJ140" s="216"/>
      <c r="AK140" s="216"/>
      <c r="AL140" s="216"/>
      <c r="AM140" s="216"/>
    </row>
    <row r="141" spans="1:39" ht="16.2" thickBot="1" x14ac:dyDescent="0.35">
      <c r="A141" s="262" t="s">
        <v>135</v>
      </c>
      <c r="B141" s="262" t="s">
        <v>537</v>
      </c>
      <c r="C141" s="239">
        <v>115950</v>
      </c>
      <c r="D141" s="249" t="s">
        <v>587</v>
      </c>
      <c r="E141" s="238"/>
      <c r="F141" s="238">
        <f t="shared" si="3"/>
        <v>115950</v>
      </c>
      <c r="G141" s="238">
        <f t="shared" ref="G141:G193" si="4">C141-F141</f>
        <v>0</v>
      </c>
      <c r="H141" s="240"/>
      <c r="I141" s="240"/>
      <c r="J141" s="240"/>
      <c r="K141" s="240"/>
      <c r="L141" s="240"/>
      <c r="M141" s="240"/>
      <c r="N141" s="240"/>
      <c r="O141" s="240" t="s">
        <v>587</v>
      </c>
      <c r="P141" s="240"/>
      <c r="Q141" s="240">
        <v>46054</v>
      </c>
      <c r="R141" s="240"/>
      <c r="S141" s="240">
        <v>14480</v>
      </c>
      <c r="T141" s="240">
        <v>16015</v>
      </c>
      <c r="U141" s="240"/>
      <c r="V141" s="240"/>
      <c r="W141" s="240"/>
      <c r="X141" s="240"/>
      <c r="Y141" s="240"/>
      <c r="Z141" s="240">
        <v>39401</v>
      </c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16"/>
      <c r="AK141" s="216"/>
      <c r="AL141" s="216"/>
      <c r="AM141" s="216"/>
    </row>
    <row r="142" spans="1:39" ht="16.2" thickBot="1" x14ac:dyDescent="0.35">
      <c r="A142" s="262" t="s">
        <v>136</v>
      </c>
      <c r="B142" s="262" t="s">
        <v>538</v>
      </c>
      <c r="C142" s="239">
        <v>88214</v>
      </c>
      <c r="D142" s="249" t="s">
        <v>587</v>
      </c>
      <c r="E142" s="238"/>
      <c r="F142" s="238">
        <f t="shared" ref="F142:F196" si="5">SUM(H142:AI142)</f>
        <v>88214</v>
      </c>
      <c r="G142" s="238">
        <f t="shared" si="4"/>
        <v>0</v>
      </c>
      <c r="H142" s="240"/>
      <c r="I142" s="240"/>
      <c r="J142" s="240"/>
      <c r="K142" s="240"/>
      <c r="L142" s="240"/>
      <c r="M142" s="240"/>
      <c r="N142" s="240"/>
      <c r="O142" s="240">
        <v>87784</v>
      </c>
      <c r="P142" s="240"/>
      <c r="Q142" s="240"/>
      <c r="R142" s="240"/>
      <c r="S142" s="240"/>
      <c r="T142" s="240"/>
      <c r="U142" s="240"/>
      <c r="V142" s="240"/>
      <c r="W142" s="240"/>
      <c r="X142" s="240"/>
      <c r="Y142" s="240">
        <v>430</v>
      </c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16"/>
      <c r="AK142" s="216"/>
      <c r="AL142" s="216"/>
      <c r="AM142" s="216"/>
    </row>
    <row r="143" spans="1:39" ht="16.2" thickBot="1" x14ac:dyDescent="0.35">
      <c r="A143" s="262" t="s">
        <v>137</v>
      </c>
      <c r="B143" s="262" t="s">
        <v>540</v>
      </c>
      <c r="C143" s="239">
        <v>29475</v>
      </c>
      <c r="D143" s="249" t="s">
        <v>374</v>
      </c>
      <c r="E143" s="238">
        <v>29475</v>
      </c>
      <c r="F143" s="238">
        <f t="shared" si="5"/>
        <v>0</v>
      </c>
      <c r="G143" s="238">
        <v>0</v>
      </c>
      <c r="H143" s="240"/>
      <c r="I143" s="240"/>
      <c r="J143" s="240"/>
      <c r="K143" s="240"/>
      <c r="L143" s="240"/>
      <c r="M143" s="240"/>
      <c r="N143" s="240"/>
      <c r="O143" s="240" t="s">
        <v>587</v>
      </c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16"/>
      <c r="AK143" s="216"/>
      <c r="AL143" s="216"/>
      <c r="AM143" s="216"/>
    </row>
    <row r="144" spans="1:39" ht="16.2" thickBot="1" x14ac:dyDescent="0.35">
      <c r="A144" s="262" t="s">
        <v>138</v>
      </c>
      <c r="B144" s="262" t="s">
        <v>316</v>
      </c>
      <c r="C144" s="239">
        <v>76633</v>
      </c>
      <c r="D144" s="249" t="s">
        <v>587</v>
      </c>
      <c r="E144" s="238"/>
      <c r="F144" s="238">
        <f t="shared" si="5"/>
        <v>76633</v>
      </c>
      <c r="G144" s="238">
        <f t="shared" si="4"/>
        <v>0</v>
      </c>
      <c r="H144" s="240"/>
      <c r="I144" s="240"/>
      <c r="J144" s="240"/>
      <c r="K144" s="240"/>
      <c r="L144" s="240"/>
      <c r="M144" s="240"/>
      <c r="N144" s="240"/>
      <c r="O144" s="240" t="s">
        <v>587</v>
      </c>
      <c r="P144" s="240"/>
      <c r="Q144" s="240"/>
      <c r="R144" s="240"/>
      <c r="S144" s="240"/>
      <c r="T144" s="240"/>
      <c r="U144" s="240"/>
      <c r="V144" s="240"/>
      <c r="W144" s="240"/>
      <c r="X144" s="240"/>
      <c r="Y144" s="240">
        <v>76630</v>
      </c>
      <c r="Z144" s="240"/>
      <c r="AA144" s="240"/>
      <c r="AB144" s="240"/>
      <c r="AC144" s="240"/>
      <c r="AD144" s="240"/>
      <c r="AE144" s="240">
        <v>3</v>
      </c>
      <c r="AF144" s="240"/>
      <c r="AG144" s="240"/>
      <c r="AH144" s="240"/>
      <c r="AI144" s="240"/>
      <c r="AJ144" s="216"/>
      <c r="AK144" s="216"/>
      <c r="AL144" s="216"/>
      <c r="AM144" s="216"/>
    </row>
    <row r="145" spans="1:39" ht="16.2" thickBot="1" x14ac:dyDescent="0.35">
      <c r="A145" s="262" t="s">
        <v>139</v>
      </c>
      <c r="B145" s="262" t="s">
        <v>542</v>
      </c>
      <c r="C145" s="239">
        <v>56410</v>
      </c>
      <c r="D145" s="249" t="s">
        <v>587</v>
      </c>
      <c r="E145" s="238"/>
      <c r="F145" s="238">
        <f t="shared" si="5"/>
        <v>56410</v>
      </c>
      <c r="G145" s="238">
        <f t="shared" si="4"/>
        <v>0</v>
      </c>
      <c r="H145" s="240"/>
      <c r="I145" s="240"/>
      <c r="J145" s="240"/>
      <c r="K145" s="240"/>
      <c r="L145" s="240"/>
      <c r="M145" s="240"/>
      <c r="N145" s="240"/>
      <c r="O145" s="240" t="s">
        <v>587</v>
      </c>
      <c r="P145" s="240">
        <v>28204</v>
      </c>
      <c r="Q145" s="240"/>
      <c r="R145" s="240"/>
      <c r="S145" s="240">
        <v>28204</v>
      </c>
      <c r="T145" s="240"/>
      <c r="U145" s="240"/>
      <c r="V145" s="240"/>
      <c r="W145" s="240"/>
      <c r="X145" s="240"/>
      <c r="Y145" s="240"/>
      <c r="Z145" s="240"/>
      <c r="AA145" s="240">
        <v>2</v>
      </c>
      <c r="AB145" s="240"/>
      <c r="AC145" s="240"/>
      <c r="AD145" s="240"/>
      <c r="AE145" s="240"/>
      <c r="AF145" s="240"/>
      <c r="AG145" s="240"/>
      <c r="AH145" s="240"/>
      <c r="AI145" s="240"/>
      <c r="AJ145" s="216"/>
      <c r="AK145" s="216"/>
      <c r="AL145" s="216"/>
      <c r="AM145" s="216"/>
    </row>
    <row r="146" spans="1:39" ht="16.2" thickBot="1" x14ac:dyDescent="0.35">
      <c r="A146" s="262" t="s">
        <v>140</v>
      </c>
      <c r="B146" s="262" t="s">
        <v>544</v>
      </c>
      <c r="C146" s="239">
        <v>473433</v>
      </c>
      <c r="D146" s="249" t="s">
        <v>587</v>
      </c>
      <c r="E146" s="238"/>
      <c r="F146" s="238">
        <f t="shared" si="5"/>
        <v>473433</v>
      </c>
      <c r="G146" s="238">
        <f t="shared" si="4"/>
        <v>0</v>
      </c>
      <c r="H146" s="240"/>
      <c r="I146" s="240"/>
      <c r="J146" s="240"/>
      <c r="K146" s="240"/>
      <c r="L146" s="240">
        <v>45757</v>
      </c>
      <c r="M146" s="240">
        <v>38814</v>
      </c>
      <c r="N146" s="240">
        <v>75636</v>
      </c>
      <c r="O146" s="240" t="s">
        <v>587</v>
      </c>
      <c r="P146" s="240">
        <v>76797</v>
      </c>
      <c r="Q146" s="240"/>
      <c r="R146" s="240">
        <v>72134</v>
      </c>
      <c r="S146" s="240">
        <v>38120</v>
      </c>
      <c r="T146" s="240"/>
      <c r="U146" s="240"/>
      <c r="V146" s="240">
        <v>117893</v>
      </c>
      <c r="W146" s="240"/>
      <c r="X146" s="240"/>
      <c r="Y146" s="240">
        <v>8282</v>
      </c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16"/>
      <c r="AK146" s="216"/>
      <c r="AL146" s="216"/>
      <c r="AM146" s="216"/>
    </row>
    <row r="147" spans="1:39" ht="16.2" thickBot="1" x14ac:dyDescent="0.35">
      <c r="A147" s="262" t="s">
        <v>141</v>
      </c>
      <c r="B147" s="262" t="s">
        <v>545</v>
      </c>
      <c r="C147" s="239">
        <v>90199</v>
      </c>
      <c r="D147" s="249" t="s">
        <v>587</v>
      </c>
      <c r="E147" s="238"/>
      <c r="F147" s="238">
        <f t="shared" si="5"/>
        <v>90199</v>
      </c>
      <c r="G147" s="238">
        <f t="shared" si="4"/>
        <v>0</v>
      </c>
      <c r="H147" s="240"/>
      <c r="I147" s="240"/>
      <c r="J147" s="240"/>
      <c r="K147" s="240"/>
      <c r="L147" s="240"/>
      <c r="M147" s="240"/>
      <c r="N147" s="240"/>
      <c r="O147" s="240" t="s">
        <v>587</v>
      </c>
      <c r="P147" s="240"/>
      <c r="Q147" s="240"/>
      <c r="R147" s="240"/>
      <c r="S147" s="240">
        <v>90196</v>
      </c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>
        <v>3</v>
      </c>
      <c r="AD147" s="240"/>
      <c r="AE147" s="240"/>
      <c r="AF147" s="240"/>
      <c r="AG147" s="240"/>
      <c r="AH147" s="240"/>
      <c r="AI147" s="240"/>
      <c r="AJ147" s="216"/>
      <c r="AK147" s="216"/>
      <c r="AL147" s="216"/>
      <c r="AM147" s="216"/>
    </row>
    <row r="148" spans="1:39" ht="16.2" thickBot="1" x14ac:dyDescent="0.35">
      <c r="A148" s="262" t="s">
        <v>142</v>
      </c>
      <c r="B148" s="262" t="s">
        <v>546</v>
      </c>
      <c r="C148" s="239">
        <v>37981</v>
      </c>
      <c r="D148" s="249" t="s">
        <v>587</v>
      </c>
      <c r="E148" s="238"/>
      <c r="F148" s="238">
        <f t="shared" si="5"/>
        <v>37981</v>
      </c>
      <c r="G148" s="238">
        <f t="shared" si="4"/>
        <v>0</v>
      </c>
      <c r="H148" s="240"/>
      <c r="I148" s="240"/>
      <c r="J148" s="240"/>
      <c r="K148" s="240"/>
      <c r="L148" s="240"/>
      <c r="M148" s="240">
        <v>4689</v>
      </c>
      <c r="N148" s="240">
        <v>2917</v>
      </c>
      <c r="O148" s="240">
        <v>2981</v>
      </c>
      <c r="P148" s="240">
        <v>3054</v>
      </c>
      <c r="Q148" s="240"/>
      <c r="R148" s="240">
        <v>6734</v>
      </c>
      <c r="S148" s="240">
        <v>3269</v>
      </c>
      <c r="T148" s="240"/>
      <c r="U148" s="240"/>
      <c r="V148" s="240">
        <v>9715</v>
      </c>
      <c r="W148" s="240"/>
      <c r="X148" s="240">
        <v>4622</v>
      </c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16"/>
      <c r="AK148" s="216"/>
      <c r="AL148" s="216"/>
      <c r="AM148" s="216"/>
    </row>
    <row r="149" spans="1:39" ht="16.2" thickBot="1" x14ac:dyDescent="0.35">
      <c r="A149" s="262" t="s">
        <v>143</v>
      </c>
      <c r="B149" s="262" t="s">
        <v>321</v>
      </c>
      <c r="C149" s="239">
        <v>5733942</v>
      </c>
      <c r="D149" s="249" t="s">
        <v>587</v>
      </c>
      <c r="E149" s="238"/>
      <c r="F149" s="238">
        <f t="shared" si="5"/>
        <v>5733942</v>
      </c>
      <c r="G149" s="238">
        <f t="shared" si="4"/>
        <v>0</v>
      </c>
      <c r="H149" s="240"/>
      <c r="I149" s="240"/>
      <c r="J149" s="240"/>
      <c r="K149" s="240"/>
      <c r="L149" s="240">
        <v>279644</v>
      </c>
      <c r="M149" s="240">
        <v>571261</v>
      </c>
      <c r="N149" s="240">
        <v>398786</v>
      </c>
      <c r="O149" s="240">
        <v>471867</v>
      </c>
      <c r="P149" s="240">
        <v>395246</v>
      </c>
      <c r="Q149" s="240">
        <v>429658</v>
      </c>
      <c r="R149" s="240">
        <v>537458</v>
      </c>
      <c r="S149" s="240">
        <v>395184</v>
      </c>
      <c r="T149" s="240">
        <v>762817</v>
      </c>
      <c r="U149" s="240">
        <v>541489</v>
      </c>
      <c r="V149" s="240">
        <v>146926</v>
      </c>
      <c r="W149" s="240">
        <v>13676</v>
      </c>
      <c r="X149" s="240"/>
      <c r="Y149" s="240">
        <v>789930</v>
      </c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16"/>
      <c r="AK149" s="216"/>
      <c r="AL149" s="216"/>
      <c r="AM149" s="216"/>
    </row>
    <row r="150" spans="1:39" ht="16.2" thickBot="1" x14ac:dyDescent="0.35">
      <c r="A150" s="262" t="s">
        <v>144</v>
      </c>
      <c r="B150" s="262" t="s">
        <v>548</v>
      </c>
      <c r="C150" s="239">
        <v>1097726</v>
      </c>
      <c r="D150" s="249" t="s">
        <v>587</v>
      </c>
      <c r="E150" s="238"/>
      <c r="F150" s="238">
        <f t="shared" si="5"/>
        <v>1097726</v>
      </c>
      <c r="G150" s="238">
        <f t="shared" si="4"/>
        <v>0</v>
      </c>
      <c r="H150" s="240"/>
      <c r="I150" s="240"/>
      <c r="J150" s="240"/>
      <c r="K150" s="240"/>
      <c r="L150" s="240"/>
      <c r="M150" s="240">
        <v>23694</v>
      </c>
      <c r="N150" s="240">
        <v>69484</v>
      </c>
      <c r="O150" s="240">
        <v>83358</v>
      </c>
      <c r="P150" s="240">
        <v>82807</v>
      </c>
      <c r="Q150" s="240">
        <v>88814</v>
      </c>
      <c r="R150" s="240">
        <v>93512</v>
      </c>
      <c r="S150" s="240">
        <v>159173</v>
      </c>
      <c r="T150" s="240">
        <v>102334</v>
      </c>
      <c r="U150" s="240">
        <v>62650</v>
      </c>
      <c r="V150" s="240"/>
      <c r="W150" s="240"/>
      <c r="X150" s="240"/>
      <c r="Y150" s="240">
        <v>186066</v>
      </c>
      <c r="Z150" s="240">
        <v>145834</v>
      </c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16"/>
      <c r="AK150" s="216"/>
      <c r="AL150" s="216"/>
      <c r="AM150" s="216"/>
    </row>
    <row r="151" spans="1:39" ht="16.2" thickBot="1" x14ac:dyDescent="0.35">
      <c r="A151" s="262" t="s">
        <v>145</v>
      </c>
      <c r="B151" s="262" t="s">
        <v>549</v>
      </c>
      <c r="C151" s="239">
        <v>120733</v>
      </c>
      <c r="D151" s="249" t="s">
        <v>587</v>
      </c>
      <c r="E151" s="238"/>
      <c r="F151" s="238">
        <f t="shared" si="5"/>
        <v>120733</v>
      </c>
      <c r="G151" s="238">
        <f t="shared" si="4"/>
        <v>0</v>
      </c>
      <c r="H151" s="240"/>
      <c r="I151" s="240"/>
      <c r="J151" s="240"/>
      <c r="K151" s="240"/>
      <c r="L151" s="240">
        <v>38380</v>
      </c>
      <c r="M151" s="240"/>
      <c r="N151" s="240"/>
      <c r="O151" s="240">
        <v>31556</v>
      </c>
      <c r="P151" s="240"/>
      <c r="Q151" s="240">
        <v>19955</v>
      </c>
      <c r="R151" s="240"/>
      <c r="S151" s="240">
        <v>29972</v>
      </c>
      <c r="T151" s="240"/>
      <c r="U151" s="240"/>
      <c r="V151" s="240"/>
      <c r="W151" s="240"/>
      <c r="X151" s="240">
        <v>870</v>
      </c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16"/>
      <c r="AK151" s="216"/>
      <c r="AL151" s="216"/>
      <c r="AM151" s="216"/>
    </row>
    <row r="152" spans="1:39" ht="16.2" thickBot="1" x14ac:dyDescent="0.35">
      <c r="A152" s="262" t="s">
        <v>146</v>
      </c>
      <c r="B152" s="262" t="s">
        <v>551</v>
      </c>
      <c r="C152" s="239">
        <v>56479</v>
      </c>
      <c r="D152" s="249" t="s">
        <v>587</v>
      </c>
      <c r="E152" s="238"/>
      <c r="F152" s="238">
        <f t="shared" si="5"/>
        <v>49981</v>
      </c>
      <c r="G152" s="238">
        <f t="shared" si="4"/>
        <v>6498</v>
      </c>
      <c r="H152" s="240"/>
      <c r="I152" s="240"/>
      <c r="J152" s="240"/>
      <c r="K152" s="240"/>
      <c r="L152" s="240"/>
      <c r="M152" s="240"/>
      <c r="N152" s="240"/>
      <c r="O152" s="240" t="s">
        <v>587</v>
      </c>
      <c r="P152" s="240"/>
      <c r="Q152" s="240"/>
      <c r="R152" s="240"/>
      <c r="S152" s="240"/>
      <c r="T152" s="240"/>
      <c r="U152" s="240"/>
      <c r="V152" s="240"/>
      <c r="W152" s="240"/>
      <c r="X152" s="240">
        <v>49981</v>
      </c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16"/>
      <c r="AK152" s="216"/>
      <c r="AL152" s="216"/>
      <c r="AM152" s="216"/>
    </row>
    <row r="153" spans="1:39" ht="16.2" thickBot="1" x14ac:dyDescent="0.35">
      <c r="A153" s="262" t="s">
        <v>147</v>
      </c>
      <c r="B153" s="262" t="s">
        <v>325</v>
      </c>
      <c r="C153" s="239">
        <v>259822</v>
      </c>
      <c r="D153" s="249" t="s">
        <v>587</v>
      </c>
      <c r="E153" s="238"/>
      <c r="F153" s="238">
        <f t="shared" si="5"/>
        <v>259822</v>
      </c>
      <c r="G153" s="238">
        <f t="shared" si="4"/>
        <v>0</v>
      </c>
      <c r="H153" s="240"/>
      <c r="I153" s="240"/>
      <c r="J153" s="240"/>
      <c r="K153" s="240"/>
      <c r="L153" s="240"/>
      <c r="M153" s="240"/>
      <c r="N153" s="240"/>
      <c r="O153" s="240">
        <v>99695</v>
      </c>
      <c r="P153" s="240"/>
      <c r="Q153" s="240"/>
      <c r="R153" s="240"/>
      <c r="S153" s="240"/>
      <c r="T153" s="240"/>
      <c r="U153" s="240"/>
      <c r="V153" s="240">
        <v>125015</v>
      </c>
      <c r="W153" s="240"/>
      <c r="X153" s="240"/>
      <c r="Y153" s="240"/>
      <c r="Z153" s="240"/>
      <c r="AA153" s="240"/>
      <c r="AB153" s="240">
        <v>35112</v>
      </c>
      <c r="AC153" s="240"/>
      <c r="AD153" s="240"/>
      <c r="AE153" s="240"/>
      <c r="AF153" s="240"/>
      <c r="AG153" s="240"/>
      <c r="AH153" s="240"/>
      <c r="AI153" s="240"/>
      <c r="AJ153" s="216"/>
      <c r="AK153" s="216"/>
      <c r="AL153" s="216"/>
      <c r="AM153" s="216"/>
    </row>
    <row r="154" spans="1:39" ht="16.2" thickBot="1" x14ac:dyDescent="0.35">
      <c r="A154" s="262" t="s">
        <v>148</v>
      </c>
      <c r="B154" s="262" t="s">
        <v>326</v>
      </c>
      <c r="C154" s="239">
        <v>282542</v>
      </c>
      <c r="D154" s="249" t="s">
        <v>587</v>
      </c>
      <c r="E154" s="238"/>
      <c r="F154" s="238">
        <f t="shared" si="5"/>
        <v>282542</v>
      </c>
      <c r="G154" s="238">
        <f t="shared" si="4"/>
        <v>0</v>
      </c>
      <c r="H154" s="240"/>
      <c r="I154" s="240"/>
      <c r="J154" s="240"/>
      <c r="K154" s="240"/>
      <c r="L154" s="240"/>
      <c r="M154" s="240"/>
      <c r="N154" s="240">
        <v>29144</v>
      </c>
      <c r="O154" s="240">
        <v>20520</v>
      </c>
      <c r="P154" s="240">
        <v>24198</v>
      </c>
      <c r="Q154" s="240">
        <v>22626</v>
      </c>
      <c r="R154" s="240">
        <v>23338</v>
      </c>
      <c r="S154" s="240"/>
      <c r="T154" s="240">
        <v>46641</v>
      </c>
      <c r="U154" s="240">
        <v>23157</v>
      </c>
      <c r="V154" s="240"/>
      <c r="W154" s="240">
        <v>23158</v>
      </c>
      <c r="X154" s="240"/>
      <c r="Y154" s="240"/>
      <c r="Z154" s="240">
        <v>69760</v>
      </c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16"/>
      <c r="AK154" s="216"/>
      <c r="AL154" s="216"/>
      <c r="AM154" s="216"/>
    </row>
    <row r="155" spans="1:39" ht="16.2" thickBot="1" x14ac:dyDescent="0.35">
      <c r="A155" s="262" t="s">
        <v>149</v>
      </c>
      <c r="B155" s="262" t="s">
        <v>553</v>
      </c>
      <c r="C155" s="239">
        <v>58288</v>
      </c>
      <c r="D155" s="249" t="s">
        <v>587</v>
      </c>
      <c r="E155" s="238"/>
      <c r="F155" s="238">
        <f t="shared" si="5"/>
        <v>58288</v>
      </c>
      <c r="G155" s="238">
        <f t="shared" si="4"/>
        <v>0</v>
      </c>
      <c r="H155" s="240"/>
      <c r="I155" s="240"/>
      <c r="J155" s="240"/>
      <c r="K155" s="240"/>
      <c r="L155" s="240"/>
      <c r="M155" s="240"/>
      <c r="N155" s="240"/>
      <c r="O155" s="240" t="s">
        <v>587</v>
      </c>
      <c r="P155" s="240"/>
      <c r="Q155" s="240">
        <v>34892</v>
      </c>
      <c r="R155" s="240"/>
      <c r="S155" s="240"/>
      <c r="T155" s="240">
        <v>22181</v>
      </c>
      <c r="U155" s="240"/>
      <c r="V155" s="240"/>
      <c r="W155" s="240"/>
      <c r="X155" s="240"/>
      <c r="Y155" s="240"/>
      <c r="Z155" s="240">
        <v>1215</v>
      </c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16"/>
      <c r="AK155" s="216"/>
      <c r="AL155" s="216"/>
      <c r="AM155" s="216"/>
    </row>
    <row r="156" spans="1:39" ht="16.2" thickBot="1" x14ac:dyDescent="0.35">
      <c r="A156" s="262" t="s">
        <v>150</v>
      </c>
      <c r="B156" s="262" t="s">
        <v>554</v>
      </c>
      <c r="C156" s="239">
        <v>61484</v>
      </c>
      <c r="D156" s="249" t="s">
        <v>587</v>
      </c>
      <c r="E156" s="238"/>
      <c r="F156" s="238">
        <f t="shared" si="5"/>
        <v>61484</v>
      </c>
      <c r="G156" s="238">
        <f t="shared" si="4"/>
        <v>0</v>
      </c>
      <c r="H156" s="240"/>
      <c r="I156" s="240"/>
      <c r="J156" s="240"/>
      <c r="K156" s="240"/>
      <c r="L156" s="240"/>
      <c r="M156" s="240"/>
      <c r="N156" s="240"/>
      <c r="O156" s="240" t="s">
        <v>587</v>
      </c>
      <c r="P156" s="240"/>
      <c r="Q156" s="240"/>
      <c r="R156" s="240">
        <v>61482</v>
      </c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>
        <v>2</v>
      </c>
      <c r="AF156" s="240"/>
      <c r="AG156" s="240"/>
      <c r="AH156" s="240"/>
      <c r="AI156" s="240"/>
      <c r="AJ156" s="216"/>
      <c r="AK156" s="216"/>
      <c r="AL156" s="216"/>
      <c r="AM156" s="216"/>
    </row>
    <row r="157" spans="1:39" ht="16.2" thickBot="1" x14ac:dyDescent="0.35">
      <c r="A157" s="262" t="s">
        <v>151</v>
      </c>
      <c r="B157" s="262" t="s">
        <v>556</v>
      </c>
      <c r="C157" s="239">
        <v>129183</v>
      </c>
      <c r="D157" s="249" t="s">
        <v>587</v>
      </c>
      <c r="E157" s="238"/>
      <c r="F157" s="238">
        <f t="shared" si="5"/>
        <v>129183</v>
      </c>
      <c r="G157" s="238">
        <f t="shared" si="4"/>
        <v>0</v>
      </c>
      <c r="H157" s="240"/>
      <c r="I157" s="240"/>
      <c r="J157" s="240"/>
      <c r="K157" s="240"/>
      <c r="L157" s="240"/>
      <c r="M157" s="240"/>
      <c r="N157" s="240"/>
      <c r="O157" s="240">
        <v>71961</v>
      </c>
      <c r="P157" s="240"/>
      <c r="Q157" s="240"/>
      <c r="R157" s="240">
        <v>56917</v>
      </c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>
        <v>305</v>
      </c>
      <c r="AF157" s="240"/>
      <c r="AG157" s="240"/>
      <c r="AH157" s="240"/>
      <c r="AI157" s="240"/>
      <c r="AJ157" s="216"/>
      <c r="AK157" s="216"/>
      <c r="AL157" s="216"/>
      <c r="AM157" s="216"/>
    </row>
    <row r="158" spans="1:39" ht="16.2" thickBot="1" x14ac:dyDescent="0.35">
      <c r="A158" s="262" t="s">
        <v>152</v>
      </c>
      <c r="B158" s="262" t="s">
        <v>557</v>
      </c>
      <c r="C158" s="239">
        <v>92547</v>
      </c>
      <c r="D158" s="249" t="s">
        <v>587</v>
      </c>
      <c r="E158" s="238"/>
      <c r="F158" s="238">
        <f t="shared" si="5"/>
        <v>92547</v>
      </c>
      <c r="G158" s="238">
        <f t="shared" si="4"/>
        <v>0</v>
      </c>
      <c r="H158" s="240"/>
      <c r="I158" s="240"/>
      <c r="J158" s="240"/>
      <c r="K158" s="240"/>
      <c r="L158" s="240"/>
      <c r="M158" s="240"/>
      <c r="N158" s="240"/>
      <c r="O158" s="240" t="s">
        <v>587</v>
      </c>
      <c r="P158" s="240"/>
      <c r="Q158" s="240"/>
      <c r="R158" s="240"/>
      <c r="S158" s="240">
        <v>91899</v>
      </c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>
        <v>648</v>
      </c>
      <c r="AF158" s="240"/>
      <c r="AG158" s="240"/>
      <c r="AH158" s="240"/>
      <c r="AI158" s="240"/>
      <c r="AJ158" s="216"/>
      <c r="AK158" s="216"/>
      <c r="AL158" s="216"/>
      <c r="AM158" s="216"/>
    </row>
    <row r="159" spans="1:39" ht="16.2" thickBot="1" x14ac:dyDescent="0.35">
      <c r="A159" s="262" t="s">
        <v>153</v>
      </c>
      <c r="B159" s="262" t="s">
        <v>558</v>
      </c>
      <c r="C159" s="239">
        <v>85769</v>
      </c>
      <c r="D159" s="249" t="s">
        <v>587</v>
      </c>
      <c r="E159" s="238"/>
      <c r="F159" s="238">
        <f t="shared" si="5"/>
        <v>85769</v>
      </c>
      <c r="G159" s="238">
        <f t="shared" si="4"/>
        <v>0</v>
      </c>
      <c r="H159" s="240"/>
      <c r="I159" s="240"/>
      <c r="J159" s="240"/>
      <c r="K159" s="240"/>
      <c r="L159" s="240"/>
      <c r="M159" s="240"/>
      <c r="N159" s="240"/>
      <c r="O159" s="240" t="s">
        <v>587</v>
      </c>
      <c r="P159" s="240"/>
      <c r="Q159" s="240"/>
      <c r="R159" s="240">
        <v>85765</v>
      </c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>
        <v>4</v>
      </c>
      <c r="AF159" s="240"/>
      <c r="AG159" s="240"/>
      <c r="AH159" s="240"/>
      <c r="AI159" s="240"/>
      <c r="AJ159" s="216"/>
      <c r="AK159" s="216"/>
      <c r="AL159" s="216"/>
      <c r="AM159" s="216"/>
    </row>
    <row r="160" spans="1:39" ht="16.2" thickBot="1" x14ac:dyDescent="0.35">
      <c r="A160" s="262" t="s">
        <v>154</v>
      </c>
      <c r="B160" s="262" t="s">
        <v>332</v>
      </c>
      <c r="C160" s="239">
        <v>106610</v>
      </c>
      <c r="D160" s="249" t="s">
        <v>587</v>
      </c>
      <c r="E160" s="238"/>
      <c r="F160" s="238">
        <f t="shared" si="5"/>
        <v>106610</v>
      </c>
      <c r="G160" s="238">
        <f t="shared" si="4"/>
        <v>0</v>
      </c>
      <c r="H160" s="240"/>
      <c r="I160" s="240"/>
      <c r="J160" s="240"/>
      <c r="K160" s="240"/>
      <c r="L160" s="240"/>
      <c r="M160" s="240"/>
      <c r="N160" s="240">
        <v>58070</v>
      </c>
      <c r="O160" s="240" t="s">
        <v>587</v>
      </c>
      <c r="P160" s="240"/>
      <c r="Q160" s="240"/>
      <c r="R160" s="240"/>
      <c r="S160" s="240">
        <v>47700</v>
      </c>
      <c r="T160" s="240"/>
      <c r="U160" s="240"/>
      <c r="V160" s="240"/>
      <c r="W160" s="240"/>
      <c r="X160" s="240"/>
      <c r="Y160" s="240">
        <v>840</v>
      </c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16"/>
      <c r="AK160" s="216"/>
      <c r="AL160" s="216"/>
      <c r="AM160" s="216"/>
    </row>
    <row r="161" spans="1:39" ht="16.2" thickBot="1" x14ac:dyDescent="0.35">
      <c r="A161" s="262" t="s">
        <v>155</v>
      </c>
      <c r="B161" s="262" t="s">
        <v>560</v>
      </c>
      <c r="C161" s="239">
        <v>432869</v>
      </c>
      <c r="D161" s="249" t="s">
        <v>587</v>
      </c>
      <c r="E161" s="238"/>
      <c r="F161" s="238">
        <f t="shared" si="5"/>
        <v>390966</v>
      </c>
      <c r="G161" s="238">
        <f t="shared" si="4"/>
        <v>41903</v>
      </c>
      <c r="H161" s="240"/>
      <c r="I161" s="240"/>
      <c r="J161" s="240"/>
      <c r="K161" s="240"/>
      <c r="L161" s="240"/>
      <c r="M161" s="240"/>
      <c r="N161" s="240"/>
      <c r="O161" s="240">
        <v>30893</v>
      </c>
      <c r="P161" s="240">
        <v>112276</v>
      </c>
      <c r="Q161" s="240"/>
      <c r="R161" s="240"/>
      <c r="S161" s="240">
        <v>242853</v>
      </c>
      <c r="T161" s="240">
        <v>4944</v>
      </c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16"/>
      <c r="AK161" s="216"/>
      <c r="AL161" s="216"/>
      <c r="AM161" s="216"/>
    </row>
    <row r="162" spans="1:39" ht="16.2" thickBot="1" x14ac:dyDescent="0.35">
      <c r="A162" s="262" t="s">
        <v>156</v>
      </c>
      <c r="B162" s="262" t="s">
        <v>334</v>
      </c>
      <c r="C162" s="239">
        <v>18949</v>
      </c>
      <c r="D162" s="249" t="s">
        <v>587</v>
      </c>
      <c r="E162" s="238"/>
      <c r="F162" s="238">
        <f t="shared" si="5"/>
        <v>18949</v>
      </c>
      <c r="G162" s="238">
        <f t="shared" si="4"/>
        <v>0</v>
      </c>
      <c r="H162" s="240"/>
      <c r="I162" s="240"/>
      <c r="J162" s="240"/>
      <c r="K162" s="240">
        <v>3936</v>
      </c>
      <c r="L162" s="240"/>
      <c r="M162" s="240">
        <v>4083</v>
      </c>
      <c r="N162" s="240"/>
      <c r="O162" s="240">
        <v>4725</v>
      </c>
      <c r="P162" s="240">
        <v>3971</v>
      </c>
      <c r="Q162" s="240"/>
      <c r="R162" s="240"/>
      <c r="S162" s="240"/>
      <c r="T162" s="240">
        <v>2099</v>
      </c>
      <c r="U162" s="240"/>
      <c r="V162" s="240"/>
      <c r="W162" s="240"/>
      <c r="X162" s="240"/>
      <c r="Y162" s="240"/>
      <c r="Z162" s="240"/>
      <c r="AA162" s="240">
        <v>135</v>
      </c>
      <c r="AB162" s="240"/>
      <c r="AC162" s="240"/>
      <c r="AD162" s="240"/>
      <c r="AE162" s="240"/>
      <c r="AF162" s="240"/>
      <c r="AG162" s="240"/>
      <c r="AH162" s="240"/>
      <c r="AI162" s="240"/>
      <c r="AJ162" s="216"/>
      <c r="AK162" s="216"/>
      <c r="AL162" s="216"/>
      <c r="AM162" s="216"/>
    </row>
    <row r="163" spans="1:39" ht="16.2" thickBot="1" x14ac:dyDescent="0.35">
      <c r="A163" s="262" t="s">
        <v>157</v>
      </c>
      <c r="B163" s="262" t="s">
        <v>335</v>
      </c>
      <c r="C163" s="239">
        <v>74047</v>
      </c>
      <c r="D163" s="249" t="s">
        <v>587</v>
      </c>
      <c r="E163" s="238"/>
      <c r="F163" s="238">
        <f t="shared" si="5"/>
        <v>74047</v>
      </c>
      <c r="G163" s="238">
        <f t="shared" si="4"/>
        <v>0</v>
      </c>
      <c r="H163" s="240"/>
      <c r="I163" s="240"/>
      <c r="J163" s="240"/>
      <c r="K163" s="240"/>
      <c r="L163" s="240"/>
      <c r="M163" s="240"/>
      <c r="N163" s="240"/>
      <c r="O163" s="240" t="s">
        <v>587</v>
      </c>
      <c r="P163" s="240"/>
      <c r="Q163" s="240"/>
      <c r="R163" s="240"/>
      <c r="S163" s="240">
        <v>74044</v>
      </c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>
        <v>3</v>
      </c>
      <c r="AF163" s="240"/>
      <c r="AG163" s="240"/>
      <c r="AH163" s="240"/>
      <c r="AI163" s="240"/>
      <c r="AJ163" s="216"/>
      <c r="AK163" s="216"/>
      <c r="AL163" s="216"/>
      <c r="AM163" s="216"/>
    </row>
    <row r="164" spans="1:39" ht="16.2" thickBot="1" x14ac:dyDescent="0.35">
      <c r="A164" s="262" t="s">
        <v>158</v>
      </c>
      <c r="B164" s="262" t="s">
        <v>336</v>
      </c>
      <c r="C164" s="239">
        <v>71663</v>
      </c>
      <c r="D164" s="249" t="s">
        <v>587</v>
      </c>
      <c r="E164" s="238"/>
      <c r="F164" s="238">
        <f t="shared" si="5"/>
        <v>71663</v>
      </c>
      <c r="G164" s="238">
        <f t="shared" si="4"/>
        <v>0</v>
      </c>
      <c r="H164" s="240"/>
      <c r="I164" s="240"/>
      <c r="J164" s="240"/>
      <c r="K164" s="240"/>
      <c r="L164" s="240"/>
      <c r="M164" s="240"/>
      <c r="N164" s="240"/>
      <c r="O164" s="240">
        <v>10009</v>
      </c>
      <c r="P164" s="240"/>
      <c r="Q164" s="240"/>
      <c r="R164" s="240"/>
      <c r="S164" s="240">
        <v>21347</v>
      </c>
      <c r="T164" s="240"/>
      <c r="U164" s="240"/>
      <c r="V164" s="240"/>
      <c r="W164" s="240"/>
      <c r="X164" s="240"/>
      <c r="Y164" s="240"/>
      <c r="Z164" s="240">
        <v>15963</v>
      </c>
      <c r="AA164" s="240"/>
      <c r="AB164" s="240"/>
      <c r="AC164" s="240"/>
      <c r="AD164" s="240"/>
      <c r="AE164" s="240">
        <v>24344</v>
      </c>
      <c r="AF164" s="240"/>
      <c r="AG164" s="240"/>
      <c r="AH164" s="240"/>
      <c r="AI164" s="240"/>
      <c r="AJ164" s="216"/>
      <c r="AK164" s="216"/>
      <c r="AL164" s="216"/>
      <c r="AM164" s="216"/>
    </row>
    <row r="165" spans="1:39" ht="16.2" thickBot="1" x14ac:dyDescent="0.35">
      <c r="A165" s="262" t="s">
        <v>159</v>
      </c>
      <c r="B165" s="262" t="s">
        <v>563</v>
      </c>
      <c r="C165" s="239">
        <v>39677</v>
      </c>
      <c r="D165" s="249" t="s">
        <v>374</v>
      </c>
      <c r="E165" s="238">
        <v>39677</v>
      </c>
      <c r="F165" s="238">
        <f t="shared" si="5"/>
        <v>0</v>
      </c>
      <c r="G165" s="238">
        <v>0</v>
      </c>
      <c r="H165" s="240"/>
      <c r="I165" s="240"/>
      <c r="J165" s="240"/>
      <c r="K165" s="240"/>
      <c r="L165" s="240"/>
      <c r="M165" s="240"/>
      <c r="N165" s="240"/>
      <c r="O165" s="240" t="s">
        <v>587</v>
      </c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16"/>
      <c r="AK165" s="216"/>
      <c r="AL165" s="216"/>
      <c r="AM165" s="216"/>
    </row>
    <row r="166" spans="1:39" ht="16.2" thickBot="1" x14ac:dyDescent="0.35">
      <c r="A166" s="262" t="s">
        <v>160</v>
      </c>
      <c r="B166" s="262" t="s">
        <v>412</v>
      </c>
      <c r="C166" s="239">
        <v>25181</v>
      </c>
      <c r="D166" s="249" t="s">
        <v>374</v>
      </c>
      <c r="E166" s="238">
        <v>25181</v>
      </c>
      <c r="F166" s="238">
        <f t="shared" si="5"/>
        <v>0</v>
      </c>
      <c r="G166" s="238">
        <v>0</v>
      </c>
      <c r="H166" s="240"/>
      <c r="I166" s="240"/>
      <c r="J166" s="240"/>
      <c r="K166" s="240"/>
      <c r="L166" s="240"/>
      <c r="M166" s="240"/>
      <c r="N166" s="240"/>
      <c r="O166" s="240" t="s">
        <v>587</v>
      </c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16"/>
      <c r="AK166" s="216"/>
      <c r="AL166" s="216"/>
      <c r="AM166" s="216"/>
    </row>
    <row r="167" spans="1:39" ht="16.2" thickBot="1" x14ac:dyDescent="0.35">
      <c r="A167" s="262" t="s">
        <v>161</v>
      </c>
      <c r="B167" s="262" t="s">
        <v>566</v>
      </c>
      <c r="C167" s="239">
        <v>271688</v>
      </c>
      <c r="D167" s="249" t="s">
        <v>587</v>
      </c>
      <c r="E167" s="238"/>
      <c r="F167" s="238">
        <f t="shared" si="5"/>
        <v>271688</v>
      </c>
      <c r="G167" s="238">
        <f t="shared" si="4"/>
        <v>0</v>
      </c>
      <c r="H167" s="240"/>
      <c r="I167" s="240"/>
      <c r="J167" s="240"/>
      <c r="K167" s="240">
        <v>22502</v>
      </c>
      <c r="L167" s="240">
        <v>21941</v>
      </c>
      <c r="M167" s="240">
        <v>21944</v>
      </c>
      <c r="N167" s="240">
        <v>21944</v>
      </c>
      <c r="O167" s="240">
        <v>22025</v>
      </c>
      <c r="P167" s="240">
        <v>22225</v>
      </c>
      <c r="Q167" s="240">
        <v>22226</v>
      </c>
      <c r="R167" s="240">
        <v>22230</v>
      </c>
      <c r="S167" s="240">
        <v>22229</v>
      </c>
      <c r="T167" s="240">
        <v>22430</v>
      </c>
      <c r="U167" s="240"/>
      <c r="V167" s="240">
        <v>48226</v>
      </c>
      <c r="W167" s="240">
        <v>1766</v>
      </c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16"/>
      <c r="AK167" s="216"/>
      <c r="AL167" s="216"/>
      <c r="AM167" s="216"/>
    </row>
    <row r="168" spans="1:39" ht="16.2" thickBot="1" x14ac:dyDescent="0.35">
      <c r="A168" s="262" t="s">
        <v>162</v>
      </c>
      <c r="B168" s="262" t="s">
        <v>568</v>
      </c>
      <c r="C168" s="239">
        <v>93588</v>
      </c>
      <c r="D168" s="249" t="s">
        <v>587</v>
      </c>
      <c r="E168" s="238"/>
      <c r="F168" s="238">
        <f t="shared" si="5"/>
        <v>93588</v>
      </c>
      <c r="G168" s="238">
        <f t="shared" si="4"/>
        <v>0</v>
      </c>
      <c r="H168" s="240"/>
      <c r="I168" s="240"/>
      <c r="J168" s="240"/>
      <c r="K168" s="240"/>
      <c r="L168" s="240"/>
      <c r="M168" s="240">
        <v>11825</v>
      </c>
      <c r="N168" s="240">
        <v>5127</v>
      </c>
      <c r="O168" s="240">
        <v>12389</v>
      </c>
      <c r="P168" s="240"/>
      <c r="Q168" s="240">
        <v>6966</v>
      </c>
      <c r="R168" s="240">
        <v>18249</v>
      </c>
      <c r="S168" s="240">
        <v>9677</v>
      </c>
      <c r="T168" s="240"/>
      <c r="U168" s="240"/>
      <c r="V168" s="240">
        <v>25634</v>
      </c>
      <c r="W168" s="240"/>
      <c r="X168" s="240"/>
      <c r="Y168" s="240">
        <v>3721</v>
      </c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16"/>
      <c r="AK168" s="216"/>
      <c r="AL168" s="216"/>
      <c r="AM168" s="216"/>
    </row>
    <row r="169" spans="1:39" ht="16.2" thickBot="1" x14ac:dyDescent="0.35">
      <c r="A169" s="262" t="s">
        <v>163</v>
      </c>
      <c r="B169" s="262" t="s">
        <v>570</v>
      </c>
      <c r="C169" s="239">
        <v>279485</v>
      </c>
      <c r="D169" s="249" t="s">
        <v>587</v>
      </c>
      <c r="E169" s="238"/>
      <c r="F169" s="238">
        <f t="shared" si="5"/>
        <v>279485</v>
      </c>
      <c r="G169" s="238">
        <f t="shared" si="4"/>
        <v>0</v>
      </c>
      <c r="H169" s="240"/>
      <c r="I169" s="240"/>
      <c r="J169" s="240"/>
      <c r="K169" s="240"/>
      <c r="L169" s="240"/>
      <c r="M169" s="240"/>
      <c r="N169" s="240"/>
      <c r="O169" s="240" t="s">
        <v>587</v>
      </c>
      <c r="P169" s="240">
        <v>163423</v>
      </c>
      <c r="Q169" s="240"/>
      <c r="R169" s="240"/>
      <c r="S169" s="240">
        <v>97202</v>
      </c>
      <c r="T169" s="240"/>
      <c r="U169" s="240"/>
      <c r="V169" s="240"/>
      <c r="W169" s="240"/>
      <c r="X169" s="240"/>
      <c r="Y169" s="240"/>
      <c r="Z169" s="240">
        <v>18860</v>
      </c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16"/>
      <c r="AK169" s="216"/>
      <c r="AL169" s="216"/>
      <c r="AM169" s="216"/>
    </row>
    <row r="170" spans="1:39" ht="16.2" thickBot="1" x14ac:dyDescent="0.35">
      <c r="A170" s="262" t="s">
        <v>164</v>
      </c>
      <c r="B170" s="262" t="s">
        <v>341</v>
      </c>
      <c r="C170" s="239">
        <v>54389</v>
      </c>
      <c r="D170" s="249" t="s">
        <v>587</v>
      </c>
      <c r="E170" s="238"/>
      <c r="F170" s="238">
        <f t="shared" si="5"/>
        <v>54389</v>
      </c>
      <c r="G170" s="238">
        <f t="shared" si="4"/>
        <v>0</v>
      </c>
      <c r="H170" s="240"/>
      <c r="I170" s="240"/>
      <c r="J170" s="240"/>
      <c r="K170" s="240"/>
      <c r="L170" s="240"/>
      <c r="M170" s="240"/>
      <c r="N170" s="240">
        <v>27917</v>
      </c>
      <c r="O170" s="240" t="s">
        <v>587</v>
      </c>
      <c r="P170" s="240"/>
      <c r="Q170" s="240"/>
      <c r="R170" s="240">
        <v>17089</v>
      </c>
      <c r="S170" s="240">
        <v>9381</v>
      </c>
      <c r="T170" s="240"/>
      <c r="U170" s="240"/>
      <c r="V170" s="240"/>
      <c r="W170" s="240"/>
      <c r="X170" s="240"/>
      <c r="Y170" s="240"/>
      <c r="Z170" s="240">
        <v>2</v>
      </c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16"/>
      <c r="AK170" s="216"/>
      <c r="AL170" s="216"/>
      <c r="AM170" s="216"/>
    </row>
    <row r="171" spans="1:39" ht="16.2" thickBot="1" x14ac:dyDescent="0.35">
      <c r="A171" s="262" t="s">
        <v>165</v>
      </c>
      <c r="B171" s="262" t="s">
        <v>342</v>
      </c>
      <c r="C171" s="239">
        <v>13049</v>
      </c>
      <c r="D171" s="249" t="s">
        <v>372</v>
      </c>
      <c r="E171" s="238">
        <v>13049</v>
      </c>
      <c r="F171" s="238">
        <f t="shared" si="5"/>
        <v>0</v>
      </c>
      <c r="G171" s="238">
        <v>0</v>
      </c>
      <c r="H171" s="240"/>
      <c r="I171" s="240"/>
      <c r="J171" s="240"/>
      <c r="K171" s="240"/>
      <c r="L171" s="240"/>
      <c r="M171" s="240"/>
      <c r="N171" s="240"/>
      <c r="O171" s="240" t="s">
        <v>587</v>
      </c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16"/>
      <c r="AK171" s="216"/>
      <c r="AL171" s="216"/>
      <c r="AM171" s="216"/>
    </row>
    <row r="172" spans="1:39" ht="16.2" thickBot="1" x14ac:dyDescent="0.35">
      <c r="A172" s="262" t="s">
        <v>166</v>
      </c>
      <c r="B172" s="262" t="s">
        <v>343</v>
      </c>
      <c r="C172" s="239">
        <v>14845</v>
      </c>
      <c r="D172" s="249" t="s">
        <v>374</v>
      </c>
      <c r="E172" s="238">
        <v>14845</v>
      </c>
      <c r="F172" s="238">
        <f t="shared" si="5"/>
        <v>0</v>
      </c>
      <c r="G172" s="238">
        <v>0</v>
      </c>
      <c r="H172" s="240"/>
      <c r="I172" s="240"/>
      <c r="J172" s="240"/>
      <c r="K172" s="240"/>
      <c r="L172" s="240"/>
      <c r="M172" s="240"/>
      <c r="N172" s="240"/>
      <c r="O172" s="240" t="s">
        <v>587</v>
      </c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16"/>
      <c r="AK172" s="216"/>
      <c r="AL172" s="216"/>
      <c r="AM172" s="216"/>
    </row>
    <row r="173" spans="1:39" ht="16.2" thickBot="1" x14ac:dyDescent="0.35">
      <c r="A173" s="262" t="s">
        <v>167</v>
      </c>
      <c r="B173" s="262" t="s">
        <v>344</v>
      </c>
      <c r="C173" s="239">
        <v>853</v>
      </c>
      <c r="D173" s="249" t="s">
        <v>374</v>
      </c>
      <c r="E173" s="238">
        <v>853</v>
      </c>
      <c r="F173" s="238">
        <f t="shared" si="5"/>
        <v>0</v>
      </c>
      <c r="G173" s="238">
        <v>0</v>
      </c>
      <c r="H173" s="240"/>
      <c r="I173" s="240"/>
      <c r="J173" s="240"/>
      <c r="K173" s="240"/>
      <c r="L173" s="240"/>
      <c r="M173" s="240"/>
      <c r="N173" s="240"/>
      <c r="O173" s="240" t="s">
        <v>587</v>
      </c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16"/>
      <c r="AK173" s="216"/>
      <c r="AL173" s="216"/>
      <c r="AM173" s="216"/>
    </row>
    <row r="174" spans="1:39" ht="16.2" thickBot="1" x14ac:dyDescent="0.35">
      <c r="A174" s="262" t="s">
        <v>168</v>
      </c>
      <c r="B174" s="262" t="s">
        <v>345</v>
      </c>
      <c r="C174" s="239">
        <v>27082</v>
      </c>
      <c r="D174" s="249" t="s">
        <v>372</v>
      </c>
      <c r="E174" s="238">
        <v>27082</v>
      </c>
      <c r="F174" s="238">
        <f t="shared" si="5"/>
        <v>0</v>
      </c>
      <c r="G174" s="238">
        <v>0</v>
      </c>
      <c r="H174" s="240"/>
      <c r="I174" s="240"/>
      <c r="J174" s="240"/>
      <c r="K174" s="240"/>
      <c r="L174" s="240"/>
      <c r="M174" s="240"/>
      <c r="N174" s="240"/>
      <c r="O174" s="240" t="s">
        <v>587</v>
      </c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16"/>
      <c r="AK174" s="216"/>
      <c r="AL174" s="216"/>
      <c r="AM174" s="216"/>
    </row>
    <row r="175" spans="1:39" ht="16.2" thickBot="1" x14ac:dyDescent="0.35">
      <c r="A175" s="262" t="s">
        <v>169</v>
      </c>
      <c r="B175" s="262" t="s">
        <v>572</v>
      </c>
      <c r="C175" s="239">
        <v>288437</v>
      </c>
      <c r="D175" s="249" t="s">
        <v>373</v>
      </c>
      <c r="E175" s="238">
        <v>288437</v>
      </c>
      <c r="F175" s="238">
        <f t="shared" si="5"/>
        <v>0</v>
      </c>
      <c r="G175" s="238">
        <v>0</v>
      </c>
      <c r="H175" s="240"/>
      <c r="I175" s="240"/>
      <c r="J175" s="240"/>
      <c r="K175" s="240"/>
      <c r="L175" s="240"/>
      <c r="M175" s="240"/>
      <c r="N175" s="240"/>
      <c r="O175" s="240" t="s">
        <v>587</v>
      </c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16"/>
      <c r="AK175" s="216"/>
      <c r="AL175" s="216"/>
      <c r="AM175" s="216"/>
    </row>
    <row r="176" spans="1:39" ht="16.2" thickBot="1" x14ac:dyDescent="0.35">
      <c r="A176" s="262" t="s">
        <v>170</v>
      </c>
      <c r="B176" s="262" t="s">
        <v>574</v>
      </c>
      <c r="C176" s="239">
        <v>126529</v>
      </c>
      <c r="D176" s="249" t="s">
        <v>587</v>
      </c>
      <c r="E176" s="238"/>
      <c r="F176" s="238">
        <f t="shared" si="5"/>
        <v>126529</v>
      </c>
      <c r="G176" s="238">
        <f t="shared" si="4"/>
        <v>0</v>
      </c>
      <c r="H176" s="240"/>
      <c r="I176" s="240"/>
      <c r="J176" s="240"/>
      <c r="K176" s="240"/>
      <c r="L176" s="240"/>
      <c r="M176" s="240"/>
      <c r="N176" s="240"/>
      <c r="O176" s="240">
        <v>56848</v>
      </c>
      <c r="P176" s="240"/>
      <c r="Q176" s="240"/>
      <c r="R176" s="240"/>
      <c r="S176" s="240">
        <v>49439</v>
      </c>
      <c r="T176" s="240"/>
      <c r="U176" s="240"/>
      <c r="V176" s="240"/>
      <c r="W176" s="240"/>
      <c r="X176" s="240"/>
      <c r="Y176" s="240"/>
      <c r="Z176" s="240">
        <v>20242</v>
      </c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16"/>
      <c r="AK176" s="216"/>
      <c r="AL176" s="216"/>
      <c r="AM176" s="216"/>
    </row>
    <row r="177" spans="1:39" ht="16.2" thickBot="1" x14ac:dyDescent="0.35">
      <c r="A177" s="262" t="s">
        <v>171</v>
      </c>
      <c r="B177" s="262" t="s">
        <v>413</v>
      </c>
      <c r="C177" s="239">
        <v>209160</v>
      </c>
      <c r="D177" s="249" t="s">
        <v>587</v>
      </c>
      <c r="E177" s="238"/>
      <c r="F177" s="238">
        <f t="shared" si="5"/>
        <v>209160</v>
      </c>
      <c r="G177" s="238">
        <f t="shared" si="4"/>
        <v>0</v>
      </c>
      <c r="H177" s="240"/>
      <c r="I177" s="240"/>
      <c r="J177" s="240"/>
      <c r="K177" s="240"/>
      <c r="L177" s="240"/>
      <c r="M177" s="240"/>
      <c r="N177" s="240"/>
      <c r="O177" s="240" t="s">
        <v>587</v>
      </c>
      <c r="P177" s="240"/>
      <c r="Q177" s="240"/>
      <c r="R177" s="240"/>
      <c r="S177" s="240">
        <v>183415</v>
      </c>
      <c r="T177" s="240"/>
      <c r="U177" s="240"/>
      <c r="V177" s="240"/>
      <c r="W177" s="240"/>
      <c r="X177" s="240">
        <v>25737</v>
      </c>
      <c r="Y177" s="240"/>
      <c r="Z177" s="240"/>
      <c r="AA177" s="240"/>
      <c r="AB177" s="240"/>
      <c r="AC177" s="240"/>
      <c r="AD177" s="240"/>
      <c r="AE177" s="240">
        <v>8</v>
      </c>
      <c r="AF177" s="240"/>
      <c r="AG177" s="240"/>
      <c r="AH177" s="240"/>
      <c r="AI177" s="240"/>
      <c r="AJ177" s="216"/>
      <c r="AK177" s="216"/>
      <c r="AL177" s="216"/>
      <c r="AM177" s="216"/>
    </row>
    <row r="178" spans="1:39" ht="16.2" thickBot="1" x14ac:dyDescent="0.35">
      <c r="A178" s="262" t="s">
        <v>172</v>
      </c>
      <c r="B178" s="262" t="s">
        <v>575</v>
      </c>
      <c r="C178" s="239">
        <v>193007</v>
      </c>
      <c r="D178" s="249" t="s">
        <v>587</v>
      </c>
      <c r="E178" s="238"/>
      <c r="F178" s="238">
        <f t="shared" si="5"/>
        <v>193007</v>
      </c>
      <c r="G178" s="238">
        <f t="shared" si="4"/>
        <v>0</v>
      </c>
      <c r="H178" s="240"/>
      <c r="I178" s="240"/>
      <c r="J178" s="240"/>
      <c r="K178" s="240"/>
      <c r="L178" s="240">
        <v>27750</v>
      </c>
      <c r="M178" s="240">
        <v>17094</v>
      </c>
      <c r="N178" s="240">
        <v>17520</v>
      </c>
      <c r="O178" s="240">
        <v>16374</v>
      </c>
      <c r="P178" s="240">
        <v>16562</v>
      </c>
      <c r="Q178" s="240">
        <v>17047</v>
      </c>
      <c r="R178" s="240">
        <v>16538</v>
      </c>
      <c r="S178" s="240">
        <v>16283</v>
      </c>
      <c r="T178" s="240">
        <v>16442</v>
      </c>
      <c r="U178" s="240">
        <v>14242</v>
      </c>
      <c r="V178" s="240">
        <v>16441</v>
      </c>
      <c r="W178" s="240"/>
      <c r="X178" s="240">
        <v>714</v>
      </c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16"/>
      <c r="AK178" s="216"/>
      <c r="AL178" s="216"/>
      <c r="AM178" s="216"/>
    </row>
    <row r="179" spans="1:39" ht="16.2" thickBot="1" x14ac:dyDescent="0.35">
      <c r="A179" s="262" t="s">
        <v>173</v>
      </c>
      <c r="B179" s="262" t="s">
        <v>576</v>
      </c>
      <c r="C179" s="239">
        <v>203073</v>
      </c>
      <c r="D179" s="249" t="s">
        <v>587</v>
      </c>
      <c r="E179" s="238"/>
      <c r="F179" s="238">
        <f t="shared" si="5"/>
        <v>203073</v>
      </c>
      <c r="G179" s="238">
        <f t="shared" si="4"/>
        <v>0</v>
      </c>
      <c r="H179" s="240"/>
      <c r="I179" s="240"/>
      <c r="J179" s="240"/>
      <c r="K179" s="240"/>
      <c r="L179" s="240"/>
      <c r="M179" s="240"/>
      <c r="N179" s="240">
        <v>124365</v>
      </c>
      <c r="O179" s="240" t="s">
        <v>587</v>
      </c>
      <c r="P179" s="240"/>
      <c r="Q179" s="240">
        <v>63195</v>
      </c>
      <c r="R179" s="240"/>
      <c r="S179" s="240">
        <v>15232</v>
      </c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>
        <v>281</v>
      </c>
      <c r="AD179" s="240"/>
      <c r="AE179" s="240"/>
      <c r="AF179" s="240"/>
      <c r="AG179" s="240"/>
      <c r="AH179" s="240"/>
      <c r="AI179" s="240"/>
      <c r="AJ179" s="216"/>
      <c r="AK179" s="216"/>
      <c r="AL179" s="216"/>
      <c r="AM179" s="216"/>
    </row>
    <row r="180" spans="1:39" ht="16.2" thickBot="1" x14ac:dyDescent="0.35">
      <c r="A180" s="262" t="s">
        <v>174</v>
      </c>
      <c r="B180" s="262" t="s">
        <v>350</v>
      </c>
      <c r="C180" s="239">
        <v>4454279</v>
      </c>
      <c r="D180" s="249" t="s">
        <v>587</v>
      </c>
      <c r="E180" s="238"/>
      <c r="F180" s="238">
        <f t="shared" si="5"/>
        <v>4454279</v>
      </c>
      <c r="G180" s="238">
        <f t="shared" si="4"/>
        <v>0</v>
      </c>
      <c r="H180" s="240"/>
      <c r="I180" s="240"/>
      <c r="J180" s="240"/>
      <c r="K180" s="240"/>
      <c r="L180" s="240">
        <v>152658</v>
      </c>
      <c r="M180" s="240">
        <v>359042</v>
      </c>
      <c r="N180" s="240"/>
      <c r="O180" s="240">
        <v>594628</v>
      </c>
      <c r="P180" s="240">
        <v>408731</v>
      </c>
      <c r="Q180" s="240">
        <v>344702</v>
      </c>
      <c r="R180" s="240">
        <v>318871</v>
      </c>
      <c r="S180" s="240">
        <v>289587</v>
      </c>
      <c r="T180" s="240">
        <v>741427</v>
      </c>
      <c r="U180" s="240"/>
      <c r="V180" s="240"/>
      <c r="W180" s="240">
        <v>720365</v>
      </c>
      <c r="X180" s="240">
        <v>524268</v>
      </c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16"/>
      <c r="AK180" s="216"/>
      <c r="AL180" s="216"/>
      <c r="AM180" s="216"/>
    </row>
    <row r="181" spans="1:39" ht="16.2" thickBot="1" x14ac:dyDescent="0.35">
      <c r="A181" s="262" t="s">
        <v>175</v>
      </c>
      <c r="B181" s="262" t="s">
        <v>577</v>
      </c>
      <c r="C181" s="239">
        <v>89140</v>
      </c>
      <c r="D181" s="249" t="s">
        <v>373</v>
      </c>
      <c r="E181" s="238">
        <v>89140</v>
      </c>
      <c r="F181" s="238">
        <f t="shared" si="5"/>
        <v>0</v>
      </c>
      <c r="G181" s="238">
        <v>0</v>
      </c>
      <c r="H181" s="240"/>
      <c r="I181" s="240"/>
      <c r="J181" s="240"/>
      <c r="K181" s="240"/>
      <c r="L181" s="240"/>
      <c r="M181" s="240"/>
      <c r="N181" s="240"/>
      <c r="O181" s="240" t="s">
        <v>587</v>
      </c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16"/>
      <c r="AK181" s="216"/>
      <c r="AL181" s="216"/>
      <c r="AM181" s="216"/>
    </row>
    <row r="182" spans="1:39" ht="16.2" thickBot="1" x14ac:dyDescent="0.35">
      <c r="A182" s="262" t="s">
        <v>176</v>
      </c>
      <c r="B182" s="262" t="s">
        <v>578</v>
      </c>
      <c r="C182" s="239">
        <v>350528</v>
      </c>
      <c r="D182" s="249" t="s">
        <v>587</v>
      </c>
      <c r="E182" s="238"/>
      <c r="F182" s="238">
        <f t="shared" si="5"/>
        <v>350528</v>
      </c>
      <c r="G182" s="238">
        <f t="shared" si="4"/>
        <v>0</v>
      </c>
      <c r="H182" s="240"/>
      <c r="I182" s="240"/>
      <c r="J182" s="240"/>
      <c r="K182" s="240"/>
      <c r="L182" s="240"/>
      <c r="M182" s="240">
        <v>65809</v>
      </c>
      <c r="N182" s="240"/>
      <c r="O182" s="240">
        <v>48003</v>
      </c>
      <c r="P182" s="240">
        <v>26024</v>
      </c>
      <c r="Q182" s="240">
        <v>25844</v>
      </c>
      <c r="R182" s="240"/>
      <c r="S182" s="240">
        <v>52385</v>
      </c>
      <c r="T182" s="240"/>
      <c r="U182" s="240"/>
      <c r="V182" s="240">
        <v>73298</v>
      </c>
      <c r="W182" s="240">
        <v>24036</v>
      </c>
      <c r="X182" s="240">
        <v>26969</v>
      </c>
      <c r="Y182" s="240">
        <v>8160</v>
      </c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16"/>
      <c r="AK182" s="216"/>
      <c r="AL182" s="216"/>
      <c r="AM182" s="216"/>
    </row>
    <row r="183" spans="1:39" ht="16.2" thickBot="1" x14ac:dyDescent="0.35">
      <c r="A183" s="262" t="s">
        <v>177</v>
      </c>
      <c r="B183" s="262" t="s">
        <v>579</v>
      </c>
      <c r="C183" s="239">
        <v>147435</v>
      </c>
      <c r="D183" s="249" t="s">
        <v>587</v>
      </c>
      <c r="E183" s="238"/>
      <c r="F183" s="238">
        <f t="shared" si="5"/>
        <v>147435</v>
      </c>
      <c r="G183" s="238">
        <f t="shared" si="4"/>
        <v>0</v>
      </c>
      <c r="H183" s="240"/>
      <c r="I183" s="240"/>
      <c r="J183" s="240"/>
      <c r="K183" s="240"/>
      <c r="L183" s="240"/>
      <c r="M183" s="240"/>
      <c r="N183" s="240"/>
      <c r="O183" s="240">
        <v>28635</v>
      </c>
      <c r="P183" s="240">
        <v>17046</v>
      </c>
      <c r="Q183" s="240"/>
      <c r="R183" s="240">
        <v>41262</v>
      </c>
      <c r="S183" s="240"/>
      <c r="T183" s="240">
        <v>13409</v>
      </c>
      <c r="U183" s="240"/>
      <c r="V183" s="240">
        <v>14097</v>
      </c>
      <c r="W183" s="240"/>
      <c r="X183" s="240"/>
      <c r="Y183" s="240">
        <v>32986</v>
      </c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16"/>
      <c r="AK183" s="216"/>
      <c r="AL183" s="216"/>
      <c r="AM183" s="216"/>
    </row>
    <row r="184" spans="1:39" ht="16.2" thickBot="1" x14ac:dyDescent="0.35">
      <c r="A184" s="262" t="s">
        <v>178</v>
      </c>
      <c r="B184" s="262" t="s">
        <v>580</v>
      </c>
      <c r="C184" s="239">
        <v>11163</v>
      </c>
      <c r="D184" s="249" t="s">
        <v>373</v>
      </c>
      <c r="E184" s="238">
        <v>11163</v>
      </c>
      <c r="F184" s="238">
        <f t="shared" si="5"/>
        <v>0</v>
      </c>
      <c r="G184" s="238">
        <v>0</v>
      </c>
      <c r="H184" s="240"/>
      <c r="I184" s="240"/>
      <c r="J184" s="240"/>
      <c r="K184" s="240"/>
      <c r="L184" s="240"/>
      <c r="M184" s="240"/>
      <c r="N184" s="240"/>
      <c r="O184" s="240" t="s">
        <v>587</v>
      </c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16"/>
      <c r="AK184" s="216"/>
      <c r="AL184" s="216"/>
      <c r="AM184" s="216"/>
    </row>
    <row r="185" spans="1:39" ht="16.2" thickBot="1" x14ac:dyDescent="0.35">
      <c r="A185" s="262" t="s">
        <v>179</v>
      </c>
      <c r="B185" s="262" t="s">
        <v>581</v>
      </c>
      <c r="C185" s="239">
        <v>1423</v>
      </c>
      <c r="D185" s="249" t="s">
        <v>373</v>
      </c>
      <c r="E185" s="238">
        <v>1423</v>
      </c>
      <c r="F185" s="238">
        <f t="shared" si="5"/>
        <v>0</v>
      </c>
      <c r="G185" s="238">
        <v>0</v>
      </c>
      <c r="H185" s="240"/>
      <c r="I185" s="240"/>
      <c r="J185" s="240"/>
      <c r="K185" s="240"/>
      <c r="L185" s="240"/>
      <c r="M185" s="240"/>
      <c r="N185" s="240"/>
      <c r="O185" s="240" t="s">
        <v>587</v>
      </c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16"/>
      <c r="AK185" s="216"/>
      <c r="AL185" s="216"/>
      <c r="AM185" s="216"/>
    </row>
    <row r="186" spans="1:39" ht="16.2" thickBot="1" x14ac:dyDescent="0.35">
      <c r="A186" s="262" t="s">
        <v>180</v>
      </c>
      <c r="B186" s="262" t="s">
        <v>582</v>
      </c>
      <c r="C186" s="239">
        <v>15869</v>
      </c>
      <c r="D186" s="249" t="s">
        <v>373</v>
      </c>
      <c r="E186" s="238">
        <v>15869</v>
      </c>
      <c r="F186" s="238">
        <f t="shared" si="5"/>
        <v>0</v>
      </c>
      <c r="G186" s="238">
        <v>0</v>
      </c>
      <c r="H186" s="240"/>
      <c r="I186" s="240"/>
      <c r="J186" s="240"/>
      <c r="K186" s="240"/>
      <c r="L186" s="240"/>
      <c r="M186" s="240"/>
      <c r="N186" s="240"/>
      <c r="O186" s="240" t="s">
        <v>587</v>
      </c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16"/>
      <c r="AK186" s="216"/>
      <c r="AL186" s="216"/>
      <c r="AM186" s="216"/>
    </row>
    <row r="187" spans="1:39" ht="16.2" thickBot="1" x14ac:dyDescent="0.35">
      <c r="A187" s="262" t="s">
        <v>181</v>
      </c>
      <c r="B187" s="262" t="s">
        <v>357</v>
      </c>
      <c r="C187" s="239">
        <v>149192</v>
      </c>
      <c r="D187" s="249" t="s">
        <v>587</v>
      </c>
      <c r="E187" s="238"/>
      <c r="F187" s="238">
        <f t="shared" si="5"/>
        <v>149192</v>
      </c>
      <c r="G187" s="238">
        <f t="shared" si="4"/>
        <v>0</v>
      </c>
      <c r="H187" s="240"/>
      <c r="I187" s="240"/>
      <c r="J187" s="240"/>
      <c r="K187" s="240"/>
      <c r="L187" s="240"/>
      <c r="M187" s="240"/>
      <c r="N187" s="240"/>
      <c r="O187" s="240">
        <v>108075</v>
      </c>
      <c r="P187" s="240"/>
      <c r="Q187" s="240"/>
      <c r="R187" s="240">
        <v>20121</v>
      </c>
      <c r="S187" s="240">
        <v>10832</v>
      </c>
      <c r="T187" s="240">
        <v>9547</v>
      </c>
      <c r="U187" s="240"/>
      <c r="V187" s="240"/>
      <c r="W187" s="240"/>
      <c r="X187" s="240"/>
      <c r="Y187" s="240"/>
      <c r="Z187" s="240"/>
      <c r="AA187" s="240"/>
      <c r="AB187" s="240">
        <v>617</v>
      </c>
      <c r="AC187" s="240"/>
      <c r="AD187" s="240"/>
      <c r="AE187" s="240"/>
      <c r="AF187" s="240"/>
      <c r="AG187" s="240"/>
      <c r="AH187" s="240"/>
      <c r="AI187" s="240"/>
      <c r="AJ187" s="216"/>
      <c r="AK187" s="216"/>
      <c r="AL187" s="216"/>
      <c r="AM187" s="216"/>
    </row>
    <row r="188" spans="1:39" ht="16.2" thickBot="1" x14ac:dyDescent="0.35">
      <c r="A188" s="262" t="s">
        <v>182</v>
      </c>
      <c r="B188" s="262" t="s">
        <v>584</v>
      </c>
      <c r="C188" s="239">
        <v>118113</v>
      </c>
      <c r="D188" s="249" t="s">
        <v>587</v>
      </c>
      <c r="E188" s="238"/>
      <c r="F188" s="238">
        <f t="shared" si="5"/>
        <v>118113</v>
      </c>
      <c r="G188" s="238">
        <f t="shared" si="4"/>
        <v>0</v>
      </c>
      <c r="H188" s="240"/>
      <c r="I188" s="240"/>
      <c r="J188" s="240"/>
      <c r="K188" s="240"/>
      <c r="L188" s="240"/>
      <c r="M188" s="240"/>
      <c r="N188" s="240"/>
      <c r="O188" s="240" t="s">
        <v>587</v>
      </c>
      <c r="P188" s="240"/>
      <c r="Q188" s="240"/>
      <c r="R188" s="240"/>
      <c r="S188" s="240">
        <v>100391</v>
      </c>
      <c r="T188" s="240">
        <v>16899</v>
      </c>
      <c r="U188" s="240"/>
      <c r="V188" s="240"/>
      <c r="W188" s="240"/>
      <c r="X188" s="240"/>
      <c r="Y188" s="240"/>
      <c r="Z188" s="240"/>
      <c r="AA188" s="240">
        <v>823</v>
      </c>
      <c r="AB188" s="240"/>
      <c r="AC188" s="240"/>
      <c r="AD188" s="240"/>
      <c r="AE188" s="240"/>
      <c r="AF188" s="240"/>
      <c r="AG188" s="240"/>
      <c r="AH188" s="240"/>
      <c r="AI188" s="240"/>
      <c r="AJ188" s="216"/>
      <c r="AK188" s="216"/>
      <c r="AL188" s="216"/>
      <c r="AM188" s="216"/>
    </row>
    <row r="189" spans="1:39" ht="16.2" thickBot="1" x14ac:dyDescent="0.35">
      <c r="A189" s="262" t="s">
        <v>183</v>
      </c>
      <c r="B189" s="262" t="s">
        <v>585</v>
      </c>
      <c r="C189" s="239">
        <v>37404</v>
      </c>
      <c r="D189" s="249" t="s">
        <v>372</v>
      </c>
      <c r="E189" s="238">
        <v>37404</v>
      </c>
      <c r="F189" s="238">
        <f t="shared" si="5"/>
        <v>0</v>
      </c>
      <c r="G189" s="238">
        <v>0</v>
      </c>
      <c r="H189" s="240"/>
      <c r="I189" s="240"/>
      <c r="J189" s="240"/>
      <c r="K189" s="240"/>
      <c r="L189" s="240"/>
      <c r="M189" s="240"/>
      <c r="N189" s="240"/>
      <c r="O189" s="240" t="s">
        <v>587</v>
      </c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16"/>
      <c r="AK189" s="216"/>
      <c r="AL189" s="216"/>
      <c r="AM189" s="216"/>
    </row>
    <row r="190" spans="1:39" ht="16.2" thickBot="1" x14ac:dyDescent="0.35">
      <c r="A190" s="262" t="s">
        <v>184</v>
      </c>
      <c r="B190" s="262" t="s">
        <v>360</v>
      </c>
      <c r="C190" s="239">
        <v>9785</v>
      </c>
      <c r="D190" s="249" t="s">
        <v>372</v>
      </c>
      <c r="E190" s="238">
        <v>9785</v>
      </c>
      <c r="F190" s="238">
        <f t="shared" si="5"/>
        <v>0</v>
      </c>
      <c r="G190" s="238">
        <v>0</v>
      </c>
      <c r="H190" s="240"/>
      <c r="I190" s="240"/>
      <c r="J190" s="240"/>
      <c r="K190" s="240"/>
      <c r="L190" s="240"/>
      <c r="M190" s="240"/>
      <c r="N190" s="240"/>
      <c r="O190" s="240" t="s">
        <v>587</v>
      </c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16"/>
      <c r="AK190" s="216"/>
      <c r="AL190" s="216"/>
      <c r="AM190" s="216"/>
    </row>
    <row r="191" spans="1:39" ht="16.2" thickBot="1" x14ac:dyDescent="0.35">
      <c r="A191" s="262" t="s">
        <v>417</v>
      </c>
      <c r="B191" s="262" t="s">
        <v>586</v>
      </c>
      <c r="C191" s="239">
        <v>1917750</v>
      </c>
      <c r="D191" s="255" t="s">
        <v>587</v>
      </c>
      <c r="E191" s="238"/>
      <c r="F191" s="238">
        <f t="shared" si="5"/>
        <v>1917750</v>
      </c>
      <c r="G191" s="238">
        <f t="shared" si="4"/>
        <v>0</v>
      </c>
      <c r="H191" s="241"/>
      <c r="I191" s="241"/>
      <c r="J191" s="241"/>
      <c r="K191" s="241"/>
      <c r="L191" s="241">
        <v>173220</v>
      </c>
      <c r="M191" s="241">
        <v>152523</v>
      </c>
      <c r="N191" s="241">
        <v>87675</v>
      </c>
      <c r="O191" s="240">
        <v>157106</v>
      </c>
      <c r="P191" s="241">
        <v>161380</v>
      </c>
      <c r="Q191" s="241">
        <v>357837</v>
      </c>
      <c r="R191" s="241">
        <v>143190</v>
      </c>
      <c r="S191" s="241">
        <v>178595</v>
      </c>
      <c r="T191" s="241">
        <v>365456</v>
      </c>
      <c r="U191" s="241"/>
      <c r="V191" s="241"/>
      <c r="W191" s="241">
        <v>11995</v>
      </c>
      <c r="X191" s="241">
        <v>127844</v>
      </c>
      <c r="Y191" s="241">
        <v>76</v>
      </c>
      <c r="Z191" s="241"/>
      <c r="AA191" s="241">
        <v>853</v>
      </c>
      <c r="AB191" s="241"/>
      <c r="AC191" s="241"/>
      <c r="AD191" s="241"/>
      <c r="AE191" s="241"/>
      <c r="AF191" s="241"/>
      <c r="AG191" s="241"/>
      <c r="AH191" s="241"/>
      <c r="AI191" s="241"/>
      <c r="AJ191" s="217"/>
      <c r="AK191" s="217"/>
      <c r="AL191" s="217"/>
      <c r="AM191" s="217"/>
    </row>
    <row r="192" spans="1:39" ht="16.2" thickBot="1" x14ac:dyDescent="0.35">
      <c r="A192" s="262" t="s">
        <v>364</v>
      </c>
      <c r="B192" s="261" t="s">
        <v>588</v>
      </c>
      <c r="C192" s="239">
        <v>86621</v>
      </c>
      <c r="D192" s="255" t="s">
        <v>587</v>
      </c>
      <c r="E192" s="238"/>
      <c r="F192" s="238">
        <f t="shared" si="5"/>
        <v>86621</v>
      </c>
      <c r="G192" s="238">
        <f t="shared" si="4"/>
        <v>0</v>
      </c>
      <c r="H192" s="241"/>
      <c r="I192" s="241"/>
      <c r="J192" s="241"/>
      <c r="K192" s="241"/>
      <c r="L192" s="241"/>
      <c r="M192" s="241"/>
      <c r="N192" s="241"/>
      <c r="O192" s="240" t="s">
        <v>587</v>
      </c>
      <c r="P192" s="241"/>
      <c r="Q192" s="241"/>
      <c r="R192" s="241"/>
      <c r="S192" s="241"/>
      <c r="T192" s="241">
        <v>55070</v>
      </c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>
        <v>31551</v>
      </c>
      <c r="AG192" s="241"/>
      <c r="AH192" s="241"/>
      <c r="AI192" s="241"/>
      <c r="AJ192" s="217"/>
      <c r="AK192" s="217"/>
      <c r="AL192" s="217"/>
      <c r="AM192" s="217"/>
    </row>
    <row r="193" spans="1:39" ht="16.2" thickBot="1" x14ac:dyDescent="0.35">
      <c r="A193" s="262" t="s">
        <v>372</v>
      </c>
      <c r="B193" s="263" t="s">
        <v>376</v>
      </c>
      <c r="C193" s="239">
        <v>783655</v>
      </c>
      <c r="D193" s="255"/>
      <c r="E193" s="238"/>
      <c r="F193" s="238">
        <f t="shared" si="5"/>
        <v>783655</v>
      </c>
      <c r="G193" s="238">
        <f t="shared" si="4"/>
        <v>0</v>
      </c>
      <c r="H193" s="241"/>
      <c r="I193" s="241"/>
      <c r="J193" s="241"/>
      <c r="K193" s="241"/>
      <c r="L193" s="241">
        <v>126051</v>
      </c>
      <c r="M193" s="241">
        <v>45620</v>
      </c>
      <c r="N193" s="241"/>
      <c r="O193" s="240">
        <v>172806</v>
      </c>
      <c r="P193" s="241">
        <v>12845</v>
      </c>
      <c r="Q193" s="241">
        <v>39384</v>
      </c>
      <c r="R193" s="241">
        <v>112496</v>
      </c>
      <c r="S193" s="241">
        <v>61841</v>
      </c>
      <c r="T193" s="241">
        <v>8019</v>
      </c>
      <c r="U193" s="241">
        <v>123178</v>
      </c>
      <c r="V193" s="241"/>
      <c r="W193" s="241"/>
      <c r="X193" s="241">
        <v>81244</v>
      </c>
      <c r="Y193" s="241">
        <v>171</v>
      </c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17"/>
      <c r="AK193" s="217"/>
      <c r="AL193" s="217"/>
      <c r="AM193" s="217"/>
    </row>
    <row r="194" spans="1:39" ht="16.2" thickBot="1" x14ac:dyDescent="0.35">
      <c r="A194" s="262" t="s">
        <v>373</v>
      </c>
      <c r="B194" s="263" t="s">
        <v>633</v>
      </c>
      <c r="C194" s="239">
        <v>752274</v>
      </c>
      <c r="D194" s="255" t="s">
        <v>587</v>
      </c>
      <c r="E194" s="238"/>
      <c r="F194" s="238">
        <f>SUM(H194:AJ194)</f>
        <v>752274</v>
      </c>
      <c r="G194" s="238">
        <f>C194-F194</f>
        <v>0</v>
      </c>
      <c r="H194" s="241"/>
      <c r="I194" s="241"/>
      <c r="J194" s="241"/>
      <c r="K194" s="241"/>
      <c r="L194" s="241"/>
      <c r="M194" s="241"/>
      <c r="N194" s="241">
        <v>154819</v>
      </c>
      <c r="O194" s="240">
        <v>36500</v>
      </c>
      <c r="P194" s="241">
        <v>60500</v>
      </c>
      <c r="Q194" s="241">
        <v>72500</v>
      </c>
      <c r="R194" s="241">
        <v>139000</v>
      </c>
      <c r="S194" s="241">
        <v>50000</v>
      </c>
      <c r="T194" s="241">
        <v>51500</v>
      </c>
      <c r="U194" s="241">
        <v>72500</v>
      </c>
      <c r="V194" s="241">
        <v>18311</v>
      </c>
      <c r="W194" s="241">
        <v>13956</v>
      </c>
      <c r="X194" s="241">
        <v>20025</v>
      </c>
      <c r="Y194" s="241">
        <v>106</v>
      </c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>
        <v>5853</v>
      </c>
      <c r="AJ194" s="217">
        <v>56704</v>
      </c>
      <c r="AK194" s="217"/>
      <c r="AL194" s="217"/>
      <c r="AM194" s="217"/>
    </row>
    <row r="195" spans="1:39" ht="16.2" thickBot="1" x14ac:dyDescent="0.35">
      <c r="A195" s="262" t="s">
        <v>374</v>
      </c>
      <c r="B195" s="214" t="s">
        <v>378</v>
      </c>
      <c r="C195" s="239">
        <v>165775</v>
      </c>
      <c r="D195" s="255" t="s">
        <v>587</v>
      </c>
      <c r="E195" s="238"/>
      <c r="F195" s="238">
        <f t="shared" si="5"/>
        <v>165775</v>
      </c>
      <c r="G195" s="238">
        <f t="shared" ref="G195:G196" si="6">C195-F195</f>
        <v>0</v>
      </c>
      <c r="H195" s="241"/>
      <c r="I195" s="241"/>
      <c r="J195" s="241"/>
      <c r="K195" s="241"/>
      <c r="L195" s="241"/>
      <c r="M195" s="241">
        <v>13699</v>
      </c>
      <c r="N195" s="241">
        <v>13975</v>
      </c>
      <c r="O195" s="240">
        <v>31661</v>
      </c>
      <c r="P195" s="241"/>
      <c r="Q195" s="241">
        <v>38517</v>
      </c>
      <c r="R195" s="241">
        <v>38156</v>
      </c>
      <c r="S195" s="241">
        <v>7531</v>
      </c>
      <c r="T195" s="241">
        <v>16564</v>
      </c>
      <c r="U195" s="241"/>
      <c r="V195" s="241"/>
      <c r="W195" s="241"/>
      <c r="X195" s="241">
        <v>5590</v>
      </c>
      <c r="Y195" s="241"/>
      <c r="Z195" s="241">
        <v>82</v>
      </c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17"/>
      <c r="AK195" s="217"/>
      <c r="AL195" s="217"/>
      <c r="AM195" s="217"/>
    </row>
    <row r="196" spans="1:39" ht="16.2" thickBot="1" x14ac:dyDescent="0.35">
      <c r="A196" s="262" t="s">
        <v>375</v>
      </c>
      <c r="B196" s="263" t="s">
        <v>634</v>
      </c>
      <c r="C196" s="239">
        <v>42295</v>
      </c>
      <c r="D196" s="255" t="s">
        <v>587</v>
      </c>
      <c r="E196" s="238"/>
      <c r="F196" s="238">
        <f t="shared" si="5"/>
        <v>41990</v>
      </c>
      <c r="G196" s="238">
        <f t="shared" si="6"/>
        <v>305</v>
      </c>
      <c r="H196" s="241"/>
      <c r="I196" s="241"/>
      <c r="J196" s="241"/>
      <c r="K196" s="241"/>
      <c r="L196" s="241"/>
      <c r="M196" s="241"/>
      <c r="N196" s="241"/>
      <c r="O196" s="240" t="s">
        <v>587</v>
      </c>
      <c r="P196" s="241"/>
      <c r="Q196" s="241"/>
      <c r="R196" s="241"/>
      <c r="S196" s="241"/>
      <c r="T196" s="241"/>
      <c r="U196" s="241"/>
      <c r="V196" s="241">
        <v>41990</v>
      </c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17"/>
      <c r="AK196" s="217"/>
      <c r="AL196" s="217"/>
      <c r="AM196" s="217"/>
    </row>
    <row r="197" spans="1:39" ht="16.2" thickBot="1" x14ac:dyDescent="0.35">
      <c r="A197" s="262"/>
      <c r="B197" s="263"/>
      <c r="C197" s="255"/>
      <c r="D197" s="255"/>
      <c r="E197" s="238"/>
      <c r="F197" s="238"/>
      <c r="G197" s="238"/>
      <c r="H197" s="241"/>
      <c r="I197" s="241"/>
      <c r="J197" s="241"/>
      <c r="K197" s="241"/>
      <c r="L197" s="241"/>
      <c r="M197" s="241"/>
      <c r="N197" s="241"/>
      <c r="O197" s="240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17"/>
      <c r="AK197" s="217"/>
      <c r="AL197" s="217"/>
      <c r="AM197" s="217"/>
    </row>
    <row r="198" spans="1:39" ht="16.2" thickBot="1" x14ac:dyDescent="0.35">
      <c r="A198" s="259" t="s">
        <v>590</v>
      </c>
      <c r="B198" s="222"/>
      <c r="C198" s="242">
        <v>142270917</v>
      </c>
      <c r="D198" s="242"/>
      <c r="E198" s="242">
        <v>1743999</v>
      </c>
      <c r="F198" s="242">
        <v>142126811</v>
      </c>
      <c r="G198" s="242">
        <f>SUM(G13:G197)</f>
        <v>81549</v>
      </c>
      <c r="H198" s="265">
        <v>0</v>
      </c>
      <c r="I198" s="265">
        <v>0</v>
      </c>
      <c r="J198" s="265">
        <v>0</v>
      </c>
      <c r="K198" s="265">
        <v>648550</v>
      </c>
      <c r="L198" s="265">
        <v>5333545</v>
      </c>
      <c r="M198" s="265">
        <v>6483605</v>
      </c>
      <c r="N198" s="265">
        <v>8982743</v>
      </c>
      <c r="O198" s="265">
        <v>19623054</v>
      </c>
      <c r="P198" s="265">
        <v>9208958</v>
      </c>
      <c r="Q198" s="265">
        <v>9510200</v>
      </c>
      <c r="R198" s="265">
        <v>17416522</v>
      </c>
      <c r="S198" s="265">
        <v>11751070</v>
      </c>
      <c r="T198" s="265">
        <v>8100316</v>
      </c>
      <c r="U198" s="265">
        <v>14049893</v>
      </c>
      <c r="V198" s="265">
        <v>6284125</v>
      </c>
      <c r="W198" s="265">
        <v>6206845</v>
      </c>
      <c r="X198" s="265">
        <v>6908226</v>
      </c>
      <c r="Y198" s="265">
        <v>9607443</v>
      </c>
      <c r="Z198" s="265">
        <v>1006740</v>
      </c>
      <c r="AA198" s="265">
        <v>93914</v>
      </c>
      <c r="AB198" s="265">
        <v>76697</v>
      </c>
      <c r="AC198" s="265">
        <v>79067</v>
      </c>
      <c r="AD198" s="265">
        <v>584185</v>
      </c>
      <c r="AE198" s="265">
        <v>70456</v>
      </c>
      <c r="AF198" s="265">
        <v>32601</v>
      </c>
      <c r="AG198" s="265">
        <v>0</v>
      </c>
      <c r="AH198" s="265">
        <v>62306</v>
      </c>
      <c r="AI198" s="265"/>
      <c r="AJ198" s="217"/>
      <c r="AK198" s="217"/>
      <c r="AL198" s="217"/>
      <c r="AM198" s="217"/>
    </row>
    <row r="199" spans="1:39" ht="18" x14ac:dyDescent="0.35">
      <c r="A199" s="258"/>
      <c r="B199" s="215"/>
      <c r="C199" s="234"/>
      <c r="D199" s="256"/>
      <c r="E199" s="215"/>
      <c r="F199" s="215"/>
      <c r="G199" s="215"/>
      <c r="H199" s="213"/>
      <c r="I199" s="213"/>
      <c r="J199" s="213"/>
      <c r="K199" s="213"/>
      <c r="L199" s="264"/>
      <c r="M199" s="236"/>
      <c r="N199" s="213"/>
      <c r="O199" s="237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</row>
    <row r="200" spans="1:39" ht="18" x14ac:dyDescent="0.35">
      <c r="A200" s="213"/>
      <c r="B200" s="213"/>
      <c r="C200" s="234"/>
      <c r="D200" s="256"/>
      <c r="E200" s="215"/>
      <c r="F200" s="266"/>
      <c r="G200" s="224"/>
      <c r="H200" s="213"/>
      <c r="I200" s="213"/>
      <c r="J200" s="236"/>
      <c r="K200" s="236"/>
      <c r="L200" s="236"/>
      <c r="M200" s="236"/>
      <c r="N200" s="236"/>
      <c r="O200" s="236"/>
      <c r="P200" s="236"/>
      <c r="Q200" s="213"/>
      <c r="R200" s="236"/>
      <c r="S200" s="236"/>
      <c r="T200" s="236"/>
      <c r="U200" s="213"/>
      <c r="V200" s="236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</row>
    <row r="201" spans="1:39" ht="18" x14ac:dyDescent="0.35">
      <c r="A201" s="213"/>
      <c r="B201" s="213"/>
      <c r="C201" s="235"/>
      <c r="D201" s="256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36"/>
      <c r="S201" s="213"/>
      <c r="T201" s="213"/>
      <c r="U201" s="236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</row>
    <row r="202" spans="1:39" x14ac:dyDescent="0.3">
      <c r="A202" s="213"/>
      <c r="B202" s="213"/>
      <c r="C202" s="235"/>
      <c r="D202" s="257"/>
      <c r="E202" s="213"/>
      <c r="F202" s="243"/>
      <c r="G202" s="243"/>
      <c r="H202" s="243"/>
      <c r="I202" s="243"/>
      <c r="J202" s="243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43"/>
      <c r="Y202" s="243"/>
      <c r="Z202" s="24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</row>
    <row r="203" spans="1:39" x14ac:dyDescent="0.3">
      <c r="A203" s="213"/>
      <c r="B203" s="213"/>
      <c r="C203" s="235"/>
      <c r="D203" s="257"/>
      <c r="E203" s="21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1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</row>
    <row r="204" spans="1:39" x14ac:dyDescent="0.3">
      <c r="A204" s="213"/>
      <c r="B204" s="213"/>
      <c r="C204" s="235"/>
      <c r="D204" s="257"/>
      <c r="E204" s="21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1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</row>
    <row r="205" spans="1:39" x14ac:dyDescent="0.3">
      <c r="A205" s="213"/>
      <c r="B205" s="213"/>
      <c r="C205" s="235"/>
      <c r="D205" s="257"/>
      <c r="E205" s="213"/>
      <c r="F205" s="243"/>
      <c r="G205" s="243"/>
      <c r="H205" s="243"/>
      <c r="I205" s="243"/>
      <c r="J205" s="243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43"/>
      <c r="Y205" s="243"/>
      <c r="Z205" s="24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</row>
    <row r="206" spans="1:39" x14ac:dyDescent="0.3">
      <c r="A206" s="213"/>
      <c r="B206" s="213"/>
      <c r="C206" s="235"/>
      <c r="D206" s="257"/>
      <c r="E206" s="21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1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</row>
    <row r="207" spans="1:39" x14ac:dyDescent="0.3">
      <c r="A207" s="213"/>
      <c r="B207" s="213"/>
      <c r="C207" s="235"/>
      <c r="D207" s="257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</row>
    <row r="208" spans="1:39" x14ac:dyDescent="0.3">
      <c r="A208" s="213"/>
      <c r="B208" s="213"/>
      <c r="C208" s="235"/>
      <c r="D208" s="257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</row>
    <row r="209" spans="3:4" x14ac:dyDescent="0.3">
      <c r="C209" s="235"/>
      <c r="D209" s="257"/>
    </row>
    <row r="210" spans="3:4" x14ac:dyDescent="0.3">
      <c r="C210" s="235"/>
      <c r="D210" s="257"/>
    </row>
    <row r="211" spans="3:4" x14ac:dyDescent="0.3">
      <c r="C211" s="235"/>
      <c r="D211" s="257"/>
    </row>
    <row r="212" spans="3:4" x14ac:dyDescent="0.3">
      <c r="C212" s="235"/>
      <c r="D212" s="257"/>
    </row>
    <row r="213" spans="3:4" x14ac:dyDescent="0.3">
      <c r="C213" s="235"/>
      <c r="D213" s="257"/>
    </row>
    <row r="214" spans="3:4" x14ac:dyDescent="0.3">
      <c r="C214" s="235"/>
      <c r="D214" s="257"/>
    </row>
    <row r="215" spans="3:4" x14ac:dyDescent="0.3">
      <c r="C215" s="235"/>
      <c r="D215" s="257"/>
    </row>
    <row r="216" spans="3:4" x14ac:dyDescent="0.3">
      <c r="C216" s="235"/>
      <c r="D216" s="257"/>
    </row>
    <row r="217" spans="3:4" x14ac:dyDescent="0.3">
      <c r="C217" s="235"/>
      <c r="D217" s="257"/>
    </row>
    <row r="218" spans="3:4" x14ac:dyDescent="0.3">
      <c r="C218" s="235"/>
      <c r="D218" s="257"/>
    </row>
    <row r="219" spans="3:4" x14ac:dyDescent="0.3">
      <c r="C219" s="213"/>
      <c r="D219" s="257"/>
    </row>
    <row r="220" spans="3:4" x14ac:dyDescent="0.3">
      <c r="C220" s="213"/>
      <c r="D220" s="257"/>
    </row>
    <row r="221" spans="3:4" x14ac:dyDescent="0.3">
      <c r="C221" s="213"/>
      <c r="D221" s="257"/>
    </row>
    <row r="222" spans="3:4" x14ac:dyDescent="0.3">
      <c r="C222" s="213"/>
      <c r="D222" s="257"/>
    </row>
    <row r="223" spans="3:4" x14ac:dyDescent="0.3">
      <c r="C223" s="213"/>
      <c r="D223" s="257"/>
    </row>
    <row r="224" spans="3:4" x14ac:dyDescent="0.3">
      <c r="C224" s="213"/>
      <c r="D224" s="257"/>
    </row>
    <row r="225" spans="4:4" x14ac:dyDescent="0.3">
      <c r="D225" s="257"/>
    </row>
    <row r="226" spans="4:4" x14ac:dyDescent="0.3">
      <c r="D226" s="257"/>
    </row>
    <row r="227" spans="4:4" x14ac:dyDescent="0.3">
      <c r="D227" s="25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9CCFF"/>
  </sheetPr>
  <dimension ref="A1:AF20"/>
  <sheetViews>
    <sheetView workbookViewId="0">
      <pane xSplit="5" ySplit="10" topLeftCell="X11" activePane="bottomRight" state="frozen"/>
      <selection activeCell="F11" sqref="F11"/>
      <selection pane="topRight" activeCell="F11" sqref="F11"/>
      <selection pane="bottomLeft" activeCell="F11" sqref="F11"/>
      <selection pane="bottomRight" activeCell="A11" sqref="A11"/>
    </sheetView>
  </sheetViews>
  <sheetFormatPr defaultColWidth="9.109375" defaultRowHeight="14.4" x14ac:dyDescent="0.3"/>
  <cols>
    <col min="1" max="1" width="9.109375" style="2"/>
    <col min="2" max="2" width="36.6640625" style="2" customWidth="1"/>
    <col min="3" max="3" width="20.88671875" style="2" customWidth="1"/>
    <col min="4" max="4" width="18.88671875" style="2" customWidth="1"/>
    <col min="5" max="5" width="17" style="2" customWidth="1"/>
    <col min="6" max="20" width="15.6640625" style="2" customWidth="1"/>
    <col min="21" max="21" width="12.5546875" style="2" bestFit="1" customWidth="1"/>
    <col min="22" max="22" width="15" style="2" bestFit="1" customWidth="1"/>
    <col min="23" max="23" width="14.6640625" style="2" bestFit="1" customWidth="1"/>
    <col min="24" max="24" width="12.109375" style="2" bestFit="1" customWidth="1"/>
    <col min="25" max="25" width="13.44140625" style="2" bestFit="1" customWidth="1"/>
    <col min="26" max="26" width="11" style="2" bestFit="1" customWidth="1"/>
    <col min="27" max="27" width="9.6640625" style="2" bestFit="1" customWidth="1"/>
    <col min="28" max="28" width="9.33203125" style="2" bestFit="1" customWidth="1"/>
    <col min="29" max="29" width="9.5546875" style="2" bestFit="1" customWidth="1"/>
    <col min="30" max="30" width="8.88671875" style="2" bestFit="1" customWidth="1"/>
    <col min="31" max="31" width="11.5546875" style="2" bestFit="1" customWidth="1"/>
    <col min="32" max="32" width="15.44140625" style="2" bestFit="1" customWidth="1"/>
    <col min="33" max="16384" width="9.109375" style="2"/>
  </cols>
  <sheetData>
    <row r="1" spans="1:32" ht="21" x14ac:dyDescent="0.35">
      <c r="A1" s="10" t="s">
        <v>0</v>
      </c>
      <c r="B1" s="11"/>
      <c r="C1" s="12" t="s">
        <v>385</v>
      </c>
      <c r="D1" s="10"/>
      <c r="E1" s="13"/>
      <c r="F1" s="14"/>
      <c r="G1" s="14"/>
      <c r="H1" s="12" t="str">
        <f>C1</f>
        <v>Title I-C Migrant</v>
      </c>
      <c r="I1" s="12"/>
      <c r="J1" s="10"/>
      <c r="K1" s="10"/>
      <c r="L1" s="13"/>
      <c r="M1" s="13"/>
      <c r="N1" s="14"/>
      <c r="O1" s="101" t="str">
        <f>C1</f>
        <v>Title I-C Migrant</v>
      </c>
      <c r="P1" s="12"/>
      <c r="Q1" s="12"/>
      <c r="R1" s="10"/>
      <c r="S1" s="10"/>
      <c r="T1" s="13"/>
      <c r="U1" s="102"/>
      <c r="V1" s="101" t="str">
        <f>C1</f>
        <v>Title I-C Migrant</v>
      </c>
      <c r="W1" s="102"/>
      <c r="X1" s="102"/>
      <c r="Y1" s="102"/>
      <c r="Z1" s="102"/>
      <c r="AA1" s="102"/>
      <c r="AB1" s="102"/>
      <c r="AC1" s="101" t="str">
        <f>C1</f>
        <v>Title I-C Migrant</v>
      </c>
      <c r="AD1" s="102"/>
      <c r="AE1" s="102"/>
      <c r="AF1" s="102"/>
    </row>
    <row r="2" spans="1:32" ht="21" x14ac:dyDescent="0.35">
      <c r="A2" s="15" t="s">
        <v>1</v>
      </c>
      <c r="B2" s="11"/>
      <c r="C2" s="16">
        <v>84.010999999999996</v>
      </c>
      <c r="D2" s="15"/>
      <c r="E2" s="17"/>
      <c r="F2" s="14"/>
      <c r="G2" s="14"/>
      <c r="H2" s="15" t="str">
        <f>"FY"&amp;C4</f>
        <v>FYFY 2016-17</v>
      </c>
      <c r="I2" s="12"/>
      <c r="J2" s="12" t="s">
        <v>387</v>
      </c>
      <c r="K2" s="18"/>
      <c r="L2" s="17"/>
      <c r="M2" s="17"/>
      <c r="N2" s="17"/>
      <c r="O2" s="104" t="str">
        <f>"FY"&amp;C4</f>
        <v>FYFY 2016-17</v>
      </c>
      <c r="P2" s="15"/>
      <c r="Q2" s="12"/>
      <c r="R2" s="12" t="s">
        <v>387</v>
      </c>
      <c r="S2" s="18"/>
      <c r="T2" s="17"/>
      <c r="U2" s="102"/>
      <c r="V2" s="104" t="str">
        <f>"FY"&amp;C4</f>
        <v>FYFY 2016-17</v>
      </c>
      <c r="W2" s="102"/>
      <c r="X2" s="102"/>
      <c r="Y2" s="102"/>
      <c r="Z2" s="102"/>
      <c r="AA2" s="102"/>
      <c r="AB2" s="102"/>
      <c r="AC2" s="104" t="str">
        <f>"FY"&amp;C4</f>
        <v>FYFY 2016-17</v>
      </c>
      <c r="AD2" s="102"/>
      <c r="AE2" s="102"/>
      <c r="AF2" s="102"/>
    </row>
    <row r="3" spans="1:32" ht="21" x14ac:dyDescent="0.35">
      <c r="A3" s="15" t="s">
        <v>3</v>
      </c>
      <c r="B3" s="11"/>
      <c r="C3" s="18">
        <v>4011</v>
      </c>
      <c r="D3" s="15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" x14ac:dyDescent="0.35">
      <c r="A4" s="15" t="s">
        <v>2</v>
      </c>
      <c r="B4" s="11"/>
      <c r="C4" s="12" t="s">
        <v>652</v>
      </c>
      <c r="D4" s="17"/>
      <c r="E4" s="1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 ht="21" x14ac:dyDescent="0.35">
      <c r="A5" s="15" t="s">
        <v>406</v>
      </c>
      <c r="B5" s="11"/>
      <c r="C5" s="97" t="s">
        <v>645</v>
      </c>
      <c r="D5" s="15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</row>
    <row r="6" spans="1:32" ht="21" x14ac:dyDescent="0.35">
      <c r="A6" s="15" t="s">
        <v>4</v>
      </c>
      <c r="B6" s="11"/>
      <c r="C6" s="15" t="s">
        <v>5</v>
      </c>
      <c r="D6" s="15"/>
      <c r="E6" s="19"/>
      <c r="F6" s="19"/>
      <c r="G6" s="19"/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</row>
    <row r="7" spans="1:32" ht="21" x14ac:dyDescent="0.35">
      <c r="A7" s="15" t="s">
        <v>380</v>
      </c>
      <c r="B7" s="11"/>
      <c r="C7" s="104" t="s">
        <v>638</v>
      </c>
      <c r="D7" s="1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</row>
    <row r="8" spans="1:32" ht="21" x14ac:dyDescent="0.35">
      <c r="A8" s="15" t="s">
        <v>381</v>
      </c>
      <c r="B8" s="11"/>
      <c r="C8" s="15" t="s">
        <v>382</v>
      </c>
      <c r="D8" s="1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</row>
    <row r="9" spans="1:32" s="7" customFormat="1" ht="21.75" thickBot="1" x14ac:dyDescent="0.4">
      <c r="A9" s="15" t="s">
        <v>407</v>
      </c>
      <c r="B9" s="11"/>
      <c r="C9" s="104" t="s">
        <v>596</v>
      </c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</row>
    <row r="10" spans="1:32" s="4" customFormat="1" ht="32.25" customHeight="1" thickBot="1" x14ac:dyDescent="0.3">
      <c r="A10" s="63" t="s">
        <v>367</v>
      </c>
      <c r="B10" s="64" t="s">
        <v>368</v>
      </c>
      <c r="C10" s="65" t="s">
        <v>369</v>
      </c>
      <c r="D10" s="64" t="s">
        <v>370</v>
      </c>
      <c r="E10" s="45" t="s">
        <v>371</v>
      </c>
      <c r="F10" s="149" t="s">
        <v>598</v>
      </c>
      <c r="G10" s="149" t="s">
        <v>599</v>
      </c>
      <c r="H10" s="149" t="s">
        <v>600</v>
      </c>
      <c r="I10" s="149" t="s">
        <v>601</v>
      </c>
      <c r="J10" s="149" t="s">
        <v>602</v>
      </c>
      <c r="K10" s="149" t="s">
        <v>603</v>
      </c>
      <c r="L10" s="149" t="s">
        <v>604</v>
      </c>
      <c r="M10" s="149" t="s">
        <v>605</v>
      </c>
      <c r="N10" s="149" t="s">
        <v>606</v>
      </c>
      <c r="O10" s="150" t="s">
        <v>607</v>
      </c>
      <c r="P10" s="149" t="s">
        <v>608</v>
      </c>
      <c r="Q10" s="149" t="s">
        <v>609</v>
      </c>
      <c r="R10" s="149" t="s">
        <v>610</v>
      </c>
      <c r="S10" s="149" t="s">
        <v>611</v>
      </c>
      <c r="T10" s="149" t="s">
        <v>612</v>
      </c>
      <c r="U10" s="149" t="s">
        <v>613</v>
      </c>
      <c r="V10" s="149" t="s">
        <v>614</v>
      </c>
      <c r="W10" s="149" t="s">
        <v>615</v>
      </c>
      <c r="X10" s="149" t="s">
        <v>616</v>
      </c>
      <c r="Y10" s="149" t="s">
        <v>617</v>
      </c>
      <c r="Z10" s="149" t="s">
        <v>618</v>
      </c>
      <c r="AA10" s="149" t="s">
        <v>619</v>
      </c>
      <c r="AB10" s="149" t="s">
        <v>620</v>
      </c>
      <c r="AC10" s="149" t="s">
        <v>621</v>
      </c>
      <c r="AD10" s="149" t="s">
        <v>622</v>
      </c>
      <c r="AE10" s="149" t="s">
        <v>623</v>
      </c>
      <c r="AF10" s="149" t="s">
        <v>624</v>
      </c>
    </row>
    <row r="11" spans="1:32" s="4" customFormat="1" ht="18" customHeight="1" thickBot="1" x14ac:dyDescent="0.3">
      <c r="A11" s="118" t="s">
        <v>21</v>
      </c>
      <c r="B11" s="109" t="s">
        <v>628</v>
      </c>
      <c r="C11" s="132">
        <f>1479932+131338</f>
        <v>1611270</v>
      </c>
      <c r="D11" s="132">
        <f>SUM(F11:AF11)</f>
        <v>1597663</v>
      </c>
      <c r="E11" s="133">
        <f t="shared" ref="E11:E15" si="0">C11-D11</f>
        <v>13607</v>
      </c>
      <c r="F11" s="153"/>
      <c r="G11" s="153"/>
      <c r="H11" s="153"/>
      <c r="I11" s="177">
        <v>289043</v>
      </c>
      <c r="J11" s="177">
        <v>88512</v>
      </c>
      <c r="K11" s="177">
        <v>98738</v>
      </c>
      <c r="L11" s="177">
        <v>113486</v>
      </c>
      <c r="M11" s="177">
        <v>104982</v>
      </c>
      <c r="N11" s="177">
        <v>132544</v>
      </c>
      <c r="O11" s="177">
        <v>130010</v>
      </c>
      <c r="P11" s="177">
        <f>117357</f>
        <v>117357</v>
      </c>
      <c r="Q11" s="177">
        <f>106446+20146</f>
        <v>126592</v>
      </c>
      <c r="R11" s="177">
        <v>146751</v>
      </c>
      <c r="S11" s="177">
        <v>20853</v>
      </c>
      <c r="T11" s="177">
        <v>44857</v>
      </c>
      <c r="U11" s="177">
        <v>183938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</row>
    <row r="12" spans="1:32" s="3" customFormat="1" ht="18" customHeight="1" thickBot="1" x14ac:dyDescent="0.35">
      <c r="A12" s="118" t="s">
        <v>114</v>
      </c>
      <c r="B12" s="38" t="s">
        <v>625</v>
      </c>
      <c r="C12" s="132">
        <v>633106</v>
      </c>
      <c r="D12" s="132">
        <f>SUM(F12:AF12)</f>
        <v>633106</v>
      </c>
      <c r="E12" s="133">
        <f t="shared" si="0"/>
        <v>0</v>
      </c>
      <c r="F12" s="86"/>
      <c r="G12" s="86"/>
      <c r="H12" s="86">
        <v>83917</v>
      </c>
      <c r="I12" s="86">
        <v>47298</v>
      </c>
      <c r="J12" s="177">
        <v>44371</v>
      </c>
      <c r="K12" s="177">
        <v>45604</v>
      </c>
      <c r="L12" s="177"/>
      <c r="M12" s="177">
        <v>52299</v>
      </c>
      <c r="N12" s="177">
        <v>55109</v>
      </c>
      <c r="O12" s="177">
        <v>33158</v>
      </c>
      <c r="P12" s="177">
        <v>44676</v>
      </c>
      <c r="Q12" s="177">
        <v>71020</v>
      </c>
      <c r="R12" s="177"/>
      <c r="S12" s="177">
        <v>123177</v>
      </c>
      <c r="T12" s="177">
        <v>32477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</row>
    <row r="13" spans="1:32" s="3" customFormat="1" ht="18" customHeight="1" thickBot="1" x14ac:dyDescent="0.35">
      <c r="A13" s="118" t="s">
        <v>144</v>
      </c>
      <c r="B13" s="109" t="s">
        <v>629</v>
      </c>
      <c r="C13" s="132">
        <v>705042</v>
      </c>
      <c r="D13" s="132">
        <f>SUM(F13:AF13)</f>
        <v>637862</v>
      </c>
      <c r="E13" s="133">
        <f t="shared" si="0"/>
        <v>67180</v>
      </c>
      <c r="F13" s="86"/>
      <c r="G13" s="86"/>
      <c r="H13" s="86">
        <v>82669</v>
      </c>
      <c r="I13" s="86">
        <v>33368</v>
      </c>
      <c r="J13" s="177">
        <v>36896</v>
      </c>
      <c r="K13" s="177">
        <v>35029</v>
      </c>
      <c r="L13" s="177">
        <v>20347</v>
      </c>
      <c r="M13" s="177">
        <v>41000</v>
      </c>
      <c r="N13" s="177">
        <v>7868</v>
      </c>
      <c r="O13" s="177">
        <v>119612</v>
      </c>
      <c r="P13" s="177">
        <v>38570</v>
      </c>
      <c r="Q13" s="177">
        <v>67180</v>
      </c>
      <c r="R13" s="177">
        <v>35700</v>
      </c>
      <c r="S13" s="177"/>
      <c r="T13" s="177">
        <f>95365+24258</f>
        <v>119623</v>
      </c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</row>
    <row r="14" spans="1:32" s="3" customFormat="1" ht="18" customHeight="1" thickBot="1" x14ac:dyDescent="0.35">
      <c r="A14" s="119" t="s">
        <v>373</v>
      </c>
      <c r="B14" s="151" t="s">
        <v>633</v>
      </c>
      <c r="C14" s="132">
        <v>2178090</v>
      </c>
      <c r="D14" s="132">
        <f>SUM(F14:AF14)</f>
        <v>2178090</v>
      </c>
      <c r="E14" s="133">
        <f t="shared" si="0"/>
        <v>0</v>
      </c>
      <c r="F14" s="86"/>
      <c r="G14" s="86">
        <v>81369</v>
      </c>
      <c r="H14" s="86">
        <v>104756</v>
      </c>
      <c r="I14" s="86">
        <v>225500</v>
      </c>
      <c r="J14" s="177">
        <v>211030</v>
      </c>
      <c r="K14" s="177">
        <v>173000</v>
      </c>
      <c r="L14" s="177">
        <v>177000</v>
      </c>
      <c r="M14" s="177">
        <v>166000</v>
      </c>
      <c r="N14" s="177">
        <v>130000</v>
      </c>
      <c r="O14" s="177">
        <v>166000</v>
      </c>
      <c r="P14" s="177">
        <f>33617+145383</f>
        <v>179000</v>
      </c>
      <c r="Q14" s="177">
        <v>152000</v>
      </c>
      <c r="R14" s="177">
        <v>155000</v>
      </c>
      <c r="S14" s="177">
        <v>249000</v>
      </c>
      <c r="T14" s="177">
        <v>8435</v>
      </c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</row>
    <row r="15" spans="1:32" s="3" customFormat="1" ht="18" customHeight="1" thickBot="1" x14ac:dyDescent="0.35">
      <c r="A15" s="119" t="s">
        <v>626</v>
      </c>
      <c r="B15" s="39" t="s">
        <v>627</v>
      </c>
      <c r="C15" s="132">
        <v>999951</v>
      </c>
      <c r="D15" s="132">
        <f>SUM(F15:AF15)</f>
        <v>843907</v>
      </c>
      <c r="E15" s="133">
        <f t="shared" si="0"/>
        <v>156044</v>
      </c>
      <c r="F15" s="86"/>
      <c r="G15" s="86"/>
      <c r="H15" s="131"/>
      <c r="I15" s="131">
        <f>26105+31439</f>
        <v>57544</v>
      </c>
      <c r="J15" s="177">
        <v>33794</v>
      </c>
      <c r="K15" s="177">
        <v>60162</v>
      </c>
      <c r="L15" s="177">
        <v>51053</v>
      </c>
      <c r="M15" s="177">
        <v>76352</v>
      </c>
      <c r="N15" s="177"/>
      <c r="O15" s="177">
        <f>43017+52047</f>
        <v>95064</v>
      </c>
      <c r="P15" s="177"/>
      <c r="Q15" s="177">
        <f>63971+62404</f>
        <v>126375</v>
      </c>
      <c r="R15" s="177">
        <v>203757</v>
      </c>
      <c r="S15" s="177"/>
      <c r="T15" s="177">
        <v>60205</v>
      </c>
      <c r="U15" s="177">
        <f>62176+17425</f>
        <v>79601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</row>
    <row r="16" spans="1:32" s="7" customFormat="1" ht="18" customHeight="1" thickBot="1" x14ac:dyDescent="0.3">
      <c r="A16" s="98"/>
      <c r="B16" s="73"/>
      <c r="C16" s="135"/>
      <c r="D16" s="135"/>
      <c r="E16" s="13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1:32" s="75" customFormat="1" ht="18" customHeight="1" x14ac:dyDescent="0.25">
      <c r="A17" s="99" t="s">
        <v>590</v>
      </c>
      <c r="B17" s="74"/>
      <c r="C17" s="137">
        <f>SUM(C11:C15)</f>
        <v>6127459</v>
      </c>
      <c r="D17" s="137">
        <f>SUM(D11:D15)</f>
        <v>5890628</v>
      </c>
      <c r="E17" s="137">
        <f t="shared" ref="E17:AF17" si="1">SUM(E11:E15)</f>
        <v>236831</v>
      </c>
      <c r="F17" s="137">
        <f t="shared" si="1"/>
        <v>0</v>
      </c>
      <c r="G17" s="137">
        <f t="shared" si="1"/>
        <v>81369</v>
      </c>
      <c r="H17" s="137">
        <f t="shared" si="1"/>
        <v>271342</v>
      </c>
      <c r="I17" s="137">
        <f t="shared" si="1"/>
        <v>652753</v>
      </c>
      <c r="J17" s="137">
        <f t="shared" si="1"/>
        <v>414603</v>
      </c>
      <c r="K17" s="137">
        <f t="shared" si="1"/>
        <v>412533</v>
      </c>
      <c r="L17" s="137">
        <f t="shared" si="1"/>
        <v>361886</v>
      </c>
      <c r="M17" s="137">
        <f t="shared" si="1"/>
        <v>440633</v>
      </c>
      <c r="N17" s="137">
        <f t="shared" si="1"/>
        <v>325521</v>
      </c>
      <c r="O17" s="137">
        <f t="shared" si="1"/>
        <v>543844</v>
      </c>
      <c r="P17" s="137">
        <f t="shared" si="1"/>
        <v>379603</v>
      </c>
      <c r="Q17" s="137">
        <f t="shared" si="1"/>
        <v>543167</v>
      </c>
      <c r="R17" s="137">
        <f t="shared" si="1"/>
        <v>541208</v>
      </c>
      <c r="S17" s="137">
        <f t="shared" si="1"/>
        <v>393030</v>
      </c>
      <c r="T17" s="137">
        <f t="shared" si="1"/>
        <v>265597</v>
      </c>
      <c r="U17" s="137">
        <f t="shared" si="1"/>
        <v>263539</v>
      </c>
      <c r="V17" s="137">
        <f t="shared" si="1"/>
        <v>0</v>
      </c>
      <c r="W17" s="137">
        <f t="shared" si="1"/>
        <v>0</v>
      </c>
      <c r="X17" s="137">
        <f t="shared" si="1"/>
        <v>0</v>
      </c>
      <c r="Y17" s="137">
        <f t="shared" si="1"/>
        <v>0</v>
      </c>
      <c r="Z17" s="137">
        <f t="shared" si="1"/>
        <v>0</v>
      </c>
      <c r="AA17" s="137">
        <f t="shared" si="1"/>
        <v>0</v>
      </c>
      <c r="AB17" s="137">
        <f t="shared" si="1"/>
        <v>0</v>
      </c>
      <c r="AC17" s="137">
        <f t="shared" si="1"/>
        <v>0</v>
      </c>
      <c r="AD17" s="137">
        <f t="shared" si="1"/>
        <v>0</v>
      </c>
      <c r="AE17" s="137">
        <f t="shared" si="1"/>
        <v>0</v>
      </c>
      <c r="AF17" s="137">
        <f t="shared" si="1"/>
        <v>0</v>
      </c>
    </row>
    <row r="19" spans="1:32" ht="15" x14ac:dyDescent="0.25">
      <c r="O19" s="100"/>
    </row>
    <row r="20" spans="1:32" ht="15" x14ac:dyDescent="0.25">
      <c r="Q20" s="100"/>
    </row>
  </sheetData>
  <sheetProtection password="E89A" sheet="1" objects="1" scenarios="1"/>
  <sortState ref="A11:AF199">
    <sortCondition ref="A1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9CCFF"/>
  </sheetPr>
  <dimension ref="A1:AF33"/>
  <sheetViews>
    <sheetView workbookViewId="0">
      <pane xSplit="5" ySplit="10" topLeftCell="N11" activePane="bottomRight" state="frozen"/>
      <selection activeCell="F11" sqref="F11"/>
      <selection pane="topRight" activeCell="F11" sqref="F11"/>
      <selection pane="bottomLeft" activeCell="F11" sqref="F11"/>
      <selection pane="bottomRight" activeCell="A18" sqref="A18"/>
    </sheetView>
  </sheetViews>
  <sheetFormatPr defaultRowHeight="14.4" x14ac:dyDescent="0.3"/>
  <cols>
    <col min="1" max="1" width="9.109375" style="7" customWidth="1"/>
    <col min="2" max="2" width="36.6640625" style="7" customWidth="1"/>
    <col min="3" max="3" width="20.88671875" style="7" customWidth="1"/>
    <col min="4" max="4" width="18.88671875" style="7" customWidth="1"/>
    <col min="5" max="5" width="17" style="7" customWidth="1"/>
    <col min="6" max="32" width="15.6640625" customWidth="1"/>
  </cols>
  <sheetData>
    <row r="1" spans="1:32" ht="21" x14ac:dyDescent="0.35">
      <c r="A1" s="10" t="s">
        <v>0</v>
      </c>
      <c r="B1" s="11"/>
      <c r="C1" s="12" t="s">
        <v>383</v>
      </c>
      <c r="D1" s="10"/>
      <c r="E1" s="13"/>
      <c r="F1" s="14"/>
      <c r="G1" s="14"/>
      <c r="H1" s="12" t="str">
        <f>C1</f>
        <v>Title I-D Delinquent</v>
      </c>
      <c r="I1" s="12"/>
      <c r="J1" s="10"/>
      <c r="K1" s="10"/>
      <c r="L1" s="13"/>
      <c r="M1" s="13"/>
      <c r="N1" s="14"/>
      <c r="O1" s="101" t="str">
        <f>C1</f>
        <v>Title I-D Delinquent</v>
      </c>
      <c r="P1" s="12"/>
      <c r="Q1" s="12"/>
      <c r="R1" s="10"/>
      <c r="S1" s="10"/>
      <c r="T1" s="13"/>
      <c r="U1" s="13"/>
      <c r="V1" s="101" t="str">
        <f>C1</f>
        <v>Title I-D Delinquent</v>
      </c>
      <c r="W1" s="14"/>
      <c r="X1" s="12"/>
      <c r="Y1" s="12"/>
      <c r="Z1" s="10"/>
      <c r="AA1" s="10"/>
      <c r="AB1" s="13"/>
      <c r="AC1" s="101" t="str">
        <f>C1</f>
        <v>Title I-D Delinquent</v>
      </c>
      <c r="AD1" s="14"/>
      <c r="AE1" s="14"/>
      <c r="AF1" s="12"/>
    </row>
    <row r="2" spans="1:32" ht="15.75" x14ac:dyDescent="0.25">
      <c r="A2" s="15" t="s">
        <v>1</v>
      </c>
      <c r="B2" s="11"/>
      <c r="C2" s="16" t="s">
        <v>365</v>
      </c>
      <c r="D2" s="15"/>
      <c r="E2" s="17"/>
      <c r="F2" s="14"/>
      <c r="G2" s="14"/>
      <c r="H2" s="15" t="str">
        <f>"FY"&amp;C4</f>
        <v>FYFY16-17</v>
      </c>
      <c r="I2" s="15"/>
      <c r="J2" s="18"/>
      <c r="K2" s="18"/>
      <c r="L2" s="17"/>
      <c r="M2" s="17"/>
      <c r="N2" s="17"/>
      <c r="O2" s="104" t="str">
        <f>"FY"&amp;C4</f>
        <v>FYFY16-17</v>
      </c>
      <c r="P2" s="15"/>
      <c r="Q2" s="15"/>
      <c r="R2" s="18"/>
      <c r="S2" s="18"/>
      <c r="T2" s="17"/>
      <c r="U2" s="17"/>
      <c r="V2" s="104" t="str">
        <f>"FY"&amp;C4</f>
        <v>FYFY16-17</v>
      </c>
      <c r="W2" s="17"/>
      <c r="X2" s="15"/>
      <c r="Y2" s="15"/>
      <c r="Z2" s="18"/>
      <c r="AA2" s="18"/>
      <c r="AB2" s="17"/>
      <c r="AC2" s="104" t="str">
        <f>"FY"&amp;C4</f>
        <v>FYFY16-17</v>
      </c>
      <c r="AD2" s="17"/>
      <c r="AE2" s="17"/>
      <c r="AF2" s="15"/>
    </row>
    <row r="3" spans="1:32" ht="15.75" x14ac:dyDescent="0.25">
      <c r="A3" s="15" t="s">
        <v>3</v>
      </c>
      <c r="B3" s="11"/>
      <c r="C3" s="18" t="s">
        <v>384</v>
      </c>
      <c r="D3" s="15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.75" x14ac:dyDescent="0.25">
      <c r="A4" s="15" t="s">
        <v>2</v>
      </c>
      <c r="B4" s="11"/>
      <c r="C4" s="18" t="s">
        <v>653</v>
      </c>
      <c r="D4" s="17"/>
      <c r="E4" s="1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.75" x14ac:dyDescent="0.25">
      <c r="A5" s="15" t="s">
        <v>406</v>
      </c>
      <c r="B5" s="11"/>
      <c r="C5" s="97" t="s">
        <v>645</v>
      </c>
      <c r="D5" s="15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5.75" x14ac:dyDescent="0.25">
      <c r="A6" s="15" t="s">
        <v>4</v>
      </c>
      <c r="B6" s="11"/>
      <c r="C6" s="97" t="s">
        <v>366</v>
      </c>
      <c r="D6" s="15"/>
      <c r="E6" s="19"/>
      <c r="F6" s="19"/>
      <c r="G6" s="19"/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5.75" x14ac:dyDescent="0.25">
      <c r="A7" s="15" t="s">
        <v>380</v>
      </c>
      <c r="B7" s="11"/>
      <c r="C7" s="104" t="s">
        <v>639</v>
      </c>
      <c r="D7" s="1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15.75" x14ac:dyDescent="0.25">
      <c r="A8" s="15" t="s">
        <v>381</v>
      </c>
      <c r="B8" s="11"/>
      <c r="C8" s="15" t="s">
        <v>382</v>
      </c>
      <c r="D8" s="1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6.5" thickBot="1" x14ac:dyDescent="0.3">
      <c r="A9" s="15" t="s">
        <v>407</v>
      </c>
      <c r="B9" s="11"/>
      <c r="C9" s="104" t="s">
        <v>595</v>
      </c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32.25" customHeight="1" thickBot="1" x14ac:dyDescent="0.35">
      <c r="A10" s="63" t="s">
        <v>367</v>
      </c>
      <c r="B10" s="64" t="s">
        <v>368</v>
      </c>
      <c r="C10" s="64" t="s">
        <v>369</v>
      </c>
      <c r="D10" s="64" t="s">
        <v>370</v>
      </c>
      <c r="E10" s="58" t="s">
        <v>371</v>
      </c>
      <c r="F10" s="149" t="s">
        <v>598</v>
      </c>
      <c r="G10" s="149" t="s">
        <v>599</v>
      </c>
      <c r="H10" s="149" t="s">
        <v>600</v>
      </c>
      <c r="I10" s="149" t="s">
        <v>601</v>
      </c>
      <c r="J10" s="149" t="s">
        <v>602</v>
      </c>
      <c r="K10" s="149" t="s">
        <v>603</v>
      </c>
      <c r="L10" s="149" t="s">
        <v>604</v>
      </c>
      <c r="M10" s="149" t="s">
        <v>605</v>
      </c>
      <c r="N10" s="149" t="s">
        <v>606</v>
      </c>
      <c r="O10" s="150" t="s">
        <v>607</v>
      </c>
      <c r="P10" s="149" t="s">
        <v>608</v>
      </c>
      <c r="Q10" s="149" t="s">
        <v>609</v>
      </c>
      <c r="R10" s="149" t="s">
        <v>610</v>
      </c>
      <c r="S10" s="149" t="s">
        <v>611</v>
      </c>
      <c r="T10" s="149" t="s">
        <v>612</v>
      </c>
      <c r="U10" s="149" t="s">
        <v>613</v>
      </c>
      <c r="V10" s="149" t="s">
        <v>614</v>
      </c>
      <c r="W10" s="149" t="s">
        <v>615</v>
      </c>
      <c r="X10" s="149" t="s">
        <v>616</v>
      </c>
      <c r="Y10" s="149" t="s">
        <v>617</v>
      </c>
      <c r="Z10" s="149" t="s">
        <v>618</v>
      </c>
      <c r="AA10" s="149" t="s">
        <v>619</v>
      </c>
      <c r="AB10" s="149" t="s">
        <v>620</v>
      </c>
      <c r="AC10" s="149" t="s">
        <v>621</v>
      </c>
      <c r="AD10" s="149" t="s">
        <v>622</v>
      </c>
      <c r="AE10" s="149" t="s">
        <v>623</v>
      </c>
      <c r="AF10" s="149" t="s">
        <v>624</v>
      </c>
    </row>
    <row r="11" spans="1:32" ht="16.5" hidden="1" thickBot="1" x14ac:dyDescent="0.3">
      <c r="A11" s="23" t="s">
        <v>7</v>
      </c>
      <c r="B11" s="24" t="s">
        <v>185</v>
      </c>
      <c r="C11" s="78">
        <v>0</v>
      </c>
      <c r="D11" s="55">
        <f t="shared" ref="D11:D29" si="0">SUM(F11:AF11)</f>
        <v>0</v>
      </c>
      <c r="E11" s="59">
        <f t="shared" ref="E11:E29" si="1">C11-D11</f>
        <v>0</v>
      </c>
    </row>
    <row r="12" spans="1:32" ht="16.5" hidden="1" thickBot="1" x14ac:dyDescent="0.3">
      <c r="A12" s="40" t="s">
        <v>8</v>
      </c>
      <c r="B12" s="41" t="s">
        <v>186</v>
      </c>
      <c r="C12" s="78">
        <v>0</v>
      </c>
      <c r="D12" s="57">
        <f t="shared" si="0"/>
        <v>0</v>
      </c>
      <c r="E12" s="60">
        <f t="shared" si="1"/>
        <v>0</v>
      </c>
    </row>
    <row r="13" spans="1:32" ht="16.5" hidden="1" thickBot="1" x14ac:dyDescent="0.3">
      <c r="A13" s="42" t="s">
        <v>9</v>
      </c>
      <c r="B13" s="43" t="s">
        <v>187</v>
      </c>
      <c r="C13" s="78">
        <v>0</v>
      </c>
      <c r="D13" s="56">
        <f t="shared" si="0"/>
        <v>0</v>
      </c>
      <c r="E13" s="61">
        <f t="shared" si="1"/>
        <v>0</v>
      </c>
    </row>
    <row r="14" spans="1:32" ht="16.5" hidden="1" thickBot="1" x14ac:dyDescent="0.3">
      <c r="A14" s="42" t="s">
        <v>10</v>
      </c>
      <c r="B14" s="43" t="s">
        <v>188</v>
      </c>
      <c r="C14" s="78">
        <v>0</v>
      </c>
      <c r="D14" s="54">
        <f t="shared" si="0"/>
        <v>0</v>
      </c>
      <c r="E14" s="62">
        <f t="shared" si="1"/>
        <v>0</v>
      </c>
    </row>
    <row r="15" spans="1:32" ht="16.5" hidden="1" thickBot="1" x14ac:dyDescent="0.3">
      <c r="A15" s="42" t="s">
        <v>11</v>
      </c>
      <c r="B15" s="43" t="s">
        <v>189</v>
      </c>
      <c r="C15" s="78">
        <v>0</v>
      </c>
      <c r="D15" s="54">
        <f t="shared" si="0"/>
        <v>0</v>
      </c>
      <c r="E15" s="62">
        <f t="shared" si="1"/>
        <v>0</v>
      </c>
    </row>
    <row r="16" spans="1:32" ht="16.5" hidden="1" thickBot="1" x14ac:dyDescent="0.3">
      <c r="A16" s="42" t="s">
        <v>12</v>
      </c>
      <c r="B16" s="43" t="s">
        <v>190</v>
      </c>
      <c r="C16" s="78">
        <v>0</v>
      </c>
      <c r="D16" s="54">
        <f t="shared" si="0"/>
        <v>0</v>
      </c>
      <c r="E16" s="62">
        <f t="shared" si="1"/>
        <v>0</v>
      </c>
    </row>
    <row r="17" spans="1:32" ht="16.5" hidden="1" thickBot="1" x14ac:dyDescent="0.3">
      <c r="A17" s="79" t="s">
        <v>13</v>
      </c>
      <c r="B17" s="80" t="s">
        <v>191</v>
      </c>
      <c r="C17" s="78">
        <v>0</v>
      </c>
      <c r="D17" s="54">
        <f t="shared" si="0"/>
        <v>0</v>
      </c>
      <c r="E17" s="62">
        <f t="shared" si="1"/>
        <v>0</v>
      </c>
    </row>
    <row r="18" spans="1:32" ht="18" customHeight="1" thickBot="1" x14ac:dyDescent="0.35">
      <c r="A18" s="193" t="s">
        <v>14</v>
      </c>
      <c r="B18" s="262" t="s">
        <v>429</v>
      </c>
      <c r="C18" s="138">
        <v>14040</v>
      </c>
      <c r="D18" s="139">
        <f t="shared" si="0"/>
        <v>14040</v>
      </c>
      <c r="E18" s="140">
        <f t="shared" si="1"/>
        <v>0</v>
      </c>
      <c r="F18" s="117"/>
      <c r="G18" s="117"/>
      <c r="H18" s="117"/>
      <c r="I18" s="117"/>
      <c r="J18" s="86"/>
      <c r="K18" s="86"/>
      <c r="L18" s="86"/>
      <c r="M18" s="86"/>
      <c r="N18" s="86"/>
      <c r="O18" s="86">
        <v>2633</v>
      </c>
      <c r="P18" s="86">
        <v>1600</v>
      </c>
      <c r="Q18" s="86"/>
      <c r="R18" s="86">
        <v>3952</v>
      </c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>
        <v>5855</v>
      </c>
      <c r="AD18" s="86"/>
      <c r="AE18" s="86"/>
      <c r="AF18" s="86"/>
    </row>
    <row r="19" spans="1:32" ht="18" customHeight="1" thickBot="1" x14ac:dyDescent="0.35">
      <c r="A19" s="193" t="s">
        <v>21</v>
      </c>
      <c r="B19" s="157" t="s">
        <v>199</v>
      </c>
      <c r="C19" s="138">
        <v>91257</v>
      </c>
      <c r="D19" s="139">
        <f t="shared" si="0"/>
        <v>91257</v>
      </c>
      <c r="E19" s="140">
        <f t="shared" si="1"/>
        <v>0</v>
      </c>
      <c r="F19" s="117"/>
      <c r="G19" s="117"/>
      <c r="H19" s="117"/>
      <c r="I19" s="117"/>
      <c r="J19" s="86">
        <v>15012</v>
      </c>
      <c r="K19" s="86">
        <v>7818</v>
      </c>
      <c r="L19" s="86">
        <v>10932</v>
      </c>
      <c r="M19" s="86">
        <v>8034</v>
      </c>
      <c r="N19" s="86">
        <v>7822</v>
      </c>
      <c r="O19" s="86">
        <v>7821</v>
      </c>
      <c r="P19" s="86">
        <v>11953</v>
      </c>
      <c r="Q19" s="86">
        <v>8007</v>
      </c>
      <c r="R19" s="86">
        <v>13854</v>
      </c>
      <c r="S19" s="86"/>
      <c r="T19" s="86"/>
      <c r="U19" s="86"/>
      <c r="V19" s="86"/>
      <c r="W19" s="86">
        <v>4</v>
      </c>
      <c r="X19" s="86"/>
      <c r="Y19" s="86"/>
      <c r="Z19" s="86"/>
      <c r="AA19" s="86"/>
      <c r="AB19" s="86"/>
      <c r="AC19" s="86"/>
      <c r="AD19" s="86"/>
      <c r="AE19" s="86"/>
      <c r="AF19" s="86"/>
    </row>
    <row r="20" spans="1:32" ht="18" customHeight="1" thickBot="1" x14ac:dyDescent="0.35">
      <c r="A20" s="193" t="s">
        <v>46</v>
      </c>
      <c r="B20" s="262" t="s">
        <v>224</v>
      </c>
      <c r="C20" s="138">
        <v>584391</v>
      </c>
      <c r="D20" s="139">
        <f t="shared" si="0"/>
        <v>584391</v>
      </c>
      <c r="E20" s="140">
        <f t="shared" si="1"/>
        <v>0</v>
      </c>
      <c r="F20" s="117"/>
      <c r="G20" s="117"/>
      <c r="H20" s="117"/>
      <c r="I20" s="117"/>
      <c r="J20" s="86"/>
      <c r="K20" s="86">
        <v>67668</v>
      </c>
      <c r="L20" s="86">
        <v>92234</v>
      </c>
      <c r="M20" s="86"/>
      <c r="N20" s="86"/>
      <c r="O20" s="86">
        <v>81971</v>
      </c>
      <c r="P20" s="86">
        <v>96809</v>
      </c>
      <c r="Q20" s="86">
        <v>21312</v>
      </c>
      <c r="R20" s="86"/>
      <c r="S20" s="86">
        <v>156056</v>
      </c>
      <c r="T20" s="86"/>
      <c r="U20" s="86"/>
      <c r="V20" s="86">
        <v>56201</v>
      </c>
      <c r="W20" s="86">
        <v>12140</v>
      </c>
      <c r="X20" s="86"/>
      <c r="Y20" s="86"/>
      <c r="Z20" s="86"/>
      <c r="AA20" s="86"/>
      <c r="AB20" s="86"/>
      <c r="AC20" s="86"/>
      <c r="AD20" s="86"/>
      <c r="AE20" s="86"/>
      <c r="AF20" s="86"/>
    </row>
    <row r="21" spans="1:32" ht="18" customHeight="1" thickBot="1" x14ac:dyDescent="0.35">
      <c r="A21" s="193" t="s">
        <v>59</v>
      </c>
      <c r="B21" s="262" t="s">
        <v>237</v>
      </c>
      <c r="C21" s="138">
        <v>49137</v>
      </c>
      <c r="D21" s="139">
        <f t="shared" si="0"/>
        <v>49137</v>
      </c>
      <c r="E21" s="140">
        <f t="shared" si="1"/>
        <v>0</v>
      </c>
      <c r="F21" s="117"/>
      <c r="G21" s="117"/>
      <c r="H21" s="117"/>
      <c r="I21" s="117"/>
      <c r="J21" s="86"/>
      <c r="K21" s="86">
        <v>8003</v>
      </c>
      <c r="L21" s="86">
        <v>4896</v>
      </c>
      <c r="M21" s="86">
        <v>1355</v>
      </c>
      <c r="N21" s="86"/>
      <c r="O21" s="86"/>
      <c r="P21" s="86"/>
      <c r="Q21" s="86">
        <v>1785</v>
      </c>
      <c r="R21" s="86"/>
      <c r="S21" s="86"/>
      <c r="T21" s="86">
        <v>8033</v>
      </c>
      <c r="U21" s="86"/>
      <c r="V21" s="86"/>
      <c r="W21" s="86"/>
      <c r="X21" s="86">
        <v>2701</v>
      </c>
      <c r="Y21" s="86">
        <v>3735</v>
      </c>
      <c r="Z21" s="86"/>
      <c r="AA21" s="86">
        <v>6080</v>
      </c>
      <c r="AB21" s="86">
        <v>4357</v>
      </c>
      <c r="AC21" s="86">
        <v>5063</v>
      </c>
      <c r="AD21" s="86"/>
      <c r="AE21" s="86"/>
      <c r="AF21" s="86">
        <v>3129</v>
      </c>
    </row>
    <row r="22" spans="1:32" ht="18" customHeight="1" thickBot="1" x14ac:dyDescent="0.35">
      <c r="A22" s="193" t="s">
        <v>70</v>
      </c>
      <c r="B22" s="262" t="s">
        <v>474</v>
      </c>
      <c r="C22" s="138">
        <v>168472</v>
      </c>
      <c r="D22" s="139">
        <f t="shared" si="0"/>
        <v>168472</v>
      </c>
      <c r="E22" s="140">
        <f t="shared" si="1"/>
        <v>0</v>
      </c>
      <c r="F22" s="117"/>
      <c r="G22" s="117"/>
      <c r="H22" s="117"/>
      <c r="I22" s="117"/>
      <c r="J22" s="86"/>
      <c r="K22" s="86">
        <v>5547</v>
      </c>
      <c r="L22" s="86"/>
      <c r="M22" s="86"/>
      <c r="N22" s="86">
        <v>18661</v>
      </c>
      <c r="O22" s="86"/>
      <c r="P22" s="86"/>
      <c r="Q22" s="86">
        <v>38634</v>
      </c>
      <c r="R22" s="86"/>
      <c r="S22" s="86">
        <v>54165</v>
      </c>
      <c r="T22" s="86"/>
      <c r="U22" s="86"/>
      <c r="V22" s="86"/>
      <c r="W22" s="86"/>
      <c r="X22" s="86">
        <v>51465</v>
      </c>
      <c r="Y22" s="86"/>
      <c r="Z22" s="86"/>
      <c r="AA22" s="86"/>
      <c r="AB22" s="86"/>
      <c r="AC22" s="86"/>
      <c r="AD22" s="86"/>
      <c r="AE22" s="86"/>
      <c r="AF22" s="86"/>
    </row>
    <row r="23" spans="1:32" ht="18" customHeight="1" thickBot="1" x14ac:dyDescent="0.35">
      <c r="A23" s="193" t="s">
        <v>84</v>
      </c>
      <c r="B23" s="262" t="s">
        <v>262</v>
      </c>
      <c r="C23" s="138">
        <v>33345</v>
      </c>
      <c r="D23" s="139">
        <f t="shared" si="0"/>
        <v>33345</v>
      </c>
      <c r="E23" s="140">
        <f t="shared" si="1"/>
        <v>0</v>
      </c>
      <c r="F23" s="117"/>
      <c r="G23" s="117"/>
      <c r="H23" s="117"/>
      <c r="I23" s="117"/>
      <c r="J23" s="86"/>
      <c r="K23" s="86"/>
      <c r="L23" s="86"/>
      <c r="M23" s="86"/>
      <c r="N23" s="86"/>
      <c r="O23" s="86"/>
      <c r="P23" s="86">
        <v>27662</v>
      </c>
      <c r="Q23" s="86"/>
      <c r="R23" s="86"/>
      <c r="S23" s="86">
        <v>5680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>
        <v>3</v>
      </c>
      <c r="AE23" s="86"/>
      <c r="AF23" s="86"/>
    </row>
    <row r="24" spans="1:32" ht="18" customHeight="1" thickBot="1" x14ac:dyDescent="0.35">
      <c r="A24" s="193" t="s">
        <v>93</v>
      </c>
      <c r="B24" s="262" t="s">
        <v>271</v>
      </c>
      <c r="C24" s="138">
        <v>15194</v>
      </c>
      <c r="D24" s="139">
        <f t="shared" si="0"/>
        <v>15194</v>
      </c>
      <c r="E24" s="140">
        <f t="shared" si="1"/>
        <v>0</v>
      </c>
      <c r="F24" s="117"/>
      <c r="G24" s="117"/>
      <c r="H24" s="117"/>
      <c r="I24" s="117"/>
      <c r="J24" s="86"/>
      <c r="K24" s="86"/>
      <c r="L24" s="86"/>
      <c r="M24" s="86"/>
      <c r="N24" s="86">
        <v>15194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ht="18" customHeight="1" thickBot="1" x14ac:dyDescent="0.35">
      <c r="A25" s="193" t="s">
        <v>96</v>
      </c>
      <c r="B25" s="262" t="s">
        <v>274</v>
      </c>
      <c r="C25" s="138">
        <v>41023</v>
      </c>
      <c r="D25" s="139">
        <f t="shared" si="0"/>
        <v>41023</v>
      </c>
      <c r="E25" s="140">
        <f t="shared" si="1"/>
        <v>0</v>
      </c>
      <c r="F25" s="117"/>
      <c r="G25" s="117"/>
      <c r="H25" s="117"/>
      <c r="I25" s="117"/>
      <c r="J25" s="86"/>
      <c r="K25" s="86"/>
      <c r="L25" s="86"/>
      <c r="M25" s="86">
        <v>6727</v>
      </c>
      <c r="N25" s="86"/>
      <c r="O25" s="86"/>
      <c r="P25" s="86">
        <v>10515</v>
      </c>
      <c r="Q25" s="86"/>
      <c r="R25" s="86"/>
      <c r="S25" s="86">
        <v>7032</v>
      </c>
      <c r="T25" s="86"/>
      <c r="U25" s="86">
        <v>4174</v>
      </c>
      <c r="V25" s="86">
        <v>3829</v>
      </c>
      <c r="W25" s="86"/>
      <c r="X25" s="86"/>
      <c r="Y25" s="86">
        <v>6019</v>
      </c>
      <c r="Z25" s="86"/>
      <c r="AA25" s="86"/>
      <c r="AB25" s="86">
        <v>2727</v>
      </c>
      <c r="AC25" s="86"/>
      <c r="AD25" s="86"/>
      <c r="AE25" s="86"/>
      <c r="AF25" s="86"/>
    </row>
    <row r="26" spans="1:32" ht="18" customHeight="1" thickBot="1" x14ac:dyDescent="0.35">
      <c r="A26" s="193" t="s">
        <v>114</v>
      </c>
      <c r="B26" s="262" t="s">
        <v>292</v>
      </c>
      <c r="C26" s="138">
        <v>35101</v>
      </c>
      <c r="D26" s="139">
        <f t="shared" si="0"/>
        <v>35101</v>
      </c>
      <c r="E26" s="140">
        <f t="shared" si="1"/>
        <v>0</v>
      </c>
      <c r="F26" s="117"/>
      <c r="G26" s="117"/>
      <c r="H26" s="117"/>
      <c r="I26" s="117"/>
      <c r="J26" s="86"/>
      <c r="K26" s="86"/>
      <c r="L26" s="86">
        <f>1390+278</f>
        <v>1668</v>
      </c>
      <c r="M26" s="86"/>
      <c r="N26" s="86">
        <v>6389</v>
      </c>
      <c r="O26" s="86">
        <v>4310</v>
      </c>
      <c r="P26" s="86"/>
      <c r="Q26" s="86">
        <v>2427</v>
      </c>
      <c r="R26" s="86"/>
      <c r="S26" s="86"/>
      <c r="T26" s="86"/>
      <c r="U26" s="86">
        <v>17930</v>
      </c>
      <c r="V26" s="86">
        <v>1620</v>
      </c>
      <c r="W26" s="86"/>
      <c r="X26" s="86">
        <v>757</v>
      </c>
      <c r="Y26" s="86"/>
      <c r="Z26" s="86"/>
      <c r="AA26" s="86"/>
      <c r="AB26" s="86"/>
      <c r="AC26" s="86"/>
      <c r="AD26" s="86"/>
      <c r="AE26" s="86"/>
      <c r="AF26" s="86"/>
    </row>
    <row r="27" spans="1:32" ht="18" customHeight="1" thickBot="1" x14ac:dyDescent="0.35">
      <c r="A27" s="193" t="s">
        <v>143</v>
      </c>
      <c r="B27" s="262" t="s">
        <v>321</v>
      </c>
      <c r="C27" s="138">
        <v>84237</v>
      </c>
      <c r="D27" s="139">
        <f t="shared" si="0"/>
        <v>98212</v>
      </c>
      <c r="E27" s="140">
        <f t="shared" si="1"/>
        <v>-13975</v>
      </c>
      <c r="F27" s="117"/>
      <c r="G27" s="117"/>
      <c r="H27" s="117"/>
      <c r="I27" s="117"/>
      <c r="J27" s="86"/>
      <c r="K27" s="86"/>
      <c r="L27" s="86"/>
      <c r="M27" s="86"/>
      <c r="N27" s="86"/>
      <c r="O27" s="86"/>
      <c r="P27" s="86"/>
      <c r="Q27" s="86">
        <f>19005+13975</f>
        <v>32980</v>
      </c>
      <c r="R27" s="86"/>
      <c r="S27" s="86">
        <v>28049</v>
      </c>
      <c r="T27" s="86"/>
      <c r="U27" s="86">
        <v>1632</v>
      </c>
      <c r="V27" s="86"/>
      <c r="W27" s="86"/>
      <c r="X27" s="86"/>
      <c r="Y27" s="86"/>
      <c r="Z27" s="86"/>
      <c r="AA27" s="86">
        <v>21830</v>
      </c>
      <c r="AB27" s="86">
        <v>7094</v>
      </c>
      <c r="AC27" s="86">
        <v>6627</v>
      </c>
      <c r="AD27" s="86"/>
      <c r="AE27" s="86"/>
      <c r="AF27" s="86"/>
    </row>
    <row r="28" spans="1:32" ht="18" customHeight="1" thickBot="1" x14ac:dyDescent="0.35">
      <c r="A28" s="193" t="s">
        <v>174</v>
      </c>
      <c r="B28" s="262" t="s">
        <v>350</v>
      </c>
      <c r="C28" s="138">
        <v>15795</v>
      </c>
      <c r="D28" s="139">
        <f t="shared" si="0"/>
        <v>15795</v>
      </c>
      <c r="E28" s="140">
        <f t="shared" si="1"/>
        <v>0</v>
      </c>
      <c r="F28" s="117"/>
      <c r="G28" s="117"/>
      <c r="H28" s="117"/>
      <c r="I28" s="117"/>
      <c r="J28" s="86">
        <v>168</v>
      </c>
      <c r="K28" s="86">
        <v>2205</v>
      </c>
      <c r="L28" s="86"/>
      <c r="M28" s="86">
        <v>2183</v>
      </c>
      <c r="N28" s="86">
        <v>2128</v>
      </c>
      <c r="O28" s="86">
        <v>1459</v>
      </c>
      <c r="P28" s="86">
        <v>1212</v>
      </c>
      <c r="Q28" s="86">
        <v>447</v>
      </c>
      <c r="R28" s="86">
        <v>2438</v>
      </c>
      <c r="S28" s="86"/>
      <c r="T28" s="86"/>
      <c r="U28" s="86">
        <v>819</v>
      </c>
      <c r="V28" s="86">
        <v>2736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</row>
    <row r="29" spans="1:32" ht="18" customHeight="1" thickBot="1" x14ac:dyDescent="0.35">
      <c r="A29" s="193"/>
      <c r="B29" s="262"/>
      <c r="C29" s="138"/>
      <c r="D29" s="139">
        <f t="shared" si="0"/>
        <v>0</v>
      </c>
      <c r="E29" s="140">
        <f t="shared" si="1"/>
        <v>0</v>
      </c>
      <c r="F29" s="117"/>
      <c r="G29" s="117"/>
      <c r="H29" s="117"/>
      <c r="I29" s="117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</row>
    <row r="30" spans="1:32" ht="18" customHeight="1" thickBot="1" x14ac:dyDescent="0.35">
      <c r="A30" s="77" t="s">
        <v>590</v>
      </c>
      <c r="B30" s="77"/>
      <c r="C30" s="143">
        <f t="shared" ref="C30:AF30" si="2">SUM(C11:C29)</f>
        <v>1131992</v>
      </c>
      <c r="D30" s="143">
        <f t="shared" si="2"/>
        <v>1145967</v>
      </c>
      <c r="E30" s="143">
        <f t="shared" si="2"/>
        <v>-13975</v>
      </c>
      <c r="F30" s="143">
        <f t="shared" si="2"/>
        <v>0</v>
      </c>
      <c r="G30" s="143">
        <f t="shared" si="2"/>
        <v>0</v>
      </c>
      <c r="H30" s="143">
        <f t="shared" si="2"/>
        <v>0</v>
      </c>
      <c r="I30" s="143">
        <f t="shared" si="2"/>
        <v>0</v>
      </c>
      <c r="J30" s="143">
        <f t="shared" si="2"/>
        <v>15180</v>
      </c>
      <c r="K30" s="143">
        <f t="shared" si="2"/>
        <v>91241</v>
      </c>
      <c r="L30" s="143">
        <f t="shared" si="2"/>
        <v>109730</v>
      </c>
      <c r="M30" s="143">
        <f t="shared" si="2"/>
        <v>18299</v>
      </c>
      <c r="N30" s="143">
        <f t="shared" si="2"/>
        <v>50194</v>
      </c>
      <c r="O30" s="143">
        <f t="shared" si="2"/>
        <v>98194</v>
      </c>
      <c r="P30" s="143">
        <f t="shared" si="2"/>
        <v>149751</v>
      </c>
      <c r="Q30" s="143">
        <f t="shared" si="2"/>
        <v>105592</v>
      </c>
      <c r="R30" s="143">
        <f t="shared" si="2"/>
        <v>20244</v>
      </c>
      <c r="S30" s="143">
        <f t="shared" si="2"/>
        <v>250982</v>
      </c>
      <c r="T30" s="143">
        <f t="shared" si="2"/>
        <v>8033</v>
      </c>
      <c r="U30" s="143">
        <f t="shared" si="2"/>
        <v>24555</v>
      </c>
      <c r="V30" s="143">
        <f t="shared" si="2"/>
        <v>64386</v>
      </c>
      <c r="W30" s="143">
        <f t="shared" si="2"/>
        <v>12144</v>
      </c>
      <c r="X30" s="143">
        <f t="shared" si="2"/>
        <v>54923</v>
      </c>
      <c r="Y30" s="143">
        <f t="shared" si="2"/>
        <v>9754</v>
      </c>
      <c r="Z30" s="143">
        <f t="shared" si="2"/>
        <v>0</v>
      </c>
      <c r="AA30" s="143">
        <f t="shared" si="2"/>
        <v>27910</v>
      </c>
      <c r="AB30" s="143">
        <f t="shared" si="2"/>
        <v>14178</v>
      </c>
      <c r="AC30" s="143">
        <f t="shared" si="2"/>
        <v>17545</v>
      </c>
      <c r="AD30" s="143">
        <f t="shared" si="2"/>
        <v>3</v>
      </c>
      <c r="AE30" s="143">
        <f t="shared" si="2"/>
        <v>0</v>
      </c>
      <c r="AF30" s="143">
        <f t="shared" si="2"/>
        <v>3129</v>
      </c>
    </row>
    <row r="32" spans="1:32" x14ac:dyDescent="0.3">
      <c r="L32" s="100"/>
      <c r="M32" s="100"/>
      <c r="N32" s="100"/>
      <c r="Q32" s="100"/>
    </row>
    <row r="33" spans="20:20" x14ac:dyDescent="0.3">
      <c r="T33" s="100"/>
    </row>
  </sheetData>
  <sheetProtection algorithmName="SHA-512" hashValue="eLtvA0UEtfugMLaPHwZRj+jYmR3wRcebihtR/BAJhA4vGDhgk3V2Kf8Z4YBSTx78JQYEupAlsPTSDr3w5OEbXA==" saltValue="kpHY8iPTF3TTcUtgmhdAqA==" spinCount="100000" sheet="1" objects="1" scenarios="1"/>
  <sortState ref="A11:AF190">
    <sortCondition ref="A11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6CCFF"/>
  </sheetPr>
  <dimension ref="A1:AF16"/>
  <sheetViews>
    <sheetView workbookViewId="0">
      <pane xSplit="5" ySplit="10" topLeftCell="W11" activePane="bottomRight" state="frozen"/>
      <selection activeCell="F11" sqref="F11"/>
      <selection pane="topRight" activeCell="F11" sqref="F11"/>
      <selection pane="bottomLeft" activeCell="F11" sqref="F11"/>
      <selection pane="bottomRight" activeCell="A11" sqref="A11"/>
    </sheetView>
  </sheetViews>
  <sheetFormatPr defaultColWidth="9.109375" defaultRowHeight="14.4" x14ac:dyDescent="0.3"/>
  <cols>
    <col min="1" max="1" width="9.109375" style="7" customWidth="1"/>
    <col min="2" max="2" width="36.6640625" style="7" customWidth="1"/>
    <col min="3" max="3" width="20.88671875" style="7" customWidth="1"/>
    <col min="4" max="4" width="18.88671875" style="7" customWidth="1"/>
    <col min="5" max="5" width="17" style="7" customWidth="1"/>
    <col min="6" max="32" width="15.6640625" style="7" customWidth="1"/>
    <col min="33" max="16384" width="9.109375" style="7"/>
  </cols>
  <sheetData>
    <row r="1" spans="1:32" ht="21" x14ac:dyDescent="0.35">
      <c r="A1" s="10" t="s">
        <v>0</v>
      </c>
      <c r="B1" s="11"/>
      <c r="C1" s="12" t="s">
        <v>591</v>
      </c>
      <c r="D1" s="10"/>
      <c r="E1" s="13"/>
      <c r="F1" s="14"/>
      <c r="G1" s="14"/>
      <c r="H1" s="12" t="str">
        <f>C1</f>
        <v>Title I-D Delinquent -- State Agencies</v>
      </c>
      <c r="I1" s="12"/>
      <c r="J1" s="10"/>
      <c r="K1" s="10"/>
      <c r="L1" s="13"/>
      <c r="M1" s="13"/>
      <c r="N1" s="14"/>
      <c r="O1" s="14"/>
      <c r="P1" s="101" t="str">
        <f>C1</f>
        <v>Title I-D Delinquent -- State Agencies</v>
      </c>
      <c r="Q1" s="12"/>
      <c r="R1" s="10"/>
      <c r="S1" s="10"/>
      <c r="T1" s="13"/>
      <c r="U1" s="13"/>
      <c r="V1" s="14"/>
      <c r="W1" s="14"/>
      <c r="X1" s="101" t="str">
        <f>C1</f>
        <v>Title I-D Delinquent -- State Agencies</v>
      </c>
      <c r="Y1" s="12"/>
      <c r="Z1" s="10"/>
      <c r="AA1" s="10"/>
      <c r="AB1" s="13"/>
      <c r="AC1" s="13"/>
      <c r="AD1" s="101" t="str">
        <f>C1</f>
        <v>Title I-D Delinquent -- State Agencies</v>
      </c>
      <c r="AE1" s="14"/>
      <c r="AF1" s="12"/>
    </row>
    <row r="2" spans="1:32" ht="15.75" x14ac:dyDescent="0.25">
      <c r="A2" s="15" t="s">
        <v>1</v>
      </c>
      <c r="B2" s="11"/>
      <c r="C2" s="18" t="s">
        <v>409</v>
      </c>
      <c r="D2" s="15"/>
      <c r="E2" s="17"/>
      <c r="F2" s="14"/>
      <c r="G2" s="14"/>
      <c r="H2" s="15" t="str">
        <f>"FY"&amp;C4</f>
        <v>FYFY16-17</v>
      </c>
      <c r="I2" s="15"/>
      <c r="J2" s="18"/>
      <c r="K2" s="18"/>
      <c r="L2" s="17"/>
      <c r="M2" s="17"/>
      <c r="N2" s="17"/>
      <c r="O2" s="17"/>
      <c r="P2" s="104" t="str">
        <f>"FY"&amp;C4</f>
        <v>FYFY16-17</v>
      </c>
      <c r="Q2" s="15"/>
      <c r="R2" s="18"/>
      <c r="S2" s="18"/>
      <c r="T2" s="17"/>
      <c r="U2" s="17"/>
      <c r="V2" s="17"/>
      <c r="W2" s="17"/>
      <c r="X2" s="104" t="str">
        <f>"FY"&amp;C4</f>
        <v>FYFY16-17</v>
      </c>
      <c r="Y2" s="15"/>
      <c r="Z2" s="18"/>
      <c r="AA2" s="18"/>
      <c r="AB2" s="17"/>
      <c r="AC2" s="17"/>
      <c r="AD2" s="104" t="str">
        <f>"FY"&amp;C4</f>
        <v>FYFY16-17</v>
      </c>
      <c r="AE2" s="17"/>
      <c r="AF2" s="15"/>
    </row>
    <row r="3" spans="1:32" ht="15.75" x14ac:dyDescent="0.25">
      <c r="A3" s="15" t="s">
        <v>3</v>
      </c>
      <c r="B3" s="11"/>
      <c r="C3" s="18">
        <v>4013</v>
      </c>
      <c r="D3" s="15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.75" x14ac:dyDescent="0.25">
      <c r="A4" s="15" t="s">
        <v>2</v>
      </c>
      <c r="B4" s="11"/>
      <c r="C4" s="18" t="s">
        <v>653</v>
      </c>
      <c r="D4" s="17"/>
      <c r="E4" s="1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.75" x14ac:dyDescent="0.25">
      <c r="A5" s="15" t="s">
        <v>406</v>
      </c>
      <c r="B5" s="11"/>
      <c r="C5" s="97" t="s">
        <v>646</v>
      </c>
      <c r="D5" s="15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5.75" x14ac:dyDescent="0.25">
      <c r="A6" s="15" t="s">
        <v>4</v>
      </c>
      <c r="B6" s="11"/>
      <c r="C6" s="15" t="s">
        <v>5</v>
      </c>
      <c r="D6" s="15"/>
      <c r="E6" s="19"/>
      <c r="F6" s="19"/>
      <c r="G6" s="19"/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5.75" x14ac:dyDescent="0.25">
      <c r="A7" s="15" t="s">
        <v>380</v>
      </c>
      <c r="B7" s="11"/>
      <c r="C7" s="104" t="s">
        <v>640</v>
      </c>
      <c r="D7" s="1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15.75" x14ac:dyDescent="0.25">
      <c r="A8" s="15" t="s">
        <v>381</v>
      </c>
      <c r="B8" s="11"/>
      <c r="C8" s="15" t="s">
        <v>382</v>
      </c>
      <c r="D8" s="1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6.5" thickBot="1" x14ac:dyDescent="0.3">
      <c r="A9" s="15" t="s">
        <v>407</v>
      </c>
      <c r="B9" s="11"/>
      <c r="C9" s="15" t="s">
        <v>595</v>
      </c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32.25" customHeight="1" thickBot="1" x14ac:dyDescent="0.3">
      <c r="A10" s="63" t="s">
        <v>367</v>
      </c>
      <c r="B10" s="64" t="s">
        <v>368</v>
      </c>
      <c r="C10" s="64" t="s">
        <v>369</v>
      </c>
      <c r="D10" s="64" t="s">
        <v>370</v>
      </c>
      <c r="E10" s="58" t="s">
        <v>371</v>
      </c>
      <c r="F10" s="149" t="s">
        <v>598</v>
      </c>
      <c r="G10" s="149" t="s">
        <v>599</v>
      </c>
      <c r="H10" s="149" t="s">
        <v>600</v>
      </c>
      <c r="I10" s="149" t="s">
        <v>601</v>
      </c>
      <c r="J10" s="149" t="s">
        <v>602</v>
      </c>
      <c r="K10" s="149" t="s">
        <v>603</v>
      </c>
      <c r="L10" s="149" t="s">
        <v>604</v>
      </c>
      <c r="M10" s="149" t="s">
        <v>605</v>
      </c>
      <c r="N10" s="149" t="s">
        <v>606</v>
      </c>
      <c r="O10" s="150" t="s">
        <v>607</v>
      </c>
      <c r="P10" s="149" t="s">
        <v>608</v>
      </c>
      <c r="Q10" s="149" t="s">
        <v>609</v>
      </c>
      <c r="R10" s="149" t="s">
        <v>610</v>
      </c>
      <c r="S10" s="149" t="s">
        <v>611</v>
      </c>
      <c r="T10" s="149" t="s">
        <v>612</v>
      </c>
      <c r="U10" s="149" t="s">
        <v>613</v>
      </c>
      <c r="V10" s="149" t="s">
        <v>614</v>
      </c>
      <c r="W10" s="149" t="s">
        <v>615</v>
      </c>
      <c r="X10" s="149" t="s">
        <v>616</v>
      </c>
      <c r="Y10" s="149" t="s">
        <v>617</v>
      </c>
      <c r="Z10" s="149" t="s">
        <v>618</v>
      </c>
      <c r="AA10" s="149" t="s">
        <v>619</v>
      </c>
      <c r="AB10" s="149" t="s">
        <v>620</v>
      </c>
      <c r="AC10" s="149" t="s">
        <v>621</v>
      </c>
      <c r="AD10" s="149" t="s">
        <v>622</v>
      </c>
      <c r="AE10" s="149" t="s">
        <v>623</v>
      </c>
      <c r="AF10" s="149" t="s">
        <v>624</v>
      </c>
    </row>
    <row r="11" spans="1:32" ht="16.5" thickBot="1" x14ac:dyDescent="0.3">
      <c r="A11" s="70" t="s">
        <v>630</v>
      </c>
      <c r="B11" s="70" t="s">
        <v>631</v>
      </c>
      <c r="C11" s="144">
        <v>476814</v>
      </c>
      <c r="D11" s="139">
        <f t="shared" ref="D11" si="0">SUM(F11:AF11)</f>
        <v>476814</v>
      </c>
      <c r="E11" s="140">
        <f t="shared" ref="E11" si="1">C11-D11</f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>
        <f>71176+82357</f>
        <v>153533</v>
      </c>
      <c r="P11" s="86"/>
      <c r="Q11" s="86"/>
      <c r="R11" s="86">
        <f>58859+78526+75938</f>
        <v>213323</v>
      </c>
      <c r="S11" s="86"/>
      <c r="T11" s="86"/>
      <c r="U11" s="86"/>
      <c r="V11" s="86">
        <v>36313</v>
      </c>
      <c r="W11" s="86"/>
      <c r="X11" s="86">
        <v>55224</v>
      </c>
      <c r="Y11" s="86">
        <v>18421</v>
      </c>
      <c r="Z11" s="86"/>
      <c r="AA11" s="86"/>
      <c r="AB11" s="86"/>
      <c r="AC11" s="86"/>
      <c r="AD11" s="86"/>
      <c r="AE11" s="86"/>
      <c r="AF11" s="86"/>
    </row>
    <row r="12" spans="1:32" ht="16.5" thickBot="1" x14ac:dyDescent="0.3">
      <c r="A12" s="72"/>
      <c r="B12" s="71"/>
      <c r="C12" s="141"/>
      <c r="D12" s="141"/>
      <c r="E12" s="142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</row>
    <row r="13" spans="1:32" ht="16.5" thickBot="1" x14ac:dyDescent="0.3">
      <c r="A13" s="77" t="s">
        <v>592</v>
      </c>
      <c r="B13" s="77"/>
      <c r="C13" s="143">
        <f t="shared" ref="C13:AF13" si="2">SUM(C11:C11)</f>
        <v>476814</v>
      </c>
      <c r="D13" s="143">
        <f t="shared" si="2"/>
        <v>476814</v>
      </c>
      <c r="E13" s="143">
        <f t="shared" si="2"/>
        <v>0</v>
      </c>
      <c r="F13" s="143">
        <f t="shared" si="2"/>
        <v>0</v>
      </c>
      <c r="G13" s="143">
        <f t="shared" si="2"/>
        <v>0</v>
      </c>
      <c r="H13" s="143">
        <f t="shared" si="2"/>
        <v>0</v>
      </c>
      <c r="I13" s="143">
        <f t="shared" si="2"/>
        <v>0</v>
      </c>
      <c r="J13" s="143">
        <f t="shared" si="2"/>
        <v>0</v>
      </c>
      <c r="K13" s="143">
        <f t="shared" si="2"/>
        <v>0</v>
      </c>
      <c r="L13" s="143">
        <f t="shared" si="2"/>
        <v>0</v>
      </c>
      <c r="M13" s="143">
        <f t="shared" si="2"/>
        <v>0</v>
      </c>
      <c r="N13" s="143">
        <f t="shared" si="2"/>
        <v>0</v>
      </c>
      <c r="O13" s="143">
        <f t="shared" si="2"/>
        <v>153533</v>
      </c>
      <c r="P13" s="143">
        <f t="shared" si="2"/>
        <v>0</v>
      </c>
      <c r="Q13" s="143">
        <f t="shared" si="2"/>
        <v>0</v>
      </c>
      <c r="R13" s="143">
        <f t="shared" si="2"/>
        <v>213323</v>
      </c>
      <c r="S13" s="143">
        <f t="shared" si="2"/>
        <v>0</v>
      </c>
      <c r="T13" s="143">
        <f t="shared" si="2"/>
        <v>0</v>
      </c>
      <c r="U13" s="143">
        <f t="shared" si="2"/>
        <v>0</v>
      </c>
      <c r="V13" s="143">
        <f t="shared" si="2"/>
        <v>36313</v>
      </c>
      <c r="W13" s="143">
        <f t="shared" si="2"/>
        <v>0</v>
      </c>
      <c r="X13" s="143">
        <f t="shared" si="2"/>
        <v>55224</v>
      </c>
      <c r="Y13" s="143">
        <f t="shared" si="2"/>
        <v>18421</v>
      </c>
      <c r="Z13" s="143">
        <f t="shared" si="2"/>
        <v>0</v>
      </c>
      <c r="AA13" s="143">
        <f t="shared" si="2"/>
        <v>0</v>
      </c>
      <c r="AB13" s="143">
        <f t="shared" si="2"/>
        <v>0</v>
      </c>
      <c r="AC13" s="143">
        <f t="shared" si="2"/>
        <v>0</v>
      </c>
      <c r="AD13" s="143">
        <f t="shared" si="2"/>
        <v>0</v>
      </c>
      <c r="AE13" s="143">
        <f t="shared" si="2"/>
        <v>0</v>
      </c>
      <c r="AF13" s="143">
        <f t="shared" si="2"/>
        <v>0</v>
      </c>
    </row>
    <row r="16" spans="1:32" ht="15" x14ac:dyDescent="0.25">
      <c r="P16" s="100"/>
    </row>
  </sheetData>
  <sheetProtection algorithmName="SHA-512" hashValue="CLctH2jzmQmWRdDElxUCx6meaXLQvdqDdsy4SzJlRWNTf91rAwhnKOSdPaxffLnKRZN0cIsTg2O4jF59Jhl54w==" saltValue="JnYRCg1/NTfY4RH1n7IaX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9CCFF"/>
  </sheetPr>
  <dimension ref="A1:AR226"/>
  <sheetViews>
    <sheetView zoomScale="91" zoomScaleNormal="91" workbookViewId="0">
      <pane xSplit="7" ySplit="11" topLeftCell="AE12" activePane="bottomRight" state="frozen"/>
      <selection activeCell="AH13" sqref="AH13"/>
      <selection pane="topRight" activeCell="AH13" sqref="AH13"/>
      <selection pane="bottomLeft" activeCell="AH13" sqref="AH13"/>
      <selection pane="bottomRight" activeCell="A12" sqref="A12"/>
    </sheetView>
  </sheetViews>
  <sheetFormatPr defaultColWidth="9.109375" defaultRowHeight="15.6" x14ac:dyDescent="0.3"/>
  <cols>
    <col min="1" max="1" width="8.33203125" style="171" customWidth="1"/>
    <col min="2" max="2" width="29.109375" style="171" customWidth="1"/>
    <col min="3" max="3" width="16.5546875" style="6" customWidth="1"/>
    <col min="4" max="4" width="17.5546875" style="32" customWidth="1"/>
    <col min="5" max="5" width="18.6640625" style="6" customWidth="1"/>
    <col min="6" max="7" width="17" style="6" customWidth="1"/>
    <col min="8" max="37" width="15.6640625" style="6" customWidth="1"/>
    <col min="38" max="43" width="12.6640625" style="6" customWidth="1"/>
    <col min="44" max="16384" width="9.109375" style="6"/>
  </cols>
  <sheetData>
    <row r="1" spans="1:44" s="47" customFormat="1" x14ac:dyDescent="0.3">
      <c r="A1" s="160" t="s">
        <v>0</v>
      </c>
      <c r="B1" s="287"/>
      <c r="C1" s="160" t="s">
        <v>389</v>
      </c>
      <c r="D1" s="22"/>
      <c r="E1" s="160"/>
      <c r="F1" s="104"/>
      <c r="G1" s="106"/>
      <c r="H1" s="288"/>
      <c r="I1" s="288"/>
      <c r="J1" s="160" t="str">
        <f>C1</f>
        <v>Title II-A Formula</v>
      </c>
      <c r="K1" s="160"/>
      <c r="L1" s="104"/>
      <c r="M1" s="104"/>
      <c r="N1" s="106"/>
      <c r="O1" s="106"/>
      <c r="P1" s="160" t="str">
        <f>C1</f>
        <v>Title II-A Formula</v>
      </c>
      <c r="Q1" s="288"/>
      <c r="R1" s="160"/>
      <c r="S1" s="160"/>
      <c r="T1" s="104"/>
      <c r="U1" s="104"/>
      <c r="V1" s="160" t="str">
        <f>C1</f>
        <v>Title II-A Formula</v>
      </c>
      <c r="W1" s="106"/>
      <c r="X1" s="288"/>
      <c r="Y1" s="288"/>
      <c r="Z1" s="160"/>
      <c r="AA1" s="160"/>
      <c r="AB1" s="160" t="str">
        <f>C1</f>
        <v>Title II-A Formula</v>
      </c>
      <c r="AC1" s="104"/>
      <c r="AD1" s="106"/>
      <c r="AE1" s="106"/>
      <c r="AF1" s="288"/>
      <c r="AG1" s="160" t="str">
        <f>C1</f>
        <v>Title II-A Formula</v>
      </c>
      <c r="AH1" s="160"/>
      <c r="AK1" s="289"/>
      <c r="AL1" s="289"/>
      <c r="AM1" s="48"/>
      <c r="AN1" s="48"/>
      <c r="AP1" s="289"/>
    </row>
    <row r="2" spans="1:44" s="47" customFormat="1" x14ac:dyDescent="0.3">
      <c r="A2" s="160" t="s">
        <v>1</v>
      </c>
      <c r="B2" s="287"/>
      <c r="C2" s="105">
        <v>84.367000000000004</v>
      </c>
      <c r="D2" s="21"/>
      <c r="E2" s="105"/>
      <c r="F2" s="104"/>
      <c r="G2" s="106"/>
      <c r="H2" s="288"/>
      <c r="I2" s="288"/>
      <c r="J2" s="104" t="str">
        <f>"FY"&amp;C4</f>
        <v>FYFY 2016-17</v>
      </c>
      <c r="K2" s="160"/>
      <c r="L2" s="160"/>
      <c r="M2" s="160"/>
      <c r="N2" s="106"/>
      <c r="O2" s="106"/>
      <c r="P2" s="104" t="str">
        <f>"FY"&amp;C4</f>
        <v>FYFY 2016-17</v>
      </c>
      <c r="Q2" s="106"/>
      <c r="R2" s="104"/>
      <c r="S2" s="160"/>
      <c r="T2" s="160" t="s">
        <v>387</v>
      </c>
      <c r="U2" s="160"/>
      <c r="V2" s="104" t="str">
        <f>"FY"&amp;C4</f>
        <v>FYFY 2016-17</v>
      </c>
      <c r="W2" s="106"/>
      <c r="X2" s="106"/>
      <c r="Y2" s="106"/>
      <c r="Z2" s="104"/>
      <c r="AA2" s="160"/>
      <c r="AB2" s="104" t="str">
        <f>"FY"&amp;C4</f>
        <v>FYFY 2016-17</v>
      </c>
      <c r="AC2" s="160"/>
      <c r="AD2" s="106"/>
      <c r="AE2" s="106"/>
      <c r="AF2" s="106"/>
      <c r="AG2" s="104" t="str">
        <f>"FY"&amp;C4</f>
        <v>FYFY 2016-17</v>
      </c>
      <c r="AH2" s="104"/>
      <c r="AM2" s="46"/>
      <c r="AN2" s="46"/>
      <c r="AO2" s="48"/>
    </row>
    <row r="3" spans="1:44" s="47" customFormat="1" x14ac:dyDescent="0.3">
      <c r="A3" s="160" t="s">
        <v>3</v>
      </c>
      <c r="B3" s="287"/>
      <c r="C3" s="160">
        <v>4367</v>
      </c>
      <c r="D3" s="22"/>
      <c r="E3" s="160"/>
      <c r="F3" s="104"/>
      <c r="G3" s="106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9"/>
      <c r="AJ3" s="289"/>
      <c r="AK3" s="289"/>
      <c r="AL3" s="289"/>
      <c r="AM3" s="289"/>
    </row>
    <row r="4" spans="1:44" s="47" customFormat="1" x14ac:dyDescent="0.3">
      <c r="A4" s="160" t="s">
        <v>2</v>
      </c>
      <c r="B4" s="287"/>
      <c r="C4" s="160" t="s">
        <v>652</v>
      </c>
      <c r="D4" s="22"/>
      <c r="E4" s="160"/>
      <c r="F4" s="106"/>
      <c r="G4" s="106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9"/>
      <c r="AJ4" s="289"/>
      <c r="AK4" s="289"/>
      <c r="AL4" s="289"/>
      <c r="AM4" s="289"/>
    </row>
    <row r="5" spans="1:44" s="47" customFormat="1" x14ac:dyDescent="0.3">
      <c r="A5" s="160" t="s">
        <v>406</v>
      </c>
      <c r="B5" s="287"/>
      <c r="C5" s="230" t="s">
        <v>645</v>
      </c>
      <c r="D5" s="22"/>
      <c r="E5" s="104"/>
      <c r="F5" s="104"/>
      <c r="G5" s="290"/>
      <c r="H5" s="290"/>
      <c r="I5" s="290"/>
      <c r="J5" s="290"/>
      <c r="K5" s="290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2"/>
      <c r="AJ5" s="292"/>
      <c r="AK5" s="292"/>
      <c r="AL5" s="292"/>
      <c r="AM5" s="292"/>
      <c r="AN5" s="293"/>
      <c r="AO5" s="293"/>
    </row>
    <row r="6" spans="1:44" s="47" customFormat="1" x14ac:dyDescent="0.3">
      <c r="A6" s="160" t="s">
        <v>4</v>
      </c>
      <c r="B6" s="287"/>
      <c r="C6" s="230" t="s">
        <v>366</v>
      </c>
      <c r="D6" s="22"/>
      <c r="E6" s="104"/>
      <c r="F6" s="104"/>
      <c r="G6" s="290"/>
      <c r="H6" s="290"/>
      <c r="I6" s="290"/>
      <c r="J6" s="290"/>
      <c r="K6" s="290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2"/>
      <c r="AJ6" s="292"/>
      <c r="AK6" s="292"/>
      <c r="AL6" s="292"/>
      <c r="AM6" s="292"/>
      <c r="AN6" s="293"/>
      <c r="AO6" s="293"/>
    </row>
    <row r="7" spans="1:44" s="47" customFormat="1" x14ac:dyDescent="0.3">
      <c r="A7" s="160"/>
      <c r="B7" s="287"/>
      <c r="C7" s="106"/>
      <c r="D7" s="22"/>
      <c r="E7" s="104"/>
      <c r="F7" s="104"/>
      <c r="G7" s="290"/>
      <c r="H7" s="290"/>
      <c r="I7" s="290"/>
      <c r="J7" s="290"/>
      <c r="K7" s="290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2"/>
      <c r="AJ7" s="292"/>
      <c r="AK7" s="292"/>
      <c r="AL7" s="292"/>
      <c r="AM7" s="292"/>
      <c r="AN7" s="293"/>
      <c r="AO7" s="293"/>
    </row>
    <row r="8" spans="1:44" s="47" customFormat="1" ht="15.6" customHeight="1" x14ac:dyDescent="0.3">
      <c r="A8" s="196" t="s">
        <v>380</v>
      </c>
      <c r="B8" s="294"/>
      <c r="C8" s="113" t="s">
        <v>641</v>
      </c>
      <c r="D8" s="197"/>
      <c r="E8" s="113"/>
      <c r="F8" s="115"/>
      <c r="G8" s="295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2"/>
      <c r="AJ8" s="292"/>
      <c r="AK8" s="292"/>
      <c r="AL8" s="292"/>
      <c r="AM8" s="292"/>
      <c r="AN8" s="293"/>
      <c r="AO8" s="293"/>
    </row>
    <row r="9" spans="1:44" s="47" customFormat="1" ht="15.6" customHeight="1" x14ac:dyDescent="0.3">
      <c r="A9" s="196" t="s">
        <v>381</v>
      </c>
      <c r="B9" s="294"/>
      <c r="C9" s="113" t="s">
        <v>382</v>
      </c>
      <c r="D9" s="197"/>
      <c r="E9" s="113"/>
      <c r="F9" s="115"/>
      <c r="G9" s="295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2"/>
      <c r="AJ9" s="292"/>
      <c r="AK9" s="292"/>
      <c r="AL9" s="292"/>
      <c r="AM9" s="292"/>
      <c r="AN9" s="293"/>
      <c r="AO9" s="293"/>
    </row>
    <row r="10" spans="1:44" s="47" customFormat="1" ht="16.2" customHeight="1" thickBot="1" x14ac:dyDescent="0.35">
      <c r="A10" s="196" t="s">
        <v>407</v>
      </c>
      <c r="B10" s="294"/>
      <c r="C10" s="113" t="s">
        <v>597</v>
      </c>
      <c r="D10" s="197"/>
      <c r="E10" s="113"/>
      <c r="F10" s="115"/>
      <c r="G10" s="295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2"/>
      <c r="AJ10" s="292"/>
      <c r="AK10" s="292"/>
      <c r="AL10" s="292"/>
      <c r="AM10" s="292"/>
      <c r="AN10" s="293"/>
      <c r="AO10" s="293"/>
    </row>
    <row r="11" spans="1:44" s="302" customFormat="1" ht="46.5" customHeight="1" thickBot="1" x14ac:dyDescent="0.35">
      <c r="A11" s="296" t="s">
        <v>367</v>
      </c>
      <c r="B11" s="297" t="s">
        <v>368</v>
      </c>
      <c r="C11" s="298" t="s">
        <v>369</v>
      </c>
      <c r="D11" s="68" t="s">
        <v>386</v>
      </c>
      <c r="E11" s="68" t="s">
        <v>403</v>
      </c>
      <c r="F11" s="84" t="s">
        <v>370</v>
      </c>
      <c r="G11" s="50" t="s">
        <v>371</v>
      </c>
      <c r="H11" s="299" t="s">
        <v>598</v>
      </c>
      <c r="I11" s="299" t="s">
        <v>599</v>
      </c>
      <c r="J11" s="299" t="s">
        <v>600</v>
      </c>
      <c r="K11" s="299" t="s">
        <v>601</v>
      </c>
      <c r="L11" s="299" t="s">
        <v>602</v>
      </c>
      <c r="M11" s="299" t="s">
        <v>603</v>
      </c>
      <c r="N11" s="299" t="s">
        <v>604</v>
      </c>
      <c r="O11" s="299" t="s">
        <v>605</v>
      </c>
      <c r="P11" s="299" t="s">
        <v>606</v>
      </c>
      <c r="Q11" s="300" t="s">
        <v>607</v>
      </c>
      <c r="R11" s="299" t="s">
        <v>608</v>
      </c>
      <c r="S11" s="299" t="s">
        <v>609</v>
      </c>
      <c r="T11" s="299" t="s">
        <v>610</v>
      </c>
      <c r="U11" s="299" t="s">
        <v>611</v>
      </c>
      <c r="V11" s="299" t="s">
        <v>612</v>
      </c>
      <c r="W11" s="299" t="s">
        <v>613</v>
      </c>
      <c r="X11" s="299" t="s">
        <v>614</v>
      </c>
      <c r="Y11" s="299" t="s">
        <v>615</v>
      </c>
      <c r="Z11" s="299" t="s">
        <v>616</v>
      </c>
      <c r="AA11" s="299" t="s">
        <v>617</v>
      </c>
      <c r="AB11" s="299" t="s">
        <v>618</v>
      </c>
      <c r="AC11" s="299" t="s">
        <v>619</v>
      </c>
      <c r="AD11" s="299" t="s">
        <v>620</v>
      </c>
      <c r="AE11" s="299" t="s">
        <v>621</v>
      </c>
      <c r="AF11" s="299" t="s">
        <v>622</v>
      </c>
      <c r="AG11" s="299" t="s">
        <v>623</v>
      </c>
      <c r="AH11" s="312" t="s">
        <v>624</v>
      </c>
      <c r="AI11" s="314" t="s">
        <v>648</v>
      </c>
      <c r="AJ11" s="315" t="s">
        <v>654</v>
      </c>
      <c r="AK11" s="301"/>
      <c r="AL11" s="301"/>
      <c r="AM11" s="301"/>
      <c r="AN11" s="301"/>
      <c r="AO11" s="301"/>
      <c r="AP11" s="301"/>
      <c r="AQ11" s="301"/>
      <c r="AR11" s="301"/>
    </row>
    <row r="12" spans="1:44" s="303" customFormat="1" ht="18" customHeight="1" thickBot="1" x14ac:dyDescent="0.35">
      <c r="A12" s="156" t="s">
        <v>7</v>
      </c>
      <c r="B12" s="156" t="s">
        <v>185</v>
      </c>
      <c r="C12" s="179">
        <v>173992</v>
      </c>
      <c r="D12" s="255" t="s">
        <v>587</v>
      </c>
      <c r="E12" s="238"/>
      <c r="F12" s="238">
        <f>SUM(H12:AK12)</f>
        <v>173992</v>
      </c>
      <c r="G12" s="212">
        <f t="shared" ref="G12:G43" si="0">IF(ISBLANK(E12),C12-F12,C12-E12)</f>
        <v>0</v>
      </c>
      <c r="H12" s="131"/>
      <c r="I12" s="162"/>
      <c r="J12" s="162"/>
      <c r="K12" s="162"/>
      <c r="L12" s="162"/>
      <c r="M12" s="162"/>
      <c r="N12" s="162"/>
      <c r="O12" s="162" t="s">
        <v>587</v>
      </c>
      <c r="P12" s="162"/>
      <c r="Q12" s="162"/>
      <c r="R12" s="162"/>
      <c r="S12" s="162">
        <f>33419</f>
        <v>33419</v>
      </c>
      <c r="T12" s="162">
        <v>11147</v>
      </c>
      <c r="U12" s="162">
        <v>42371</v>
      </c>
      <c r="V12" s="162">
        <v>4642</v>
      </c>
      <c r="W12" s="162">
        <v>9356</v>
      </c>
      <c r="X12" s="162">
        <v>6238</v>
      </c>
      <c r="Y12" s="162">
        <v>9065</v>
      </c>
      <c r="Z12" s="162">
        <v>18266</v>
      </c>
      <c r="AA12" s="162">
        <v>15582</v>
      </c>
      <c r="AB12" s="162">
        <v>23906</v>
      </c>
      <c r="AC12" s="162"/>
      <c r="AD12" s="162"/>
      <c r="AE12" s="162"/>
      <c r="AF12" s="162"/>
      <c r="AG12" s="162"/>
      <c r="AH12" s="162"/>
      <c r="AI12" s="198"/>
    </row>
    <row r="13" spans="1:44" s="303" customFormat="1" ht="18" customHeight="1" thickBot="1" x14ac:dyDescent="0.35">
      <c r="A13" s="156" t="s">
        <v>8</v>
      </c>
      <c r="B13" s="156" t="s">
        <v>428</v>
      </c>
      <c r="C13" s="179">
        <v>686518</v>
      </c>
      <c r="D13" s="255" t="s">
        <v>587</v>
      </c>
      <c r="E13" s="238"/>
      <c r="F13" s="238">
        <f t="shared" ref="F13:F76" si="1">SUM(H13:AK13)</f>
        <v>686518</v>
      </c>
      <c r="G13" s="238">
        <f t="shared" si="0"/>
        <v>0</v>
      </c>
      <c r="H13" s="131"/>
      <c r="I13" s="162"/>
      <c r="J13" s="162"/>
      <c r="K13" s="162"/>
      <c r="L13" s="162">
        <v>60996</v>
      </c>
      <c r="M13" s="162">
        <v>50795</v>
      </c>
      <c r="N13" s="162">
        <v>52267</v>
      </c>
      <c r="O13" s="162">
        <v>52433</v>
      </c>
      <c r="P13" s="162">
        <v>54543</v>
      </c>
      <c r="Q13" s="162">
        <v>51917</v>
      </c>
      <c r="R13" s="162">
        <v>54330</v>
      </c>
      <c r="S13" s="162">
        <v>52920</v>
      </c>
      <c r="T13" s="162"/>
      <c r="U13" s="162"/>
      <c r="V13" s="162">
        <v>130429</v>
      </c>
      <c r="W13" s="162">
        <v>89790</v>
      </c>
      <c r="X13" s="162">
        <v>36098</v>
      </c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98"/>
    </row>
    <row r="14" spans="1:44" s="303" customFormat="1" ht="18" customHeight="1" thickBot="1" x14ac:dyDescent="0.35">
      <c r="A14" s="156" t="s">
        <v>9</v>
      </c>
      <c r="B14" s="156" t="s">
        <v>187</v>
      </c>
      <c r="C14" s="179">
        <v>354802</v>
      </c>
      <c r="D14" s="255" t="s">
        <v>587</v>
      </c>
      <c r="E14" s="238"/>
      <c r="F14" s="238">
        <f t="shared" si="1"/>
        <v>354802</v>
      </c>
      <c r="G14" s="238">
        <f t="shared" si="0"/>
        <v>0</v>
      </c>
      <c r="H14" s="131"/>
      <c r="I14" s="162"/>
      <c r="J14" s="162"/>
      <c r="K14" s="162"/>
      <c r="L14" s="162"/>
      <c r="M14" s="162">
        <f>23581+23686</f>
        <v>47267</v>
      </c>
      <c r="N14" s="162"/>
      <c r="O14" s="162">
        <v>56685</v>
      </c>
      <c r="P14" s="162">
        <v>41240</v>
      </c>
      <c r="Q14" s="162">
        <v>21148</v>
      </c>
      <c r="R14" s="162">
        <v>34778</v>
      </c>
      <c r="S14" s="162">
        <f>25063+16429</f>
        <v>41492</v>
      </c>
      <c r="T14" s="162"/>
      <c r="U14" s="162">
        <v>24864</v>
      </c>
      <c r="V14" s="162">
        <v>18889</v>
      </c>
      <c r="W14" s="162"/>
      <c r="X14" s="162"/>
      <c r="Y14" s="162">
        <f>43946+24493</f>
        <v>68439</v>
      </c>
      <c r="Z14" s="162"/>
      <c r="AA14" s="162"/>
      <c r="AB14" s="162"/>
      <c r="AC14" s="162"/>
      <c r="AD14" s="162"/>
      <c r="AE14" s="162"/>
      <c r="AF14" s="162"/>
      <c r="AG14" s="162"/>
      <c r="AH14" s="162"/>
      <c r="AI14" s="198"/>
    </row>
    <row r="15" spans="1:44" s="303" customFormat="1" ht="18" customHeight="1" thickBot="1" x14ac:dyDescent="0.35">
      <c r="A15" s="156" t="s">
        <v>10</v>
      </c>
      <c r="B15" s="156" t="s">
        <v>411</v>
      </c>
      <c r="C15" s="179">
        <v>176847</v>
      </c>
      <c r="D15" s="255" t="s">
        <v>587</v>
      </c>
      <c r="E15" s="238"/>
      <c r="F15" s="238">
        <f t="shared" si="1"/>
        <v>176847</v>
      </c>
      <c r="G15" s="238">
        <f t="shared" si="0"/>
        <v>0</v>
      </c>
      <c r="H15" s="131"/>
      <c r="I15" s="162"/>
      <c r="J15" s="162"/>
      <c r="K15" s="162">
        <v>17796</v>
      </c>
      <c r="L15" s="162"/>
      <c r="M15" s="162"/>
      <c r="N15" s="162"/>
      <c r="O15" s="162">
        <v>65621</v>
      </c>
      <c r="P15" s="162"/>
      <c r="Q15" s="162"/>
      <c r="R15" s="162">
        <v>36629</v>
      </c>
      <c r="S15" s="162">
        <v>34089</v>
      </c>
      <c r="T15" s="162">
        <v>21323</v>
      </c>
      <c r="U15" s="162"/>
      <c r="V15" s="162"/>
      <c r="W15" s="162"/>
      <c r="X15" s="162">
        <v>1389</v>
      </c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98"/>
    </row>
    <row r="16" spans="1:44" s="303" customFormat="1" ht="18" customHeight="1" thickBot="1" x14ac:dyDescent="0.35">
      <c r="A16" s="156" t="s">
        <v>11</v>
      </c>
      <c r="B16" s="156" t="s">
        <v>189</v>
      </c>
      <c r="C16" s="179">
        <v>28368</v>
      </c>
      <c r="D16" s="255" t="s">
        <v>372</v>
      </c>
      <c r="E16" s="238">
        <f>IF(ISBLANK(D16),,C16)</f>
        <v>28368</v>
      </c>
      <c r="F16" s="238">
        <f t="shared" si="1"/>
        <v>0</v>
      </c>
      <c r="G16" s="238">
        <f t="shared" si="0"/>
        <v>0</v>
      </c>
      <c r="H16" s="131"/>
      <c r="I16" s="162"/>
      <c r="J16" s="162"/>
      <c r="K16" s="162"/>
      <c r="L16" s="162"/>
      <c r="M16" s="162"/>
      <c r="N16" s="162"/>
      <c r="O16" s="162" t="s">
        <v>587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98"/>
    </row>
    <row r="17" spans="1:35" s="303" customFormat="1" ht="18" customHeight="1" thickBot="1" x14ac:dyDescent="0.35">
      <c r="A17" s="156" t="s">
        <v>12</v>
      </c>
      <c r="B17" s="156" t="s">
        <v>190</v>
      </c>
      <c r="C17" s="179">
        <v>8625</v>
      </c>
      <c r="D17" s="249" t="s">
        <v>372</v>
      </c>
      <c r="E17" s="238">
        <f>IF(ISBLANK(D17),,C17)</f>
        <v>8625</v>
      </c>
      <c r="F17" s="238">
        <f t="shared" si="1"/>
        <v>0</v>
      </c>
      <c r="G17" s="238">
        <f t="shared" si="0"/>
        <v>0</v>
      </c>
      <c r="H17" s="131"/>
      <c r="I17" s="162"/>
      <c r="J17" s="162"/>
      <c r="K17" s="162"/>
      <c r="L17" s="162"/>
      <c r="M17" s="162"/>
      <c r="N17" s="162"/>
      <c r="O17" s="162" t="s">
        <v>587</v>
      </c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98"/>
    </row>
    <row r="18" spans="1:35" s="303" customFormat="1" ht="18" customHeight="1" thickBot="1" x14ac:dyDescent="0.35">
      <c r="A18" s="156" t="s">
        <v>13</v>
      </c>
      <c r="B18" s="156" t="s">
        <v>191</v>
      </c>
      <c r="C18" s="179">
        <v>408695</v>
      </c>
      <c r="D18" s="255" t="s">
        <v>587</v>
      </c>
      <c r="E18" s="238"/>
      <c r="F18" s="238">
        <f t="shared" si="1"/>
        <v>408695</v>
      </c>
      <c r="G18" s="238">
        <f t="shared" si="0"/>
        <v>0</v>
      </c>
      <c r="H18" s="131"/>
      <c r="I18" s="162"/>
      <c r="J18" s="162"/>
      <c r="K18" s="162"/>
      <c r="L18" s="162"/>
      <c r="M18" s="162"/>
      <c r="N18" s="162"/>
      <c r="O18" s="162">
        <v>6668</v>
      </c>
      <c r="P18" s="162">
        <f>31674+28879</f>
        <v>60553</v>
      </c>
      <c r="Q18" s="162">
        <v>25630</v>
      </c>
      <c r="R18" s="162">
        <v>43905</v>
      </c>
      <c r="S18" s="162">
        <v>44192</v>
      </c>
      <c r="T18" s="162">
        <v>90869</v>
      </c>
      <c r="U18" s="162">
        <v>32861</v>
      </c>
      <c r="V18" s="162">
        <v>25066</v>
      </c>
      <c r="W18" s="162"/>
      <c r="X18" s="162">
        <f>24470+54481</f>
        <v>78951</v>
      </c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98"/>
    </row>
    <row r="19" spans="1:35" s="303" customFormat="1" ht="18" customHeight="1" thickBot="1" x14ac:dyDescent="0.35">
      <c r="A19" s="156" t="s">
        <v>14</v>
      </c>
      <c r="B19" s="156" t="s">
        <v>429</v>
      </c>
      <c r="C19" s="179">
        <v>160478</v>
      </c>
      <c r="D19" s="255" t="s">
        <v>587</v>
      </c>
      <c r="E19" s="238"/>
      <c r="F19" s="238">
        <f t="shared" si="1"/>
        <v>160478</v>
      </c>
      <c r="G19" s="238">
        <f t="shared" si="0"/>
        <v>0</v>
      </c>
      <c r="H19" s="131"/>
      <c r="I19" s="162"/>
      <c r="J19" s="162"/>
      <c r="K19" s="162"/>
      <c r="L19" s="162">
        <v>4087</v>
      </c>
      <c r="M19" s="162">
        <v>9331</v>
      </c>
      <c r="N19" s="162">
        <v>3951</v>
      </c>
      <c r="O19" s="162">
        <v>12084</v>
      </c>
      <c r="P19" s="162">
        <v>12560</v>
      </c>
      <c r="Q19" s="162">
        <v>17536</v>
      </c>
      <c r="R19" s="162">
        <v>19722</v>
      </c>
      <c r="S19" s="162">
        <v>10930</v>
      </c>
      <c r="T19" s="162">
        <v>22963</v>
      </c>
      <c r="U19" s="162">
        <v>14148</v>
      </c>
      <c r="V19" s="162">
        <v>12104</v>
      </c>
      <c r="W19" s="162"/>
      <c r="X19" s="162"/>
      <c r="Y19" s="162"/>
      <c r="Z19" s="162">
        <v>21062</v>
      </c>
      <c r="AA19" s="162"/>
      <c r="AB19" s="162"/>
      <c r="AC19" s="162"/>
      <c r="AD19" s="162"/>
      <c r="AE19" s="162"/>
      <c r="AF19" s="162"/>
      <c r="AG19" s="162"/>
      <c r="AH19" s="162"/>
      <c r="AI19" s="198"/>
    </row>
    <row r="20" spans="1:35" s="303" customFormat="1" ht="18" customHeight="1" thickBot="1" x14ac:dyDescent="0.35">
      <c r="A20" s="156" t="s">
        <v>15</v>
      </c>
      <c r="B20" s="156" t="s">
        <v>431</v>
      </c>
      <c r="C20" s="179">
        <v>13035</v>
      </c>
      <c r="D20" s="255" t="s">
        <v>587</v>
      </c>
      <c r="E20" s="238"/>
      <c r="F20" s="238">
        <f t="shared" si="1"/>
        <v>13035</v>
      </c>
      <c r="G20" s="238">
        <f t="shared" si="0"/>
        <v>0</v>
      </c>
      <c r="H20" s="131"/>
      <c r="I20" s="162"/>
      <c r="J20" s="162"/>
      <c r="K20" s="162"/>
      <c r="L20" s="162"/>
      <c r="M20" s="162"/>
      <c r="N20" s="162"/>
      <c r="O20" s="162" t="s">
        <v>587</v>
      </c>
      <c r="P20" s="162"/>
      <c r="Q20" s="162">
        <v>9073</v>
      </c>
      <c r="R20" s="162"/>
      <c r="S20" s="162">
        <v>3898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>
        <v>64</v>
      </c>
      <c r="AE20" s="162"/>
      <c r="AF20" s="162"/>
      <c r="AG20" s="162"/>
      <c r="AH20" s="162"/>
      <c r="AI20" s="198"/>
    </row>
    <row r="21" spans="1:35" s="303" customFormat="1" ht="18" customHeight="1" thickBot="1" x14ac:dyDescent="0.35">
      <c r="A21" s="156" t="s">
        <v>16</v>
      </c>
      <c r="B21" s="156" t="s">
        <v>194</v>
      </c>
      <c r="C21" s="179">
        <v>172656</v>
      </c>
      <c r="D21" s="255" t="s">
        <v>587</v>
      </c>
      <c r="E21" s="238"/>
      <c r="F21" s="238">
        <f t="shared" si="1"/>
        <v>172656</v>
      </c>
      <c r="G21" s="238">
        <f t="shared" si="0"/>
        <v>0</v>
      </c>
      <c r="H21" s="131"/>
      <c r="I21" s="162"/>
      <c r="J21" s="162"/>
      <c r="K21" s="162"/>
      <c r="L21" s="162">
        <v>4291</v>
      </c>
      <c r="M21" s="162">
        <v>11972</v>
      </c>
      <c r="N21" s="162">
        <v>19511</v>
      </c>
      <c r="O21" s="162">
        <v>8952</v>
      </c>
      <c r="P21" s="162">
        <v>19247</v>
      </c>
      <c r="Q21" s="162">
        <v>11334</v>
      </c>
      <c r="R21" s="162">
        <v>11098</v>
      </c>
      <c r="S21" s="162">
        <v>22971</v>
      </c>
      <c r="T21" s="162">
        <v>15519</v>
      </c>
      <c r="U21" s="162">
        <v>17804</v>
      </c>
      <c r="V21" s="162"/>
      <c r="W21" s="162"/>
      <c r="X21" s="162"/>
      <c r="Y21" s="162">
        <f>20678+9279</f>
        <v>29957</v>
      </c>
      <c r="Z21" s="162"/>
      <c r="AA21" s="162"/>
      <c r="AB21" s="162"/>
      <c r="AC21" s="162"/>
      <c r="AD21" s="162"/>
      <c r="AE21" s="162"/>
      <c r="AF21" s="162"/>
      <c r="AG21" s="162"/>
      <c r="AH21" s="162"/>
      <c r="AI21" s="198"/>
    </row>
    <row r="22" spans="1:35" s="303" customFormat="1" ht="18" customHeight="1" thickBot="1" x14ac:dyDescent="0.35">
      <c r="A22" s="156" t="s">
        <v>17</v>
      </c>
      <c r="B22" s="156" t="s">
        <v>195</v>
      </c>
      <c r="C22" s="179">
        <v>88002</v>
      </c>
      <c r="D22" s="255" t="s">
        <v>587</v>
      </c>
      <c r="E22" s="238"/>
      <c r="F22" s="238">
        <f t="shared" si="1"/>
        <v>88002</v>
      </c>
      <c r="G22" s="238">
        <f t="shared" si="0"/>
        <v>0</v>
      </c>
      <c r="H22" s="131"/>
      <c r="I22" s="162"/>
      <c r="J22" s="162"/>
      <c r="K22" s="162"/>
      <c r="L22" s="162"/>
      <c r="M22" s="162">
        <v>359</v>
      </c>
      <c r="N22" s="162"/>
      <c r="O22" s="162">
        <v>45288</v>
      </c>
      <c r="P22" s="162"/>
      <c r="Q22" s="162"/>
      <c r="R22" s="162"/>
      <c r="S22" s="162">
        <f>2381+10742</f>
        <v>13123</v>
      </c>
      <c r="T22" s="162"/>
      <c r="U22" s="162"/>
      <c r="V22" s="162">
        <v>7336</v>
      </c>
      <c r="W22" s="162"/>
      <c r="X22" s="162"/>
      <c r="Y22" s="162">
        <f>21896</f>
        <v>21896</v>
      </c>
      <c r="Z22" s="162"/>
      <c r="AA22" s="162"/>
      <c r="AB22" s="162"/>
      <c r="AC22" s="162"/>
      <c r="AD22" s="162"/>
      <c r="AE22" s="162"/>
      <c r="AF22" s="162"/>
      <c r="AG22" s="162"/>
      <c r="AH22" s="162"/>
      <c r="AI22" s="198"/>
    </row>
    <row r="23" spans="1:35" s="303" customFormat="1" ht="18" customHeight="1" thickBot="1" x14ac:dyDescent="0.35">
      <c r="A23" s="156" t="s">
        <v>18</v>
      </c>
      <c r="B23" s="156" t="s">
        <v>196</v>
      </c>
      <c r="C23" s="179">
        <v>692499</v>
      </c>
      <c r="D23" s="255" t="s">
        <v>587</v>
      </c>
      <c r="E23" s="238"/>
      <c r="F23" s="238">
        <f t="shared" si="1"/>
        <v>692499</v>
      </c>
      <c r="G23" s="238">
        <f t="shared" si="0"/>
        <v>0</v>
      </c>
      <c r="H23" s="131"/>
      <c r="I23" s="162"/>
      <c r="J23" s="162"/>
      <c r="K23" s="162"/>
      <c r="L23" s="162"/>
      <c r="M23" s="162">
        <v>53410</v>
      </c>
      <c r="N23" s="162">
        <v>53311</v>
      </c>
      <c r="O23" s="162">
        <v>51841</v>
      </c>
      <c r="P23" s="162">
        <v>50544</v>
      </c>
      <c r="Q23" s="162">
        <v>60864</v>
      </c>
      <c r="R23" s="162">
        <v>51292</v>
      </c>
      <c r="S23" s="162">
        <f>57384+68965</f>
        <v>126349</v>
      </c>
      <c r="T23" s="162"/>
      <c r="U23" s="162"/>
      <c r="V23" s="162">
        <v>187285</v>
      </c>
      <c r="W23" s="162"/>
      <c r="X23" s="162">
        <v>57603</v>
      </c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98"/>
    </row>
    <row r="24" spans="1:35" s="303" customFormat="1" ht="18" customHeight="1" thickBot="1" x14ac:dyDescent="0.35">
      <c r="A24" s="156" t="s">
        <v>19</v>
      </c>
      <c r="B24" s="156" t="s">
        <v>197</v>
      </c>
      <c r="C24" s="179">
        <v>367341</v>
      </c>
      <c r="D24" s="255" t="s">
        <v>587</v>
      </c>
      <c r="E24" s="238"/>
      <c r="F24" s="238">
        <f t="shared" si="1"/>
        <v>367341</v>
      </c>
      <c r="G24" s="238">
        <f t="shared" si="0"/>
        <v>0</v>
      </c>
      <c r="H24" s="131"/>
      <c r="I24" s="162"/>
      <c r="J24" s="162"/>
      <c r="K24" s="162"/>
      <c r="L24" s="162"/>
      <c r="M24" s="162">
        <v>51186</v>
      </c>
      <c r="N24" s="162"/>
      <c r="O24" s="162">
        <f>32331+64048</f>
        <v>96379</v>
      </c>
      <c r="P24" s="162">
        <v>32331</v>
      </c>
      <c r="Q24" s="162">
        <v>32380</v>
      </c>
      <c r="R24" s="162">
        <v>32738</v>
      </c>
      <c r="S24" s="162">
        <v>34948</v>
      </c>
      <c r="T24" s="162">
        <v>37780</v>
      </c>
      <c r="U24" s="162"/>
      <c r="V24" s="162">
        <v>3616</v>
      </c>
      <c r="W24" s="162"/>
      <c r="X24" s="162"/>
      <c r="Y24" s="162"/>
      <c r="Z24" s="162"/>
      <c r="AA24" s="162"/>
      <c r="AB24" s="162"/>
      <c r="AC24" s="162">
        <f>16789+29194</f>
        <v>45983</v>
      </c>
      <c r="AD24" s="162"/>
      <c r="AE24" s="162"/>
      <c r="AF24" s="162"/>
      <c r="AG24" s="162"/>
      <c r="AH24" s="162"/>
      <c r="AI24" s="198"/>
    </row>
    <row r="25" spans="1:35" s="303" customFormat="1" ht="18" customHeight="1" thickBot="1" x14ac:dyDescent="0.35">
      <c r="A25" s="156" t="s">
        <v>20</v>
      </c>
      <c r="B25" s="156" t="s">
        <v>198</v>
      </c>
      <c r="C25" s="179">
        <v>8065</v>
      </c>
      <c r="D25" s="255" t="s">
        <v>372</v>
      </c>
      <c r="E25" s="238">
        <f>IF(ISBLANK(D25),,C25)</f>
        <v>8065</v>
      </c>
      <c r="F25" s="238">
        <f t="shared" si="1"/>
        <v>0</v>
      </c>
      <c r="G25" s="238">
        <f t="shared" si="0"/>
        <v>0</v>
      </c>
      <c r="H25" s="131"/>
      <c r="I25" s="162"/>
      <c r="J25" s="162"/>
      <c r="K25" s="162"/>
      <c r="L25" s="162"/>
      <c r="M25" s="162"/>
      <c r="N25" s="162"/>
      <c r="O25" s="162" t="s">
        <v>587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98"/>
    </row>
    <row r="26" spans="1:35" s="303" customFormat="1" ht="18" customHeight="1" thickBot="1" x14ac:dyDescent="0.35">
      <c r="A26" s="156" t="s">
        <v>21</v>
      </c>
      <c r="B26" s="156" t="s">
        <v>199</v>
      </c>
      <c r="C26" s="179">
        <v>1159245</v>
      </c>
      <c r="D26" s="255" t="s">
        <v>587</v>
      </c>
      <c r="E26" s="238"/>
      <c r="F26" s="238">
        <f t="shared" si="1"/>
        <v>1159245</v>
      </c>
      <c r="G26" s="238">
        <f t="shared" si="0"/>
        <v>0</v>
      </c>
      <c r="H26" s="131"/>
      <c r="I26" s="162"/>
      <c r="J26" s="162"/>
      <c r="K26" s="162"/>
      <c r="L26" s="162"/>
      <c r="M26" s="162"/>
      <c r="N26" s="162">
        <v>23096</v>
      </c>
      <c r="O26" s="162">
        <v>17691</v>
      </c>
      <c r="P26" s="162">
        <v>165310</v>
      </c>
      <c r="Q26" s="162">
        <v>90570</v>
      </c>
      <c r="R26" s="162">
        <v>87881</v>
      </c>
      <c r="S26" s="162">
        <v>92283</v>
      </c>
      <c r="T26" s="162">
        <v>91893</v>
      </c>
      <c r="U26" s="162">
        <v>5886</v>
      </c>
      <c r="V26" s="162"/>
      <c r="W26" s="162">
        <v>93460</v>
      </c>
      <c r="X26" s="162"/>
      <c r="Y26" s="162">
        <v>440531</v>
      </c>
      <c r="Z26" s="162"/>
      <c r="AA26" s="162">
        <v>50644</v>
      </c>
      <c r="AB26" s="162"/>
      <c r="AC26" s="162"/>
      <c r="AD26" s="162"/>
      <c r="AE26" s="162"/>
      <c r="AF26" s="162"/>
      <c r="AG26" s="162"/>
      <c r="AH26" s="162"/>
      <c r="AI26" s="198"/>
    </row>
    <row r="27" spans="1:35" s="303" customFormat="1" ht="18" customHeight="1" thickBot="1" x14ac:dyDescent="0.35">
      <c r="A27" s="156" t="s">
        <v>22</v>
      </c>
      <c r="B27" s="156" t="s">
        <v>200</v>
      </c>
      <c r="C27" s="179">
        <v>19882</v>
      </c>
      <c r="D27" s="255" t="s">
        <v>372</v>
      </c>
      <c r="E27" s="238">
        <f>IF(ISBLANK(D27),,C27)</f>
        <v>19882</v>
      </c>
      <c r="F27" s="238">
        <f t="shared" si="1"/>
        <v>0</v>
      </c>
      <c r="G27" s="238">
        <f t="shared" si="0"/>
        <v>0</v>
      </c>
      <c r="H27" s="131"/>
      <c r="I27" s="162"/>
      <c r="J27" s="162"/>
      <c r="K27" s="162"/>
      <c r="L27" s="162"/>
      <c r="M27" s="162"/>
      <c r="N27" s="162"/>
      <c r="O27" s="162" t="s">
        <v>587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98"/>
    </row>
    <row r="28" spans="1:35" s="303" customFormat="1" ht="18" customHeight="1" thickBot="1" x14ac:dyDescent="0.35">
      <c r="A28" s="156" t="s">
        <v>23</v>
      </c>
      <c r="B28" s="156" t="s">
        <v>433</v>
      </c>
      <c r="C28" s="179">
        <v>73271</v>
      </c>
      <c r="D28" s="255" t="s">
        <v>587</v>
      </c>
      <c r="E28" s="238"/>
      <c r="F28" s="238">
        <f t="shared" si="1"/>
        <v>73271</v>
      </c>
      <c r="G28" s="238">
        <f t="shared" si="0"/>
        <v>0</v>
      </c>
      <c r="H28" s="131"/>
      <c r="I28" s="162"/>
      <c r="J28" s="162"/>
      <c r="K28" s="162"/>
      <c r="L28" s="162">
        <f>9252+9253</f>
        <v>18505</v>
      </c>
      <c r="M28" s="162">
        <v>9252</v>
      </c>
      <c r="N28" s="162">
        <v>9252</v>
      </c>
      <c r="O28" s="162">
        <v>4282</v>
      </c>
      <c r="P28" s="162">
        <v>4281</v>
      </c>
      <c r="Q28" s="162">
        <v>11409</v>
      </c>
      <c r="R28" s="162">
        <v>7845</v>
      </c>
      <c r="S28" s="162">
        <v>7875</v>
      </c>
      <c r="T28" s="162">
        <v>284</v>
      </c>
      <c r="U28" s="162"/>
      <c r="V28" s="162"/>
      <c r="W28" s="162"/>
      <c r="X28" s="162"/>
      <c r="Y28" s="162">
        <v>286</v>
      </c>
      <c r="Z28" s="162"/>
      <c r="AA28" s="162"/>
      <c r="AB28" s="162"/>
      <c r="AC28" s="162"/>
      <c r="AD28" s="162"/>
      <c r="AE28" s="162"/>
      <c r="AF28" s="162"/>
      <c r="AG28" s="162"/>
      <c r="AH28" s="162"/>
      <c r="AI28" s="198"/>
    </row>
    <row r="29" spans="1:35" s="303" customFormat="1" ht="18" customHeight="1" thickBot="1" x14ac:dyDescent="0.35">
      <c r="A29" s="156" t="s">
        <v>24</v>
      </c>
      <c r="B29" s="156" t="s">
        <v>435</v>
      </c>
      <c r="C29" s="179">
        <v>12113</v>
      </c>
      <c r="D29" s="255" t="s">
        <v>587</v>
      </c>
      <c r="E29" s="238"/>
      <c r="F29" s="238">
        <f t="shared" si="1"/>
        <v>12113</v>
      </c>
      <c r="G29" s="238">
        <f t="shared" si="0"/>
        <v>0</v>
      </c>
      <c r="H29" s="131"/>
      <c r="I29" s="162"/>
      <c r="J29" s="162"/>
      <c r="K29" s="162"/>
      <c r="L29" s="162">
        <v>1295</v>
      </c>
      <c r="M29" s="162"/>
      <c r="N29" s="162"/>
      <c r="O29" s="162" t="s">
        <v>587</v>
      </c>
      <c r="P29" s="162"/>
      <c r="Q29" s="162"/>
      <c r="R29" s="162">
        <f>2134+8651</f>
        <v>10785</v>
      </c>
      <c r="S29" s="162"/>
      <c r="T29" s="162"/>
      <c r="U29" s="162"/>
      <c r="V29" s="162"/>
      <c r="W29" s="162"/>
      <c r="X29" s="162"/>
      <c r="Y29" s="162"/>
      <c r="Z29" s="162">
        <v>33</v>
      </c>
      <c r="AA29" s="162"/>
      <c r="AB29" s="162"/>
      <c r="AC29" s="162"/>
      <c r="AD29" s="162"/>
      <c r="AE29" s="162"/>
      <c r="AF29" s="162"/>
      <c r="AG29" s="162"/>
      <c r="AH29" s="162"/>
      <c r="AI29" s="198"/>
    </row>
    <row r="30" spans="1:35" s="303" customFormat="1" ht="18" customHeight="1" thickBot="1" x14ac:dyDescent="0.35">
      <c r="A30" s="156" t="s">
        <v>25</v>
      </c>
      <c r="B30" s="156" t="s">
        <v>437</v>
      </c>
      <c r="C30" s="179">
        <v>5720</v>
      </c>
      <c r="D30" s="255" t="s">
        <v>587</v>
      </c>
      <c r="E30" s="238"/>
      <c r="F30" s="238">
        <f t="shared" si="1"/>
        <v>5720</v>
      </c>
      <c r="G30" s="238">
        <f t="shared" si="0"/>
        <v>0</v>
      </c>
      <c r="H30" s="131"/>
      <c r="I30" s="162"/>
      <c r="J30" s="162"/>
      <c r="K30" s="162"/>
      <c r="L30" s="162"/>
      <c r="M30" s="162"/>
      <c r="N30" s="162"/>
      <c r="O30" s="162" t="s">
        <v>587</v>
      </c>
      <c r="P30" s="162"/>
      <c r="Q30" s="162">
        <v>4803</v>
      </c>
      <c r="R30" s="162"/>
      <c r="S30" s="162">
        <v>911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>
        <v>6</v>
      </c>
      <c r="AD30" s="162"/>
      <c r="AE30" s="162"/>
      <c r="AF30" s="162"/>
      <c r="AG30" s="162"/>
      <c r="AH30" s="162"/>
      <c r="AI30" s="198"/>
    </row>
    <row r="31" spans="1:35" s="303" customFormat="1" ht="18" customHeight="1" thickBot="1" x14ac:dyDescent="0.35">
      <c r="A31" s="156" t="s">
        <v>26</v>
      </c>
      <c r="B31" s="156" t="s">
        <v>438</v>
      </c>
      <c r="C31" s="179">
        <v>16523</v>
      </c>
      <c r="D31" s="255" t="s">
        <v>587</v>
      </c>
      <c r="E31" s="238"/>
      <c r="F31" s="238">
        <f t="shared" si="1"/>
        <v>16523</v>
      </c>
      <c r="G31" s="238">
        <f t="shared" si="0"/>
        <v>0</v>
      </c>
      <c r="H31" s="131"/>
      <c r="I31" s="162"/>
      <c r="J31" s="162"/>
      <c r="K31" s="162"/>
      <c r="L31" s="162"/>
      <c r="M31" s="162"/>
      <c r="N31" s="162"/>
      <c r="O31" s="162" t="s">
        <v>587</v>
      </c>
      <c r="P31" s="162">
        <v>6484</v>
      </c>
      <c r="Q31" s="162">
        <v>2130</v>
      </c>
      <c r="R31" s="162">
        <v>2128</v>
      </c>
      <c r="S31" s="162">
        <v>4443</v>
      </c>
      <c r="T31" s="162"/>
      <c r="U31" s="162"/>
      <c r="V31" s="162"/>
      <c r="W31" s="162"/>
      <c r="X31" s="162"/>
      <c r="Y31" s="162"/>
      <c r="Z31" s="162"/>
      <c r="AA31" s="162"/>
      <c r="AB31" s="162">
        <v>1338</v>
      </c>
      <c r="AC31" s="162"/>
      <c r="AD31" s="162"/>
      <c r="AE31" s="162"/>
      <c r="AF31" s="162"/>
      <c r="AG31" s="162"/>
      <c r="AH31" s="162"/>
      <c r="AI31" s="198"/>
    </row>
    <row r="32" spans="1:35" s="303" customFormat="1" ht="18" customHeight="1" thickBot="1" x14ac:dyDescent="0.35">
      <c r="A32" s="156" t="s">
        <v>27</v>
      </c>
      <c r="B32" s="156" t="s">
        <v>439</v>
      </c>
      <c r="C32" s="179">
        <v>1223</v>
      </c>
      <c r="D32" s="255" t="s">
        <v>587</v>
      </c>
      <c r="E32" s="238"/>
      <c r="F32" s="238">
        <f t="shared" si="1"/>
        <v>1223</v>
      </c>
      <c r="G32" s="238">
        <f t="shared" si="0"/>
        <v>0</v>
      </c>
      <c r="H32" s="131"/>
      <c r="I32" s="162"/>
      <c r="J32" s="162"/>
      <c r="K32" s="162"/>
      <c r="L32" s="162"/>
      <c r="M32" s="162"/>
      <c r="N32" s="162"/>
      <c r="O32" s="162" t="s">
        <v>587</v>
      </c>
      <c r="P32" s="162"/>
      <c r="Q32" s="162"/>
      <c r="R32" s="162">
        <v>1213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>
        <v>10</v>
      </c>
      <c r="AE32" s="162"/>
      <c r="AF32" s="162"/>
      <c r="AG32" s="162"/>
      <c r="AH32" s="162"/>
      <c r="AI32" s="198"/>
    </row>
    <row r="33" spans="1:35" s="303" customFormat="1" ht="18" customHeight="1" thickBot="1" x14ac:dyDescent="0.35">
      <c r="A33" s="156" t="s">
        <v>28</v>
      </c>
      <c r="B33" s="156" t="s">
        <v>440</v>
      </c>
      <c r="C33" s="179">
        <v>2207</v>
      </c>
      <c r="D33" s="255" t="s">
        <v>587</v>
      </c>
      <c r="E33" s="238"/>
      <c r="F33" s="238">
        <f t="shared" si="1"/>
        <v>2207</v>
      </c>
      <c r="G33" s="238">
        <f t="shared" si="0"/>
        <v>0</v>
      </c>
      <c r="H33" s="131"/>
      <c r="I33" s="162"/>
      <c r="J33" s="162"/>
      <c r="K33" s="162"/>
      <c r="L33" s="162"/>
      <c r="M33" s="162"/>
      <c r="N33" s="162"/>
      <c r="O33" s="162" t="s">
        <v>587</v>
      </c>
      <c r="P33" s="162"/>
      <c r="Q33" s="162">
        <v>1750</v>
      </c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457</v>
      </c>
      <c r="AD33" s="162"/>
      <c r="AE33" s="162"/>
      <c r="AF33" s="162"/>
      <c r="AG33" s="162"/>
      <c r="AH33" s="162"/>
      <c r="AI33" s="198"/>
    </row>
    <row r="34" spans="1:35" s="303" customFormat="1" ht="18" customHeight="1" thickBot="1" x14ac:dyDescent="0.35">
      <c r="A34" s="156" t="s">
        <v>29</v>
      </c>
      <c r="B34" s="156" t="s">
        <v>441</v>
      </c>
      <c r="C34" s="179">
        <v>49419</v>
      </c>
      <c r="D34" s="255" t="s">
        <v>587</v>
      </c>
      <c r="E34" s="238"/>
      <c r="F34" s="238">
        <f t="shared" si="1"/>
        <v>49419</v>
      </c>
      <c r="G34" s="238">
        <f t="shared" si="0"/>
        <v>0</v>
      </c>
      <c r="H34" s="131"/>
      <c r="I34" s="162"/>
      <c r="J34" s="162"/>
      <c r="K34" s="162"/>
      <c r="L34" s="162"/>
      <c r="M34" s="162"/>
      <c r="N34" s="162">
        <v>19005</v>
      </c>
      <c r="O34" s="162" t="s">
        <v>587</v>
      </c>
      <c r="P34" s="162"/>
      <c r="Q34" s="162"/>
      <c r="R34" s="162"/>
      <c r="S34" s="162">
        <v>30244</v>
      </c>
      <c r="T34" s="162"/>
      <c r="U34" s="162"/>
      <c r="V34" s="162"/>
      <c r="W34" s="162"/>
      <c r="X34" s="162"/>
      <c r="Y34" s="162">
        <v>170</v>
      </c>
      <c r="Z34" s="162"/>
      <c r="AA34" s="162"/>
      <c r="AB34" s="162"/>
      <c r="AC34" s="162"/>
      <c r="AD34" s="162"/>
      <c r="AE34" s="162"/>
      <c r="AF34" s="162"/>
      <c r="AG34" s="162"/>
      <c r="AH34" s="162"/>
      <c r="AI34" s="198"/>
    </row>
    <row r="35" spans="1:35" s="303" customFormat="1" ht="18" customHeight="1" thickBot="1" x14ac:dyDescent="0.35">
      <c r="A35" s="156" t="s">
        <v>30</v>
      </c>
      <c r="B35" s="156" t="s">
        <v>443</v>
      </c>
      <c r="C35" s="179">
        <v>10733</v>
      </c>
      <c r="D35" s="255" t="s">
        <v>587</v>
      </c>
      <c r="E35" s="238"/>
      <c r="F35" s="238">
        <f t="shared" si="1"/>
        <v>10733</v>
      </c>
      <c r="G35" s="238">
        <f t="shared" si="0"/>
        <v>0</v>
      </c>
      <c r="H35" s="131"/>
      <c r="I35" s="162"/>
      <c r="J35" s="162"/>
      <c r="K35" s="162"/>
      <c r="L35" s="162"/>
      <c r="M35" s="162"/>
      <c r="N35" s="162"/>
      <c r="O35" s="162" t="s">
        <v>587</v>
      </c>
      <c r="P35" s="162">
        <v>9978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>
        <v>755</v>
      </c>
      <c r="AG35" s="162"/>
      <c r="AH35" s="162"/>
      <c r="AI35" s="198"/>
    </row>
    <row r="36" spans="1:35" s="303" customFormat="1" ht="18" customHeight="1" thickBot="1" x14ac:dyDescent="0.35">
      <c r="A36" s="156" t="s">
        <v>31</v>
      </c>
      <c r="B36" s="156" t="s">
        <v>444</v>
      </c>
      <c r="C36" s="179">
        <v>452897</v>
      </c>
      <c r="D36" s="255" t="s">
        <v>587</v>
      </c>
      <c r="E36" s="238"/>
      <c r="F36" s="238">
        <f t="shared" si="1"/>
        <v>452897</v>
      </c>
      <c r="G36" s="238">
        <f t="shared" si="0"/>
        <v>0</v>
      </c>
      <c r="H36" s="131"/>
      <c r="I36" s="162"/>
      <c r="J36" s="162"/>
      <c r="K36" s="162">
        <v>18776</v>
      </c>
      <c r="L36" s="162">
        <v>28185</v>
      </c>
      <c r="M36" s="162">
        <v>28550</v>
      </c>
      <c r="N36" s="162">
        <v>29945</v>
      </c>
      <c r="O36" s="162">
        <v>30612</v>
      </c>
      <c r="P36" s="162">
        <v>28165</v>
      </c>
      <c r="Q36" s="162">
        <v>28419</v>
      </c>
      <c r="R36" s="162">
        <v>28327</v>
      </c>
      <c r="S36" s="162">
        <v>28337</v>
      </c>
      <c r="T36" s="162">
        <v>28338</v>
      </c>
      <c r="U36" s="162"/>
      <c r="V36" s="162"/>
      <c r="W36" s="162">
        <v>89051</v>
      </c>
      <c r="X36" s="162"/>
      <c r="Y36" s="162">
        <v>46620</v>
      </c>
      <c r="Z36" s="162">
        <v>39572</v>
      </c>
      <c r="AA36" s="162"/>
      <c r="AB36" s="162"/>
      <c r="AC36" s="162"/>
      <c r="AD36" s="162"/>
      <c r="AE36" s="162"/>
      <c r="AF36" s="162"/>
      <c r="AG36" s="162"/>
      <c r="AH36" s="162"/>
      <c r="AI36" s="198"/>
    </row>
    <row r="37" spans="1:35" s="303" customFormat="1" ht="18" customHeight="1" thickBot="1" x14ac:dyDescent="0.35">
      <c r="A37" s="156" t="s">
        <v>32</v>
      </c>
      <c r="B37" s="156" t="s">
        <v>446</v>
      </c>
      <c r="C37" s="179">
        <v>678910</v>
      </c>
      <c r="D37" s="255" t="s">
        <v>587</v>
      </c>
      <c r="E37" s="238"/>
      <c r="F37" s="238">
        <f t="shared" si="1"/>
        <v>678910</v>
      </c>
      <c r="G37" s="238">
        <f t="shared" si="0"/>
        <v>0</v>
      </c>
      <c r="H37" s="131"/>
      <c r="I37" s="162"/>
      <c r="J37" s="162"/>
      <c r="K37" s="162"/>
      <c r="L37" s="162">
        <v>176461</v>
      </c>
      <c r="M37" s="162">
        <v>65755</v>
      </c>
      <c r="N37" s="162">
        <v>35037</v>
      </c>
      <c r="O37" s="162">
        <v>78563</v>
      </c>
      <c r="P37" s="162">
        <v>62727</v>
      </c>
      <c r="Q37" s="162">
        <v>62507</v>
      </c>
      <c r="R37" s="162">
        <v>65864</v>
      </c>
      <c r="S37" s="162">
        <v>74544</v>
      </c>
      <c r="T37" s="162">
        <v>11216</v>
      </c>
      <c r="U37" s="162"/>
      <c r="V37" s="162">
        <v>7253</v>
      </c>
      <c r="W37" s="162"/>
      <c r="X37" s="162">
        <v>38983</v>
      </c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98"/>
    </row>
    <row r="38" spans="1:35" s="303" customFormat="1" ht="18" customHeight="1" thickBot="1" x14ac:dyDescent="0.35">
      <c r="A38" s="156" t="s">
        <v>33</v>
      </c>
      <c r="B38" s="156" t="s">
        <v>211</v>
      </c>
      <c r="C38" s="179">
        <v>36946</v>
      </c>
      <c r="D38" s="255" t="s">
        <v>587</v>
      </c>
      <c r="E38" s="238"/>
      <c r="F38" s="238">
        <f t="shared" si="1"/>
        <v>36946</v>
      </c>
      <c r="G38" s="238">
        <f t="shared" si="0"/>
        <v>0</v>
      </c>
      <c r="H38" s="131"/>
      <c r="I38" s="162"/>
      <c r="J38" s="162"/>
      <c r="K38" s="162"/>
      <c r="L38" s="162"/>
      <c r="M38" s="162"/>
      <c r="N38" s="162">
        <v>23391</v>
      </c>
      <c r="O38" s="162" t="s">
        <v>587</v>
      </c>
      <c r="P38" s="162"/>
      <c r="Q38" s="162"/>
      <c r="R38" s="162">
        <v>13358</v>
      </c>
      <c r="S38" s="162"/>
      <c r="T38" s="162"/>
      <c r="U38" s="162"/>
      <c r="V38" s="162"/>
      <c r="W38" s="162"/>
      <c r="X38" s="162"/>
      <c r="Y38" s="162">
        <v>197</v>
      </c>
      <c r="Z38" s="162"/>
      <c r="AA38" s="162"/>
      <c r="AB38" s="162"/>
      <c r="AC38" s="162"/>
      <c r="AD38" s="162"/>
      <c r="AE38" s="162"/>
      <c r="AF38" s="162"/>
      <c r="AG38" s="162"/>
      <c r="AH38" s="162"/>
      <c r="AI38" s="198"/>
    </row>
    <row r="39" spans="1:35" s="303" customFormat="1" ht="18" customHeight="1" thickBot="1" x14ac:dyDescent="0.35">
      <c r="A39" s="156" t="s">
        <v>34</v>
      </c>
      <c r="B39" s="156" t="s">
        <v>212</v>
      </c>
      <c r="C39" s="179">
        <v>55960</v>
      </c>
      <c r="D39" s="255" t="s">
        <v>587</v>
      </c>
      <c r="E39" s="238"/>
      <c r="F39" s="238">
        <f t="shared" si="1"/>
        <v>55960</v>
      </c>
      <c r="G39" s="238">
        <f t="shared" si="0"/>
        <v>0</v>
      </c>
      <c r="H39" s="131"/>
      <c r="I39" s="162"/>
      <c r="J39" s="162"/>
      <c r="K39" s="162">
        <f>9783+1007</f>
        <v>10790</v>
      </c>
      <c r="L39" s="162">
        <v>8267</v>
      </c>
      <c r="M39" s="162">
        <v>3571</v>
      </c>
      <c r="N39" s="162">
        <v>3409</v>
      </c>
      <c r="O39" s="162">
        <v>3623</v>
      </c>
      <c r="P39" s="162">
        <v>6991</v>
      </c>
      <c r="Q39" s="162">
        <v>2237</v>
      </c>
      <c r="R39" s="162">
        <v>4679</v>
      </c>
      <c r="S39" s="162">
        <v>6102</v>
      </c>
      <c r="T39" s="162"/>
      <c r="U39" s="162"/>
      <c r="V39" s="162"/>
      <c r="W39" s="162">
        <v>2180</v>
      </c>
      <c r="X39" s="162"/>
      <c r="Y39" s="162"/>
      <c r="Z39" s="162"/>
      <c r="AA39" s="162">
        <v>4111</v>
      </c>
      <c r="AB39" s="162"/>
      <c r="AC39" s="162"/>
      <c r="AD39" s="162"/>
      <c r="AE39" s="162"/>
      <c r="AF39" s="162"/>
      <c r="AG39" s="162"/>
      <c r="AH39" s="162"/>
      <c r="AI39" s="198"/>
    </row>
    <row r="40" spans="1:35" s="303" customFormat="1" ht="18" customHeight="1" thickBot="1" x14ac:dyDescent="0.35">
      <c r="A40" s="156" t="s">
        <v>35</v>
      </c>
      <c r="B40" s="156" t="s">
        <v>213</v>
      </c>
      <c r="C40" s="179">
        <v>4448</v>
      </c>
      <c r="D40" s="255" t="s">
        <v>372</v>
      </c>
      <c r="E40" s="238">
        <f>IF(ISBLANK(D40),,C40)</f>
        <v>4448</v>
      </c>
      <c r="F40" s="238">
        <f t="shared" si="1"/>
        <v>0</v>
      </c>
      <c r="G40" s="238">
        <f t="shared" si="0"/>
        <v>0</v>
      </c>
      <c r="H40" s="131"/>
      <c r="I40" s="162"/>
      <c r="J40" s="162"/>
      <c r="K40" s="162"/>
      <c r="L40" s="162"/>
      <c r="M40" s="162"/>
      <c r="N40" s="162"/>
      <c r="O40" s="162" t="s">
        <v>587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98"/>
    </row>
    <row r="41" spans="1:35" s="303" customFormat="1" ht="18" customHeight="1" thickBot="1" x14ac:dyDescent="0.35">
      <c r="A41" s="156" t="s">
        <v>36</v>
      </c>
      <c r="B41" s="156" t="s">
        <v>449</v>
      </c>
      <c r="C41" s="179">
        <v>11658</v>
      </c>
      <c r="D41" s="255" t="s">
        <v>372</v>
      </c>
      <c r="E41" s="238">
        <f>IF(ISBLANK(D41),,C41)</f>
        <v>11658</v>
      </c>
      <c r="F41" s="238">
        <f t="shared" si="1"/>
        <v>0</v>
      </c>
      <c r="G41" s="238">
        <f t="shared" si="0"/>
        <v>0</v>
      </c>
      <c r="H41" s="131"/>
      <c r="I41" s="162"/>
      <c r="J41" s="162"/>
      <c r="K41" s="162"/>
      <c r="L41" s="162"/>
      <c r="M41" s="162"/>
      <c r="N41" s="162"/>
      <c r="O41" s="162" t="s">
        <v>587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98"/>
    </row>
    <row r="42" spans="1:35" s="303" customFormat="1" ht="18" customHeight="1" thickBot="1" x14ac:dyDescent="0.35">
      <c r="A42" s="156" t="s">
        <v>37</v>
      </c>
      <c r="B42" s="156" t="s">
        <v>450</v>
      </c>
      <c r="C42" s="179">
        <v>37813</v>
      </c>
      <c r="D42" s="255" t="s">
        <v>587</v>
      </c>
      <c r="E42" s="238"/>
      <c r="F42" s="238">
        <f t="shared" si="1"/>
        <v>37813</v>
      </c>
      <c r="G42" s="238">
        <f t="shared" si="0"/>
        <v>0</v>
      </c>
      <c r="H42" s="131"/>
      <c r="I42" s="162"/>
      <c r="J42" s="162"/>
      <c r="K42" s="162"/>
      <c r="L42" s="162"/>
      <c r="M42" s="162"/>
      <c r="N42" s="162"/>
      <c r="O42" s="162" t="s">
        <v>587</v>
      </c>
      <c r="P42" s="162"/>
      <c r="Q42" s="162"/>
      <c r="R42" s="162">
        <v>1422</v>
      </c>
      <c r="S42" s="162"/>
      <c r="T42" s="162"/>
      <c r="U42" s="162">
        <v>12998</v>
      </c>
      <c r="V42" s="162"/>
      <c r="W42" s="162"/>
      <c r="X42" s="162"/>
      <c r="Y42" s="162"/>
      <c r="Z42" s="162"/>
      <c r="AA42" s="162">
        <v>20401</v>
      </c>
      <c r="AB42" s="162"/>
      <c r="AC42" s="162"/>
      <c r="AD42" s="162"/>
      <c r="AE42" s="162"/>
      <c r="AF42" s="162">
        <v>2992</v>
      </c>
      <c r="AG42" s="162"/>
      <c r="AH42" s="162"/>
      <c r="AI42" s="198"/>
    </row>
    <row r="43" spans="1:35" s="303" customFormat="1" ht="18" customHeight="1" thickBot="1" x14ac:dyDescent="0.35">
      <c r="A43" s="156" t="s">
        <v>38</v>
      </c>
      <c r="B43" s="156" t="s">
        <v>452</v>
      </c>
      <c r="C43" s="179">
        <v>71529</v>
      </c>
      <c r="D43" s="255" t="s">
        <v>587</v>
      </c>
      <c r="E43" s="238"/>
      <c r="F43" s="238">
        <f t="shared" si="1"/>
        <v>71529</v>
      </c>
      <c r="G43" s="238">
        <f t="shared" si="0"/>
        <v>0</v>
      </c>
      <c r="H43" s="131"/>
      <c r="I43" s="162"/>
      <c r="J43" s="162"/>
      <c r="K43" s="162"/>
      <c r="L43" s="162">
        <v>17270</v>
      </c>
      <c r="M43" s="162">
        <v>6309</v>
      </c>
      <c r="N43" s="162"/>
      <c r="O43" s="162">
        <v>9226</v>
      </c>
      <c r="P43" s="162">
        <v>955</v>
      </c>
      <c r="Q43" s="162">
        <v>9071</v>
      </c>
      <c r="R43" s="162">
        <v>1049</v>
      </c>
      <c r="S43" s="162">
        <v>4908</v>
      </c>
      <c r="T43" s="162">
        <v>121</v>
      </c>
      <c r="U43" s="162">
        <v>9036</v>
      </c>
      <c r="V43" s="162">
        <v>8885</v>
      </c>
      <c r="W43" s="162">
        <v>1756</v>
      </c>
      <c r="X43" s="162"/>
      <c r="Y43" s="162">
        <v>2943</v>
      </c>
      <c r="Z43" s="162"/>
      <c r="AA43" s="162"/>
      <c r="AB43" s="162"/>
      <c r="AC43" s="162"/>
      <c r="AD43" s="162"/>
      <c r="AE43" s="162"/>
      <c r="AF43" s="162"/>
      <c r="AG43" s="162"/>
      <c r="AH43" s="162"/>
      <c r="AI43" s="198"/>
    </row>
    <row r="44" spans="1:35" s="303" customFormat="1" ht="18" customHeight="1" thickBot="1" x14ac:dyDescent="0.35">
      <c r="A44" s="156" t="s">
        <v>39</v>
      </c>
      <c r="B44" s="156" t="s">
        <v>217</v>
      </c>
      <c r="C44" s="179">
        <v>23292</v>
      </c>
      <c r="D44" s="255" t="s">
        <v>587</v>
      </c>
      <c r="E44" s="238"/>
      <c r="F44" s="238">
        <f t="shared" si="1"/>
        <v>23292</v>
      </c>
      <c r="G44" s="238">
        <f t="shared" ref="G44:G75" si="2">IF(ISBLANK(E44),C44-F44,C44-E44)</f>
        <v>0</v>
      </c>
      <c r="H44" s="131"/>
      <c r="I44" s="162"/>
      <c r="J44" s="162"/>
      <c r="K44" s="162"/>
      <c r="L44" s="162"/>
      <c r="M44" s="162"/>
      <c r="N44" s="162">
        <v>7747</v>
      </c>
      <c r="O44" s="162" t="s">
        <v>587</v>
      </c>
      <c r="P44" s="162"/>
      <c r="Q44" s="162"/>
      <c r="R44" s="162"/>
      <c r="S44" s="162">
        <v>15503</v>
      </c>
      <c r="T44" s="162"/>
      <c r="U44" s="162"/>
      <c r="V44" s="162"/>
      <c r="W44" s="162"/>
      <c r="X44" s="162"/>
      <c r="Y44" s="162"/>
      <c r="Z44" s="162"/>
      <c r="AA44" s="162">
        <v>42</v>
      </c>
      <c r="AB44" s="162"/>
      <c r="AC44" s="162"/>
      <c r="AD44" s="162"/>
      <c r="AE44" s="162"/>
      <c r="AF44" s="162"/>
      <c r="AG44" s="162"/>
      <c r="AH44" s="162"/>
      <c r="AI44" s="198"/>
    </row>
    <row r="45" spans="1:35" s="303" customFormat="1" ht="18" customHeight="1" thickBot="1" x14ac:dyDescent="0.35">
      <c r="A45" s="156" t="s">
        <v>40</v>
      </c>
      <c r="B45" s="156" t="s">
        <v>454</v>
      </c>
      <c r="C45" s="179">
        <v>33917</v>
      </c>
      <c r="D45" s="255" t="s">
        <v>587</v>
      </c>
      <c r="E45" s="238"/>
      <c r="F45" s="238">
        <f t="shared" si="1"/>
        <v>6586</v>
      </c>
      <c r="G45" s="238">
        <f t="shared" si="2"/>
        <v>27331</v>
      </c>
      <c r="H45" s="131"/>
      <c r="I45" s="162"/>
      <c r="J45" s="162"/>
      <c r="K45" s="162"/>
      <c r="L45" s="162"/>
      <c r="M45" s="162"/>
      <c r="N45" s="162"/>
      <c r="O45" s="162" t="s">
        <v>587</v>
      </c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>
        <v>6586</v>
      </c>
      <c r="AF45" s="162"/>
      <c r="AG45" s="162"/>
      <c r="AH45" s="162"/>
      <c r="AI45" s="198"/>
    </row>
    <row r="46" spans="1:35" s="303" customFormat="1" ht="18" customHeight="1" thickBot="1" x14ac:dyDescent="0.35">
      <c r="A46" s="156" t="s">
        <v>41</v>
      </c>
      <c r="B46" s="156" t="s">
        <v>219</v>
      </c>
      <c r="C46" s="179">
        <v>37070</v>
      </c>
      <c r="D46" s="255" t="s">
        <v>587</v>
      </c>
      <c r="E46" s="238"/>
      <c r="F46" s="238">
        <f t="shared" si="1"/>
        <v>37070</v>
      </c>
      <c r="G46" s="238">
        <f t="shared" si="2"/>
        <v>0</v>
      </c>
      <c r="H46" s="131"/>
      <c r="I46" s="162"/>
      <c r="J46" s="162"/>
      <c r="K46" s="162"/>
      <c r="L46" s="162"/>
      <c r="M46" s="162"/>
      <c r="N46" s="162"/>
      <c r="O46" s="162" t="s">
        <v>587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>
        <v>14909</v>
      </c>
      <c r="Z46" s="162"/>
      <c r="AA46" s="162">
        <v>22161</v>
      </c>
      <c r="AB46" s="162"/>
      <c r="AC46" s="162"/>
      <c r="AD46" s="162"/>
      <c r="AE46" s="162"/>
      <c r="AF46" s="162"/>
      <c r="AG46" s="162"/>
      <c r="AH46" s="162"/>
      <c r="AI46" s="198"/>
    </row>
    <row r="47" spans="1:35" s="303" customFormat="1" ht="18" customHeight="1" thickBot="1" x14ac:dyDescent="0.35">
      <c r="A47" s="156" t="s">
        <v>42</v>
      </c>
      <c r="B47" s="156" t="s">
        <v>220</v>
      </c>
      <c r="C47" s="179">
        <v>25131</v>
      </c>
      <c r="D47" s="255" t="s">
        <v>587</v>
      </c>
      <c r="E47" s="238"/>
      <c r="F47" s="238">
        <f t="shared" si="1"/>
        <v>25131</v>
      </c>
      <c r="G47" s="238">
        <f t="shared" si="2"/>
        <v>0</v>
      </c>
      <c r="H47" s="131"/>
      <c r="I47" s="162"/>
      <c r="J47" s="162"/>
      <c r="K47" s="162"/>
      <c r="L47" s="162"/>
      <c r="M47" s="162">
        <v>4826</v>
      </c>
      <c r="N47" s="162"/>
      <c r="O47" s="162" t="s">
        <v>587</v>
      </c>
      <c r="P47" s="162">
        <v>4334</v>
      </c>
      <c r="Q47" s="162"/>
      <c r="R47" s="162"/>
      <c r="S47" s="162"/>
      <c r="T47" s="162">
        <v>15752</v>
      </c>
      <c r="U47" s="162"/>
      <c r="V47" s="162"/>
      <c r="W47" s="162"/>
      <c r="X47" s="162"/>
      <c r="Y47" s="162"/>
      <c r="Z47" s="162"/>
      <c r="AA47" s="162"/>
      <c r="AB47" s="162">
        <v>219</v>
      </c>
      <c r="AC47" s="162"/>
      <c r="AD47" s="162"/>
      <c r="AE47" s="162"/>
      <c r="AF47" s="162"/>
      <c r="AG47" s="162"/>
      <c r="AH47" s="162"/>
      <c r="AI47" s="198"/>
    </row>
    <row r="48" spans="1:35" s="303" customFormat="1" ht="18" customHeight="1" thickBot="1" x14ac:dyDescent="0.35">
      <c r="A48" s="156" t="s">
        <v>43</v>
      </c>
      <c r="B48" s="156" t="s">
        <v>456</v>
      </c>
      <c r="C48" s="179">
        <v>45106</v>
      </c>
      <c r="D48" s="255" t="s">
        <v>587</v>
      </c>
      <c r="E48" s="238"/>
      <c r="F48" s="238">
        <f t="shared" si="1"/>
        <v>60728</v>
      </c>
      <c r="G48" s="238">
        <f t="shared" si="2"/>
        <v>-15622</v>
      </c>
      <c r="H48" s="131"/>
      <c r="I48" s="162"/>
      <c r="J48" s="162"/>
      <c r="K48" s="162"/>
      <c r="L48" s="162"/>
      <c r="M48" s="162"/>
      <c r="N48" s="162"/>
      <c r="O48" s="162" t="s">
        <v>587</v>
      </c>
      <c r="P48" s="162"/>
      <c r="Q48" s="162"/>
      <c r="R48" s="162"/>
      <c r="S48" s="162">
        <v>15622</v>
      </c>
      <c r="T48" s="162"/>
      <c r="U48" s="162"/>
      <c r="V48" s="162"/>
      <c r="W48" s="162">
        <v>7494</v>
      </c>
      <c r="X48" s="162"/>
      <c r="Y48" s="162">
        <v>8416</v>
      </c>
      <c r="Z48" s="162"/>
      <c r="AA48" s="162"/>
      <c r="AB48" s="162">
        <v>18430</v>
      </c>
      <c r="AC48" s="162"/>
      <c r="AD48" s="162"/>
      <c r="AE48" s="162">
        <v>10766</v>
      </c>
      <c r="AF48" s="162"/>
      <c r="AG48" s="162"/>
      <c r="AH48" s="162"/>
      <c r="AI48" s="198"/>
    </row>
    <row r="49" spans="1:35" s="303" customFormat="1" ht="18" customHeight="1" thickBot="1" x14ac:dyDescent="0.35">
      <c r="A49" s="156" t="s">
        <v>44</v>
      </c>
      <c r="B49" s="156" t="s">
        <v>458</v>
      </c>
      <c r="C49" s="179">
        <v>27650</v>
      </c>
      <c r="D49" s="255" t="s">
        <v>587</v>
      </c>
      <c r="E49" s="238"/>
      <c r="F49" s="238">
        <f t="shared" si="1"/>
        <v>27650</v>
      </c>
      <c r="G49" s="238">
        <f t="shared" si="2"/>
        <v>0</v>
      </c>
      <c r="H49" s="131"/>
      <c r="I49" s="162"/>
      <c r="J49" s="162"/>
      <c r="K49" s="162"/>
      <c r="L49" s="162"/>
      <c r="M49" s="162"/>
      <c r="N49" s="162"/>
      <c r="O49" s="162" t="s">
        <v>587</v>
      </c>
      <c r="P49" s="162"/>
      <c r="Q49" s="162"/>
      <c r="R49" s="162"/>
      <c r="S49" s="162">
        <v>27561</v>
      </c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>
        <v>89</v>
      </c>
      <c r="AF49" s="162"/>
      <c r="AG49" s="162"/>
      <c r="AH49" s="162"/>
      <c r="AI49" s="198"/>
    </row>
    <row r="50" spans="1:35" s="303" customFormat="1" ht="18" customHeight="1" thickBot="1" x14ac:dyDescent="0.35">
      <c r="A50" s="156" t="s">
        <v>45</v>
      </c>
      <c r="B50" s="156" t="s">
        <v>223</v>
      </c>
      <c r="C50" s="179">
        <v>214859</v>
      </c>
      <c r="D50" s="255" t="s">
        <v>587</v>
      </c>
      <c r="E50" s="238"/>
      <c r="F50" s="238">
        <f t="shared" si="1"/>
        <v>214859</v>
      </c>
      <c r="G50" s="238">
        <f t="shared" si="2"/>
        <v>0</v>
      </c>
      <c r="H50" s="131"/>
      <c r="I50" s="162"/>
      <c r="J50" s="162"/>
      <c r="K50" s="162"/>
      <c r="L50" s="162"/>
      <c r="M50" s="162"/>
      <c r="N50" s="162"/>
      <c r="O50" s="162" t="s">
        <v>587</v>
      </c>
      <c r="P50" s="162">
        <v>7095</v>
      </c>
      <c r="Q50" s="162"/>
      <c r="R50" s="162">
        <f>17262+34561</f>
        <v>51823</v>
      </c>
      <c r="S50" s="162"/>
      <c r="T50" s="162"/>
      <c r="U50" s="162"/>
      <c r="V50" s="162"/>
      <c r="W50" s="162">
        <f>69372+51244</f>
        <v>120616</v>
      </c>
      <c r="X50" s="162"/>
      <c r="Y50" s="162"/>
      <c r="Z50" s="162"/>
      <c r="AA50" s="162"/>
      <c r="AB50" s="162"/>
      <c r="AC50" s="162">
        <v>35325</v>
      </c>
      <c r="AD50" s="162"/>
      <c r="AE50" s="162"/>
      <c r="AF50" s="162"/>
      <c r="AG50" s="162"/>
      <c r="AH50" s="162"/>
      <c r="AI50" s="198"/>
    </row>
    <row r="51" spans="1:35" s="303" customFormat="1" ht="18" customHeight="1" thickBot="1" x14ac:dyDescent="0.35">
      <c r="A51" s="156" t="s">
        <v>46</v>
      </c>
      <c r="B51" s="156" t="s">
        <v>224</v>
      </c>
      <c r="C51" s="179">
        <v>4007400</v>
      </c>
      <c r="D51" s="255" t="s">
        <v>587</v>
      </c>
      <c r="E51" s="238"/>
      <c r="F51" s="238">
        <f t="shared" si="1"/>
        <v>4007400</v>
      </c>
      <c r="G51" s="238">
        <f t="shared" si="2"/>
        <v>0</v>
      </c>
      <c r="H51" s="131"/>
      <c r="I51" s="162"/>
      <c r="J51" s="162"/>
      <c r="K51" s="162"/>
      <c r="L51" s="162">
        <f>315885+39450+171654</f>
        <v>526989</v>
      </c>
      <c r="M51" s="162">
        <v>315761</v>
      </c>
      <c r="N51" s="162">
        <v>485910</v>
      </c>
      <c r="O51" s="162">
        <v>302360</v>
      </c>
      <c r="P51" s="162">
        <v>315486</v>
      </c>
      <c r="Q51" s="162">
        <v>421712</v>
      </c>
      <c r="R51" s="162">
        <v>263538</v>
      </c>
      <c r="S51" s="162">
        <v>292554</v>
      </c>
      <c r="T51" s="162">
        <v>429254</v>
      </c>
      <c r="U51" s="162">
        <v>218131</v>
      </c>
      <c r="V51" s="162">
        <v>209662</v>
      </c>
      <c r="W51" s="162"/>
      <c r="X51" s="162">
        <f>478+225565</f>
        <v>226043</v>
      </c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98"/>
    </row>
    <row r="52" spans="1:35" s="303" customFormat="1" ht="18" customHeight="1" thickBot="1" x14ac:dyDescent="0.35">
      <c r="A52" s="156" t="s">
        <v>47</v>
      </c>
      <c r="B52" s="156" t="s">
        <v>462</v>
      </c>
      <c r="C52" s="179">
        <v>14491</v>
      </c>
      <c r="D52" s="255" t="s">
        <v>587</v>
      </c>
      <c r="E52" s="238"/>
      <c r="F52" s="238">
        <f t="shared" si="1"/>
        <v>14491</v>
      </c>
      <c r="G52" s="238">
        <f t="shared" si="2"/>
        <v>0</v>
      </c>
      <c r="H52" s="131"/>
      <c r="I52" s="162"/>
      <c r="J52" s="162"/>
      <c r="K52" s="162"/>
      <c r="L52" s="162"/>
      <c r="M52" s="162"/>
      <c r="N52" s="162"/>
      <c r="O52" s="162" t="s">
        <v>587</v>
      </c>
      <c r="P52" s="162">
        <v>12714</v>
      </c>
      <c r="Q52" s="162"/>
      <c r="R52" s="162">
        <v>1734</v>
      </c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>
        <v>43</v>
      </c>
      <c r="AF52" s="162"/>
      <c r="AG52" s="162"/>
      <c r="AH52" s="162"/>
      <c r="AI52" s="198"/>
    </row>
    <row r="53" spans="1:35" s="303" customFormat="1" ht="18" customHeight="1" thickBot="1" x14ac:dyDescent="0.35">
      <c r="A53" s="156" t="s">
        <v>48</v>
      </c>
      <c r="B53" s="156" t="s">
        <v>464</v>
      </c>
      <c r="C53" s="179">
        <v>451322</v>
      </c>
      <c r="D53" s="255" t="s">
        <v>587</v>
      </c>
      <c r="E53" s="238"/>
      <c r="F53" s="238">
        <f t="shared" si="1"/>
        <v>451322</v>
      </c>
      <c r="G53" s="238">
        <f t="shared" si="2"/>
        <v>0</v>
      </c>
      <c r="H53" s="131"/>
      <c r="I53" s="162"/>
      <c r="J53" s="162"/>
      <c r="K53" s="162"/>
      <c r="L53" s="162"/>
      <c r="M53" s="162">
        <v>8815</v>
      </c>
      <c r="N53" s="162">
        <v>36569</v>
      </c>
      <c r="O53" s="162">
        <v>39623</v>
      </c>
      <c r="P53" s="162">
        <v>34353</v>
      </c>
      <c r="Q53" s="162"/>
      <c r="R53" s="162">
        <v>84813</v>
      </c>
      <c r="S53" s="162">
        <v>84691</v>
      </c>
      <c r="T53" s="162">
        <v>40122</v>
      </c>
      <c r="U53" s="162">
        <v>41259</v>
      </c>
      <c r="V53" s="162"/>
      <c r="W53" s="162">
        <v>7500</v>
      </c>
      <c r="X53" s="162">
        <v>8514</v>
      </c>
      <c r="Y53" s="162">
        <v>65063</v>
      </c>
      <c r="Z53" s="162"/>
      <c r="AA53" s="162"/>
      <c r="AB53" s="162"/>
      <c r="AC53" s="162"/>
      <c r="AD53" s="162"/>
      <c r="AE53" s="162"/>
      <c r="AF53" s="162"/>
      <c r="AG53" s="162"/>
      <c r="AH53" s="162"/>
      <c r="AI53" s="198"/>
    </row>
    <row r="54" spans="1:35" s="303" customFormat="1" ht="18" customHeight="1" thickBot="1" x14ac:dyDescent="0.35">
      <c r="A54" s="156" t="s">
        <v>49</v>
      </c>
      <c r="B54" s="156" t="s">
        <v>466</v>
      </c>
      <c r="C54" s="179">
        <v>99235</v>
      </c>
      <c r="D54" s="255" t="s">
        <v>587</v>
      </c>
      <c r="E54" s="238"/>
      <c r="F54" s="238">
        <f t="shared" si="1"/>
        <v>99235</v>
      </c>
      <c r="G54" s="238">
        <f t="shared" si="2"/>
        <v>0</v>
      </c>
      <c r="H54" s="131"/>
      <c r="I54" s="162"/>
      <c r="J54" s="162"/>
      <c r="K54" s="162"/>
      <c r="L54" s="162">
        <v>66734</v>
      </c>
      <c r="M54" s="162"/>
      <c r="N54" s="162"/>
      <c r="O54" s="162" t="s">
        <v>587</v>
      </c>
      <c r="P54" s="162"/>
      <c r="Q54" s="162">
        <f>20089+1934</f>
        <v>22023</v>
      </c>
      <c r="R54" s="162"/>
      <c r="S54" s="162">
        <v>9773</v>
      </c>
      <c r="T54" s="162"/>
      <c r="U54" s="162"/>
      <c r="V54" s="162"/>
      <c r="W54" s="162">
        <v>674</v>
      </c>
      <c r="X54" s="162"/>
      <c r="Y54" s="162"/>
      <c r="Z54" s="162">
        <v>31</v>
      </c>
      <c r="AA54" s="162"/>
      <c r="AB54" s="162"/>
      <c r="AC54" s="162"/>
      <c r="AD54" s="162"/>
      <c r="AE54" s="162"/>
      <c r="AF54" s="162"/>
      <c r="AG54" s="162"/>
      <c r="AH54" s="162"/>
      <c r="AI54" s="198"/>
    </row>
    <row r="55" spans="1:35" s="303" customFormat="1" ht="18" customHeight="1" thickBot="1" x14ac:dyDescent="0.35">
      <c r="A55" s="156" t="s">
        <v>50</v>
      </c>
      <c r="B55" s="156" t="s">
        <v>228</v>
      </c>
      <c r="C55" s="179">
        <v>40279</v>
      </c>
      <c r="D55" s="255" t="s">
        <v>587</v>
      </c>
      <c r="E55" s="238"/>
      <c r="F55" s="238">
        <f t="shared" si="1"/>
        <v>40279</v>
      </c>
      <c r="G55" s="238">
        <f t="shared" si="2"/>
        <v>0</v>
      </c>
      <c r="H55" s="131"/>
      <c r="I55" s="162"/>
      <c r="J55" s="162"/>
      <c r="K55" s="162"/>
      <c r="L55" s="162"/>
      <c r="M55" s="162"/>
      <c r="N55" s="162"/>
      <c r="O55" s="162">
        <v>13024</v>
      </c>
      <c r="P55" s="162"/>
      <c r="Q55" s="162">
        <v>7694</v>
      </c>
      <c r="R55" s="162"/>
      <c r="S55" s="162">
        <v>19367</v>
      </c>
      <c r="T55" s="162"/>
      <c r="U55" s="162"/>
      <c r="V55" s="162"/>
      <c r="W55" s="162"/>
      <c r="X55" s="162"/>
      <c r="Y55" s="162"/>
      <c r="Z55" s="162"/>
      <c r="AA55" s="162">
        <v>194</v>
      </c>
      <c r="AB55" s="162"/>
      <c r="AC55" s="162"/>
      <c r="AD55" s="162"/>
      <c r="AE55" s="162"/>
      <c r="AF55" s="162"/>
      <c r="AG55" s="162"/>
      <c r="AH55" s="162"/>
      <c r="AI55" s="198"/>
    </row>
    <row r="56" spans="1:35" s="303" customFormat="1" ht="18" customHeight="1" thickBot="1" x14ac:dyDescent="0.35">
      <c r="A56" s="156" t="s">
        <v>51</v>
      </c>
      <c r="B56" s="156" t="s">
        <v>229</v>
      </c>
      <c r="C56" s="179">
        <v>9441</v>
      </c>
      <c r="D56" s="255" t="s">
        <v>372</v>
      </c>
      <c r="E56" s="238">
        <f>IF(ISBLANK(D56),,C56)</f>
        <v>9441</v>
      </c>
      <c r="F56" s="238">
        <f t="shared" si="1"/>
        <v>0</v>
      </c>
      <c r="G56" s="238">
        <f t="shared" si="2"/>
        <v>0</v>
      </c>
      <c r="H56" s="131"/>
      <c r="I56" s="162"/>
      <c r="J56" s="162"/>
      <c r="K56" s="162"/>
      <c r="L56" s="162"/>
      <c r="M56" s="162"/>
      <c r="N56" s="162"/>
      <c r="O56" s="162" t="s">
        <v>587</v>
      </c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98"/>
    </row>
    <row r="57" spans="1:35" s="303" customFormat="1" ht="18" customHeight="1" thickBot="1" x14ac:dyDescent="0.35">
      <c r="A57" s="156" t="s">
        <v>52</v>
      </c>
      <c r="B57" s="156" t="s">
        <v>230</v>
      </c>
      <c r="C57" s="179">
        <v>23464</v>
      </c>
      <c r="D57" s="255" t="s">
        <v>587</v>
      </c>
      <c r="E57" s="238"/>
      <c r="F57" s="238">
        <f t="shared" si="1"/>
        <v>23464</v>
      </c>
      <c r="G57" s="238">
        <f t="shared" si="2"/>
        <v>0</v>
      </c>
      <c r="H57" s="131"/>
      <c r="I57" s="162"/>
      <c r="J57" s="162"/>
      <c r="K57" s="162"/>
      <c r="L57" s="162"/>
      <c r="M57" s="162"/>
      <c r="N57" s="162"/>
      <c r="O57" s="162" t="s">
        <v>587</v>
      </c>
      <c r="P57" s="162"/>
      <c r="Q57" s="162"/>
      <c r="R57" s="162"/>
      <c r="S57" s="162">
        <v>23434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>
        <v>30</v>
      </c>
      <c r="AF57" s="162"/>
      <c r="AG57" s="162"/>
      <c r="AH57" s="162"/>
      <c r="AI57" s="198"/>
    </row>
    <row r="58" spans="1:35" s="303" customFormat="1" ht="18" customHeight="1" thickBot="1" x14ac:dyDescent="0.35">
      <c r="A58" s="156" t="s">
        <v>53</v>
      </c>
      <c r="B58" s="156" t="s">
        <v>231</v>
      </c>
      <c r="C58" s="179">
        <v>2321</v>
      </c>
      <c r="D58" s="255" t="s">
        <v>587</v>
      </c>
      <c r="E58" s="238"/>
      <c r="F58" s="238">
        <f t="shared" si="1"/>
        <v>2321</v>
      </c>
      <c r="G58" s="238">
        <f t="shared" si="2"/>
        <v>0</v>
      </c>
      <c r="H58" s="131"/>
      <c r="I58" s="162"/>
      <c r="J58" s="162"/>
      <c r="K58" s="162"/>
      <c r="L58" s="162"/>
      <c r="M58" s="162"/>
      <c r="N58" s="162"/>
      <c r="O58" s="162" t="s">
        <v>587</v>
      </c>
      <c r="P58" s="162"/>
      <c r="Q58" s="162"/>
      <c r="R58" s="162">
        <v>2295</v>
      </c>
      <c r="S58" s="162"/>
      <c r="T58" s="162"/>
      <c r="U58" s="162"/>
      <c r="V58" s="162"/>
      <c r="W58" s="162"/>
      <c r="X58" s="162"/>
      <c r="Y58" s="162"/>
      <c r="Z58" s="162"/>
      <c r="AA58" s="162">
        <v>26</v>
      </c>
      <c r="AB58" s="162"/>
      <c r="AC58" s="162"/>
      <c r="AD58" s="162"/>
      <c r="AE58" s="162"/>
      <c r="AF58" s="162"/>
      <c r="AG58" s="162"/>
      <c r="AH58" s="162"/>
      <c r="AI58" s="198"/>
    </row>
    <row r="59" spans="1:35" s="303" customFormat="1" ht="18" customHeight="1" thickBot="1" x14ac:dyDescent="0.35">
      <c r="A59" s="156" t="s">
        <v>54</v>
      </c>
      <c r="B59" s="156" t="s">
        <v>232</v>
      </c>
      <c r="C59" s="179">
        <v>944</v>
      </c>
      <c r="D59" s="255" t="s">
        <v>372</v>
      </c>
      <c r="E59" s="238">
        <f>IF(ISBLANK(D59),,C59)</f>
        <v>944</v>
      </c>
      <c r="F59" s="238">
        <f t="shared" si="1"/>
        <v>0</v>
      </c>
      <c r="G59" s="238">
        <f t="shared" si="2"/>
        <v>0</v>
      </c>
      <c r="H59" s="131"/>
      <c r="I59" s="162"/>
      <c r="J59" s="162"/>
      <c r="K59" s="162"/>
      <c r="L59" s="162"/>
      <c r="M59" s="162"/>
      <c r="N59" s="162"/>
      <c r="O59" s="162" t="s">
        <v>587</v>
      </c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98"/>
    </row>
    <row r="60" spans="1:35" s="303" customFormat="1" ht="18" customHeight="1" thickBot="1" x14ac:dyDescent="0.35">
      <c r="A60" s="156" t="s">
        <v>55</v>
      </c>
      <c r="B60" s="156" t="s">
        <v>469</v>
      </c>
      <c r="C60" s="179">
        <v>12685</v>
      </c>
      <c r="D60" s="255" t="s">
        <v>587</v>
      </c>
      <c r="E60" s="238"/>
      <c r="F60" s="238">
        <f t="shared" si="1"/>
        <v>12685</v>
      </c>
      <c r="G60" s="238">
        <f t="shared" si="2"/>
        <v>0</v>
      </c>
      <c r="H60" s="131"/>
      <c r="I60" s="162"/>
      <c r="J60" s="162"/>
      <c r="K60" s="162"/>
      <c r="L60" s="162"/>
      <c r="M60" s="162"/>
      <c r="N60" s="162"/>
      <c r="O60" s="162" t="s">
        <v>587</v>
      </c>
      <c r="P60" s="162"/>
      <c r="Q60" s="162"/>
      <c r="R60" s="162"/>
      <c r="S60" s="162"/>
      <c r="T60" s="162"/>
      <c r="U60" s="162"/>
      <c r="V60" s="162">
        <v>12629</v>
      </c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>
        <v>56</v>
      </c>
      <c r="AH60" s="162"/>
      <c r="AI60" s="198"/>
    </row>
    <row r="61" spans="1:35" s="303" customFormat="1" ht="18" customHeight="1" thickBot="1" x14ac:dyDescent="0.35">
      <c r="A61" s="156" t="s">
        <v>56</v>
      </c>
      <c r="B61" s="156" t="s">
        <v>234</v>
      </c>
      <c r="C61" s="179">
        <v>557750</v>
      </c>
      <c r="D61" s="255" t="s">
        <v>587</v>
      </c>
      <c r="E61" s="238"/>
      <c r="F61" s="238">
        <f t="shared" si="1"/>
        <v>557750</v>
      </c>
      <c r="G61" s="238">
        <f t="shared" si="2"/>
        <v>0</v>
      </c>
      <c r="H61" s="131"/>
      <c r="I61" s="162"/>
      <c r="J61" s="162"/>
      <c r="K61" s="162"/>
      <c r="L61" s="162"/>
      <c r="M61" s="162"/>
      <c r="N61" s="162">
        <v>19009</v>
      </c>
      <c r="O61" s="162">
        <v>38171</v>
      </c>
      <c r="P61" s="162">
        <v>70995</v>
      </c>
      <c r="Q61" s="162">
        <v>68444</v>
      </c>
      <c r="R61" s="162"/>
      <c r="S61" s="162">
        <v>110030</v>
      </c>
      <c r="T61" s="162">
        <v>9158</v>
      </c>
      <c r="U61" s="162"/>
      <c r="V61" s="162"/>
      <c r="W61" s="162"/>
      <c r="X61" s="162"/>
      <c r="Y61" s="162"/>
      <c r="Z61" s="162">
        <v>62891</v>
      </c>
      <c r="AA61" s="162"/>
      <c r="AB61" s="162"/>
      <c r="AC61" s="162"/>
      <c r="AD61" s="162">
        <v>113325</v>
      </c>
      <c r="AE61" s="162">
        <f>14618+51109</f>
        <v>65727</v>
      </c>
      <c r="AF61" s="162"/>
      <c r="AG61" s="162"/>
      <c r="AH61" s="162"/>
      <c r="AI61" s="198"/>
    </row>
    <row r="62" spans="1:35" s="303" customFormat="1" ht="18" customHeight="1" thickBot="1" x14ac:dyDescent="0.35">
      <c r="A62" s="156" t="s">
        <v>57</v>
      </c>
      <c r="B62" s="156" t="s">
        <v>235</v>
      </c>
      <c r="C62" s="179">
        <v>245317</v>
      </c>
      <c r="D62" s="255" t="s">
        <v>587</v>
      </c>
      <c r="E62" s="238"/>
      <c r="F62" s="238">
        <f t="shared" si="1"/>
        <v>245317</v>
      </c>
      <c r="G62" s="238">
        <f t="shared" si="2"/>
        <v>0</v>
      </c>
      <c r="H62" s="131"/>
      <c r="I62" s="162"/>
      <c r="J62" s="162"/>
      <c r="K62" s="162"/>
      <c r="L62" s="162">
        <v>37407</v>
      </c>
      <c r="M62" s="162">
        <v>16846</v>
      </c>
      <c r="N62" s="162">
        <v>21060</v>
      </c>
      <c r="O62" s="162" t="s">
        <v>587</v>
      </c>
      <c r="P62" s="162">
        <v>37564</v>
      </c>
      <c r="Q62" s="162">
        <v>23678</v>
      </c>
      <c r="R62" s="162">
        <v>19782</v>
      </c>
      <c r="S62" s="162">
        <v>16914</v>
      </c>
      <c r="T62" s="162">
        <v>31069</v>
      </c>
      <c r="U62" s="162"/>
      <c r="V62" s="162"/>
      <c r="W62" s="162"/>
      <c r="X62" s="162">
        <v>36272</v>
      </c>
      <c r="Y62" s="162">
        <v>4725</v>
      </c>
      <c r="Z62" s="162"/>
      <c r="AA62" s="162"/>
      <c r="AB62" s="162"/>
      <c r="AC62" s="162"/>
      <c r="AD62" s="162"/>
      <c r="AE62" s="162"/>
      <c r="AF62" s="162"/>
      <c r="AG62" s="162"/>
      <c r="AH62" s="162"/>
      <c r="AI62" s="198"/>
    </row>
    <row r="63" spans="1:35" s="303" customFormat="1" ht="18" customHeight="1" thickBot="1" x14ac:dyDescent="0.35">
      <c r="A63" s="156" t="s">
        <v>58</v>
      </c>
      <c r="B63" s="156" t="s">
        <v>236</v>
      </c>
      <c r="C63" s="179">
        <v>143380</v>
      </c>
      <c r="D63" s="255" t="s">
        <v>587</v>
      </c>
      <c r="E63" s="238"/>
      <c r="F63" s="238">
        <f t="shared" si="1"/>
        <v>143380</v>
      </c>
      <c r="G63" s="238">
        <f t="shared" si="2"/>
        <v>0</v>
      </c>
      <c r="H63" s="131"/>
      <c r="I63" s="162"/>
      <c r="J63" s="162"/>
      <c r="K63" s="162">
        <v>70129</v>
      </c>
      <c r="L63" s="162">
        <v>5458</v>
      </c>
      <c r="M63" s="162">
        <v>12129</v>
      </c>
      <c r="N63" s="162">
        <v>8820</v>
      </c>
      <c r="O63" s="162">
        <v>12639</v>
      </c>
      <c r="P63" s="162">
        <v>10023</v>
      </c>
      <c r="Q63" s="162">
        <v>13585</v>
      </c>
      <c r="R63" s="162">
        <v>9588</v>
      </c>
      <c r="S63" s="162"/>
      <c r="T63" s="162"/>
      <c r="U63" s="162"/>
      <c r="V63" s="162"/>
      <c r="W63" s="162">
        <v>1009</v>
      </c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98"/>
    </row>
    <row r="64" spans="1:35" s="303" customFormat="1" ht="18" customHeight="1" thickBot="1" x14ac:dyDescent="0.35">
      <c r="A64" s="156" t="s">
        <v>59</v>
      </c>
      <c r="B64" s="156" t="s">
        <v>237</v>
      </c>
      <c r="C64" s="179">
        <v>1225581</v>
      </c>
      <c r="D64" s="255" t="s">
        <v>587</v>
      </c>
      <c r="E64" s="238"/>
      <c r="F64" s="238">
        <f t="shared" si="1"/>
        <v>1225581</v>
      </c>
      <c r="G64" s="238">
        <f t="shared" si="2"/>
        <v>0</v>
      </c>
      <c r="H64" s="131"/>
      <c r="I64" s="162"/>
      <c r="J64" s="162"/>
      <c r="K64" s="162"/>
      <c r="L64" s="162"/>
      <c r="M64" s="162">
        <v>29075</v>
      </c>
      <c r="N64" s="162">
        <v>107162</v>
      </c>
      <c r="O64" s="162">
        <v>99228</v>
      </c>
      <c r="P64" s="162">
        <v>79182</v>
      </c>
      <c r="Q64" s="162">
        <v>102989</v>
      </c>
      <c r="R64" s="162">
        <v>102019</v>
      </c>
      <c r="S64" s="162">
        <v>101966</v>
      </c>
      <c r="T64" s="162"/>
      <c r="U64" s="162"/>
      <c r="V64" s="162">
        <v>371202</v>
      </c>
      <c r="W64" s="162">
        <v>162840</v>
      </c>
      <c r="X64" s="162">
        <v>69918</v>
      </c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98"/>
    </row>
    <row r="65" spans="1:35" s="303" customFormat="1" ht="18" customHeight="1" thickBot="1" x14ac:dyDescent="0.35">
      <c r="A65" s="156" t="s">
        <v>60</v>
      </c>
      <c r="B65" s="156" t="s">
        <v>238</v>
      </c>
      <c r="C65" s="179">
        <v>64641</v>
      </c>
      <c r="D65" s="255" t="s">
        <v>587</v>
      </c>
      <c r="E65" s="238"/>
      <c r="F65" s="238">
        <f t="shared" si="1"/>
        <v>64641</v>
      </c>
      <c r="G65" s="238">
        <f t="shared" si="2"/>
        <v>0</v>
      </c>
      <c r="H65" s="131"/>
      <c r="I65" s="162"/>
      <c r="J65" s="162"/>
      <c r="K65" s="162"/>
      <c r="L65" s="162"/>
      <c r="M65" s="162"/>
      <c r="N65" s="162"/>
      <c r="O65" s="162" t="s">
        <v>587</v>
      </c>
      <c r="P65" s="162"/>
      <c r="Q65" s="162"/>
      <c r="R65" s="162"/>
      <c r="S65" s="162">
        <v>114</v>
      </c>
      <c r="T65" s="162"/>
      <c r="U65" s="162"/>
      <c r="V65" s="162">
        <v>9818</v>
      </c>
      <c r="W65" s="162"/>
      <c r="X65" s="162"/>
      <c r="Y65" s="162"/>
      <c r="Z65" s="162"/>
      <c r="AA65" s="162"/>
      <c r="AB65" s="162"/>
      <c r="AC65" s="162"/>
      <c r="AD65" s="162"/>
      <c r="AE65" s="162"/>
      <c r="AF65" s="162">
        <v>40134</v>
      </c>
      <c r="AG65" s="162"/>
      <c r="AH65" s="162"/>
      <c r="AI65" s="198">
        <v>14575</v>
      </c>
    </row>
    <row r="66" spans="1:35" s="303" customFormat="1" ht="18" customHeight="1" thickBot="1" x14ac:dyDescent="0.35">
      <c r="A66" s="156" t="s">
        <v>61</v>
      </c>
      <c r="B66" s="156" t="s">
        <v>239</v>
      </c>
      <c r="C66" s="179">
        <v>87227</v>
      </c>
      <c r="D66" s="255" t="s">
        <v>587</v>
      </c>
      <c r="E66" s="238"/>
      <c r="F66" s="238">
        <f t="shared" si="1"/>
        <v>87227</v>
      </c>
      <c r="G66" s="238">
        <f t="shared" si="2"/>
        <v>0</v>
      </c>
      <c r="H66" s="131"/>
      <c r="I66" s="162"/>
      <c r="J66" s="162"/>
      <c r="K66" s="162"/>
      <c r="L66" s="162"/>
      <c r="M66" s="162"/>
      <c r="N66" s="162"/>
      <c r="O66" s="162" t="s">
        <v>587</v>
      </c>
      <c r="P66" s="162"/>
      <c r="Q66" s="162">
        <v>30261</v>
      </c>
      <c r="R66" s="162"/>
      <c r="S66" s="162">
        <v>23991</v>
      </c>
      <c r="T66" s="162"/>
      <c r="U66" s="162"/>
      <c r="V66" s="162"/>
      <c r="W66" s="162"/>
      <c r="X66" s="162"/>
      <c r="Y66" s="162">
        <f>8025+24950</f>
        <v>32975</v>
      </c>
      <c r="Z66" s="162"/>
      <c r="AA66" s="162"/>
      <c r="AB66" s="162"/>
      <c r="AC66" s="162"/>
      <c r="AD66" s="162"/>
      <c r="AE66" s="162"/>
      <c r="AF66" s="162"/>
      <c r="AG66" s="162"/>
      <c r="AH66" s="162"/>
      <c r="AI66" s="198"/>
    </row>
    <row r="67" spans="1:35" s="303" customFormat="1" ht="18" customHeight="1" thickBot="1" x14ac:dyDescent="0.35">
      <c r="A67" s="156" t="s">
        <v>62</v>
      </c>
      <c r="B67" s="156" t="s">
        <v>240</v>
      </c>
      <c r="C67" s="179">
        <v>234544</v>
      </c>
      <c r="D67" s="255" t="s">
        <v>587</v>
      </c>
      <c r="E67" s="238"/>
      <c r="F67" s="238">
        <f t="shared" si="1"/>
        <v>234544</v>
      </c>
      <c r="G67" s="238">
        <f t="shared" si="2"/>
        <v>0</v>
      </c>
      <c r="H67" s="131"/>
      <c r="I67" s="162"/>
      <c r="J67" s="162"/>
      <c r="K67" s="162"/>
      <c r="L67" s="162"/>
      <c r="M67" s="162"/>
      <c r="N67" s="162"/>
      <c r="O67" s="162" t="s">
        <v>587</v>
      </c>
      <c r="P67" s="162"/>
      <c r="Q67" s="162"/>
      <c r="R67" s="162"/>
      <c r="S67" s="162">
        <v>148906</v>
      </c>
      <c r="T67" s="162"/>
      <c r="U67" s="162">
        <v>27775</v>
      </c>
      <c r="V67" s="162">
        <f>19407+30</f>
        <v>19437</v>
      </c>
      <c r="W67" s="162">
        <v>30</v>
      </c>
      <c r="X67" s="162">
        <v>5807</v>
      </c>
      <c r="Y67" s="162"/>
      <c r="Z67" s="162"/>
      <c r="AA67" s="162">
        <v>4708</v>
      </c>
      <c r="AB67" s="162"/>
      <c r="AC67" s="162"/>
      <c r="AD67" s="162">
        <v>10633</v>
      </c>
      <c r="AE67" s="162"/>
      <c r="AF67" s="162">
        <v>17248</v>
      </c>
      <c r="AG67" s="162"/>
      <c r="AH67" s="162"/>
      <c r="AI67" s="198"/>
    </row>
    <row r="68" spans="1:35" s="303" customFormat="1" ht="18" customHeight="1" thickBot="1" x14ac:dyDescent="0.35">
      <c r="A68" s="156" t="s">
        <v>63</v>
      </c>
      <c r="B68" s="156" t="s">
        <v>241</v>
      </c>
      <c r="C68" s="179">
        <v>29540</v>
      </c>
      <c r="D68" s="255" t="s">
        <v>587</v>
      </c>
      <c r="E68" s="238"/>
      <c r="F68" s="238">
        <f t="shared" si="1"/>
        <v>29540</v>
      </c>
      <c r="G68" s="238">
        <f t="shared" si="2"/>
        <v>0</v>
      </c>
      <c r="H68" s="131"/>
      <c r="I68" s="162"/>
      <c r="J68" s="162"/>
      <c r="K68" s="162"/>
      <c r="L68" s="162"/>
      <c r="M68" s="162"/>
      <c r="N68" s="162"/>
      <c r="O68" s="162" t="s">
        <v>587</v>
      </c>
      <c r="P68" s="162"/>
      <c r="Q68" s="162"/>
      <c r="R68" s="162"/>
      <c r="S68" s="162">
        <v>22058</v>
      </c>
      <c r="T68" s="162"/>
      <c r="U68" s="162"/>
      <c r="V68" s="162"/>
      <c r="W68" s="162">
        <v>7353</v>
      </c>
      <c r="X68" s="162"/>
      <c r="Y68" s="162"/>
      <c r="Z68" s="162"/>
      <c r="AA68" s="162"/>
      <c r="AB68" s="162"/>
      <c r="AC68" s="162"/>
      <c r="AD68" s="162"/>
      <c r="AE68" s="162">
        <v>129</v>
      </c>
      <c r="AF68" s="162"/>
      <c r="AG68" s="162"/>
      <c r="AH68" s="162"/>
      <c r="AI68" s="198"/>
    </row>
    <row r="69" spans="1:35" s="303" customFormat="1" ht="18" customHeight="1" thickBot="1" x14ac:dyDescent="0.35">
      <c r="A69" s="156" t="s">
        <v>64</v>
      </c>
      <c r="B69" s="156" t="s">
        <v>471</v>
      </c>
      <c r="C69" s="179">
        <v>17519</v>
      </c>
      <c r="D69" s="255" t="s">
        <v>587</v>
      </c>
      <c r="E69" s="238"/>
      <c r="F69" s="238">
        <f t="shared" si="1"/>
        <v>17519</v>
      </c>
      <c r="G69" s="238">
        <f t="shared" si="2"/>
        <v>0</v>
      </c>
      <c r="H69" s="131"/>
      <c r="I69" s="162"/>
      <c r="J69" s="162"/>
      <c r="K69" s="162"/>
      <c r="L69" s="162"/>
      <c r="M69" s="162"/>
      <c r="N69" s="162"/>
      <c r="O69" s="162" t="s">
        <v>587</v>
      </c>
      <c r="P69" s="162"/>
      <c r="Q69" s="162"/>
      <c r="R69" s="162"/>
      <c r="S69" s="162"/>
      <c r="T69" s="162">
        <v>11297</v>
      </c>
      <c r="U69" s="162"/>
      <c r="V69" s="162"/>
      <c r="W69" s="162"/>
      <c r="X69" s="162"/>
      <c r="Y69" s="162"/>
      <c r="Z69" s="162"/>
      <c r="AA69" s="162"/>
      <c r="AB69" s="162">
        <v>6222</v>
      </c>
      <c r="AC69" s="162"/>
      <c r="AD69" s="162"/>
      <c r="AE69" s="162"/>
      <c r="AF69" s="162"/>
      <c r="AG69" s="162"/>
      <c r="AH69" s="162"/>
      <c r="AI69" s="198"/>
    </row>
    <row r="70" spans="1:35" s="303" customFormat="1" ht="18" customHeight="1" thickBot="1" x14ac:dyDescent="0.35">
      <c r="A70" s="156" t="s">
        <v>65</v>
      </c>
      <c r="B70" s="156" t="s">
        <v>243</v>
      </c>
      <c r="C70" s="179">
        <v>6488</v>
      </c>
      <c r="D70" s="255" t="s">
        <v>587</v>
      </c>
      <c r="E70" s="238"/>
      <c r="F70" s="238">
        <f t="shared" si="1"/>
        <v>6448</v>
      </c>
      <c r="G70" s="238">
        <f t="shared" si="2"/>
        <v>40</v>
      </c>
      <c r="H70" s="131"/>
      <c r="I70" s="162"/>
      <c r="J70" s="162"/>
      <c r="K70" s="162"/>
      <c r="L70" s="162"/>
      <c r="M70" s="162"/>
      <c r="N70" s="162"/>
      <c r="O70" s="162" t="s">
        <v>587</v>
      </c>
      <c r="P70" s="162"/>
      <c r="Q70" s="162">
        <v>5352</v>
      </c>
      <c r="R70" s="162"/>
      <c r="S70" s="162">
        <v>1096</v>
      </c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98"/>
    </row>
    <row r="71" spans="1:35" s="303" customFormat="1" ht="18" customHeight="1" thickBot="1" x14ac:dyDescent="0.35">
      <c r="A71" s="156" t="s">
        <v>66</v>
      </c>
      <c r="B71" s="156" t="s">
        <v>244</v>
      </c>
      <c r="C71" s="179">
        <v>58880</v>
      </c>
      <c r="D71" s="255" t="s">
        <v>587</v>
      </c>
      <c r="E71" s="238"/>
      <c r="F71" s="238">
        <f t="shared" si="1"/>
        <v>58880</v>
      </c>
      <c r="G71" s="238">
        <f t="shared" si="2"/>
        <v>0</v>
      </c>
      <c r="H71" s="131"/>
      <c r="I71" s="162"/>
      <c r="J71" s="162"/>
      <c r="K71" s="162"/>
      <c r="L71" s="162"/>
      <c r="M71" s="162">
        <v>20894</v>
      </c>
      <c r="N71" s="162"/>
      <c r="O71" s="162">
        <v>8581</v>
      </c>
      <c r="P71" s="162"/>
      <c r="Q71" s="162">
        <v>4328</v>
      </c>
      <c r="R71" s="162">
        <v>8656</v>
      </c>
      <c r="S71" s="162">
        <v>4327</v>
      </c>
      <c r="T71" s="162">
        <v>4164</v>
      </c>
      <c r="U71" s="162"/>
      <c r="V71" s="162"/>
      <c r="W71" s="162"/>
      <c r="X71" s="162"/>
      <c r="Y71" s="162"/>
      <c r="Z71" s="162">
        <v>7930</v>
      </c>
      <c r="AA71" s="162"/>
      <c r="AB71" s="162"/>
      <c r="AC71" s="162"/>
      <c r="AD71" s="162"/>
      <c r="AE71" s="162"/>
      <c r="AF71" s="162"/>
      <c r="AG71" s="162"/>
      <c r="AH71" s="162"/>
      <c r="AI71" s="198"/>
    </row>
    <row r="72" spans="1:35" s="303" customFormat="1" ht="18" customHeight="1" thickBot="1" x14ac:dyDescent="0.35">
      <c r="A72" s="156" t="s">
        <v>67</v>
      </c>
      <c r="B72" s="156" t="s">
        <v>245</v>
      </c>
      <c r="C72" s="179">
        <v>117123</v>
      </c>
      <c r="D72" s="255" t="s">
        <v>587</v>
      </c>
      <c r="E72" s="238"/>
      <c r="F72" s="238">
        <f t="shared" si="1"/>
        <v>117123</v>
      </c>
      <c r="G72" s="238">
        <f t="shared" si="2"/>
        <v>0</v>
      </c>
      <c r="H72" s="131"/>
      <c r="I72" s="162"/>
      <c r="J72" s="162"/>
      <c r="K72" s="162"/>
      <c r="L72" s="162"/>
      <c r="M72" s="162">
        <v>12522</v>
      </c>
      <c r="N72" s="162">
        <v>11572</v>
      </c>
      <c r="O72" s="162">
        <v>1391</v>
      </c>
      <c r="P72" s="162">
        <v>3084</v>
      </c>
      <c r="Q72" s="162">
        <v>12739</v>
      </c>
      <c r="R72" s="162"/>
      <c r="S72" s="162">
        <v>9048</v>
      </c>
      <c r="T72" s="162"/>
      <c r="U72" s="162">
        <v>23212</v>
      </c>
      <c r="V72" s="162"/>
      <c r="W72" s="162"/>
      <c r="X72" s="162"/>
      <c r="Y72" s="162">
        <v>31355</v>
      </c>
      <c r="Z72" s="162"/>
      <c r="AA72" s="162">
        <v>12200</v>
      </c>
      <c r="AB72" s="162"/>
      <c r="AC72" s="162"/>
      <c r="AD72" s="162"/>
      <c r="AE72" s="162"/>
      <c r="AF72" s="162"/>
      <c r="AG72" s="162"/>
      <c r="AH72" s="162"/>
      <c r="AI72" s="198"/>
    </row>
    <row r="73" spans="1:35" s="303" customFormat="1" ht="18" customHeight="1" thickBot="1" x14ac:dyDescent="0.35">
      <c r="A73" s="156" t="s">
        <v>68</v>
      </c>
      <c r="B73" s="156" t="s">
        <v>472</v>
      </c>
      <c r="C73" s="179">
        <v>837</v>
      </c>
      <c r="D73" s="255" t="s">
        <v>587</v>
      </c>
      <c r="E73" s="238"/>
      <c r="F73" s="238">
        <f t="shared" si="1"/>
        <v>837</v>
      </c>
      <c r="G73" s="238">
        <f t="shared" si="2"/>
        <v>0</v>
      </c>
      <c r="H73" s="131"/>
      <c r="I73" s="162"/>
      <c r="J73" s="162"/>
      <c r="K73" s="162"/>
      <c r="L73" s="162"/>
      <c r="M73" s="162"/>
      <c r="N73" s="162">
        <v>822</v>
      </c>
      <c r="O73" s="162" t="s">
        <v>587</v>
      </c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>
        <v>15</v>
      </c>
      <c r="AB73" s="162"/>
      <c r="AC73" s="162"/>
      <c r="AD73" s="162"/>
      <c r="AE73" s="162"/>
      <c r="AF73" s="162"/>
      <c r="AG73" s="162"/>
      <c r="AH73" s="162"/>
      <c r="AI73" s="198"/>
    </row>
    <row r="74" spans="1:35" s="303" customFormat="1" ht="18" customHeight="1" thickBot="1" x14ac:dyDescent="0.35">
      <c r="A74" s="156" t="s">
        <v>69</v>
      </c>
      <c r="B74" s="156" t="s">
        <v>473</v>
      </c>
      <c r="C74" s="179">
        <v>11460</v>
      </c>
      <c r="D74" s="255" t="s">
        <v>587</v>
      </c>
      <c r="E74" s="238"/>
      <c r="F74" s="238">
        <f t="shared" si="1"/>
        <v>11460</v>
      </c>
      <c r="G74" s="238">
        <f t="shared" si="2"/>
        <v>0</v>
      </c>
      <c r="H74" s="131"/>
      <c r="I74" s="162"/>
      <c r="J74" s="162"/>
      <c r="K74" s="162"/>
      <c r="L74" s="162"/>
      <c r="M74" s="162"/>
      <c r="N74" s="162">
        <v>3853</v>
      </c>
      <c r="O74" s="162" t="s">
        <v>587</v>
      </c>
      <c r="P74" s="162"/>
      <c r="Q74" s="162"/>
      <c r="R74" s="162">
        <v>2440</v>
      </c>
      <c r="S74" s="162">
        <v>4175</v>
      </c>
      <c r="T74" s="162"/>
      <c r="U74" s="162"/>
      <c r="V74" s="162"/>
      <c r="W74" s="162"/>
      <c r="X74" s="162"/>
      <c r="Y74" s="162"/>
      <c r="Z74" s="162"/>
      <c r="AA74" s="162">
        <v>992</v>
      </c>
      <c r="AB74" s="162"/>
      <c r="AC74" s="162"/>
      <c r="AD74" s="162"/>
      <c r="AE74" s="162"/>
      <c r="AF74" s="162"/>
      <c r="AG74" s="162"/>
      <c r="AH74" s="162"/>
      <c r="AI74" s="198"/>
    </row>
    <row r="75" spans="1:35" s="303" customFormat="1" ht="18" customHeight="1" thickBot="1" x14ac:dyDescent="0.35">
      <c r="A75" s="156" t="s">
        <v>70</v>
      </c>
      <c r="B75" s="156" t="s">
        <v>474</v>
      </c>
      <c r="C75" s="179">
        <v>181053</v>
      </c>
      <c r="D75" s="255" t="s">
        <v>587</v>
      </c>
      <c r="E75" s="238"/>
      <c r="F75" s="238">
        <f t="shared" si="1"/>
        <v>181053</v>
      </c>
      <c r="G75" s="238">
        <f t="shared" si="2"/>
        <v>0</v>
      </c>
      <c r="H75" s="131"/>
      <c r="I75" s="162"/>
      <c r="J75" s="162"/>
      <c r="K75" s="162"/>
      <c r="L75" s="162"/>
      <c r="M75" s="162"/>
      <c r="N75" s="162"/>
      <c r="O75" s="162" t="s">
        <v>587</v>
      </c>
      <c r="P75" s="162">
        <v>5485</v>
      </c>
      <c r="Q75" s="162"/>
      <c r="R75" s="162"/>
      <c r="S75" s="162">
        <v>80790</v>
      </c>
      <c r="T75" s="162"/>
      <c r="U75" s="162">
        <v>39790</v>
      </c>
      <c r="V75" s="162"/>
      <c r="W75" s="162"/>
      <c r="X75" s="162"/>
      <c r="Y75" s="162"/>
      <c r="Z75" s="162">
        <v>54988</v>
      </c>
      <c r="AA75" s="162"/>
      <c r="AB75" s="162"/>
      <c r="AC75" s="162"/>
      <c r="AD75" s="162"/>
      <c r="AE75" s="162"/>
      <c r="AF75" s="162"/>
      <c r="AG75" s="162"/>
      <c r="AH75" s="162"/>
      <c r="AI75" s="198"/>
    </row>
    <row r="76" spans="1:35" s="303" customFormat="1" ht="18" customHeight="1" thickBot="1" x14ac:dyDescent="0.35">
      <c r="A76" s="156" t="s">
        <v>71</v>
      </c>
      <c r="B76" s="156" t="s">
        <v>476</v>
      </c>
      <c r="C76" s="179">
        <v>98086</v>
      </c>
      <c r="D76" s="255" t="s">
        <v>587</v>
      </c>
      <c r="E76" s="238"/>
      <c r="F76" s="238">
        <f t="shared" si="1"/>
        <v>98086</v>
      </c>
      <c r="G76" s="238">
        <f t="shared" ref="G76:G107" si="3">IF(ISBLANK(E76),C76-F76,C76-E76)</f>
        <v>0</v>
      </c>
      <c r="H76" s="131"/>
      <c r="I76" s="162"/>
      <c r="J76" s="162"/>
      <c r="K76" s="162"/>
      <c r="L76" s="162"/>
      <c r="M76" s="162">
        <v>9362</v>
      </c>
      <c r="N76" s="162"/>
      <c r="O76" s="162" t="s">
        <v>587</v>
      </c>
      <c r="P76" s="162"/>
      <c r="Q76" s="162">
        <v>9426</v>
      </c>
      <c r="R76" s="162">
        <v>549</v>
      </c>
      <c r="S76" s="240"/>
      <c r="T76" s="162"/>
      <c r="U76" s="162">
        <v>42869</v>
      </c>
      <c r="V76" s="162">
        <v>28239</v>
      </c>
      <c r="W76" s="162"/>
      <c r="X76" s="162"/>
      <c r="Y76" s="162">
        <v>1682</v>
      </c>
      <c r="Z76" s="162">
        <v>2606</v>
      </c>
      <c r="AA76" s="162"/>
      <c r="AB76" s="162"/>
      <c r="AC76" s="162"/>
      <c r="AD76" s="162">
        <v>3353</v>
      </c>
      <c r="AE76" s="162"/>
      <c r="AF76" s="162"/>
      <c r="AG76" s="162"/>
      <c r="AH76" s="162"/>
      <c r="AI76" s="198"/>
    </row>
    <row r="77" spans="1:35" s="303" customFormat="1" ht="18" customHeight="1" thickBot="1" x14ac:dyDescent="0.35">
      <c r="A77" s="156" t="s">
        <v>72</v>
      </c>
      <c r="B77" s="156" t="s">
        <v>477</v>
      </c>
      <c r="C77" s="179">
        <v>6083</v>
      </c>
      <c r="D77" s="255" t="s">
        <v>587</v>
      </c>
      <c r="E77" s="238"/>
      <c r="F77" s="238">
        <f t="shared" ref="F77:F140" si="4">SUM(H77:AK77)</f>
        <v>6083</v>
      </c>
      <c r="G77" s="238">
        <f t="shared" si="3"/>
        <v>0</v>
      </c>
      <c r="H77" s="131"/>
      <c r="I77" s="162"/>
      <c r="J77" s="162"/>
      <c r="K77" s="162"/>
      <c r="L77" s="162"/>
      <c r="M77" s="162"/>
      <c r="N77" s="162"/>
      <c r="O77" s="162" t="s">
        <v>587</v>
      </c>
      <c r="P77" s="162">
        <v>6033</v>
      </c>
      <c r="Q77" s="177"/>
      <c r="R77" s="162"/>
      <c r="S77" s="240"/>
      <c r="T77" s="162"/>
      <c r="U77" s="162"/>
      <c r="V77" s="162"/>
      <c r="W77" s="162">
        <v>50</v>
      </c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98"/>
    </row>
    <row r="78" spans="1:35" s="303" customFormat="1" ht="18" customHeight="1" thickBot="1" x14ac:dyDescent="0.35">
      <c r="A78" s="156" t="s">
        <v>73</v>
      </c>
      <c r="B78" s="156" t="s">
        <v>478</v>
      </c>
      <c r="C78" s="179">
        <v>114549</v>
      </c>
      <c r="D78" s="255" t="s">
        <v>587</v>
      </c>
      <c r="E78" s="238"/>
      <c r="F78" s="238">
        <f t="shared" si="4"/>
        <v>114549</v>
      </c>
      <c r="G78" s="238">
        <f t="shared" si="3"/>
        <v>0</v>
      </c>
      <c r="H78" s="131"/>
      <c r="I78" s="162"/>
      <c r="J78" s="162"/>
      <c r="K78" s="162"/>
      <c r="L78" s="162"/>
      <c r="M78" s="162"/>
      <c r="N78" s="162"/>
      <c r="O78" s="162" t="s">
        <v>587</v>
      </c>
      <c r="P78" s="162">
        <v>50649</v>
      </c>
      <c r="Q78" s="177"/>
      <c r="R78" s="162"/>
      <c r="S78" s="177">
        <v>27940</v>
      </c>
      <c r="T78" s="162"/>
      <c r="U78" s="162"/>
      <c r="V78" s="162"/>
      <c r="W78" s="162"/>
      <c r="X78" s="162">
        <v>30726</v>
      </c>
      <c r="Y78" s="162"/>
      <c r="Z78" s="162"/>
      <c r="AA78" s="162"/>
      <c r="AB78" s="162"/>
      <c r="AC78" s="162">
        <v>5234</v>
      </c>
      <c r="AD78" s="162"/>
      <c r="AE78" s="162"/>
      <c r="AF78" s="162"/>
      <c r="AG78" s="162"/>
      <c r="AH78" s="162"/>
      <c r="AI78" s="198"/>
    </row>
    <row r="79" spans="1:35" s="303" customFormat="1" ht="18" customHeight="1" thickBot="1" x14ac:dyDescent="0.35">
      <c r="A79" s="156" t="s">
        <v>74</v>
      </c>
      <c r="B79" s="156" t="s">
        <v>480</v>
      </c>
      <c r="C79" s="179">
        <v>121452</v>
      </c>
      <c r="D79" s="255" t="s">
        <v>587</v>
      </c>
      <c r="E79" s="238"/>
      <c r="F79" s="238">
        <f t="shared" si="4"/>
        <v>121452</v>
      </c>
      <c r="G79" s="238">
        <f t="shared" si="3"/>
        <v>0</v>
      </c>
      <c r="H79" s="131"/>
      <c r="I79" s="162"/>
      <c r="J79" s="162"/>
      <c r="K79" s="162"/>
      <c r="L79" s="162"/>
      <c r="M79" s="162">
        <v>26820</v>
      </c>
      <c r="N79" s="162">
        <v>20315</v>
      </c>
      <c r="O79" s="162">
        <v>9311</v>
      </c>
      <c r="P79" s="162">
        <v>10089</v>
      </c>
      <c r="Q79" s="240">
        <v>10989</v>
      </c>
      <c r="R79" s="162"/>
      <c r="S79" s="177">
        <f>9318+9311</f>
        <v>18629</v>
      </c>
      <c r="T79" s="162">
        <v>9706</v>
      </c>
      <c r="U79" s="162">
        <v>9404</v>
      </c>
      <c r="V79" s="162"/>
      <c r="W79" s="162"/>
      <c r="X79" s="162">
        <v>6189</v>
      </c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98"/>
    </row>
    <row r="80" spans="1:35" s="303" customFormat="1" ht="18" customHeight="1" thickBot="1" x14ac:dyDescent="0.35">
      <c r="A80" s="156" t="s">
        <v>75</v>
      </c>
      <c r="B80" s="156" t="s">
        <v>253</v>
      </c>
      <c r="C80" s="179">
        <v>26834</v>
      </c>
      <c r="D80" s="255" t="s">
        <v>587</v>
      </c>
      <c r="E80" s="238"/>
      <c r="F80" s="238">
        <f t="shared" si="4"/>
        <v>26834</v>
      </c>
      <c r="G80" s="238">
        <f t="shared" si="3"/>
        <v>0</v>
      </c>
      <c r="H80" s="131"/>
      <c r="I80" s="162"/>
      <c r="J80" s="162"/>
      <c r="K80" s="162"/>
      <c r="L80" s="162"/>
      <c r="M80" s="162"/>
      <c r="N80" s="162"/>
      <c r="O80" s="162" t="s">
        <v>587</v>
      </c>
      <c r="P80" s="162"/>
      <c r="Q80" s="177"/>
      <c r="R80" s="162">
        <v>26656</v>
      </c>
      <c r="S80" s="177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>
        <v>178</v>
      </c>
      <c r="AF80" s="162"/>
      <c r="AG80" s="162"/>
      <c r="AH80" s="162"/>
      <c r="AI80" s="198"/>
    </row>
    <row r="81" spans="1:35" s="303" customFormat="1" ht="18" customHeight="1" thickBot="1" x14ac:dyDescent="0.35">
      <c r="A81" s="156" t="s">
        <v>76</v>
      </c>
      <c r="B81" s="156" t="s">
        <v>481</v>
      </c>
      <c r="C81" s="179">
        <v>10999</v>
      </c>
      <c r="D81" s="255" t="s">
        <v>587</v>
      </c>
      <c r="E81" s="238"/>
      <c r="F81" s="238">
        <f t="shared" si="4"/>
        <v>6877</v>
      </c>
      <c r="G81" s="238">
        <f t="shared" si="3"/>
        <v>4122</v>
      </c>
      <c r="H81" s="131"/>
      <c r="I81" s="162"/>
      <c r="J81" s="162"/>
      <c r="K81" s="162"/>
      <c r="L81" s="162"/>
      <c r="M81" s="162"/>
      <c r="N81" s="162"/>
      <c r="O81" s="162" t="s">
        <v>587</v>
      </c>
      <c r="P81" s="162"/>
      <c r="Q81" s="177"/>
      <c r="R81" s="162"/>
      <c r="S81" s="177">
        <v>1157</v>
      </c>
      <c r="T81" s="162"/>
      <c r="U81" s="162"/>
      <c r="V81" s="162">
        <v>3620</v>
      </c>
      <c r="W81" s="162"/>
      <c r="X81" s="162"/>
      <c r="Y81" s="162"/>
      <c r="Z81" s="162"/>
      <c r="AA81" s="162">
        <v>2100</v>
      </c>
      <c r="AB81" s="162"/>
      <c r="AC81" s="162"/>
      <c r="AD81" s="162"/>
      <c r="AE81" s="162"/>
      <c r="AF81" s="162"/>
      <c r="AG81" s="162"/>
      <c r="AH81" s="162"/>
      <c r="AI81" s="198"/>
    </row>
    <row r="82" spans="1:35" s="303" customFormat="1" ht="18" customHeight="1" thickBot="1" x14ac:dyDescent="0.35">
      <c r="A82" s="156" t="s">
        <v>77</v>
      </c>
      <c r="B82" s="156" t="s">
        <v>483</v>
      </c>
      <c r="C82" s="179">
        <v>19018</v>
      </c>
      <c r="D82" s="255" t="s">
        <v>587</v>
      </c>
      <c r="E82" s="238"/>
      <c r="F82" s="238">
        <f t="shared" si="4"/>
        <v>19018</v>
      </c>
      <c r="G82" s="238">
        <f t="shared" si="3"/>
        <v>0</v>
      </c>
      <c r="H82" s="131"/>
      <c r="I82" s="162"/>
      <c r="J82" s="162"/>
      <c r="K82" s="162"/>
      <c r="L82" s="162"/>
      <c r="M82" s="162"/>
      <c r="N82" s="162"/>
      <c r="O82" s="162" t="s">
        <v>587</v>
      </c>
      <c r="P82" s="162"/>
      <c r="Q82" s="177"/>
      <c r="R82" s="162">
        <v>18942</v>
      </c>
      <c r="S82" s="177"/>
      <c r="T82" s="162"/>
      <c r="U82" s="162"/>
      <c r="V82" s="162"/>
      <c r="W82" s="162"/>
      <c r="X82" s="162"/>
      <c r="Y82" s="162"/>
      <c r="Z82" s="162">
        <v>76</v>
      </c>
      <c r="AA82" s="162"/>
      <c r="AB82" s="162"/>
      <c r="AC82" s="162"/>
      <c r="AD82" s="162"/>
      <c r="AE82" s="162"/>
      <c r="AF82" s="162"/>
      <c r="AG82" s="162"/>
      <c r="AH82" s="162"/>
      <c r="AI82" s="198"/>
    </row>
    <row r="83" spans="1:35" s="303" customFormat="1" ht="18" customHeight="1" thickBot="1" x14ac:dyDescent="0.35">
      <c r="A83" s="156" t="s">
        <v>78</v>
      </c>
      <c r="B83" s="156" t="s">
        <v>256</v>
      </c>
      <c r="C83" s="179">
        <v>26683</v>
      </c>
      <c r="D83" s="255" t="s">
        <v>587</v>
      </c>
      <c r="E83" s="238"/>
      <c r="F83" s="238">
        <f t="shared" si="4"/>
        <v>26683</v>
      </c>
      <c r="G83" s="238">
        <f t="shared" si="3"/>
        <v>0</v>
      </c>
      <c r="H83" s="131"/>
      <c r="I83" s="162"/>
      <c r="J83" s="162"/>
      <c r="K83" s="162"/>
      <c r="L83" s="162">
        <v>26677</v>
      </c>
      <c r="M83" s="162"/>
      <c r="N83" s="162"/>
      <c r="O83" s="162" t="s">
        <v>587</v>
      </c>
      <c r="P83" s="162"/>
      <c r="Q83" s="177"/>
      <c r="R83" s="162"/>
      <c r="S83" s="177"/>
      <c r="T83" s="162"/>
      <c r="U83" s="162"/>
      <c r="V83" s="162"/>
      <c r="W83" s="162"/>
      <c r="X83" s="162"/>
      <c r="Y83" s="162"/>
      <c r="Z83" s="162"/>
      <c r="AA83" s="162">
        <v>6</v>
      </c>
      <c r="AB83" s="162"/>
      <c r="AC83" s="162"/>
      <c r="AD83" s="162"/>
      <c r="AE83" s="162"/>
      <c r="AF83" s="162"/>
      <c r="AG83" s="162"/>
      <c r="AH83" s="162"/>
      <c r="AI83" s="198"/>
    </row>
    <row r="84" spans="1:35" s="303" customFormat="1" ht="18" customHeight="1" thickBot="1" x14ac:dyDescent="0.35">
      <c r="A84" s="156" t="s">
        <v>79</v>
      </c>
      <c r="B84" s="156" t="s">
        <v>485</v>
      </c>
      <c r="C84" s="179">
        <v>56861</v>
      </c>
      <c r="D84" s="255" t="s">
        <v>587</v>
      </c>
      <c r="E84" s="238"/>
      <c r="F84" s="238">
        <f t="shared" si="4"/>
        <v>56861</v>
      </c>
      <c r="G84" s="238">
        <f t="shared" si="3"/>
        <v>0</v>
      </c>
      <c r="H84" s="131"/>
      <c r="I84" s="162"/>
      <c r="J84" s="162"/>
      <c r="K84" s="162"/>
      <c r="L84" s="162"/>
      <c r="M84" s="162"/>
      <c r="N84" s="162">
        <v>24737</v>
      </c>
      <c r="O84" s="162" t="s">
        <v>587</v>
      </c>
      <c r="P84" s="162"/>
      <c r="Q84" s="177"/>
      <c r="R84" s="162"/>
      <c r="S84" s="177">
        <v>27459</v>
      </c>
      <c r="T84" s="162"/>
      <c r="U84" s="162"/>
      <c r="V84" s="162"/>
      <c r="W84" s="162"/>
      <c r="X84" s="162"/>
      <c r="Y84" s="162"/>
      <c r="Z84" s="162"/>
      <c r="AA84" s="162">
        <v>4665</v>
      </c>
      <c r="AB84" s="162"/>
      <c r="AC84" s="162"/>
      <c r="AD84" s="162"/>
      <c r="AE84" s="162"/>
      <c r="AF84" s="162"/>
      <c r="AG84" s="162"/>
      <c r="AH84" s="162"/>
      <c r="AI84" s="198"/>
    </row>
    <row r="85" spans="1:35" s="303" customFormat="1" ht="18" customHeight="1" thickBot="1" x14ac:dyDescent="0.35">
      <c r="A85" s="156" t="s">
        <v>80</v>
      </c>
      <c r="B85" s="156" t="s">
        <v>632</v>
      </c>
      <c r="C85" s="179">
        <v>3883</v>
      </c>
      <c r="D85" s="255" t="s">
        <v>587</v>
      </c>
      <c r="E85" s="238"/>
      <c r="F85" s="238">
        <f t="shared" si="4"/>
        <v>3883</v>
      </c>
      <c r="G85" s="238">
        <f t="shared" si="3"/>
        <v>0</v>
      </c>
      <c r="H85" s="131"/>
      <c r="I85" s="162"/>
      <c r="J85" s="162"/>
      <c r="K85" s="162"/>
      <c r="L85" s="162"/>
      <c r="M85" s="162"/>
      <c r="N85" s="162"/>
      <c r="O85" s="162" t="s">
        <v>587</v>
      </c>
      <c r="P85" s="162"/>
      <c r="Q85" s="177"/>
      <c r="R85" s="162">
        <v>3854</v>
      </c>
      <c r="S85" s="177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>
        <v>29</v>
      </c>
      <c r="AE85" s="162"/>
      <c r="AF85" s="162"/>
      <c r="AG85" s="162"/>
      <c r="AH85" s="162"/>
      <c r="AI85" s="198"/>
    </row>
    <row r="86" spans="1:35" s="303" customFormat="1" ht="18" customHeight="1" thickBot="1" x14ac:dyDescent="0.35">
      <c r="A86" s="156" t="s">
        <v>81</v>
      </c>
      <c r="B86" s="156" t="s">
        <v>489</v>
      </c>
      <c r="C86" s="179">
        <v>62637</v>
      </c>
      <c r="D86" s="255" t="s">
        <v>587</v>
      </c>
      <c r="E86" s="238"/>
      <c r="F86" s="238">
        <f t="shared" si="4"/>
        <v>62637</v>
      </c>
      <c r="G86" s="238">
        <f t="shared" si="3"/>
        <v>0</v>
      </c>
      <c r="H86" s="131"/>
      <c r="I86" s="162"/>
      <c r="J86" s="162"/>
      <c r="K86" s="162"/>
      <c r="L86" s="162"/>
      <c r="M86" s="162"/>
      <c r="N86" s="162"/>
      <c r="O86" s="162">
        <v>34223</v>
      </c>
      <c r="P86" s="162"/>
      <c r="Q86" s="177"/>
      <c r="R86" s="162"/>
      <c r="S86" s="177"/>
      <c r="T86" s="162"/>
      <c r="U86" s="162"/>
      <c r="V86" s="162"/>
      <c r="W86" s="162"/>
      <c r="X86" s="162">
        <v>28414</v>
      </c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98"/>
    </row>
    <row r="87" spans="1:35" s="303" customFormat="1" ht="18" customHeight="1" thickBot="1" x14ac:dyDescent="0.35">
      <c r="A87" s="156" t="s">
        <v>82</v>
      </c>
      <c r="B87" s="156" t="s">
        <v>491</v>
      </c>
      <c r="C87" s="179">
        <v>15509</v>
      </c>
      <c r="D87" s="255" t="s">
        <v>587</v>
      </c>
      <c r="E87" s="238"/>
      <c r="F87" s="238">
        <f t="shared" si="4"/>
        <v>15509</v>
      </c>
      <c r="G87" s="238">
        <f t="shared" si="3"/>
        <v>0</v>
      </c>
      <c r="H87" s="131"/>
      <c r="I87" s="162"/>
      <c r="J87" s="162"/>
      <c r="K87" s="162"/>
      <c r="L87" s="162"/>
      <c r="M87" s="162">
        <v>3743</v>
      </c>
      <c r="N87" s="162"/>
      <c r="O87" s="162" t="s">
        <v>587</v>
      </c>
      <c r="P87" s="162">
        <v>3650</v>
      </c>
      <c r="Q87" s="240"/>
      <c r="R87" s="162">
        <v>4074</v>
      </c>
      <c r="S87" s="240"/>
      <c r="T87" s="162">
        <v>2720</v>
      </c>
      <c r="U87" s="162"/>
      <c r="V87" s="162">
        <v>1282</v>
      </c>
      <c r="W87" s="162"/>
      <c r="X87" s="162"/>
      <c r="Y87" s="162"/>
      <c r="Z87" s="162"/>
      <c r="AA87" s="162">
        <v>40</v>
      </c>
      <c r="AB87" s="162"/>
      <c r="AC87" s="162"/>
      <c r="AD87" s="162"/>
      <c r="AE87" s="162"/>
      <c r="AF87" s="162"/>
      <c r="AG87" s="162"/>
      <c r="AH87" s="162"/>
      <c r="AI87" s="198"/>
    </row>
    <row r="88" spans="1:35" s="303" customFormat="1" ht="18" customHeight="1" thickBot="1" x14ac:dyDescent="0.35">
      <c r="A88" s="156" t="s">
        <v>83</v>
      </c>
      <c r="B88" s="156" t="s">
        <v>261</v>
      </c>
      <c r="C88" s="179">
        <v>11014</v>
      </c>
      <c r="D88" s="255" t="s">
        <v>375</v>
      </c>
      <c r="E88" s="238">
        <f>IF(ISBLANK(D88),,C88)</f>
        <v>11014</v>
      </c>
      <c r="F88" s="238">
        <f t="shared" si="4"/>
        <v>0</v>
      </c>
      <c r="G88" s="238">
        <f t="shared" si="3"/>
        <v>0</v>
      </c>
      <c r="H88" s="131"/>
      <c r="I88" s="162"/>
      <c r="J88" s="162"/>
      <c r="K88" s="162"/>
      <c r="L88" s="162"/>
      <c r="M88" s="162"/>
      <c r="N88" s="162"/>
      <c r="O88" s="162" t="s">
        <v>587</v>
      </c>
      <c r="P88" s="162"/>
      <c r="Q88" s="177"/>
      <c r="R88" s="162"/>
      <c r="S88" s="177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98"/>
    </row>
    <row r="89" spans="1:35" s="303" customFormat="1" ht="18" customHeight="1" thickBot="1" x14ac:dyDescent="0.35">
      <c r="A89" s="156" t="s">
        <v>84</v>
      </c>
      <c r="B89" s="156" t="s">
        <v>262</v>
      </c>
      <c r="C89" s="179">
        <v>1841526</v>
      </c>
      <c r="D89" s="255" t="s">
        <v>587</v>
      </c>
      <c r="E89" s="238"/>
      <c r="F89" s="238">
        <f t="shared" si="4"/>
        <v>1841526</v>
      </c>
      <c r="G89" s="238">
        <f t="shared" si="3"/>
        <v>0</v>
      </c>
      <c r="H89" s="131"/>
      <c r="I89" s="162"/>
      <c r="J89" s="162"/>
      <c r="K89" s="162"/>
      <c r="L89" s="162">
        <v>46551</v>
      </c>
      <c r="M89" s="162"/>
      <c r="N89" s="162">
        <f>159339+120062</f>
        <v>279401</v>
      </c>
      <c r="O89" s="162">
        <v>119745</v>
      </c>
      <c r="P89" s="162">
        <v>124802</v>
      </c>
      <c r="Q89" s="240">
        <v>115836</v>
      </c>
      <c r="R89" s="162">
        <v>102977</v>
      </c>
      <c r="S89" s="240">
        <v>99878</v>
      </c>
      <c r="T89" s="162"/>
      <c r="U89" s="162">
        <v>91412</v>
      </c>
      <c r="V89" s="162">
        <v>163155</v>
      </c>
      <c r="W89" s="162"/>
      <c r="X89" s="162">
        <v>249567</v>
      </c>
      <c r="Y89" s="162">
        <v>126383</v>
      </c>
      <c r="Z89" s="162"/>
      <c r="AA89" s="162">
        <v>207260</v>
      </c>
      <c r="AB89" s="162">
        <v>96144</v>
      </c>
      <c r="AC89" s="162">
        <v>18415</v>
      </c>
      <c r="AD89" s="162"/>
      <c r="AE89" s="162"/>
      <c r="AF89" s="162"/>
      <c r="AG89" s="162"/>
      <c r="AH89" s="162"/>
      <c r="AI89" s="198"/>
    </row>
    <row r="90" spans="1:35" s="303" customFormat="1" ht="18" customHeight="1" thickBot="1" x14ac:dyDescent="0.35">
      <c r="A90" s="156" t="s">
        <v>85</v>
      </c>
      <c r="B90" s="156" t="s">
        <v>494</v>
      </c>
      <c r="C90" s="179">
        <v>11740</v>
      </c>
      <c r="D90" s="255" t="s">
        <v>587</v>
      </c>
      <c r="E90" s="238"/>
      <c r="F90" s="238">
        <f t="shared" si="4"/>
        <v>11740</v>
      </c>
      <c r="G90" s="238">
        <f t="shared" si="3"/>
        <v>0</v>
      </c>
      <c r="H90" s="131"/>
      <c r="I90" s="162"/>
      <c r="J90" s="162"/>
      <c r="K90" s="162"/>
      <c r="L90" s="162"/>
      <c r="M90" s="162"/>
      <c r="N90" s="162"/>
      <c r="O90" s="162" t="s">
        <v>587</v>
      </c>
      <c r="P90" s="162"/>
      <c r="Q90" s="162"/>
      <c r="R90" s="162"/>
      <c r="S90" s="162">
        <v>11722</v>
      </c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>
        <v>18</v>
      </c>
      <c r="AF90" s="162"/>
      <c r="AG90" s="162"/>
      <c r="AH90" s="162"/>
      <c r="AI90" s="198"/>
    </row>
    <row r="91" spans="1:35" s="303" customFormat="1" ht="18" customHeight="1" thickBot="1" x14ac:dyDescent="0.35">
      <c r="A91" s="156" t="s">
        <v>86</v>
      </c>
      <c r="B91" s="156" t="s">
        <v>496</v>
      </c>
      <c r="C91" s="179">
        <v>869</v>
      </c>
      <c r="D91" s="255" t="s">
        <v>587</v>
      </c>
      <c r="E91" s="238"/>
      <c r="F91" s="238">
        <f t="shared" si="4"/>
        <v>0</v>
      </c>
      <c r="G91" s="238">
        <f t="shared" si="3"/>
        <v>869</v>
      </c>
      <c r="H91" s="131"/>
      <c r="I91" s="162"/>
      <c r="J91" s="162"/>
      <c r="K91" s="162"/>
      <c r="L91" s="162"/>
      <c r="M91" s="162"/>
      <c r="N91" s="162"/>
      <c r="O91" s="162" t="s">
        <v>587</v>
      </c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98"/>
    </row>
    <row r="92" spans="1:35" s="303" customFormat="1" ht="18" customHeight="1" thickBot="1" x14ac:dyDescent="0.35">
      <c r="A92" s="156" t="s">
        <v>87</v>
      </c>
      <c r="B92" s="156" t="s">
        <v>265</v>
      </c>
      <c r="C92" s="179">
        <v>10951</v>
      </c>
      <c r="D92" s="255" t="s">
        <v>372</v>
      </c>
      <c r="E92" s="238">
        <f>IF(ISBLANK(D92),,C92)</f>
        <v>10951</v>
      </c>
      <c r="F92" s="238">
        <f t="shared" si="4"/>
        <v>0</v>
      </c>
      <c r="G92" s="238">
        <f t="shared" si="3"/>
        <v>0</v>
      </c>
      <c r="H92" s="131"/>
      <c r="I92" s="162"/>
      <c r="J92" s="162"/>
      <c r="K92" s="162"/>
      <c r="L92" s="162"/>
      <c r="M92" s="162"/>
      <c r="N92" s="162"/>
      <c r="O92" s="162" t="s">
        <v>587</v>
      </c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98"/>
    </row>
    <row r="93" spans="1:35" s="303" customFormat="1" ht="18" customHeight="1" thickBot="1" x14ac:dyDescent="0.35">
      <c r="A93" s="156" t="s">
        <v>88</v>
      </c>
      <c r="B93" s="156" t="s">
        <v>266</v>
      </c>
      <c r="C93" s="179">
        <v>4278</v>
      </c>
      <c r="D93" s="255" t="s">
        <v>372</v>
      </c>
      <c r="E93" s="238">
        <f>IF(ISBLANK(D93),,C93)</f>
        <v>4278</v>
      </c>
      <c r="F93" s="238">
        <f t="shared" si="4"/>
        <v>0</v>
      </c>
      <c r="G93" s="238">
        <f t="shared" si="3"/>
        <v>0</v>
      </c>
      <c r="H93" s="131"/>
      <c r="I93" s="162"/>
      <c r="J93" s="162"/>
      <c r="K93" s="162"/>
      <c r="L93" s="162"/>
      <c r="M93" s="162"/>
      <c r="N93" s="162"/>
      <c r="O93" s="162" t="s">
        <v>587</v>
      </c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98"/>
    </row>
    <row r="94" spans="1:35" s="303" customFormat="1" ht="18" customHeight="1" thickBot="1" x14ac:dyDescent="0.35">
      <c r="A94" s="156" t="s">
        <v>89</v>
      </c>
      <c r="B94" s="156" t="s">
        <v>267</v>
      </c>
      <c r="C94" s="179">
        <v>9057</v>
      </c>
      <c r="D94" s="255" t="s">
        <v>372</v>
      </c>
      <c r="E94" s="238">
        <f>IF(ISBLANK(D94),,C94)</f>
        <v>9057</v>
      </c>
      <c r="F94" s="238">
        <f t="shared" si="4"/>
        <v>0</v>
      </c>
      <c r="G94" s="238">
        <f t="shared" si="3"/>
        <v>0</v>
      </c>
      <c r="H94" s="131"/>
      <c r="I94" s="162"/>
      <c r="J94" s="162"/>
      <c r="K94" s="162"/>
      <c r="L94" s="162"/>
      <c r="M94" s="162"/>
      <c r="N94" s="162"/>
      <c r="O94" s="162" t="s">
        <v>587</v>
      </c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98"/>
    </row>
    <row r="95" spans="1:35" s="303" customFormat="1" ht="18" customHeight="1" thickBot="1" x14ac:dyDescent="0.35">
      <c r="A95" s="156" t="s">
        <v>90</v>
      </c>
      <c r="B95" s="156" t="s">
        <v>268</v>
      </c>
      <c r="C95" s="179">
        <v>3681</v>
      </c>
      <c r="D95" s="255" t="s">
        <v>372</v>
      </c>
      <c r="E95" s="238">
        <f>IF(ISBLANK(D95),,C95)</f>
        <v>3681</v>
      </c>
      <c r="F95" s="238">
        <f t="shared" si="4"/>
        <v>0</v>
      </c>
      <c r="G95" s="238">
        <f t="shared" si="3"/>
        <v>0</v>
      </c>
      <c r="H95" s="131"/>
      <c r="I95" s="162"/>
      <c r="J95" s="162"/>
      <c r="K95" s="162"/>
      <c r="L95" s="162"/>
      <c r="M95" s="162"/>
      <c r="N95" s="162"/>
      <c r="O95" s="162" t="s">
        <v>587</v>
      </c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98"/>
    </row>
    <row r="96" spans="1:35" s="303" customFormat="1" ht="18" customHeight="1" thickBot="1" x14ac:dyDescent="0.35">
      <c r="A96" s="156" t="s">
        <v>91</v>
      </c>
      <c r="B96" s="156" t="s">
        <v>498</v>
      </c>
      <c r="C96" s="179">
        <v>31804</v>
      </c>
      <c r="D96" s="255" t="s">
        <v>372</v>
      </c>
      <c r="E96" s="238">
        <f>IF(ISBLANK(D96),,C96)</f>
        <v>31804</v>
      </c>
      <c r="F96" s="238">
        <f t="shared" si="4"/>
        <v>0</v>
      </c>
      <c r="G96" s="238">
        <f t="shared" si="3"/>
        <v>0</v>
      </c>
      <c r="H96" s="131"/>
      <c r="I96" s="162"/>
      <c r="J96" s="162"/>
      <c r="K96" s="162"/>
      <c r="L96" s="162"/>
      <c r="M96" s="162"/>
      <c r="N96" s="162"/>
      <c r="O96" s="162" t="s">
        <v>587</v>
      </c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98"/>
    </row>
    <row r="97" spans="1:35" s="303" customFormat="1" ht="18" customHeight="1" thickBot="1" x14ac:dyDescent="0.35">
      <c r="A97" s="156" t="s">
        <v>92</v>
      </c>
      <c r="B97" s="156" t="s">
        <v>270</v>
      </c>
      <c r="C97" s="179">
        <v>42576</v>
      </c>
      <c r="D97" s="255" t="s">
        <v>587</v>
      </c>
      <c r="E97" s="238"/>
      <c r="F97" s="238">
        <f t="shared" si="4"/>
        <v>42576</v>
      </c>
      <c r="G97" s="238">
        <f t="shared" si="3"/>
        <v>0</v>
      </c>
      <c r="H97" s="131"/>
      <c r="I97" s="162"/>
      <c r="J97" s="162"/>
      <c r="K97" s="162"/>
      <c r="L97" s="162"/>
      <c r="M97" s="162">
        <v>8379</v>
      </c>
      <c r="N97" s="162">
        <v>2793</v>
      </c>
      <c r="O97" s="162">
        <v>2803</v>
      </c>
      <c r="P97" s="162"/>
      <c r="Q97" s="162">
        <v>2803</v>
      </c>
      <c r="R97" s="162">
        <v>2803</v>
      </c>
      <c r="S97" s="162">
        <v>22789</v>
      </c>
      <c r="T97" s="162"/>
      <c r="U97" s="162"/>
      <c r="V97" s="162"/>
      <c r="W97" s="162"/>
      <c r="X97" s="162">
        <v>206</v>
      </c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98"/>
    </row>
    <row r="98" spans="1:35" s="303" customFormat="1" ht="18" customHeight="1" thickBot="1" x14ac:dyDescent="0.35">
      <c r="A98" s="156" t="s">
        <v>93</v>
      </c>
      <c r="B98" s="156" t="s">
        <v>271</v>
      </c>
      <c r="C98" s="179">
        <v>162810</v>
      </c>
      <c r="D98" s="255" t="s">
        <v>587</v>
      </c>
      <c r="E98" s="238"/>
      <c r="F98" s="238">
        <f t="shared" si="4"/>
        <v>162810</v>
      </c>
      <c r="G98" s="238">
        <f t="shared" si="3"/>
        <v>0</v>
      </c>
      <c r="H98" s="131"/>
      <c r="I98" s="162"/>
      <c r="J98" s="162"/>
      <c r="K98" s="162"/>
      <c r="L98" s="162"/>
      <c r="M98" s="162"/>
      <c r="N98" s="162"/>
      <c r="O98" s="162">
        <v>78750</v>
      </c>
      <c r="P98" s="162">
        <v>13911</v>
      </c>
      <c r="Q98" s="162"/>
      <c r="R98" s="162"/>
      <c r="S98" s="162">
        <f>28128+14017</f>
        <v>42145</v>
      </c>
      <c r="T98" s="162"/>
      <c r="U98" s="162"/>
      <c r="V98" s="162">
        <v>26173</v>
      </c>
      <c r="W98" s="162"/>
      <c r="X98" s="162"/>
      <c r="Y98" s="162"/>
      <c r="Z98" s="162">
        <v>1831</v>
      </c>
      <c r="AA98" s="162"/>
      <c r="AB98" s="162"/>
      <c r="AC98" s="162"/>
      <c r="AD98" s="162"/>
      <c r="AE98" s="162"/>
      <c r="AF98" s="162"/>
      <c r="AG98" s="162"/>
      <c r="AH98" s="162"/>
      <c r="AI98" s="198"/>
    </row>
    <row r="99" spans="1:35" s="303" customFormat="1" ht="18" customHeight="1" thickBot="1" x14ac:dyDescent="0.35">
      <c r="A99" s="156" t="s">
        <v>94</v>
      </c>
      <c r="B99" s="156" t="s">
        <v>501</v>
      </c>
      <c r="C99" s="179">
        <v>29096</v>
      </c>
      <c r="D99" s="255" t="s">
        <v>587</v>
      </c>
      <c r="E99" s="238"/>
      <c r="F99" s="238">
        <f t="shared" si="4"/>
        <v>29096</v>
      </c>
      <c r="G99" s="238">
        <f t="shared" si="3"/>
        <v>0</v>
      </c>
      <c r="H99" s="131"/>
      <c r="I99" s="162"/>
      <c r="J99" s="162"/>
      <c r="K99" s="162"/>
      <c r="L99" s="162"/>
      <c r="M99" s="162"/>
      <c r="N99" s="162"/>
      <c r="O99" s="162" t="s">
        <v>587</v>
      </c>
      <c r="P99" s="162"/>
      <c r="Q99" s="162"/>
      <c r="R99" s="162"/>
      <c r="S99" s="162">
        <v>28969</v>
      </c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>
        <v>127</v>
      </c>
      <c r="AF99" s="162"/>
      <c r="AG99" s="162"/>
      <c r="AH99" s="162"/>
      <c r="AI99" s="198"/>
    </row>
    <row r="100" spans="1:35" s="303" customFormat="1" ht="18" customHeight="1" thickBot="1" x14ac:dyDescent="0.35">
      <c r="A100" s="156" t="s">
        <v>95</v>
      </c>
      <c r="B100" s="156" t="s">
        <v>502</v>
      </c>
      <c r="C100" s="179">
        <v>50043</v>
      </c>
      <c r="D100" s="255" t="s">
        <v>587</v>
      </c>
      <c r="E100" s="238"/>
      <c r="F100" s="238">
        <f t="shared" si="4"/>
        <v>50043</v>
      </c>
      <c r="G100" s="238">
        <f t="shared" si="3"/>
        <v>0</v>
      </c>
      <c r="H100" s="131"/>
      <c r="I100" s="162"/>
      <c r="J100" s="162"/>
      <c r="K100" s="162"/>
      <c r="L100" s="162"/>
      <c r="M100" s="162">
        <v>14726</v>
      </c>
      <c r="N100" s="162"/>
      <c r="O100" s="162" t="s">
        <v>587</v>
      </c>
      <c r="P100" s="162"/>
      <c r="Q100" s="162"/>
      <c r="R100" s="162"/>
      <c r="S100" s="162"/>
      <c r="T100" s="162"/>
      <c r="U100" s="162"/>
      <c r="V100" s="162"/>
      <c r="W100" s="162"/>
      <c r="X100" s="162">
        <v>19195</v>
      </c>
      <c r="Y100" s="162"/>
      <c r="Z100" s="162">
        <v>9590</v>
      </c>
      <c r="AA100" s="162"/>
      <c r="AB100" s="162"/>
      <c r="AC100" s="162"/>
      <c r="AD100" s="162"/>
      <c r="AE100" s="162">
        <v>6532</v>
      </c>
      <c r="AF100" s="162"/>
      <c r="AG100" s="162"/>
      <c r="AH100" s="162"/>
      <c r="AI100" s="198"/>
    </row>
    <row r="101" spans="1:35" s="303" customFormat="1" ht="18" customHeight="1" thickBot="1" x14ac:dyDescent="0.35">
      <c r="A101" s="156" t="s">
        <v>96</v>
      </c>
      <c r="B101" s="156" t="s">
        <v>274</v>
      </c>
      <c r="C101" s="179">
        <v>666455</v>
      </c>
      <c r="D101" s="255" t="s">
        <v>587</v>
      </c>
      <c r="E101" s="238"/>
      <c r="F101" s="238">
        <f t="shared" si="4"/>
        <v>666455</v>
      </c>
      <c r="G101" s="238">
        <f t="shared" si="3"/>
        <v>0</v>
      </c>
      <c r="H101" s="131"/>
      <c r="I101" s="162"/>
      <c r="J101" s="162"/>
      <c r="K101" s="162"/>
      <c r="L101" s="162">
        <v>19649</v>
      </c>
      <c r="M101" s="162"/>
      <c r="N101" s="162"/>
      <c r="O101" s="162">
        <v>142714</v>
      </c>
      <c r="P101" s="162"/>
      <c r="Q101" s="162"/>
      <c r="R101" s="162">
        <v>153254</v>
      </c>
      <c r="S101" s="162"/>
      <c r="T101" s="162"/>
      <c r="U101" s="162">
        <v>164301</v>
      </c>
      <c r="V101" s="162"/>
      <c r="W101" s="162">
        <v>80303</v>
      </c>
      <c r="X101" s="162">
        <v>63075</v>
      </c>
      <c r="Y101" s="162"/>
      <c r="Z101" s="162"/>
      <c r="AA101" s="162">
        <v>43159</v>
      </c>
      <c r="AB101" s="162"/>
      <c r="AC101" s="162"/>
      <c r="AD101" s="162"/>
      <c r="AE101" s="162"/>
      <c r="AF101" s="162"/>
      <c r="AG101" s="162"/>
      <c r="AH101" s="162"/>
      <c r="AI101" s="198"/>
    </row>
    <row r="102" spans="1:35" s="303" customFormat="1" ht="18" customHeight="1" thickBot="1" x14ac:dyDescent="0.35">
      <c r="A102" s="156" t="s">
        <v>97</v>
      </c>
      <c r="B102" s="156" t="s">
        <v>504</v>
      </c>
      <c r="C102" s="179">
        <v>343099</v>
      </c>
      <c r="D102" s="255" t="s">
        <v>587</v>
      </c>
      <c r="E102" s="238"/>
      <c r="F102" s="238">
        <f t="shared" si="4"/>
        <v>343099</v>
      </c>
      <c r="G102" s="238">
        <f t="shared" si="3"/>
        <v>0</v>
      </c>
      <c r="H102" s="131"/>
      <c r="I102" s="162"/>
      <c r="J102" s="162"/>
      <c r="K102" s="162"/>
      <c r="L102" s="162"/>
      <c r="M102" s="162"/>
      <c r="N102" s="162">
        <v>17074</v>
      </c>
      <c r="O102" s="162">
        <v>24284</v>
      </c>
      <c r="P102" s="162">
        <v>19669</v>
      </c>
      <c r="Q102" s="162">
        <v>28166</v>
      </c>
      <c r="R102" s="162">
        <v>34072</v>
      </c>
      <c r="S102" s="162">
        <v>28920</v>
      </c>
      <c r="T102" s="162">
        <v>38909</v>
      </c>
      <c r="U102" s="162"/>
      <c r="V102" s="162">
        <f>3383+36520</f>
        <v>39903</v>
      </c>
      <c r="W102" s="162"/>
      <c r="X102" s="162">
        <v>38551</v>
      </c>
      <c r="Y102" s="162">
        <v>18648</v>
      </c>
      <c r="Z102" s="162">
        <v>23691</v>
      </c>
      <c r="AA102" s="162">
        <v>31212</v>
      </c>
      <c r="AB102" s="162"/>
      <c r="AC102" s="162"/>
      <c r="AD102" s="162"/>
      <c r="AE102" s="162"/>
      <c r="AF102" s="162"/>
      <c r="AG102" s="162"/>
      <c r="AH102" s="162"/>
      <c r="AI102" s="198"/>
    </row>
    <row r="103" spans="1:35" s="303" customFormat="1" ht="18" customHeight="1" thickBot="1" x14ac:dyDescent="0.35">
      <c r="A103" s="156" t="s">
        <v>98</v>
      </c>
      <c r="B103" s="156" t="s">
        <v>505</v>
      </c>
      <c r="C103" s="179">
        <v>41317</v>
      </c>
      <c r="D103" s="255" t="s">
        <v>587</v>
      </c>
      <c r="E103" s="238"/>
      <c r="F103" s="238">
        <f t="shared" si="4"/>
        <v>41317</v>
      </c>
      <c r="G103" s="238">
        <f t="shared" si="3"/>
        <v>0</v>
      </c>
      <c r="H103" s="131"/>
      <c r="I103" s="162"/>
      <c r="J103" s="162"/>
      <c r="K103" s="162"/>
      <c r="L103" s="162"/>
      <c r="M103" s="162">
        <v>1400</v>
      </c>
      <c r="N103" s="162"/>
      <c r="O103" s="162" t="s">
        <v>587</v>
      </c>
      <c r="P103" s="162"/>
      <c r="Q103" s="162"/>
      <c r="R103" s="162"/>
      <c r="S103" s="162"/>
      <c r="T103" s="162">
        <v>121</v>
      </c>
      <c r="U103" s="162"/>
      <c r="V103" s="162"/>
      <c r="W103" s="162"/>
      <c r="X103" s="162"/>
      <c r="Y103" s="162">
        <v>18555</v>
      </c>
      <c r="Z103" s="162">
        <v>4289</v>
      </c>
      <c r="AA103" s="162"/>
      <c r="AB103" s="162"/>
      <c r="AC103" s="162">
        <v>16952</v>
      </c>
      <c r="AD103" s="162"/>
      <c r="AE103" s="162"/>
      <c r="AF103" s="162"/>
      <c r="AG103" s="162"/>
      <c r="AH103" s="162"/>
      <c r="AI103" s="198"/>
    </row>
    <row r="104" spans="1:35" s="303" customFormat="1" ht="18" customHeight="1" thickBot="1" x14ac:dyDescent="0.35">
      <c r="A104" s="156" t="s">
        <v>99</v>
      </c>
      <c r="B104" s="156" t="s">
        <v>277</v>
      </c>
      <c r="C104" s="179">
        <v>113813</v>
      </c>
      <c r="D104" s="255" t="s">
        <v>587</v>
      </c>
      <c r="E104" s="238"/>
      <c r="F104" s="238">
        <f t="shared" si="4"/>
        <v>113813</v>
      </c>
      <c r="G104" s="238">
        <f t="shared" si="3"/>
        <v>0</v>
      </c>
      <c r="H104" s="131"/>
      <c r="I104" s="162"/>
      <c r="J104" s="162"/>
      <c r="K104" s="162"/>
      <c r="L104" s="162"/>
      <c r="M104" s="162"/>
      <c r="N104" s="162"/>
      <c r="O104" s="162">
        <v>4868</v>
      </c>
      <c r="P104" s="162"/>
      <c r="Q104" s="162">
        <v>5190</v>
      </c>
      <c r="R104" s="162"/>
      <c r="S104" s="162">
        <v>15570</v>
      </c>
      <c r="T104" s="162"/>
      <c r="U104" s="162">
        <v>12017</v>
      </c>
      <c r="V104" s="162"/>
      <c r="W104" s="162"/>
      <c r="X104" s="162"/>
      <c r="Y104" s="162">
        <v>10337</v>
      </c>
      <c r="Z104" s="162">
        <v>15699</v>
      </c>
      <c r="AA104" s="162"/>
      <c r="AB104" s="162"/>
      <c r="AC104" s="162">
        <v>30367</v>
      </c>
      <c r="AD104" s="162"/>
      <c r="AE104" s="162"/>
      <c r="AF104" s="162">
        <v>19765</v>
      </c>
      <c r="AG104" s="162"/>
      <c r="AH104" s="162"/>
      <c r="AI104" s="198"/>
    </row>
    <row r="105" spans="1:35" s="303" customFormat="1" ht="18" customHeight="1" thickBot="1" x14ac:dyDescent="0.35">
      <c r="A105" s="156" t="s">
        <v>100</v>
      </c>
      <c r="B105" s="156" t="s">
        <v>278</v>
      </c>
      <c r="C105" s="179">
        <v>9053</v>
      </c>
      <c r="D105" s="255" t="s">
        <v>587</v>
      </c>
      <c r="E105" s="238"/>
      <c r="F105" s="238">
        <f t="shared" si="4"/>
        <v>9053</v>
      </c>
      <c r="G105" s="238">
        <f t="shared" si="3"/>
        <v>0</v>
      </c>
      <c r="H105" s="131"/>
      <c r="I105" s="162"/>
      <c r="J105" s="162"/>
      <c r="K105" s="162"/>
      <c r="L105" s="162"/>
      <c r="M105" s="162"/>
      <c r="N105" s="162"/>
      <c r="O105" s="162" t="s">
        <v>587</v>
      </c>
      <c r="P105" s="162"/>
      <c r="Q105" s="162"/>
      <c r="R105" s="162"/>
      <c r="S105" s="177">
        <v>9035</v>
      </c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>
        <v>18</v>
      </c>
      <c r="AF105" s="162"/>
      <c r="AG105" s="162"/>
      <c r="AH105" s="162"/>
      <c r="AI105" s="198"/>
    </row>
    <row r="106" spans="1:35" s="303" customFormat="1" ht="18" customHeight="1" thickBot="1" x14ac:dyDescent="0.35">
      <c r="A106" s="156" t="s">
        <v>101</v>
      </c>
      <c r="B106" s="156" t="s">
        <v>279</v>
      </c>
      <c r="C106" s="179">
        <v>12496</v>
      </c>
      <c r="D106" s="255" t="s">
        <v>587</v>
      </c>
      <c r="E106" s="238"/>
      <c r="F106" s="238">
        <f t="shared" si="4"/>
        <v>12496</v>
      </c>
      <c r="G106" s="238">
        <f t="shared" si="3"/>
        <v>0</v>
      </c>
      <c r="H106" s="131"/>
      <c r="I106" s="162"/>
      <c r="J106" s="162"/>
      <c r="K106" s="162"/>
      <c r="L106" s="162"/>
      <c r="M106" s="162"/>
      <c r="N106" s="162"/>
      <c r="O106" s="162" t="s">
        <v>587</v>
      </c>
      <c r="P106" s="162"/>
      <c r="Q106" s="162"/>
      <c r="R106" s="162">
        <v>12461</v>
      </c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>
        <v>35</v>
      </c>
      <c r="AE106" s="162"/>
      <c r="AF106" s="162"/>
      <c r="AG106" s="162"/>
      <c r="AH106" s="162"/>
      <c r="AI106" s="198"/>
    </row>
    <row r="107" spans="1:35" s="303" customFormat="1" ht="18" customHeight="1" thickBot="1" x14ac:dyDescent="0.35">
      <c r="A107" s="156" t="s">
        <v>102</v>
      </c>
      <c r="B107" s="156" t="s">
        <v>507</v>
      </c>
      <c r="C107" s="179">
        <v>17881</v>
      </c>
      <c r="D107" s="255" t="s">
        <v>587</v>
      </c>
      <c r="E107" s="238"/>
      <c r="F107" s="238">
        <f t="shared" si="4"/>
        <v>17881</v>
      </c>
      <c r="G107" s="238">
        <f t="shared" si="3"/>
        <v>0</v>
      </c>
      <c r="H107" s="131"/>
      <c r="I107" s="162"/>
      <c r="J107" s="162"/>
      <c r="K107" s="162"/>
      <c r="L107" s="162"/>
      <c r="M107" s="162"/>
      <c r="N107" s="162"/>
      <c r="O107" s="162" t="s">
        <v>587</v>
      </c>
      <c r="P107" s="162"/>
      <c r="Q107" s="162"/>
      <c r="R107" s="162">
        <v>17827</v>
      </c>
      <c r="S107" s="162"/>
      <c r="T107" s="162"/>
      <c r="U107" s="162"/>
      <c r="V107" s="162"/>
      <c r="W107" s="162"/>
      <c r="X107" s="162"/>
      <c r="Y107" s="162">
        <v>54</v>
      </c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98"/>
    </row>
    <row r="108" spans="1:35" s="303" customFormat="1" ht="18" customHeight="1" thickBot="1" x14ac:dyDescent="0.35">
      <c r="A108" s="156" t="s">
        <v>103</v>
      </c>
      <c r="B108" s="156" t="s">
        <v>281</v>
      </c>
      <c r="C108" s="179">
        <v>0</v>
      </c>
      <c r="D108" s="255" t="s">
        <v>587</v>
      </c>
      <c r="E108" s="238"/>
      <c r="F108" s="238">
        <f t="shared" si="4"/>
        <v>0</v>
      </c>
      <c r="G108" s="238">
        <f t="shared" ref="G108:G139" si="5">IF(ISBLANK(E108),C108-F108,C108-E108)</f>
        <v>0</v>
      </c>
      <c r="H108" s="131"/>
      <c r="I108" s="162"/>
      <c r="J108" s="162"/>
      <c r="K108" s="162"/>
      <c r="L108" s="162"/>
      <c r="M108" s="162"/>
      <c r="N108" s="162"/>
      <c r="O108" s="162" t="s">
        <v>587</v>
      </c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98"/>
    </row>
    <row r="109" spans="1:35" s="303" customFormat="1" ht="18" customHeight="1" thickBot="1" x14ac:dyDescent="0.35">
      <c r="A109" s="156" t="s">
        <v>104</v>
      </c>
      <c r="B109" s="156" t="s">
        <v>282</v>
      </c>
      <c r="C109" s="179">
        <v>5182</v>
      </c>
      <c r="D109" s="255" t="s">
        <v>587</v>
      </c>
      <c r="E109" s="238"/>
      <c r="F109" s="238">
        <f t="shared" si="4"/>
        <v>5182</v>
      </c>
      <c r="G109" s="238">
        <f t="shared" si="5"/>
        <v>0</v>
      </c>
      <c r="H109" s="131"/>
      <c r="I109" s="162"/>
      <c r="J109" s="162"/>
      <c r="K109" s="162"/>
      <c r="L109" s="162">
        <v>5182</v>
      </c>
      <c r="M109" s="162"/>
      <c r="N109" s="162"/>
      <c r="O109" s="162" t="s">
        <v>587</v>
      </c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98"/>
    </row>
    <row r="110" spans="1:35" s="303" customFormat="1" ht="18" customHeight="1" thickBot="1" x14ac:dyDescent="0.35">
      <c r="A110" s="156" t="s">
        <v>105</v>
      </c>
      <c r="B110" s="156" t="s">
        <v>283</v>
      </c>
      <c r="C110" s="179">
        <v>11415</v>
      </c>
      <c r="D110" s="255" t="s">
        <v>372</v>
      </c>
      <c r="E110" s="238">
        <f>IF(ISBLANK(D110),,C110)</f>
        <v>11415</v>
      </c>
      <c r="F110" s="238">
        <f t="shared" si="4"/>
        <v>0</v>
      </c>
      <c r="G110" s="238">
        <f t="shared" si="5"/>
        <v>0</v>
      </c>
      <c r="H110" s="131"/>
      <c r="I110" s="162"/>
      <c r="J110" s="162"/>
      <c r="K110" s="162"/>
      <c r="L110" s="162"/>
      <c r="M110" s="162"/>
      <c r="N110" s="162"/>
      <c r="O110" s="162" t="s">
        <v>587</v>
      </c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98"/>
    </row>
    <row r="111" spans="1:35" s="303" customFormat="1" ht="18" customHeight="1" thickBot="1" x14ac:dyDescent="0.35">
      <c r="A111" s="156" t="s">
        <v>106</v>
      </c>
      <c r="B111" s="156" t="s">
        <v>509</v>
      </c>
      <c r="C111" s="179">
        <v>19127</v>
      </c>
      <c r="D111" s="255" t="s">
        <v>372</v>
      </c>
      <c r="E111" s="238">
        <f>IF(ISBLANK(D111),,C111)</f>
        <v>19127</v>
      </c>
      <c r="F111" s="238">
        <f t="shared" si="4"/>
        <v>0</v>
      </c>
      <c r="G111" s="238">
        <f t="shared" si="5"/>
        <v>0</v>
      </c>
      <c r="H111" s="131"/>
      <c r="I111" s="162"/>
      <c r="J111" s="162"/>
      <c r="K111" s="162"/>
      <c r="L111" s="162"/>
      <c r="M111" s="162"/>
      <c r="N111" s="162"/>
      <c r="O111" s="162" t="s">
        <v>587</v>
      </c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98"/>
    </row>
    <row r="112" spans="1:35" s="303" customFormat="1" ht="18" customHeight="1" thickBot="1" x14ac:dyDescent="0.35">
      <c r="A112" s="156" t="s">
        <v>107</v>
      </c>
      <c r="B112" s="156" t="s">
        <v>510</v>
      </c>
      <c r="C112" s="179">
        <v>3270</v>
      </c>
      <c r="D112" s="255" t="s">
        <v>372</v>
      </c>
      <c r="E112" s="238">
        <f>IF(ISBLANK(D112),,C112)</f>
        <v>3270</v>
      </c>
      <c r="F112" s="238">
        <f t="shared" si="4"/>
        <v>0</v>
      </c>
      <c r="G112" s="238">
        <f t="shared" si="5"/>
        <v>0</v>
      </c>
      <c r="H112" s="131"/>
      <c r="I112" s="162"/>
      <c r="J112" s="162"/>
      <c r="K112" s="162"/>
      <c r="L112" s="162"/>
      <c r="M112" s="162"/>
      <c r="N112" s="162"/>
      <c r="O112" s="162" t="s">
        <v>587</v>
      </c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98"/>
    </row>
    <row r="113" spans="1:35" s="303" customFormat="1" ht="18" customHeight="1" thickBot="1" x14ac:dyDescent="0.35">
      <c r="A113" s="156" t="s">
        <v>108</v>
      </c>
      <c r="B113" s="156" t="s">
        <v>511</v>
      </c>
      <c r="C113" s="179">
        <v>120628</v>
      </c>
      <c r="D113" s="255" t="s">
        <v>373</v>
      </c>
      <c r="E113" s="238">
        <v>22980</v>
      </c>
      <c r="F113" s="238">
        <f t="shared" si="4"/>
        <v>45378</v>
      </c>
      <c r="G113" s="238">
        <f>C113-E113-F113</f>
        <v>52270</v>
      </c>
      <c r="H113" s="131"/>
      <c r="I113" s="162"/>
      <c r="J113" s="162"/>
      <c r="K113" s="162"/>
      <c r="L113" s="162"/>
      <c r="M113" s="162"/>
      <c r="N113" s="162"/>
      <c r="O113" s="162" t="s">
        <v>587</v>
      </c>
      <c r="P113" s="162">
        <v>7141</v>
      </c>
      <c r="Q113" s="162">
        <v>10132</v>
      </c>
      <c r="R113" s="162">
        <v>1346</v>
      </c>
      <c r="S113" s="162">
        <v>1344</v>
      </c>
      <c r="T113" s="162"/>
      <c r="U113" s="162">
        <v>1718</v>
      </c>
      <c r="V113" s="162"/>
      <c r="W113" s="162"/>
      <c r="X113" s="162">
        <v>23697</v>
      </c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98"/>
    </row>
    <row r="114" spans="1:35" s="303" customFormat="1" ht="18" customHeight="1" thickBot="1" x14ac:dyDescent="0.35">
      <c r="A114" s="156" t="s">
        <v>109</v>
      </c>
      <c r="B114" s="156" t="s">
        <v>513</v>
      </c>
      <c r="C114" s="179">
        <v>5829</v>
      </c>
      <c r="D114" s="255" t="s">
        <v>374</v>
      </c>
      <c r="E114" s="238">
        <f>IF(ISBLANK(D114),,C114)</f>
        <v>5829</v>
      </c>
      <c r="F114" s="238">
        <f t="shared" si="4"/>
        <v>0</v>
      </c>
      <c r="G114" s="238">
        <f t="shared" si="5"/>
        <v>0</v>
      </c>
      <c r="H114" s="131"/>
      <c r="I114" s="162"/>
      <c r="J114" s="162"/>
      <c r="K114" s="162"/>
      <c r="L114" s="162"/>
      <c r="M114" s="162"/>
      <c r="N114" s="162"/>
      <c r="O114" s="162" t="s">
        <v>587</v>
      </c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98"/>
    </row>
    <row r="115" spans="1:35" s="303" customFormat="1" ht="18" customHeight="1" thickBot="1" x14ac:dyDescent="0.35">
      <c r="A115" s="156" t="s">
        <v>110</v>
      </c>
      <c r="B115" s="156" t="s">
        <v>514</v>
      </c>
      <c r="C115" s="179">
        <v>7513</v>
      </c>
      <c r="D115" s="255" t="s">
        <v>587</v>
      </c>
      <c r="E115" s="238"/>
      <c r="F115" s="238">
        <f t="shared" si="4"/>
        <v>7492</v>
      </c>
      <c r="G115" s="238">
        <f t="shared" si="5"/>
        <v>21</v>
      </c>
      <c r="H115" s="131"/>
      <c r="I115" s="162"/>
      <c r="J115" s="162"/>
      <c r="K115" s="162"/>
      <c r="L115" s="162"/>
      <c r="M115" s="162"/>
      <c r="N115" s="162"/>
      <c r="O115" s="162" t="s">
        <v>587</v>
      </c>
      <c r="P115" s="162"/>
      <c r="Q115" s="162"/>
      <c r="R115" s="162">
        <v>7492</v>
      </c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98"/>
    </row>
    <row r="116" spans="1:35" s="303" customFormat="1" ht="18" customHeight="1" thickBot="1" x14ac:dyDescent="0.35">
      <c r="A116" s="156" t="s">
        <v>111</v>
      </c>
      <c r="B116" s="156" t="s">
        <v>515</v>
      </c>
      <c r="C116" s="179">
        <v>5248</v>
      </c>
      <c r="D116" s="255" t="s">
        <v>374</v>
      </c>
      <c r="E116" s="238">
        <f>IF(ISBLANK(D116),,C116)</f>
        <v>5248</v>
      </c>
      <c r="F116" s="238">
        <f t="shared" si="4"/>
        <v>0</v>
      </c>
      <c r="G116" s="238">
        <f t="shared" si="5"/>
        <v>0</v>
      </c>
      <c r="H116" s="131"/>
      <c r="I116" s="162"/>
      <c r="J116" s="162"/>
      <c r="K116" s="162"/>
      <c r="L116" s="162"/>
      <c r="M116" s="162"/>
      <c r="N116" s="162"/>
      <c r="O116" s="162" t="s">
        <v>587</v>
      </c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98"/>
    </row>
    <row r="117" spans="1:35" s="303" customFormat="1" ht="18" customHeight="1" thickBot="1" x14ac:dyDescent="0.35">
      <c r="A117" s="156" t="s">
        <v>112</v>
      </c>
      <c r="B117" s="156" t="s">
        <v>516</v>
      </c>
      <c r="C117" s="179">
        <v>5919</v>
      </c>
      <c r="D117" s="255" t="s">
        <v>587</v>
      </c>
      <c r="E117" s="238"/>
      <c r="F117" s="238">
        <f t="shared" si="4"/>
        <v>5919</v>
      </c>
      <c r="G117" s="238">
        <f t="shared" si="5"/>
        <v>0</v>
      </c>
      <c r="H117" s="131"/>
      <c r="I117" s="162"/>
      <c r="J117" s="162"/>
      <c r="K117" s="162"/>
      <c r="L117" s="162"/>
      <c r="M117" s="162"/>
      <c r="N117" s="162"/>
      <c r="O117" s="162" t="s">
        <v>587</v>
      </c>
      <c r="P117" s="162">
        <v>5903</v>
      </c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>
        <v>16</v>
      </c>
      <c r="AC117" s="162"/>
      <c r="AD117" s="162"/>
      <c r="AE117" s="162"/>
      <c r="AF117" s="162"/>
      <c r="AG117" s="162"/>
      <c r="AH117" s="162"/>
      <c r="AI117" s="198"/>
    </row>
    <row r="118" spans="1:35" s="303" customFormat="1" ht="18" customHeight="1" thickBot="1" x14ac:dyDescent="0.35">
      <c r="A118" s="156" t="s">
        <v>113</v>
      </c>
      <c r="B118" s="156" t="s">
        <v>291</v>
      </c>
      <c r="C118" s="179">
        <v>16507</v>
      </c>
      <c r="D118" s="255" t="s">
        <v>587</v>
      </c>
      <c r="E118" s="238"/>
      <c r="F118" s="238">
        <f t="shared" si="4"/>
        <v>16507</v>
      </c>
      <c r="G118" s="238">
        <f t="shared" si="5"/>
        <v>0</v>
      </c>
      <c r="H118" s="131"/>
      <c r="I118" s="162"/>
      <c r="J118" s="162"/>
      <c r="K118" s="162">
        <v>1443</v>
      </c>
      <c r="L118" s="162"/>
      <c r="M118" s="162"/>
      <c r="N118" s="162"/>
      <c r="O118" s="162">
        <v>9011</v>
      </c>
      <c r="P118" s="162"/>
      <c r="Q118" s="162"/>
      <c r="R118" s="162">
        <v>2481</v>
      </c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>
        <v>3572</v>
      </c>
      <c r="AF118" s="162"/>
      <c r="AG118" s="162"/>
      <c r="AH118" s="162"/>
      <c r="AI118" s="198"/>
    </row>
    <row r="119" spans="1:35" s="303" customFormat="1" ht="18" customHeight="1" thickBot="1" x14ac:dyDescent="0.35">
      <c r="A119" s="156" t="s">
        <v>114</v>
      </c>
      <c r="B119" s="156" t="s">
        <v>292</v>
      </c>
      <c r="C119" s="179">
        <v>774396</v>
      </c>
      <c r="D119" s="255" t="s">
        <v>587</v>
      </c>
      <c r="E119" s="238"/>
      <c r="F119" s="238">
        <f t="shared" si="4"/>
        <v>774396</v>
      </c>
      <c r="G119" s="238">
        <f t="shared" si="5"/>
        <v>0</v>
      </c>
      <c r="H119" s="131"/>
      <c r="I119" s="162"/>
      <c r="J119" s="162"/>
      <c r="K119" s="162"/>
      <c r="L119" s="162"/>
      <c r="M119" s="162"/>
      <c r="N119" s="162">
        <v>7724</v>
      </c>
      <c r="O119" s="162" t="s">
        <v>587</v>
      </c>
      <c r="P119" s="162">
        <v>146544</v>
      </c>
      <c r="Q119" s="162">
        <v>74462</v>
      </c>
      <c r="R119" s="162"/>
      <c r="S119" s="162">
        <v>153768</v>
      </c>
      <c r="T119" s="162"/>
      <c r="U119" s="162"/>
      <c r="V119" s="162"/>
      <c r="W119" s="162">
        <v>182392</v>
      </c>
      <c r="X119" s="162">
        <v>144186</v>
      </c>
      <c r="Y119" s="162"/>
      <c r="Z119" s="162">
        <f>46643+18677</f>
        <v>65320</v>
      </c>
      <c r="AA119" s="162"/>
      <c r="AB119" s="162"/>
      <c r="AC119" s="162"/>
      <c r="AD119" s="162"/>
      <c r="AE119" s="162"/>
      <c r="AF119" s="162"/>
      <c r="AG119" s="162"/>
      <c r="AH119" s="162"/>
      <c r="AI119" s="198"/>
    </row>
    <row r="120" spans="1:35" s="303" customFormat="1" ht="18" customHeight="1" thickBot="1" x14ac:dyDescent="0.35">
      <c r="A120" s="156" t="s">
        <v>115</v>
      </c>
      <c r="B120" s="156" t="s">
        <v>518</v>
      </c>
      <c r="C120" s="179">
        <v>4327</v>
      </c>
      <c r="D120" s="255" t="s">
        <v>587</v>
      </c>
      <c r="E120" s="238"/>
      <c r="F120" s="238">
        <f t="shared" si="4"/>
        <v>4327</v>
      </c>
      <c r="G120" s="238">
        <f t="shared" si="5"/>
        <v>0</v>
      </c>
      <c r="H120" s="131"/>
      <c r="I120" s="162"/>
      <c r="J120" s="162"/>
      <c r="K120" s="162"/>
      <c r="L120" s="162"/>
      <c r="M120" s="162"/>
      <c r="N120" s="162"/>
      <c r="O120" s="162" t="s">
        <v>587</v>
      </c>
      <c r="P120" s="162"/>
      <c r="Q120" s="162"/>
      <c r="R120" s="162">
        <v>4281</v>
      </c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>
        <v>46</v>
      </c>
      <c r="AF120" s="162"/>
      <c r="AG120" s="162"/>
      <c r="AH120" s="162"/>
      <c r="AI120" s="198"/>
    </row>
    <row r="121" spans="1:35" s="303" customFormat="1" ht="18" customHeight="1" thickBot="1" x14ac:dyDescent="0.35">
      <c r="A121" s="156" t="s">
        <v>116</v>
      </c>
      <c r="B121" s="156" t="s">
        <v>520</v>
      </c>
      <c r="C121" s="179">
        <v>88673</v>
      </c>
      <c r="D121" s="255" t="s">
        <v>587</v>
      </c>
      <c r="E121" s="238"/>
      <c r="F121" s="238">
        <f t="shared" si="4"/>
        <v>88673</v>
      </c>
      <c r="G121" s="238">
        <f t="shared" si="5"/>
        <v>0</v>
      </c>
      <c r="H121" s="131"/>
      <c r="I121" s="162"/>
      <c r="J121" s="162"/>
      <c r="K121" s="162"/>
      <c r="L121" s="162"/>
      <c r="M121" s="162"/>
      <c r="N121" s="162"/>
      <c r="O121" s="162" t="s">
        <v>587</v>
      </c>
      <c r="P121" s="162"/>
      <c r="Q121" s="162"/>
      <c r="R121" s="162">
        <v>81348</v>
      </c>
      <c r="S121" s="162">
        <v>7053</v>
      </c>
      <c r="T121" s="162"/>
      <c r="U121" s="162"/>
      <c r="V121" s="162"/>
      <c r="W121" s="162"/>
      <c r="X121" s="162"/>
      <c r="Y121" s="162"/>
      <c r="Z121" s="162"/>
      <c r="AA121" s="162">
        <v>272</v>
      </c>
      <c r="AB121" s="162"/>
      <c r="AC121" s="162"/>
      <c r="AD121" s="162"/>
      <c r="AE121" s="162"/>
      <c r="AF121" s="162"/>
      <c r="AG121" s="162"/>
      <c r="AH121" s="162"/>
      <c r="AI121" s="198"/>
    </row>
    <row r="122" spans="1:35" s="303" customFormat="1" ht="18" customHeight="1" thickBot="1" x14ac:dyDescent="0.35">
      <c r="A122" s="156" t="s">
        <v>117</v>
      </c>
      <c r="B122" s="156" t="s">
        <v>522</v>
      </c>
      <c r="C122" s="179">
        <v>182875</v>
      </c>
      <c r="D122" s="255" t="s">
        <v>587</v>
      </c>
      <c r="E122" s="238"/>
      <c r="F122" s="238">
        <f t="shared" si="4"/>
        <v>182875</v>
      </c>
      <c r="G122" s="238">
        <f t="shared" si="5"/>
        <v>0</v>
      </c>
      <c r="H122" s="131"/>
      <c r="I122" s="162"/>
      <c r="J122" s="162"/>
      <c r="K122" s="162">
        <v>35253</v>
      </c>
      <c r="L122" s="162">
        <v>14615</v>
      </c>
      <c r="M122" s="162"/>
      <c r="N122" s="162">
        <v>45538</v>
      </c>
      <c r="O122" s="162">
        <v>11323</v>
      </c>
      <c r="P122" s="162">
        <v>9206</v>
      </c>
      <c r="Q122" s="162">
        <v>9668</v>
      </c>
      <c r="R122" s="162">
        <v>9763</v>
      </c>
      <c r="S122" s="162">
        <v>31073</v>
      </c>
      <c r="T122" s="162">
        <v>8998</v>
      </c>
      <c r="U122" s="162">
        <v>6011</v>
      </c>
      <c r="V122" s="162"/>
      <c r="W122" s="162"/>
      <c r="X122" s="162"/>
      <c r="Y122" s="162">
        <v>1427</v>
      </c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98"/>
    </row>
    <row r="123" spans="1:35" s="303" customFormat="1" ht="18" customHeight="1" thickBot="1" x14ac:dyDescent="0.35">
      <c r="A123" s="156" t="s">
        <v>118</v>
      </c>
      <c r="B123" s="156" t="s">
        <v>524</v>
      </c>
      <c r="C123" s="179">
        <v>23720</v>
      </c>
      <c r="D123" s="255" t="s">
        <v>587</v>
      </c>
      <c r="E123" s="238"/>
      <c r="F123" s="238">
        <f t="shared" si="4"/>
        <v>23720</v>
      </c>
      <c r="G123" s="238">
        <f t="shared" si="5"/>
        <v>0</v>
      </c>
      <c r="H123" s="131"/>
      <c r="I123" s="162"/>
      <c r="J123" s="162"/>
      <c r="K123" s="162"/>
      <c r="L123" s="162"/>
      <c r="M123" s="162"/>
      <c r="N123" s="162"/>
      <c r="O123" s="162" t="s">
        <v>587</v>
      </c>
      <c r="P123" s="162"/>
      <c r="Q123" s="162"/>
      <c r="R123" s="162"/>
      <c r="S123" s="162">
        <v>6899</v>
      </c>
      <c r="T123" s="162"/>
      <c r="U123" s="162"/>
      <c r="V123" s="162">
        <v>3282</v>
      </c>
      <c r="W123" s="162"/>
      <c r="X123" s="162"/>
      <c r="Y123" s="162"/>
      <c r="Z123" s="162"/>
      <c r="AA123" s="162"/>
      <c r="AB123" s="162"/>
      <c r="AC123" s="162"/>
      <c r="AD123" s="162"/>
      <c r="AE123" s="162">
        <v>13539</v>
      </c>
      <c r="AF123" s="162"/>
      <c r="AG123" s="162"/>
      <c r="AH123" s="162"/>
      <c r="AI123" s="198"/>
    </row>
    <row r="124" spans="1:35" s="303" customFormat="1" ht="18" customHeight="1" thickBot="1" x14ac:dyDescent="0.35">
      <c r="A124" s="156" t="s">
        <v>119</v>
      </c>
      <c r="B124" s="156" t="s">
        <v>525</v>
      </c>
      <c r="C124" s="179">
        <v>21647</v>
      </c>
      <c r="D124" s="255" t="s">
        <v>587</v>
      </c>
      <c r="E124" s="238"/>
      <c r="F124" s="238">
        <f t="shared" si="4"/>
        <v>21647</v>
      </c>
      <c r="G124" s="238">
        <f t="shared" si="5"/>
        <v>0</v>
      </c>
      <c r="H124" s="131"/>
      <c r="I124" s="162"/>
      <c r="J124" s="162"/>
      <c r="K124" s="162"/>
      <c r="L124" s="162"/>
      <c r="M124" s="162">
        <v>3902</v>
      </c>
      <c r="N124" s="162"/>
      <c r="O124" s="162" t="s">
        <v>587</v>
      </c>
      <c r="P124" s="162">
        <v>9661</v>
      </c>
      <c r="Q124" s="162"/>
      <c r="R124" s="162">
        <v>4209</v>
      </c>
      <c r="S124" s="162">
        <v>1635</v>
      </c>
      <c r="T124" s="162">
        <v>2165</v>
      </c>
      <c r="U124" s="162"/>
      <c r="V124" s="162"/>
      <c r="W124" s="162"/>
      <c r="X124" s="162"/>
      <c r="Y124" s="162">
        <v>75</v>
      </c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98"/>
    </row>
    <row r="125" spans="1:35" s="303" customFormat="1" ht="18" customHeight="1" thickBot="1" x14ac:dyDescent="0.35">
      <c r="A125" s="156" t="s">
        <v>120</v>
      </c>
      <c r="B125" s="156" t="s">
        <v>526</v>
      </c>
      <c r="C125" s="179">
        <v>221853</v>
      </c>
      <c r="D125" s="255" t="s">
        <v>587</v>
      </c>
      <c r="E125" s="238"/>
      <c r="F125" s="238">
        <f t="shared" si="4"/>
        <v>221853</v>
      </c>
      <c r="G125" s="238">
        <f t="shared" si="5"/>
        <v>0</v>
      </c>
      <c r="H125" s="131"/>
      <c r="I125" s="162"/>
      <c r="J125" s="162"/>
      <c r="K125" s="162"/>
      <c r="L125" s="162"/>
      <c r="M125" s="162"/>
      <c r="N125" s="162">
        <v>27607</v>
      </c>
      <c r="O125" s="162">
        <v>8096</v>
      </c>
      <c r="P125" s="162">
        <v>20696</v>
      </c>
      <c r="Q125" s="162">
        <v>14022</v>
      </c>
      <c r="R125" s="162">
        <v>10725</v>
      </c>
      <c r="S125" s="162">
        <v>42990</v>
      </c>
      <c r="T125" s="162">
        <v>37335</v>
      </c>
      <c r="U125" s="162">
        <v>8489</v>
      </c>
      <c r="V125" s="162"/>
      <c r="W125" s="162">
        <v>33260</v>
      </c>
      <c r="X125" s="162">
        <v>18633</v>
      </c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98"/>
    </row>
    <row r="126" spans="1:35" s="303" customFormat="1" ht="18" customHeight="1" thickBot="1" x14ac:dyDescent="0.35">
      <c r="A126" s="156" t="s">
        <v>121</v>
      </c>
      <c r="B126" s="156" t="s">
        <v>528</v>
      </c>
      <c r="C126" s="179">
        <v>17804</v>
      </c>
      <c r="D126" s="255" t="s">
        <v>587</v>
      </c>
      <c r="E126" s="238"/>
      <c r="F126" s="238">
        <f t="shared" si="4"/>
        <v>17804</v>
      </c>
      <c r="G126" s="238">
        <f t="shared" si="5"/>
        <v>0</v>
      </c>
      <c r="H126" s="131"/>
      <c r="I126" s="162"/>
      <c r="J126" s="162"/>
      <c r="K126" s="162"/>
      <c r="L126" s="162"/>
      <c r="M126" s="162"/>
      <c r="N126" s="162"/>
      <c r="O126" s="162" t="s">
        <v>587</v>
      </c>
      <c r="P126" s="162"/>
      <c r="Q126" s="162"/>
      <c r="R126" s="162"/>
      <c r="S126" s="162">
        <v>1743</v>
      </c>
      <c r="T126" s="162"/>
      <c r="U126" s="162"/>
      <c r="V126" s="162"/>
      <c r="W126" s="162"/>
      <c r="X126" s="162"/>
      <c r="Y126" s="162"/>
      <c r="Z126" s="162"/>
      <c r="AA126" s="162">
        <v>6330</v>
      </c>
      <c r="AB126" s="162"/>
      <c r="AC126" s="162">
        <v>7286</v>
      </c>
      <c r="AD126" s="162"/>
      <c r="AE126" s="162"/>
      <c r="AF126" s="162"/>
      <c r="AG126" s="162">
        <v>2445</v>
      </c>
      <c r="AH126" s="162"/>
      <c r="AI126" s="198"/>
    </row>
    <row r="127" spans="1:35" s="303" customFormat="1" ht="18" customHeight="1" thickBot="1" x14ac:dyDescent="0.35">
      <c r="A127" s="156" t="s">
        <v>122</v>
      </c>
      <c r="B127" s="156" t="s">
        <v>529</v>
      </c>
      <c r="C127" s="179">
        <v>54221</v>
      </c>
      <c r="D127" s="255" t="s">
        <v>373</v>
      </c>
      <c r="E127" s="238">
        <f>IF(ISBLANK(D127),,C127)</f>
        <v>54221</v>
      </c>
      <c r="F127" s="238">
        <f t="shared" si="4"/>
        <v>0</v>
      </c>
      <c r="G127" s="238">
        <f t="shared" si="5"/>
        <v>0</v>
      </c>
      <c r="H127" s="131"/>
      <c r="I127" s="162"/>
      <c r="J127" s="162"/>
      <c r="K127" s="162"/>
      <c r="L127" s="162"/>
      <c r="M127" s="162"/>
      <c r="N127" s="162"/>
      <c r="O127" s="162" t="s">
        <v>587</v>
      </c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98"/>
    </row>
    <row r="128" spans="1:35" s="303" customFormat="1" ht="18" customHeight="1" thickBot="1" x14ac:dyDescent="0.35">
      <c r="A128" s="156" t="s">
        <v>123</v>
      </c>
      <c r="B128" s="156" t="s">
        <v>531</v>
      </c>
      <c r="C128" s="179">
        <v>141644</v>
      </c>
      <c r="D128" s="255" t="s">
        <v>587</v>
      </c>
      <c r="E128" s="238"/>
      <c r="F128" s="238">
        <f t="shared" si="4"/>
        <v>141644</v>
      </c>
      <c r="G128" s="238">
        <f t="shared" si="5"/>
        <v>0</v>
      </c>
      <c r="H128" s="131"/>
      <c r="I128" s="162"/>
      <c r="J128" s="162"/>
      <c r="K128" s="162"/>
      <c r="L128" s="162">
        <f>2821+12503</f>
        <v>15324</v>
      </c>
      <c r="M128" s="162">
        <v>12131</v>
      </c>
      <c r="N128" s="162">
        <v>12132</v>
      </c>
      <c r="O128" s="162">
        <v>10810</v>
      </c>
      <c r="P128" s="162">
        <v>12179</v>
      </c>
      <c r="Q128" s="162">
        <v>12823</v>
      </c>
      <c r="R128" s="162">
        <v>12822</v>
      </c>
      <c r="S128" s="162">
        <v>12179</v>
      </c>
      <c r="T128" s="162">
        <v>12262</v>
      </c>
      <c r="U128" s="162">
        <v>12260</v>
      </c>
      <c r="V128" s="162">
        <v>7705</v>
      </c>
      <c r="W128" s="162"/>
      <c r="X128" s="162">
        <f>470+8447+100</f>
        <v>9017</v>
      </c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98"/>
    </row>
    <row r="129" spans="1:35" s="303" customFormat="1" ht="18" customHeight="1" thickBot="1" x14ac:dyDescent="0.35">
      <c r="A129" s="156" t="s">
        <v>124</v>
      </c>
      <c r="B129" s="156" t="s">
        <v>532</v>
      </c>
      <c r="C129" s="179">
        <v>6850</v>
      </c>
      <c r="D129" s="255" t="s">
        <v>373</v>
      </c>
      <c r="E129" s="238">
        <f>IF(ISBLANK(D129),,C129)</f>
        <v>6850</v>
      </c>
      <c r="F129" s="238">
        <f t="shared" si="4"/>
        <v>0</v>
      </c>
      <c r="G129" s="238">
        <f t="shared" si="5"/>
        <v>0</v>
      </c>
      <c r="H129" s="131"/>
      <c r="I129" s="162"/>
      <c r="J129" s="162"/>
      <c r="K129" s="162"/>
      <c r="L129" s="162"/>
      <c r="M129" s="162"/>
      <c r="N129" s="162"/>
      <c r="O129" s="162" t="s">
        <v>587</v>
      </c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98"/>
    </row>
    <row r="130" spans="1:35" s="303" customFormat="1" ht="18" customHeight="1" thickBot="1" x14ac:dyDescent="0.35">
      <c r="A130" s="156" t="s">
        <v>125</v>
      </c>
      <c r="B130" s="156" t="s">
        <v>533</v>
      </c>
      <c r="C130" s="179">
        <v>14025</v>
      </c>
      <c r="D130" s="255" t="s">
        <v>373</v>
      </c>
      <c r="E130" s="238">
        <f>IF(ISBLANK(D130),,C130)</f>
        <v>14025</v>
      </c>
      <c r="F130" s="238">
        <f t="shared" si="4"/>
        <v>0</v>
      </c>
      <c r="G130" s="238">
        <f t="shared" si="5"/>
        <v>0</v>
      </c>
      <c r="H130" s="131"/>
      <c r="I130" s="162"/>
      <c r="J130" s="162"/>
      <c r="K130" s="162"/>
      <c r="L130" s="162"/>
      <c r="M130" s="162"/>
      <c r="N130" s="162"/>
      <c r="O130" s="162" t="s">
        <v>587</v>
      </c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98"/>
    </row>
    <row r="131" spans="1:35" s="303" customFormat="1" ht="18" customHeight="1" thickBot="1" x14ac:dyDescent="0.35">
      <c r="A131" s="156" t="s">
        <v>126</v>
      </c>
      <c r="B131" s="156" t="s">
        <v>304</v>
      </c>
      <c r="C131" s="179">
        <v>100371</v>
      </c>
      <c r="D131" s="255" t="s">
        <v>587</v>
      </c>
      <c r="E131" s="238"/>
      <c r="F131" s="238">
        <f t="shared" si="4"/>
        <v>100371</v>
      </c>
      <c r="G131" s="238">
        <f t="shared" si="5"/>
        <v>0</v>
      </c>
      <c r="H131" s="131"/>
      <c r="I131" s="162"/>
      <c r="J131" s="162"/>
      <c r="K131" s="162"/>
      <c r="L131" s="162"/>
      <c r="M131" s="162"/>
      <c r="N131" s="162"/>
      <c r="O131" s="162" t="s">
        <v>587</v>
      </c>
      <c r="P131" s="162"/>
      <c r="Q131" s="162"/>
      <c r="R131" s="162">
        <v>83098</v>
      </c>
      <c r="S131" s="162"/>
      <c r="T131" s="162">
        <v>2530</v>
      </c>
      <c r="U131" s="162"/>
      <c r="V131" s="162"/>
      <c r="W131" s="162"/>
      <c r="X131" s="162"/>
      <c r="Y131" s="162"/>
      <c r="Z131" s="162">
        <v>14743</v>
      </c>
      <c r="AA131" s="162"/>
      <c r="AB131" s="162"/>
      <c r="AC131" s="162"/>
      <c r="AD131" s="162"/>
      <c r="AE131" s="162"/>
      <c r="AF131" s="162"/>
      <c r="AG131" s="162"/>
      <c r="AH131" s="162"/>
      <c r="AI131" s="198"/>
    </row>
    <row r="132" spans="1:35" s="303" customFormat="1" ht="18" customHeight="1" thickBot="1" x14ac:dyDescent="0.35">
      <c r="A132" s="156" t="s">
        <v>127</v>
      </c>
      <c r="B132" s="156" t="s">
        <v>305</v>
      </c>
      <c r="C132" s="179">
        <v>100512</v>
      </c>
      <c r="D132" s="255" t="s">
        <v>587</v>
      </c>
      <c r="E132" s="238"/>
      <c r="F132" s="238">
        <f t="shared" si="4"/>
        <v>100512</v>
      </c>
      <c r="G132" s="238">
        <f t="shared" si="5"/>
        <v>0</v>
      </c>
      <c r="H132" s="131"/>
      <c r="I132" s="162"/>
      <c r="J132" s="162"/>
      <c r="K132" s="162"/>
      <c r="L132" s="162"/>
      <c r="M132" s="162"/>
      <c r="N132" s="162"/>
      <c r="O132" s="162" t="s">
        <v>587</v>
      </c>
      <c r="P132" s="162"/>
      <c r="Q132" s="162"/>
      <c r="R132" s="162"/>
      <c r="S132" s="162">
        <v>100286</v>
      </c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>
        <v>226</v>
      </c>
      <c r="AE132" s="162"/>
      <c r="AF132" s="162"/>
      <c r="AG132" s="162"/>
      <c r="AH132" s="162"/>
      <c r="AI132" s="198"/>
    </row>
    <row r="133" spans="1:35" s="303" customFormat="1" ht="18" customHeight="1" thickBot="1" x14ac:dyDescent="0.35">
      <c r="A133" s="156" t="s">
        <v>128</v>
      </c>
      <c r="B133" s="156" t="s">
        <v>306</v>
      </c>
      <c r="C133" s="179">
        <v>14291</v>
      </c>
      <c r="D133" s="255" t="s">
        <v>587</v>
      </c>
      <c r="E133" s="238"/>
      <c r="F133" s="238">
        <f t="shared" si="4"/>
        <v>14291</v>
      </c>
      <c r="G133" s="238">
        <f t="shared" si="5"/>
        <v>0</v>
      </c>
      <c r="H133" s="131"/>
      <c r="I133" s="162"/>
      <c r="J133" s="162"/>
      <c r="K133" s="162"/>
      <c r="L133" s="162"/>
      <c r="M133" s="162"/>
      <c r="N133" s="162">
        <v>13741</v>
      </c>
      <c r="O133" s="162" t="s">
        <v>587</v>
      </c>
      <c r="P133" s="162"/>
      <c r="Q133" s="162"/>
      <c r="R133" s="162">
        <v>231</v>
      </c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>
        <v>319</v>
      </c>
      <c r="AI133" s="198"/>
    </row>
    <row r="134" spans="1:35" s="303" customFormat="1" ht="18" customHeight="1" thickBot="1" x14ac:dyDescent="0.35">
      <c r="A134" s="156" t="s">
        <v>129</v>
      </c>
      <c r="B134" s="156" t="s">
        <v>307</v>
      </c>
      <c r="C134" s="179">
        <v>20959</v>
      </c>
      <c r="D134" s="255" t="s">
        <v>587</v>
      </c>
      <c r="E134" s="238"/>
      <c r="F134" s="238">
        <f t="shared" si="4"/>
        <v>20959</v>
      </c>
      <c r="G134" s="238">
        <f t="shared" si="5"/>
        <v>0</v>
      </c>
      <c r="H134" s="131"/>
      <c r="I134" s="162"/>
      <c r="J134" s="162"/>
      <c r="K134" s="162"/>
      <c r="L134" s="162"/>
      <c r="M134" s="162"/>
      <c r="N134" s="162"/>
      <c r="O134" s="162" t="s">
        <v>587</v>
      </c>
      <c r="P134" s="162"/>
      <c r="Q134" s="162"/>
      <c r="R134" s="162"/>
      <c r="S134" s="162">
        <v>20884</v>
      </c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>
        <v>75</v>
      </c>
      <c r="AG134" s="162"/>
      <c r="AH134" s="162"/>
      <c r="AI134" s="198"/>
    </row>
    <row r="135" spans="1:35" s="303" customFormat="1" ht="18" customHeight="1" thickBot="1" x14ac:dyDescent="0.35">
      <c r="A135" s="156" t="s">
        <v>130</v>
      </c>
      <c r="B135" s="156" t="s">
        <v>308</v>
      </c>
      <c r="C135" s="179">
        <v>9368</v>
      </c>
      <c r="D135" s="255" t="s">
        <v>587</v>
      </c>
      <c r="E135" s="238"/>
      <c r="F135" s="238">
        <f t="shared" si="4"/>
        <v>9368</v>
      </c>
      <c r="G135" s="238">
        <f t="shared" si="5"/>
        <v>0</v>
      </c>
      <c r="H135" s="131"/>
      <c r="I135" s="162"/>
      <c r="J135" s="162"/>
      <c r="K135" s="162"/>
      <c r="L135" s="162"/>
      <c r="M135" s="162"/>
      <c r="N135" s="162"/>
      <c r="O135" s="162" t="s">
        <v>587</v>
      </c>
      <c r="P135" s="162"/>
      <c r="Q135" s="162"/>
      <c r="R135" s="162">
        <v>9351</v>
      </c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>
        <v>17</v>
      </c>
      <c r="AF135" s="162"/>
      <c r="AG135" s="162"/>
      <c r="AH135" s="162"/>
      <c r="AI135" s="198"/>
    </row>
    <row r="136" spans="1:35" s="303" customFormat="1" ht="18" customHeight="1" thickBot="1" x14ac:dyDescent="0.35">
      <c r="A136" s="156" t="s">
        <v>131</v>
      </c>
      <c r="B136" s="156" t="s">
        <v>309</v>
      </c>
      <c r="C136" s="179">
        <v>10349</v>
      </c>
      <c r="D136" s="255" t="s">
        <v>587</v>
      </c>
      <c r="E136" s="238"/>
      <c r="F136" s="238">
        <f t="shared" si="4"/>
        <v>10349</v>
      </c>
      <c r="G136" s="238">
        <f t="shared" si="5"/>
        <v>0</v>
      </c>
      <c r="H136" s="131"/>
      <c r="I136" s="162"/>
      <c r="J136" s="162"/>
      <c r="K136" s="162"/>
      <c r="L136" s="162">
        <f>1147+1148</f>
        <v>2295</v>
      </c>
      <c r="M136" s="162">
        <v>1147</v>
      </c>
      <c r="N136" s="162">
        <v>1147</v>
      </c>
      <c r="O136" s="162">
        <v>1147</v>
      </c>
      <c r="P136" s="162">
        <v>1148</v>
      </c>
      <c r="Q136" s="162">
        <v>1147</v>
      </c>
      <c r="R136" s="162">
        <v>1147</v>
      </c>
      <c r="S136" s="162">
        <v>1134</v>
      </c>
      <c r="T136" s="162"/>
      <c r="U136" s="162"/>
      <c r="V136" s="162"/>
      <c r="W136" s="162"/>
      <c r="X136" s="162"/>
      <c r="Y136" s="162">
        <v>37</v>
      </c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98"/>
    </row>
    <row r="137" spans="1:35" s="303" customFormat="1" ht="18" customHeight="1" thickBot="1" x14ac:dyDescent="0.35">
      <c r="A137" s="156" t="s">
        <v>132</v>
      </c>
      <c r="B137" s="156" t="s">
        <v>310</v>
      </c>
      <c r="C137" s="179">
        <v>5989</v>
      </c>
      <c r="D137" s="255" t="s">
        <v>587</v>
      </c>
      <c r="E137" s="238"/>
      <c r="F137" s="238">
        <f t="shared" si="4"/>
        <v>5989</v>
      </c>
      <c r="G137" s="238">
        <f t="shared" si="5"/>
        <v>0</v>
      </c>
      <c r="H137" s="131"/>
      <c r="I137" s="162"/>
      <c r="J137" s="162"/>
      <c r="K137" s="162"/>
      <c r="L137" s="162"/>
      <c r="M137" s="162"/>
      <c r="N137" s="162"/>
      <c r="O137" s="162" t="s">
        <v>587</v>
      </c>
      <c r="P137" s="162"/>
      <c r="Q137" s="162"/>
      <c r="R137" s="162"/>
      <c r="S137" s="162"/>
      <c r="T137" s="162"/>
      <c r="U137" s="162"/>
      <c r="V137" s="162"/>
      <c r="W137" s="162">
        <v>5989</v>
      </c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98"/>
    </row>
    <row r="138" spans="1:35" s="303" customFormat="1" ht="18" customHeight="1" thickBot="1" x14ac:dyDescent="0.35">
      <c r="A138" s="156" t="s">
        <v>133</v>
      </c>
      <c r="B138" s="156" t="s">
        <v>311</v>
      </c>
      <c r="C138" s="179">
        <v>8112</v>
      </c>
      <c r="D138" s="255" t="s">
        <v>587</v>
      </c>
      <c r="E138" s="238"/>
      <c r="F138" s="238">
        <f t="shared" si="4"/>
        <v>8112</v>
      </c>
      <c r="G138" s="238">
        <f t="shared" si="5"/>
        <v>0</v>
      </c>
      <c r="H138" s="131"/>
      <c r="I138" s="162"/>
      <c r="J138" s="162"/>
      <c r="K138" s="162"/>
      <c r="L138" s="162"/>
      <c r="M138" s="162"/>
      <c r="N138" s="162"/>
      <c r="O138" s="162" t="s">
        <v>587</v>
      </c>
      <c r="P138" s="162"/>
      <c r="Q138" s="162"/>
      <c r="R138" s="162">
        <v>3956</v>
      </c>
      <c r="S138" s="162">
        <v>4121</v>
      </c>
      <c r="T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>
        <v>35</v>
      </c>
      <c r="AF138" s="162"/>
      <c r="AG138" s="162"/>
      <c r="AH138" s="162"/>
      <c r="AI138" s="198"/>
    </row>
    <row r="139" spans="1:35" s="303" customFormat="1" ht="18" customHeight="1" thickBot="1" x14ac:dyDescent="0.35">
      <c r="A139" s="156" t="s">
        <v>134</v>
      </c>
      <c r="B139" s="156" t="s">
        <v>312</v>
      </c>
      <c r="C139" s="179">
        <v>44207</v>
      </c>
      <c r="D139" s="255" t="s">
        <v>587</v>
      </c>
      <c r="E139" s="238"/>
      <c r="F139" s="238">
        <f t="shared" si="4"/>
        <v>44207</v>
      </c>
      <c r="G139" s="238">
        <f t="shared" si="5"/>
        <v>0</v>
      </c>
      <c r="H139" s="131"/>
      <c r="I139" s="162"/>
      <c r="J139" s="162"/>
      <c r="K139" s="162"/>
      <c r="L139" s="162"/>
      <c r="M139" s="162"/>
      <c r="N139" s="162">
        <v>13671</v>
      </c>
      <c r="O139" s="162" t="s">
        <v>587</v>
      </c>
      <c r="P139" s="162"/>
      <c r="Q139" s="162"/>
      <c r="R139" s="162"/>
      <c r="S139" s="162">
        <v>30414</v>
      </c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>
        <v>122</v>
      </c>
      <c r="AD139" s="162"/>
      <c r="AE139" s="162"/>
      <c r="AF139" s="162"/>
      <c r="AG139" s="162"/>
      <c r="AH139" s="162"/>
      <c r="AI139" s="198"/>
    </row>
    <row r="140" spans="1:35" s="303" customFormat="1" ht="18" customHeight="1" thickBot="1" x14ac:dyDescent="0.35">
      <c r="A140" s="156" t="s">
        <v>135</v>
      </c>
      <c r="B140" s="156" t="s">
        <v>537</v>
      </c>
      <c r="C140" s="179">
        <v>17095</v>
      </c>
      <c r="D140" s="255" t="s">
        <v>587</v>
      </c>
      <c r="E140" s="238"/>
      <c r="F140" s="238">
        <f t="shared" si="4"/>
        <v>17095</v>
      </c>
      <c r="G140" s="238">
        <f t="shared" ref="G140:G171" si="6">IF(ISBLANK(E140),C140-F140,C140-E140)</f>
        <v>0</v>
      </c>
      <c r="H140" s="131"/>
      <c r="I140" s="162"/>
      <c r="J140" s="162"/>
      <c r="K140" s="162"/>
      <c r="L140" s="162"/>
      <c r="M140" s="162"/>
      <c r="N140" s="162"/>
      <c r="O140" s="162" t="s">
        <v>587</v>
      </c>
      <c r="P140" s="162"/>
      <c r="Q140" s="162">
        <v>8559</v>
      </c>
      <c r="R140" s="162"/>
      <c r="S140" s="162">
        <v>5621</v>
      </c>
      <c r="T140" s="162">
        <v>1570</v>
      </c>
      <c r="U140" s="162"/>
      <c r="V140" s="162"/>
      <c r="W140" s="162"/>
      <c r="X140" s="162"/>
      <c r="Y140" s="162"/>
      <c r="Z140" s="162">
        <v>1345</v>
      </c>
      <c r="AA140" s="162"/>
      <c r="AB140" s="162"/>
      <c r="AC140" s="162"/>
      <c r="AD140" s="162"/>
      <c r="AE140" s="162"/>
      <c r="AF140" s="162"/>
      <c r="AG140" s="162"/>
      <c r="AH140" s="162"/>
      <c r="AI140" s="198"/>
    </row>
    <row r="141" spans="1:35" s="303" customFormat="1" ht="18" customHeight="1" thickBot="1" x14ac:dyDescent="0.35">
      <c r="A141" s="156" t="s">
        <v>136</v>
      </c>
      <c r="B141" s="156" t="s">
        <v>538</v>
      </c>
      <c r="C141" s="179">
        <v>19312</v>
      </c>
      <c r="D141" s="255" t="s">
        <v>587</v>
      </c>
      <c r="E141" s="238"/>
      <c r="F141" s="238">
        <f t="shared" ref="F141:F196" si="7">SUM(H141:AK141)</f>
        <v>19312</v>
      </c>
      <c r="G141" s="238">
        <f t="shared" si="6"/>
        <v>0</v>
      </c>
      <c r="H141" s="131"/>
      <c r="I141" s="162"/>
      <c r="J141" s="162"/>
      <c r="K141" s="162"/>
      <c r="L141" s="162"/>
      <c r="M141" s="162"/>
      <c r="N141" s="162"/>
      <c r="O141" s="162">
        <v>19206</v>
      </c>
      <c r="P141" s="162"/>
      <c r="Q141" s="162"/>
      <c r="R141" s="162"/>
      <c r="S141" s="162"/>
      <c r="T141" s="162"/>
      <c r="U141" s="162"/>
      <c r="V141" s="162"/>
      <c r="W141" s="162"/>
      <c r="X141" s="162"/>
      <c r="Y141" s="162">
        <v>106</v>
      </c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98"/>
    </row>
    <row r="142" spans="1:35" s="303" customFormat="1" ht="18" customHeight="1" thickBot="1" x14ac:dyDescent="0.35">
      <c r="A142" s="156" t="s">
        <v>137</v>
      </c>
      <c r="B142" s="156" t="s">
        <v>540</v>
      </c>
      <c r="C142" s="179">
        <v>8928</v>
      </c>
      <c r="D142" s="255" t="s">
        <v>374</v>
      </c>
      <c r="E142" s="238">
        <f>IF(ISBLANK(D142),,C142)</f>
        <v>8928</v>
      </c>
      <c r="F142" s="238">
        <f t="shared" si="7"/>
        <v>0</v>
      </c>
      <c r="G142" s="238">
        <f t="shared" si="6"/>
        <v>0</v>
      </c>
      <c r="H142" s="131"/>
      <c r="I142" s="162"/>
      <c r="J142" s="162"/>
      <c r="K142" s="162"/>
      <c r="L142" s="162"/>
      <c r="M142" s="162"/>
      <c r="N142" s="162"/>
      <c r="O142" s="162" t="s">
        <v>587</v>
      </c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98"/>
    </row>
    <row r="143" spans="1:35" s="303" customFormat="1" ht="18" customHeight="1" thickBot="1" x14ac:dyDescent="0.35">
      <c r="A143" s="156" t="s">
        <v>138</v>
      </c>
      <c r="B143" s="156" t="s">
        <v>316</v>
      </c>
      <c r="C143" s="179">
        <v>24175</v>
      </c>
      <c r="D143" s="255" t="s">
        <v>587</v>
      </c>
      <c r="E143" s="238"/>
      <c r="F143" s="238">
        <f t="shared" si="7"/>
        <v>24175</v>
      </c>
      <c r="G143" s="238">
        <f t="shared" si="6"/>
        <v>0</v>
      </c>
      <c r="H143" s="131"/>
      <c r="I143" s="162"/>
      <c r="J143" s="162"/>
      <c r="K143" s="162"/>
      <c r="L143" s="162"/>
      <c r="M143" s="162"/>
      <c r="N143" s="162"/>
      <c r="O143" s="162" t="s">
        <v>587</v>
      </c>
      <c r="P143" s="162"/>
      <c r="Q143" s="162"/>
      <c r="R143" s="162"/>
      <c r="S143" s="162"/>
      <c r="T143" s="162"/>
      <c r="U143" s="162"/>
      <c r="V143" s="162"/>
      <c r="W143" s="162"/>
      <c r="X143" s="162"/>
      <c r="Y143" s="162">
        <v>24086</v>
      </c>
      <c r="Z143" s="162"/>
      <c r="AA143" s="162"/>
      <c r="AB143" s="162"/>
      <c r="AC143" s="162"/>
      <c r="AD143" s="162"/>
      <c r="AE143" s="162">
        <v>89</v>
      </c>
      <c r="AF143" s="162"/>
      <c r="AG143" s="162"/>
      <c r="AH143" s="162"/>
      <c r="AI143" s="198"/>
    </row>
    <row r="144" spans="1:35" s="303" customFormat="1" ht="18" customHeight="1" thickBot="1" x14ac:dyDescent="0.35">
      <c r="A144" s="156" t="s">
        <v>139</v>
      </c>
      <c r="B144" s="156" t="s">
        <v>542</v>
      </c>
      <c r="C144" s="179">
        <v>14379</v>
      </c>
      <c r="D144" s="255" t="s">
        <v>587</v>
      </c>
      <c r="E144" s="238"/>
      <c r="F144" s="238">
        <f t="shared" si="7"/>
        <v>14379</v>
      </c>
      <c r="G144" s="238">
        <f t="shared" si="6"/>
        <v>0</v>
      </c>
      <c r="H144" s="131"/>
      <c r="I144" s="162"/>
      <c r="J144" s="162"/>
      <c r="K144" s="162"/>
      <c r="L144" s="162"/>
      <c r="M144" s="162"/>
      <c r="N144" s="162"/>
      <c r="O144" s="162" t="s">
        <v>587</v>
      </c>
      <c r="P144" s="162">
        <v>7172</v>
      </c>
      <c r="Q144" s="162"/>
      <c r="R144" s="162"/>
      <c r="S144" s="162">
        <v>7172</v>
      </c>
      <c r="T144" s="162"/>
      <c r="U144" s="162"/>
      <c r="V144" s="162"/>
      <c r="W144" s="162"/>
      <c r="X144" s="162"/>
      <c r="Y144" s="162"/>
      <c r="Z144" s="162"/>
      <c r="AA144" s="162">
        <v>35</v>
      </c>
      <c r="AB144" s="162"/>
      <c r="AC144" s="162"/>
      <c r="AD144" s="162"/>
      <c r="AE144" s="162"/>
      <c r="AF144" s="162"/>
      <c r="AG144" s="162"/>
      <c r="AH144" s="162"/>
      <c r="AI144" s="198"/>
    </row>
    <row r="145" spans="1:35" s="303" customFormat="1" ht="18" customHeight="1" thickBot="1" x14ac:dyDescent="0.35">
      <c r="A145" s="156" t="s">
        <v>140</v>
      </c>
      <c r="B145" s="156" t="s">
        <v>544</v>
      </c>
      <c r="C145" s="179">
        <v>118230</v>
      </c>
      <c r="D145" s="255" t="s">
        <v>587</v>
      </c>
      <c r="E145" s="238"/>
      <c r="F145" s="238">
        <f t="shared" si="7"/>
        <v>118230</v>
      </c>
      <c r="G145" s="238">
        <f t="shared" si="6"/>
        <v>0</v>
      </c>
      <c r="H145" s="131"/>
      <c r="I145" s="162"/>
      <c r="J145" s="162"/>
      <c r="K145" s="162"/>
      <c r="L145" s="162">
        <v>4211</v>
      </c>
      <c r="M145" s="162">
        <v>17033</v>
      </c>
      <c r="N145" s="162">
        <f>9993+9993</f>
        <v>19986</v>
      </c>
      <c r="O145" s="162" t="s">
        <v>587</v>
      </c>
      <c r="P145" s="162">
        <f>10064+10032</f>
        <v>20096</v>
      </c>
      <c r="Q145" s="162"/>
      <c r="R145" s="162">
        <f>10048+10064</f>
        <v>20112</v>
      </c>
      <c r="S145" s="162">
        <v>10048</v>
      </c>
      <c r="T145" s="162"/>
      <c r="U145" s="162"/>
      <c r="V145" s="162">
        <v>26367</v>
      </c>
      <c r="W145" s="162"/>
      <c r="X145" s="162"/>
      <c r="Y145" s="162">
        <v>377</v>
      </c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98"/>
    </row>
    <row r="146" spans="1:35" s="303" customFormat="1" ht="18" customHeight="1" thickBot="1" x14ac:dyDescent="0.35">
      <c r="A146" s="156" t="s">
        <v>141</v>
      </c>
      <c r="B146" s="156" t="s">
        <v>545</v>
      </c>
      <c r="C146" s="179">
        <v>14441</v>
      </c>
      <c r="D146" s="255" t="s">
        <v>587</v>
      </c>
      <c r="E146" s="238"/>
      <c r="F146" s="238">
        <f t="shared" si="7"/>
        <v>14441</v>
      </c>
      <c r="G146" s="238">
        <f t="shared" si="6"/>
        <v>0</v>
      </c>
      <c r="H146" s="131"/>
      <c r="I146" s="162"/>
      <c r="J146" s="162"/>
      <c r="K146" s="162"/>
      <c r="L146" s="162"/>
      <c r="M146" s="162"/>
      <c r="N146" s="162"/>
      <c r="O146" s="162" t="s">
        <v>587</v>
      </c>
      <c r="P146" s="162"/>
      <c r="Q146" s="162"/>
      <c r="R146" s="162"/>
      <c r="S146" s="162">
        <v>14400</v>
      </c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>
        <v>41</v>
      </c>
      <c r="AD146" s="162"/>
      <c r="AE146" s="162"/>
      <c r="AF146" s="162"/>
      <c r="AG146" s="162"/>
      <c r="AH146" s="162"/>
      <c r="AI146" s="198"/>
    </row>
    <row r="147" spans="1:35" s="303" customFormat="1" ht="18" customHeight="1" thickBot="1" x14ac:dyDescent="0.35">
      <c r="A147" s="156" t="s">
        <v>142</v>
      </c>
      <c r="B147" s="156" t="s">
        <v>546</v>
      </c>
      <c r="C147" s="179">
        <v>13084</v>
      </c>
      <c r="D147" s="255" t="s">
        <v>587</v>
      </c>
      <c r="E147" s="238"/>
      <c r="F147" s="238">
        <f t="shared" si="7"/>
        <v>13084</v>
      </c>
      <c r="G147" s="238">
        <f t="shared" si="6"/>
        <v>0</v>
      </c>
      <c r="H147" s="131"/>
      <c r="I147" s="162"/>
      <c r="J147" s="162"/>
      <c r="K147" s="162"/>
      <c r="L147" s="162"/>
      <c r="M147" s="162">
        <v>3147</v>
      </c>
      <c r="N147" s="162">
        <v>1005</v>
      </c>
      <c r="O147" s="162">
        <v>1007</v>
      </c>
      <c r="P147" s="162">
        <v>993</v>
      </c>
      <c r="Q147" s="162"/>
      <c r="R147" s="162">
        <v>1123</v>
      </c>
      <c r="S147" s="162">
        <v>561</v>
      </c>
      <c r="T147" s="162"/>
      <c r="U147" s="162"/>
      <c r="V147" s="162">
        <v>1687</v>
      </c>
      <c r="W147" s="162"/>
      <c r="X147" s="162">
        <v>1125</v>
      </c>
      <c r="Y147" s="162">
        <v>562</v>
      </c>
      <c r="Z147" s="162"/>
      <c r="AA147" s="162"/>
      <c r="AB147" s="162">
        <v>1687</v>
      </c>
      <c r="AC147" s="162"/>
      <c r="AD147" s="162">
        <v>187</v>
      </c>
      <c r="AE147" s="162"/>
      <c r="AF147" s="162"/>
      <c r="AG147" s="162"/>
      <c r="AH147" s="162"/>
      <c r="AI147" s="198"/>
    </row>
    <row r="148" spans="1:35" s="303" customFormat="1" ht="18" customHeight="1" thickBot="1" x14ac:dyDescent="0.35">
      <c r="A148" s="156" t="s">
        <v>143</v>
      </c>
      <c r="B148" s="156" t="s">
        <v>321</v>
      </c>
      <c r="C148" s="179">
        <v>1099530</v>
      </c>
      <c r="D148" s="255" t="s">
        <v>587</v>
      </c>
      <c r="E148" s="238"/>
      <c r="F148" s="238">
        <f t="shared" si="7"/>
        <v>1099530</v>
      </c>
      <c r="G148" s="238">
        <f t="shared" si="6"/>
        <v>0</v>
      </c>
      <c r="H148" s="131"/>
      <c r="I148" s="162"/>
      <c r="J148" s="162"/>
      <c r="K148" s="162"/>
      <c r="L148" s="162"/>
      <c r="M148" s="162"/>
      <c r="N148" s="162"/>
      <c r="O148" s="162">
        <v>22836</v>
      </c>
      <c r="P148" s="162">
        <v>49560</v>
      </c>
      <c r="Q148" s="162">
        <v>83632</v>
      </c>
      <c r="R148" s="162">
        <v>87090</v>
      </c>
      <c r="S148" s="162">
        <v>102083</v>
      </c>
      <c r="T148" s="162">
        <v>202667</v>
      </c>
      <c r="U148" s="162">
        <v>79818</v>
      </c>
      <c r="V148" s="162">
        <v>20952</v>
      </c>
      <c r="W148" s="162">
        <v>6868</v>
      </c>
      <c r="X148" s="162"/>
      <c r="Y148" s="162">
        <v>274117</v>
      </c>
      <c r="Z148" s="162"/>
      <c r="AA148" s="162">
        <v>65200</v>
      </c>
      <c r="AB148" s="162">
        <v>104707</v>
      </c>
      <c r="AC148" s="162"/>
      <c r="AD148" s="162"/>
      <c r="AE148" s="162"/>
      <c r="AF148" s="162"/>
      <c r="AG148" s="162"/>
      <c r="AH148" s="162"/>
      <c r="AI148" s="198"/>
    </row>
    <row r="149" spans="1:35" s="303" customFormat="1" ht="18" customHeight="1" thickBot="1" x14ac:dyDescent="0.35">
      <c r="A149" s="156" t="s">
        <v>144</v>
      </c>
      <c r="B149" s="156" t="s">
        <v>548</v>
      </c>
      <c r="C149" s="179">
        <v>181469</v>
      </c>
      <c r="D149" s="255" t="s">
        <v>587</v>
      </c>
      <c r="E149" s="238"/>
      <c r="F149" s="238">
        <f t="shared" si="7"/>
        <v>181469</v>
      </c>
      <c r="G149" s="238">
        <f t="shared" si="6"/>
        <v>0</v>
      </c>
      <c r="H149" s="131"/>
      <c r="I149" s="162"/>
      <c r="J149" s="162"/>
      <c r="K149" s="162"/>
      <c r="L149" s="162"/>
      <c r="M149" s="162">
        <v>13880</v>
      </c>
      <c r="N149" s="162">
        <v>15491</v>
      </c>
      <c r="O149" s="162">
        <v>17029</v>
      </c>
      <c r="P149" s="162">
        <v>15845</v>
      </c>
      <c r="Q149" s="162">
        <v>15845</v>
      </c>
      <c r="R149" s="162">
        <v>15845</v>
      </c>
      <c r="S149" s="162">
        <v>15845</v>
      </c>
      <c r="T149" s="162">
        <v>15933</v>
      </c>
      <c r="U149" s="162"/>
      <c r="V149" s="162"/>
      <c r="W149" s="162"/>
      <c r="X149" s="162"/>
      <c r="Y149" s="162">
        <v>43871</v>
      </c>
      <c r="Z149" s="162">
        <v>11885</v>
      </c>
      <c r="AA149" s="162"/>
      <c r="AB149" s="162"/>
      <c r="AC149" s="162"/>
      <c r="AD149" s="162"/>
      <c r="AE149" s="162"/>
      <c r="AF149" s="162"/>
      <c r="AG149" s="162"/>
      <c r="AH149" s="162"/>
      <c r="AI149" s="198"/>
    </row>
    <row r="150" spans="1:35" s="303" customFormat="1" ht="18" customHeight="1" thickBot="1" x14ac:dyDescent="0.35">
      <c r="A150" s="156" t="s">
        <v>145</v>
      </c>
      <c r="B150" s="156" t="s">
        <v>549</v>
      </c>
      <c r="C150" s="179">
        <v>25697</v>
      </c>
      <c r="D150" s="255" t="s">
        <v>587</v>
      </c>
      <c r="E150" s="238"/>
      <c r="F150" s="238">
        <f t="shared" si="7"/>
        <v>25697</v>
      </c>
      <c r="G150" s="238">
        <f t="shared" si="6"/>
        <v>0</v>
      </c>
      <c r="H150" s="131"/>
      <c r="I150" s="162"/>
      <c r="J150" s="162"/>
      <c r="K150" s="162"/>
      <c r="L150" s="162"/>
      <c r="M150" s="162"/>
      <c r="N150" s="162"/>
      <c r="O150" s="162" t="s">
        <v>587</v>
      </c>
      <c r="P150" s="162"/>
      <c r="Q150" s="162"/>
      <c r="R150" s="162"/>
      <c r="S150" s="162"/>
      <c r="T150" s="162">
        <v>19997</v>
      </c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>
        <v>5700</v>
      </c>
      <c r="AG150" s="162"/>
      <c r="AH150" s="162"/>
      <c r="AI150" s="198"/>
    </row>
    <row r="151" spans="1:35" s="303" customFormat="1" ht="18" customHeight="1" thickBot="1" x14ac:dyDescent="0.35">
      <c r="A151" s="156" t="s">
        <v>146</v>
      </c>
      <c r="B151" s="156" t="s">
        <v>551</v>
      </c>
      <c r="C151" s="179">
        <v>12780</v>
      </c>
      <c r="D151" s="255" t="s">
        <v>587</v>
      </c>
      <c r="E151" s="238"/>
      <c r="F151" s="238">
        <f t="shared" si="7"/>
        <v>12769</v>
      </c>
      <c r="G151" s="238">
        <f t="shared" si="6"/>
        <v>11</v>
      </c>
      <c r="H151" s="131"/>
      <c r="I151" s="162"/>
      <c r="J151" s="162"/>
      <c r="K151" s="162"/>
      <c r="L151" s="162"/>
      <c r="M151" s="162"/>
      <c r="N151" s="162"/>
      <c r="O151" s="162" t="s">
        <v>587</v>
      </c>
      <c r="P151" s="162"/>
      <c r="Q151" s="162"/>
      <c r="R151" s="162"/>
      <c r="S151" s="162"/>
      <c r="T151" s="162"/>
      <c r="U151" s="162"/>
      <c r="V151" s="162"/>
      <c r="W151" s="162"/>
      <c r="X151" s="162">
        <v>5410</v>
      </c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>
        <v>7359</v>
      </c>
      <c r="AI151" s="198"/>
    </row>
    <row r="152" spans="1:35" s="303" customFormat="1" ht="18" customHeight="1" thickBot="1" x14ac:dyDescent="0.35">
      <c r="A152" s="156" t="s">
        <v>147</v>
      </c>
      <c r="B152" s="156" t="s">
        <v>325</v>
      </c>
      <c r="C152" s="179">
        <v>38827</v>
      </c>
      <c r="D152" s="255" t="s">
        <v>587</v>
      </c>
      <c r="E152" s="238"/>
      <c r="F152" s="238">
        <f t="shared" si="7"/>
        <v>38827</v>
      </c>
      <c r="G152" s="238">
        <f t="shared" si="6"/>
        <v>0</v>
      </c>
      <c r="H152" s="131"/>
      <c r="I152" s="162"/>
      <c r="J152" s="162"/>
      <c r="K152" s="162"/>
      <c r="L152" s="162"/>
      <c r="M152" s="162"/>
      <c r="N152" s="162"/>
      <c r="O152" s="162" t="s">
        <v>587</v>
      </c>
      <c r="P152" s="162"/>
      <c r="Q152" s="162"/>
      <c r="R152" s="162"/>
      <c r="S152" s="162"/>
      <c r="T152" s="162"/>
      <c r="U152" s="162"/>
      <c r="V152" s="162">
        <v>6849</v>
      </c>
      <c r="W152" s="162"/>
      <c r="X152" s="162"/>
      <c r="Y152" s="162"/>
      <c r="Z152" s="162"/>
      <c r="AA152" s="162"/>
      <c r="AB152" s="162">
        <v>9439</v>
      </c>
      <c r="AC152" s="162"/>
      <c r="AD152" s="162"/>
      <c r="AE152" s="162"/>
      <c r="AF152" s="162"/>
      <c r="AG152" s="162"/>
      <c r="AH152" s="162">
        <v>22539</v>
      </c>
      <c r="AI152" s="198"/>
    </row>
    <row r="153" spans="1:35" s="303" customFormat="1" ht="18" customHeight="1" thickBot="1" x14ac:dyDescent="0.35">
      <c r="A153" s="156" t="s">
        <v>148</v>
      </c>
      <c r="B153" s="156" t="s">
        <v>326</v>
      </c>
      <c r="C153" s="179">
        <v>91952</v>
      </c>
      <c r="D153" s="255" t="s">
        <v>587</v>
      </c>
      <c r="E153" s="238"/>
      <c r="F153" s="238">
        <f t="shared" si="7"/>
        <v>91952</v>
      </c>
      <c r="G153" s="238">
        <f t="shared" si="6"/>
        <v>0</v>
      </c>
      <c r="H153" s="131"/>
      <c r="I153" s="162"/>
      <c r="J153" s="162"/>
      <c r="K153" s="162"/>
      <c r="L153" s="162"/>
      <c r="M153" s="162"/>
      <c r="N153" s="162">
        <f>4224+6535</f>
        <v>10759</v>
      </c>
      <c r="O153" s="162">
        <v>6731</v>
      </c>
      <c r="P153" s="162">
        <v>9037</v>
      </c>
      <c r="Q153" s="162">
        <v>7336</v>
      </c>
      <c r="R153" s="162">
        <v>6761</v>
      </c>
      <c r="S153" s="162">
        <v>14952</v>
      </c>
      <c r="T153" s="162">
        <v>8194</v>
      </c>
      <c r="U153" s="162">
        <v>7344</v>
      </c>
      <c r="V153" s="162"/>
      <c r="W153" s="162">
        <v>9961</v>
      </c>
      <c r="X153" s="162"/>
      <c r="Y153" s="162"/>
      <c r="Z153" s="162">
        <v>10877</v>
      </c>
      <c r="AA153" s="162"/>
      <c r="AB153" s="162"/>
      <c r="AC153" s="162"/>
      <c r="AD153" s="162"/>
      <c r="AE153" s="162"/>
      <c r="AF153" s="162"/>
      <c r="AG153" s="162"/>
      <c r="AH153" s="162" t="s">
        <v>647</v>
      </c>
      <c r="AI153" s="198"/>
    </row>
    <row r="154" spans="1:35" s="303" customFormat="1" ht="18" customHeight="1" thickBot="1" x14ac:dyDescent="0.35">
      <c r="A154" s="156" t="s">
        <v>149</v>
      </c>
      <c r="B154" s="156" t="s">
        <v>553</v>
      </c>
      <c r="C154" s="179">
        <v>14143</v>
      </c>
      <c r="D154" s="255" t="s">
        <v>587</v>
      </c>
      <c r="E154" s="238"/>
      <c r="F154" s="238">
        <f t="shared" si="7"/>
        <v>13945</v>
      </c>
      <c r="G154" s="238">
        <f t="shared" si="6"/>
        <v>198</v>
      </c>
      <c r="H154" s="131"/>
      <c r="I154" s="162"/>
      <c r="J154" s="162"/>
      <c r="K154" s="162"/>
      <c r="L154" s="162"/>
      <c r="M154" s="162"/>
      <c r="N154" s="162"/>
      <c r="O154" s="162" t="s">
        <v>587</v>
      </c>
      <c r="P154" s="162"/>
      <c r="Q154" s="162">
        <v>13627</v>
      </c>
      <c r="R154" s="162"/>
      <c r="S154" s="162">
        <v>285</v>
      </c>
      <c r="T154" s="162"/>
      <c r="U154" s="162"/>
      <c r="V154" s="162"/>
      <c r="W154" s="162"/>
      <c r="X154" s="162"/>
      <c r="Y154" s="162"/>
      <c r="Z154" s="162">
        <v>33</v>
      </c>
      <c r="AA154" s="162"/>
      <c r="AB154" s="162"/>
      <c r="AC154" s="162"/>
      <c r="AD154" s="162"/>
      <c r="AE154" s="162"/>
      <c r="AF154" s="162"/>
      <c r="AG154" s="162"/>
      <c r="AH154" s="162"/>
      <c r="AI154" s="198"/>
    </row>
    <row r="155" spans="1:35" s="303" customFormat="1" ht="18" customHeight="1" thickBot="1" x14ac:dyDescent="0.35">
      <c r="A155" s="156" t="s">
        <v>150</v>
      </c>
      <c r="B155" s="156" t="s">
        <v>554</v>
      </c>
      <c r="C155" s="179">
        <v>10181</v>
      </c>
      <c r="D155" s="255" t="s">
        <v>587</v>
      </c>
      <c r="E155" s="238"/>
      <c r="F155" s="238">
        <f t="shared" si="7"/>
        <v>10181</v>
      </c>
      <c r="G155" s="238">
        <f t="shared" si="6"/>
        <v>0</v>
      </c>
      <c r="H155" s="131"/>
      <c r="I155" s="162"/>
      <c r="J155" s="162"/>
      <c r="K155" s="162"/>
      <c r="L155" s="162"/>
      <c r="M155" s="162"/>
      <c r="N155" s="162"/>
      <c r="O155" s="162" t="s">
        <v>587</v>
      </c>
      <c r="P155" s="162"/>
      <c r="Q155" s="162"/>
      <c r="R155" s="162">
        <v>10129</v>
      </c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>
        <v>52</v>
      </c>
      <c r="AF155" s="162"/>
      <c r="AG155" s="162"/>
      <c r="AH155" s="162"/>
      <c r="AI155" s="198"/>
    </row>
    <row r="156" spans="1:35" s="303" customFormat="1" ht="18" customHeight="1" thickBot="1" x14ac:dyDescent="0.35">
      <c r="A156" s="156" t="s">
        <v>151</v>
      </c>
      <c r="B156" s="156" t="s">
        <v>556</v>
      </c>
      <c r="C156" s="179">
        <v>47619</v>
      </c>
      <c r="D156" s="255" t="s">
        <v>587</v>
      </c>
      <c r="E156" s="238"/>
      <c r="F156" s="238">
        <f t="shared" si="7"/>
        <v>47619</v>
      </c>
      <c r="G156" s="238">
        <f t="shared" si="6"/>
        <v>0</v>
      </c>
      <c r="H156" s="131"/>
      <c r="I156" s="162"/>
      <c r="J156" s="162"/>
      <c r="K156" s="162"/>
      <c r="L156" s="162"/>
      <c r="M156" s="162"/>
      <c r="N156" s="162"/>
      <c r="O156" s="162">
        <v>33392</v>
      </c>
      <c r="P156" s="162"/>
      <c r="Q156" s="162"/>
      <c r="R156" s="162">
        <v>14073</v>
      </c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>
        <v>154</v>
      </c>
      <c r="AF156" s="162"/>
      <c r="AG156" s="162"/>
      <c r="AH156" s="162"/>
      <c r="AI156" s="198"/>
    </row>
    <row r="157" spans="1:35" s="303" customFormat="1" ht="18" customHeight="1" thickBot="1" x14ac:dyDescent="0.35">
      <c r="A157" s="156" t="s">
        <v>152</v>
      </c>
      <c r="B157" s="156" t="s">
        <v>557</v>
      </c>
      <c r="C157" s="179">
        <v>11353</v>
      </c>
      <c r="D157" s="255" t="s">
        <v>587</v>
      </c>
      <c r="E157" s="238"/>
      <c r="F157" s="238">
        <f t="shared" si="7"/>
        <v>11353</v>
      </c>
      <c r="G157" s="238">
        <f t="shared" si="6"/>
        <v>0</v>
      </c>
      <c r="H157" s="131"/>
      <c r="I157" s="162"/>
      <c r="J157" s="162"/>
      <c r="K157" s="162"/>
      <c r="L157" s="162"/>
      <c r="M157" s="162"/>
      <c r="N157" s="162"/>
      <c r="O157" s="162" t="s">
        <v>587</v>
      </c>
      <c r="P157" s="162"/>
      <c r="Q157" s="162"/>
      <c r="R157" s="162"/>
      <c r="S157" s="162">
        <v>11276</v>
      </c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>
        <v>77</v>
      </c>
      <c r="AF157" s="162"/>
      <c r="AG157" s="162"/>
      <c r="AH157" s="162"/>
      <c r="AI157" s="198"/>
    </row>
    <row r="158" spans="1:35" s="303" customFormat="1" ht="18" customHeight="1" thickBot="1" x14ac:dyDescent="0.35">
      <c r="A158" s="156" t="s">
        <v>153</v>
      </c>
      <c r="B158" s="156" t="s">
        <v>558</v>
      </c>
      <c r="C158" s="179">
        <v>19186</v>
      </c>
      <c r="D158" s="255" t="s">
        <v>587</v>
      </c>
      <c r="E158" s="238"/>
      <c r="F158" s="238">
        <f t="shared" si="7"/>
        <v>19186</v>
      </c>
      <c r="G158" s="238">
        <f t="shared" si="6"/>
        <v>0</v>
      </c>
      <c r="H158" s="131"/>
      <c r="I158" s="162"/>
      <c r="J158" s="162"/>
      <c r="K158" s="162"/>
      <c r="L158" s="162"/>
      <c r="M158" s="162"/>
      <c r="N158" s="162"/>
      <c r="O158" s="162" t="s">
        <v>587</v>
      </c>
      <c r="P158" s="162"/>
      <c r="Q158" s="162"/>
      <c r="R158" s="162">
        <v>19146</v>
      </c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>
        <v>40</v>
      </c>
      <c r="AF158" s="162"/>
      <c r="AG158" s="162"/>
      <c r="AH158" s="162"/>
      <c r="AI158" s="198"/>
    </row>
    <row r="159" spans="1:35" s="303" customFormat="1" ht="18" customHeight="1" thickBot="1" x14ac:dyDescent="0.35">
      <c r="A159" s="156" t="s">
        <v>154</v>
      </c>
      <c r="B159" s="156" t="s">
        <v>332</v>
      </c>
      <c r="C159" s="179">
        <v>10035</v>
      </c>
      <c r="D159" s="255" t="s">
        <v>587</v>
      </c>
      <c r="E159" s="238"/>
      <c r="F159" s="238">
        <f t="shared" si="7"/>
        <v>10035</v>
      </c>
      <c r="G159" s="238">
        <f t="shared" si="6"/>
        <v>0</v>
      </c>
      <c r="H159" s="131"/>
      <c r="I159" s="162"/>
      <c r="J159" s="162"/>
      <c r="K159" s="162"/>
      <c r="L159" s="162"/>
      <c r="M159" s="162"/>
      <c r="N159" s="162"/>
      <c r="O159" s="162" t="s">
        <v>587</v>
      </c>
      <c r="P159" s="162"/>
      <c r="Q159" s="162"/>
      <c r="R159" s="162"/>
      <c r="S159" s="162"/>
      <c r="T159" s="162"/>
      <c r="U159" s="162"/>
      <c r="V159" s="162">
        <v>4296</v>
      </c>
      <c r="W159" s="162">
        <v>2398</v>
      </c>
      <c r="X159" s="162"/>
      <c r="Y159" s="162">
        <v>1746</v>
      </c>
      <c r="Z159" s="162"/>
      <c r="AA159" s="162">
        <v>1595</v>
      </c>
      <c r="AB159" s="162"/>
      <c r="AC159" s="162"/>
      <c r="AD159" s="162"/>
      <c r="AE159" s="162"/>
      <c r="AF159" s="162"/>
      <c r="AG159" s="162"/>
      <c r="AH159" s="162"/>
      <c r="AI159" s="198"/>
    </row>
    <row r="160" spans="1:35" s="303" customFormat="1" ht="18" customHeight="1" thickBot="1" x14ac:dyDescent="0.35">
      <c r="A160" s="156" t="s">
        <v>155</v>
      </c>
      <c r="B160" s="156" t="s">
        <v>560</v>
      </c>
      <c r="C160" s="179">
        <v>59679</v>
      </c>
      <c r="D160" s="255" t="s">
        <v>587</v>
      </c>
      <c r="E160" s="238"/>
      <c r="F160" s="238">
        <f t="shared" si="7"/>
        <v>59506</v>
      </c>
      <c r="G160" s="238">
        <f t="shared" si="6"/>
        <v>173</v>
      </c>
      <c r="H160" s="131"/>
      <c r="I160" s="162"/>
      <c r="J160" s="162"/>
      <c r="K160" s="162"/>
      <c r="L160" s="162">
        <v>28845</v>
      </c>
      <c r="M160" s="162"/>
      <c r="N160" s="162"/>
      <c r="O160" s="162">
        <v>4360</v>
      </c>
      <c r="P160" s="162">
        <v>11107</v>
      </c>
      <c r="Q160" s="162"/>
      <c r="R160" s="162"/>
      <c r="S160" s="162">
        <v>15194</v>
      </c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98"/>
    </row>
    <row r="161" spans="1:35" s="303" customFormat="1" ht="18" customHeight="1" thickBot="1" x14ac:dyDescent="0.35">
      <c r="A161" s="156" t="s">
        <v>156</v>
      </c>
      <c r="B161" s="156" t="s">
        <v>334</v>
      </c>
      <c r="C161" s="179">
        <v>6176</v>
      </c>
      <c r="D161" s="255" t="s">
        <v>587</v>
      </c>
      <c r="E161" s="238"/>
      <c r="F161" s="238">
        <f t="shared" si="7"/>
        <v>6176</v>
      </c>
      <c r="G161" s="238">
        <f t="shared" si="6"/>
        <v>0</v>
      </c>
      <c r="H161" s="131"/>
      <c r="I161" s="162"/>
      <c r="J161" s="162"/>
      <c r="K161" s="162">
        <v>848</v>
      </c>
      <c r="L161" s="162"/>
      <c r="M161" s="162">
        <v>961</v>
      </c>
      <c r="N161" s="162"/>
      <c r="O161" s="162">
        <v>3752</v>
      </c>
      <c r="P161" s="162">
        <v>354</v>
      </c>
      <c r="Q161" s="162"/>
      <c r="R161" s="162"/>
      <c r="S161" s="162"/>
      <c r="T161" s="162">
        <v>246</v>
      </c>
      <c r="U161" s="162"/>
      <c r="V161" s="162"/>
      <c r="W161" s="162"/>
      <c r="X161" s="162"/>
      <c r="Y161" s="162"/>
      <c r="Z161" s="162"/>
      <c r="AA161" s="162">
        <v>15</v>
      </c>
      <c r="AB161" s="162"/>
      <c r="AC161" s="162"/>
      <c r="AD161" s="162"/>
      <c r="AE161" s="162"/>
      <c r="AF161" s="162"/>
      <c r="AG161" s="162"/>
      <c r="AH161" s="162"/>
      <c r="AI161" s="198"/>
    </row>
    <row r="162" spans="1:35" s="303" customFormat="1" ht="18" customHeight="1" thickBot="1" x14ac:dyDescent="0.35">
      <c r="A162" s="156" t="s">
        <v>157</v>
      </c>
      <c r="B162" s="156" t="s">
        <v>335</v>
      </c>
      <c r="C162" s="179">
        <v>18319</v>
      </c>
      <c r="D162" s="255" t="s">
        <v>587</v>
      </c>
      <c r="E162" s="238"/>
      <c r="F162" s="238">
        <f t="shared" si="7"/>
        <v>18319</v>
      </c>
      <c r="G162" s="238">
        <f t="shared" si="6"/>
        <v>0</v>
      </c>
      <c r="H162" s="131"/>
      <c r="I162" s="162"/>
      <c r="J162" s="162"/>
      <c r="K162" s="162"/>
      <c r="L162" s="162"/>
      <c r="M162" s="162"/>
      <c r="N162" s="162"/>
      <c r="O162" s="162" t="s">
        <v>587</v>
      </c>
      <c r="P162" s="162"/>
      <c r="Q162" s="162"/>
      <c r="R162" s="162"/>
      <c r="S162" s="162">
        <v>18234</v>
      </c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>
        <v>85</v>
      </c>
      <c r="AF162" s="162"/>
      <c r="AG162" s="162"/>
      <c r="AH162" s="162"/>
      <c r="AI162" s="198"/>
    </row>
    <row r="163" spans="1:35" s="303" customFormat="1" ht="18" customHeight="1" thickBot="1" x14ac:dyDescent="0.35">
      <c r="A163" s="156" t="s">
        <v>158</v>
      </c>
      <c r="B163" s="156" t="s">
        <v>336</v>
      </c>
      <c r="C163" s="179">
        <v>9397</v>
      </c>
      <c r="D163" s="255" t="s">
        <v>587</v>
      </c>
      <c r="E163" s="238"/>
      <c r="F163" s="238">
        <f t="shared" si="7"/>
        <v>9397</v>
      </c>
      <c r="G163" s="238">
        <f t="shared" si="6"/>
        <v>0</v>
      </c>
      <c r="H163" s="131"/>
      <c r="I163" s="162"/>
      <c r="J163" s="162"/>
      <c r="K163" s="162"/>
      <c r="L163" s="162"/>
      <c r="M163" s="162"/>
      <c r="N163" s="162"/>
      <c r="O163" s="162" t="s">
        <v>587</v>
      </c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>
        <v>7358</v>
      </c>
      <c r="AA163" s="162"/>
      <c r="AB163" s="162"/>
      <c r="AC163" s="162"/>
      <c r="AD163" s="162"/>
      <c r="AE163" s="162">
        <v>2039</v>
      </c>
      <c r="AF163" s="162"/>
      <c r="AG163" s="162"/>
      <c r="AH163" s="162"/>
      <c r="AI163" s="198"/>
    </row>
    <row r="164" spans="1:35" s="303" customFormat="1" ht="18" customHeight="1" thickBot="1" x14ac:dyDescent="0.35">
      <c r="A164" s="156" t="s">
        <v>159</v>
      </c>
      <c r="B164" s="156" t="s">
        <v>563</v>
      </c>
      <c r="C164" s="179">
        <v>10743</v>
      </c>
      <c r="D164" s="255" t="s">
        <v>374</v>
      </c>
      <c r="E164" s="238">
        <f>IF(ISBLANK(D164),,C164)</f>
        <v>10743</v>
      </c>
      <c r="F164" s="238">
        <f t="shared" si="7"/>
        <v>0</v>
      </c>
      <c r="G164" s="238">
        <f t="shared" si="6"/>
        <v>0</v>
      </c>
      <c r="H164" s="131"/>
      <c r="I164" s="162"/>
      <c r="J164" s="162"/>
      <c r="K164" s="162"/>
      <c r="L164" s="162"/>
      <c r="M164" s="162"/>
      <c r="N164" s="162"/>
      <c r="O164" s="162" t="s">
        <v>587</v>
      </c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98"/>
    </row>
    <row r="165" spans="1:35" s="303" customFormat="1" ht="18" customHeight="1" thickBot="1" x14ac:dyDescent="0.35">
      <c r="A165" s="156" t="s">
        <v>160</v>
      </c>
      <c r="B165" s="156" t="s">
        <v>412</v>
      </c>
      <c r="C165" s="179">
        <v>7912</v>
      </c>
      <c r="D165" s="255" t="s">
        <v>374</v>
      </c>
      <c r="E165" s="238">
        <f>IF(ISBLANK(D165),,C165)</f>
        <v>7912</v>
      </c>
      <c r="F165" s="238">
        <f t="shared" si="7"/>
        <v>0</v>
      </c>
      <c r="G165" s="238">
        <f t="shared" si="6"/>
        <v>0</v>
      </c>
      <c r="H165" s="131"/>
      <c r="I165" s="162"/>
      <c r="J165" s="162"/>
      <c r="K165" s="162"/>
      <c r="L165" s="162"/>
      <c r="M165" s="162"/>
      <c r="N165" s="162"/>
      <c r="O165" s="162" t="s">
        <v>587</v>
      </c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98"/>
    </row>
    <row r="166" spans="1:35" s="303" customFormat="1" ht="18" customHeight="1" thickBot="1" x14ac:dyDescent="0.35">
      <c r="A166" s="156" t="s">
        <v>161</v>
      </c>
      <c r="B166" s="156" t="s">
        <v>566</v>
      </c>
      <c r="C166" s="179">
        <v>54458</v>
      </c>
      <c r="D166" s="255" t="s">
        <v>587</v>
      </c>
      <c r="E166" s="238"/>
      <c r="F166" s="238">
        <f t="shared" si="7"/>
        <v>54458</v>
      </c>
      <c r="G166" s="238">
        <f t="shared" si="6"/>
        <v>0</v>
      </c>
      <c r="H166" s="131"/>
      <c r="I166" s="162"/>
      <c r="J166" s="162"/>
      <c r="K166" s="162">
        <v>5373</v>
      </c>
      <c r="L166" s="162">
        <v>5372</v>
      </c>
      <c r="M166" s="162">
        <v>5373</v>
      </c>
      <c r="N166" s="162">
        <v>4757</v>
      </c>
      <c r="O166" s="162">
        <v>5394</v>
      </c>
      <c r="P166" s="162">
        <v>5394</v>
      </c>
      <c r="Q166" s="162">
        <v>5393</v>
      </c>
      <c r="R166" s="162">
        <v>5393</v>
      </c>
      <c r="S166" s="162">
        <v>5393</v>
      </c>
      <c r="T166" s="162">
        <v>5388</v>
      </c>
      <c r="U166" s="162"/>
      <c r="V166" s="162">
        <v>909</v>
      </c>
      <c r="W166" s="162">
        <v>319</v>
      </c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98"/>
    </row>
    <row r="167" spans="1:35" s="303" customFormat="1" ht="18" customHeight="1" thickBot="1" x14ac:dyDescent="0.35">
      <c r="A167" s="156" t="s">
        <v>162</v>
      </c>
      <c r="B167" s="156" t="s">
        <v>568</v>
      </c>
      <c r="C167" s="179">
        <v>16250</v>
      </c>
      <c r="D167" s="255" t="s">
        <v>587</v>
      </c>
      <c r="E167" s="238"/>
      <c r="F167" s="238">
        <f t="shared" si="7"/>
        <v>16250</v>
      </c>
      <c r="G167" s="238">
        <f t="shared" si="6"/>
        <v>0</v>
      </c>
      <c r="H167" s="131"/>
      <c r="I167" s="162"/>
      <c r="J167" s="162"/>
      <c r="K167" s="162"/>
      <c r="L167" s="162"/>
      <c r="M167" s="162">
        <v>226</v>
      </c>
      <c r="N167" s="162">
        <v>230</v>
      </c>
      <c r="O167" s="162">
        <v>597</v>
      </c>
      <c r="P167" s="162"/>
      <c r="Q167" s="162">
        <v>304</v>
      </c>
      <c r="R167" s="162">
        <f>354+2116</f>
        <v>2470</v>
      </c>
      <c r="S167" s="162">
        <v>1099</v>
      </c>
      <c r="T167" s="162"/>
      <c r="U167" s="162"/>
      <c r="V167" s="162">
        <f>5828+5070</f>
        <v>10898</v>
      </c>
      <c r="W167" s="162"/>
      <c r="X167" s="162"/>
      <c r="Y167" s="162">
        <v>426</v>
      </c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98"/>
    </row>
    <row r="168" spans="1:35" s="303" customFormat="1" ht="18" customHeight="1" thickBot="1" x14ac:dyDescent="0.35">
      <c r="A168" s="156" t="s">
        <v>163</v>
      </c>
      <c r="B168" s="156" t="s">
        <v>570</v>
      </c>
      <c r="C168" s="179">
        <v>98902</v>
      </c>
      <c r="D168" s="255" t="s">
        <v>587</v>
      </c>
      <c r="E168" s="238"/>
      <c r="F168" s="238">
        <f t="shared" si="7"/>
        <v>98902</v>
      </c>
      <c r="G168" s="238">
        <f t="shared" si="6"/>
        <v>0</v>
      </c>
      <c r="H168" s="131"/>
      <c r="I168" s="162"/>
      <c r="J168" s="162"/>
      <c r="K168" s="162"/>
      <c r="L168" s="162"/>
      <c r="M168" s="162"/>
      <c r="N168" s="162"/>
      <c r="O168" s="162" t="s">
        <v>587</v>
      </c>
      <c r="P168" s="162">
        <v>58101</v>
      </c>
      <c r="Q168" s="162"/>
      <c r="R168" s="162"/>
      <c r="S168" s="162">
        <v>31609</v>
      </c>
      <c r="T168" s="162"/>
      <c r="U168" s="162"/>
      <c r="V168" s="162"/>
      <c r="W168" s="162"/>
      <c r="X168" s="162"/>
      <c r="Y168" s="162"/>
      <c r="Z168" s="162">
        <f>8907+285</f>
        <v>9192</v>
      </c>
      <c r="AA168" s="162"/>
      <c r="AB168" s="162"/>
      <c r="AC168" s="162"/>
      <c r="AD168" s="162"/>
      <c r="AE168" s="162"/>
      <c r="AF168" s="162"/>
      <c r="AG168" s="162"/>
      <c r="AH168" s="162"/>
      <c r="AI168" s="198"/>
    </row>
    <row r="169" spans="1:35" s="303" customFormat="1" ht="18" customHeight="1" thickBot="1" x14ac:dyDescent="0.35">
      <c r="A169" s="156" t="s">
        <v>164</v>
      </c>
      <c r="B169" s="156" t="s">
        <v>341</v>
      </c>
      <c r="C169" s="179">
        <v>17753</v>
      </c>
      <c r="D169" s="255" t="s">
        <v>587</v>
      </c>
      <c r="E169" s="238"/>
      <c r="F169" s="238">
        <f t="shared" si="7"/>
        <v>17753</v>
      </c>
      <c r="G169" s="238">
        <f t="shared" si="6"/>
        <v>0</v>
      </c>
      <c r="H169" s="131"/>
      <c r="I169" s="162"/>
      <c r="J169" s="162"/>
      <c r="K169" s="162"/>
      <c r="L169" s="162"/>
      <c r="M169" s="162"/>
      <c r="N169" s="162">
        <v>6572</v>
      </c>
      <c r="O169" s="162" t="s">
        <v>587</v>
      </c>
      <c r="P169" s="162"/>
      <c r="Q169" s="162"/>
      <c r="R169" s="162">
        <v>3656</v>
      </c>
      <c r="S169" s="162">
        <v>4263</v>
      </c>
      <c r="T169" s="162"/>
      <c r="U169" s="162">
        <v>2856</v>
      </c>
      <c r="V169" s="162"/>
      <c r="W169" s="162"/>
      <c r="X169" s="162"/>
      <c r="Y169" s="162"/>
      <c r="Z169" s="162">
        <v>406</v>
      </c>
      <c r="AA169" s="162"/>
      <c r="AB169" s="162"/>
      <c r="AC169" s="162"/>
      <c r="AD169" s="162"/>
      <c r="AE169" s="162"/>
      <c r="AF169" s="162"/>
      <c r="AG169" s="162"/>
      <c r="AH169" s="162"/>
      <c r="AI169" s="198"/>
    </row>
    <row r="170" spans="1:35" s="303" customFormat="1" ht="18" customHeight="1" thickBot="1" x14ac:dyDescent="0.35">
      <c r="A170" s="156" t="s">
        <v>165</v>
      </c>
      <c r="B170" s="156" t="s">
        <v>342</v>
      </c>
      <c r="C170" s="179">
        <v>3814</v>
      </c>
      <c r="D170" s="255" t="s">
        <v>372</v>
      </c>
      <c r="E170" s="238">
        <f>IF(ISBLANK(D170),,C170)</f>
        <v>3814</v>
      </c>
      <c r="F170" s="238">
        <f t="shared" si="7"/>
        <v>0</v>
      </c>
      <c r="G170" s="238">
        <f t="shared" si="6"/>
        <v>0</v>
      </c>
      <c r="H170" s="131"/>
      <c r="I170" s="162"/>
      <c r="J170" s="162"/>
      <c r="K170" s="162"/>
      <c r="L170" s="162"/>
      <c r="M170" s="162"/>
      <c r="N170" s="162"/>
      <c r="O170" s="162" t="s">
        <v>587</v>
      </c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98"/>
    </row>
    <row r="171" spans="1:35" s="303" customFormat="1" ht="18" customHeight="1" thickBot="1" x14ac:dyDescent="0.35">
      <c r="A171" s="156" t="s">
        <v>166</v>
      </c>
      <c r="B171" s="156" t="s">
        <v>343</v>
      </c>
      <c r="C171" s="179">
        <v>4665</v>
      </c>
      <c r="D171" s="255" t="s">
        <v>374</v>
      </c>
      <c r="E171" s="238">
        <f>IF(ISBLANK(D171),,C171)</f>
        <v>4665</v>
      </c>
      <c r="F171" s="238">
        <f t="shared" si="7"/>
        <v>0</v>
      </c>
      <c r="G171" s="238">
        <f t="shared" si="6"/>
        <v>0</v>
      </c>
      <c r="H171" s="131"/>
      <c r="I171" s="162"/>
      <c r="J171" s="162"/>
      <c r="K171" s="162"/>
      <c r="L171" s="162"/>
      <c r="M171" s="162"/>
      <c r="N171" s="162"/>
      <c r="O171" s="162" t="s">
        <v>587</v>
      </c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98"/>
    </row>
    <row r="172" spans="1:35" s="303" customFormat="1" ht="18" customHeight="1" thickBot="1" x14ac:dyDescent="0.35">
      <c r="A172" s="156" t="s">
        <v>167</v>
      </c>
      <c r="B172" s="156" t="s">
        <v>344</v>
      </c>
      <c r="C172" s="179">
        <v>2329</v>
      </c>
      <c r="D172" s="255" t="s">
        <v>374</v>
      </c>
      <c r="E172" s="238">
        <f>IF(ISBLANK(D172),,C172)</f>
        <v>2329</v>
      </c>
      <c r="F172" s="238">
        <f t="shared" si="7"/>
        <v>0</v>
      </c>
      <c r="G172" s="238">
        <f t="shared" ref="G172:G195" si="8">IF(ISBLANK(E172),C172-F172,C172-E172)</f>
        <v>0</v>
      </c>
      <c r="H172" s="131"/>
      <c r="I172" s="162"/>
      <c r="J172" s="162"/>
      <c r="K172" s="162"/>
      <c r="L172" s="162"/>
      <c r="M172" s="162"/>
      <c r="N172" s="162"/>
      <c r="O172" s="162" t="s">
        <v>587</v>
      </c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98"/>
    </row>
    <row r="173" spans="1:35" s="303" customFormat="1" ht="18" customHeight="1" thickBot="1" x14ac:dyDescent="0.35">
      <c r="A173" s="156" t="s">
        <v>168</v>
      </c>
      <c r="B173" s="156" t="s">
        <v>345</v>
      </c>
      <c r="C173" s="179">
        <v>3791</v>
      </c>
      <c r="D173" s="255" t="s">
        <v>372</v>
      </c>
      <c r="E173" s="238">
        <f>IF(ISBLANK(D173),,C173)</f>
        <v>3791</v>
      </c>
      <c r="F173" s="238">
        <f t="shared" si="7"/>
        <v>0</v>
      </c>
      <c r="G173" s="238">
        <f t="shared" si="8"/>
        <v>0</v>
      </c>
      <c r="H173" s="131"/>
      <c r="I173" s="162"/>
      <c r="J173" s="162"/>
      <c r="K173" s="162"/>
      <c r="L173" s="162"/>
      <c r="M173" s="162"/>
      <c r="N173" s="162"/>
      <c r="O173" s="162" t="s">
        <v>587</v>
      </c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98"/>
    </row>
    <row r="174" spans="1:35" s="303" customFormat="1" ht="18" customHeight="1" thickBot="1" x14ac:dyDescent="0.35">
      <c r="A174" s="156" t="s">
        <v>169</v>
      </c>
      <c r="B174" s="156" t="s">
        <v>572</v>
      </c>
      <c r="C174" s="179">
        <v>59859</v>
      </c>
      <c r="D174" s="255" t="s">
        <v>373</v>
      </c>
      <c r="E174" s="238">
        <f>IF(ISBLANK(D174),,C174)</f>
        <v>59859</v>
      </c>
      <c r="F174" s="238">
        <f t="shared" si="7"/>
        <v>0</v>
      </c>
      <c r="G174" s="238">
        <f t="shared" si="8"/>
        <v>0</v>
      </c>
      <c r="H174" s="131"/>
      <c r="I174" s="162"/>
      <c r="J174" s="162"/>
      <c r="K174" s="162"/>
      <c r="L174" s="162"/>
      <c r="M174" s="162"/>
      <c r="N174" s="162"/>
      <c r="O174" s="162" t="s">
        <v>587</v>
      </c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98"/>
    </row>
    <row r="175" spans="1:35" s="303" customFormat="1" ht="18" customHeight="1" thickBot="1" x14ac:dyDescent="0.35">
      <c r="A175" s="156" t="s">
        <v>170</v>
      </c>
      <c r="B175" s="156" t="s">
        <v>574</v>
      </c>
      <c r="C175" s="179">
        <v>33228</v>
      </c>
      <c r="D175" s="255" t="s">
        <v>587</v>
      </c>
      <c r="E175" s="238"/>
      <c r="F175" s="238">
        <f t="shared" si="7"/>
        <v>33228</v>
      </c>
      <c r="G175" s="238">
        <f t="shared" si="8"/>
        <v>0</v>
      </c>
      <c r="H175" s="131"/>
      <c r="I175" s="162"/>
      <c r="J175" s="162"/>
      <c r="K175" s="162"/>
      <c r="L175" s="162"/>
      <c r="M175" s="162"/>
      <c r="N175" s="162"/>
      <c r="O175" s="162">
        <v>15469</v>
      </c>
      <c r="P175" s="162"/>
      <c r="Q175" s="162"/>
      <c r="R175" s="162"/>
      <c r="S175" s="162">
        <v>12084</v>
      </c>
      <c r="T175" s="162"/>
      <c r="U175" s="162"/>
      <c r="V175" s="162"/>
      <c r="W175" s="162"/>
      <c r="X175" s="162"/>
      <c r="Y175" s="162"/>
      <c r="Z175" s="162">
        <f>5525+150</f>
        <v>5675</v>
      </c>
      <c r="AA175" s="162"/>
      <c r="AB175" s="162"/>
      <c r="AC175" s="162"/>
      <c r="AD175" s="162"/>
      <c r="AE175" s="162"/>
      <c r="AF175" s="162"/>
      <c r="AG175" s="162"/>
      <c r="AH175" s="162"/>
      <c r="AI175" s="198"/>
    </row>
    <row r="176" spans="1:35" s="303" customFormat="1" ht="18" customHeight="1" thickBot="1" x14ac:dyDescent="0.35">
      <c r="A176" s="156" t="s">
        <v>171</v>
      </c>
      <c r="B176" s="156" t="s">
        <v>413</v>
      </c>
      <c r="C176" s="179">
        <v>51065</v>
      </c>
      <c r="D176" s="255" t="s">
        <v>587</v>
      </c>
      <c r="E176" s="238"/>
      <c r="F176" s="238">
        <f t="shared" si="7"/>
        <v>51065</v>
      </c>
      <c r="G176" s="238">
        <f t="shared" si="8"/>
        <v>0</v>
      </c>
      <c r="H176" s="131"/>
      <c r="I176" s="162"/>
      <c r="J176" s="162"/>
      <c r="K176" s="162"/>
      <c r="L176" s="162"/>
      <c r="M176" s="162"/>
      <c r="N176" s="162"/>
      <c r="O176" s="162" t="s">
        <v>587</v>
      </c>
      <c r="P176" s="162"/>
      <c r="Q176" s="162"/>
      <c r="R176" s="162"/>
      <c r="S176" s="162">
        <v>50829</v>
      </c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>
        <v>236</v>
      </c>
      <c r="AF176" s="162"/>
      <c r="AG176" s="162"/>
      <c r="AH176" s="162"/>
      <c r="AI176" s="198"/>
    </row>
    <row r="177" spans="1:36" s="303" customFormat="1" ht="18" customHeight="1" thickBot="1" x14ac:dyDescent="0.35">
      <c r="A177" s="156" t="s">
        <v>172</v>
      </c>
      <c r="B177" s="156" t="s">
        <v>575</v>
      </c>
      <c r="C177" s="179">
        <v>50386</v>
      </c>
      <c r="D177" s="255" t="s">
        <v>587</v>
      </c>
      <c r="E177" s="238"/>
      <c r="F177" s="238">
        <f t="shared" si="7"/>
        <v>50386</v>
      </c>
      <c r="G177" s="238">
        <f t="shared" si="8"/>
        <v>0</v>
      </c>
      <c r="H177" s="131"/>
      <c r="I177" s="162"/>
      <c r="J177" s="162"/>
      <c r="K177" s="162"/>
      <c r="L177" s="162">
        <v>5136</v>
      </c>
      <c r="M177" s="162">
        <v>5618</v>
      </c>
      <c r="N177" s="162">
        <v>5618</v>
      </c>
      <c r="O177" s="162">
        <v>5639</v>
      </c>
      <c r="P177" s="162">
        <v>5639</v>
      </c>
      <c r="Q177" s="162">
        <v>5639</v>
      </c>
      <c r="R177" s="162">
        <v>5639</v>
      </c>
      <c r="S177" s="162">
        <v>5095</v>
      </c>
      <c r="T177" s="162"/>
      <c r="U177" s="162"/>
      <c r="V177" s="162"/>
      <c r="W177" s="162"/>
      <c r="X177" s="162"/>
      <c r="Y177" s="162">
        <f>5156+1207</f>
        <v>6363</v>
      </c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98"/>
    </row>
    <row r="178" spans="1:36" s="303" customFormat="1" ht="18" customHeight="1" thickBot="1" x14ac:dyDescent="0.35">
      <c r="A178" s="156" t="s">
        <v>173</v>
      </c>
      <c r="B178" s="156" t="s">
        <v>576</v>
      </c>
      <c r="C178" s="179">
        <v>50422</v>
      </c>
      <c r="D178" s="255" t="s">
        <v>587</v>
      </c>
      <c r="E178" s="238"/>
      <c r="F178" s="238">
        <f t="shared" si="7"/>
        <v>50422</v>
      </c>
      <c r="G178" s="238">
        <f t="shared" si="8"/>
        <v>0</v>
      </c>
      <c r="H178" s="131"/>
      <c r="I178" s="162"/>
      <c r="J178" s="162"/>
      <c r="K178" s="162"/>
      <c r="L178" s="162"/>
      <c r="M178" s="162"/>
      <c r="N178" s="162">
        <v>25191</v>
      </c>
      <c r="O178" s="162" t="s">
        <v>587</v>
      </c>
      <c r="P178" s="162"/>
      <c r="Q178" s="162">
        <v>12112</v>
      </c>
      <c r="R178" s="162"/>
      <c r="S178" s="162">
        <v>8074</v>
      </c>
      <c r="T178" s="162">
        <v>5044</v>
      </c>
      <c r="U178" s="162"/>
      <c r="V178" s="162"/>
      <c r="W178" s="162"/>
      <c r="X178" s="162"/>
      <c r="Y178" s="162"/>
      <c r="Z178" s="162">
        <v>1</v>
      </c>
      <c r="AA178" s="162"/>
      <c r="AB178" s="162"/>
      <c r="AC178" s="162"/>
      <c r="AD178" s="162"/>
      <c r="AE178" s="162"/>
      <c r="AF178" s="162"/>
      <c r="AG178" s="162"/>
      <c r="AH178" s="162"/>
      <c r="AI178" s="198"/>
    </row>
    <row r="179" spans="1:36" s="303" customFormat="1" ht="18" customHeight="1" thickBot="1" x14ac:dyDescent="0.35">
      <c r="A179" s="156" t="s">
        <v>174</v>
      </c>
      <c r="B179" s="156" t="s">
        <v>350</v>
      </c>
      <c r="C179" s="179">
        <v>640583</v>
      </c>
      <c r="D179" s="255" t="s">
        <v>587</v>
      </c>
      <c r="E179" s="238"/>
      <c r="F179" s="238">
        <f t="shared" si="7"/>
        <v>640583</v>
      </c>
      <c r="G179" s="238">
        <f t="shared" si="8"/>
        <v>0</v>
      </c>
      <c r="H179" s="131"/>
      <c r="I179" s="162"/>
      <c r="J179" s="162"/>
      <c r="K179" s="162"/>
      <c r="L179" s="162">
        <v>31757</v>
      </c>
      <c r="M179" s="162">
        <v>57410</v>
      </c>
      <c r="N179" s="162"/>
      <c r="O179" s="162">
        <v>104509</v>
      </c>
      <c r="P179" s="162">
        <v>61530</v>
      </c>
      <c r="Q179" s="162">
        <v>46011</v>
      </c>
      <c r="R179" s="162">
        <v>57449</v>
      </c>
      <c r="S179" s="162">
        <v>17016</v>
      </c>
      <c r="T179" s="162">
        <v>108741</v>
      </c>
      <c r="U179" s="162"/>
      <c r="V179" s="162"/>
      <c r="W179" s="162">
        <v>152495</v>
      </c>
      <c r="X179" s="162">
        <v>3665</v>
      </c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98"/>
    </row>
    <row r="180" spans="1:36" s="303" customFormat="1" ht="18" customHeight="1" thickBot="1" x14ac:dyDescent="0.35">
      <c r="A180" s="156" t="s">
        <v>175</v>
      </c>
      <c r="B180" s="156" t="s">
        <v>577</v>
      </c>
      <c r="C180" s="179">
        <v>19789</v>
      </c>
      <c r="D180" s="255" t="s">
        <v>373</v>
      </c>
      <c r="E180" s="238">
        <f>IF(ISBLANK(D180),,C180)</f>
        <v>19789</v>
      </c>
      <c r="F180" s="238">
        <f t="shared" si="7"/>
        <v>0</v>
      </c>
      <c r="G180" s="238">
        <f t="shared" si="8"/>
        <v>0</v>
      </c>
      <c r="H180" s="131"/>
      <c r="I180" s="162"/>
      <c r="J180" s="162"/>
      <c r="K180" s="162"/>
      <c r="L180" s="162"/>
      <c r="M180" s="162"/>
      <c r="N180" s="162"/>
      <c r="O180" s="162" t="s">
        <v>587</v>
      </c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98"/>
    </row>
    <row r="181" spans="1:36" s="303" customFormat="1" ht="18" customHeight="1" thickBot="1" x14ac:dyDescent="0.35">
      <c r="A181" s="156" t="s">
        <v>176</v>
      </c>
      <c r="B181" s="156" t="s">
        <v>578</v>
      </c>
      <c r="C181" s="179">
        <v>98501</v>
      </c>
      <c r="D181" s="255" t="s">
        <v>587</v>
      </c>
      <c r="E181" s="238"/>
      <c r="F181" s="238">
        <f t="shared" si="7"/>
        <v>98501</v>
      </c>
      <c r="G181" s="238">
        <f t="shared" si="8"/>
        <v>0</v>
      </c>
      <c r="H181" s="131"/>
      <c r="I181" s="162"/>
      <c r="J181" s="162"/>
      <c r="K181" s="162"/>
      <c r="L181" s="162"/>
      <c r="M181" s="162"/>
      <c r="N181" s="162"/>
      <c r="O181" s="162">
        <v>19534</v>
      </c>
      <c r="P181" s="162"/>
      <c r="Q181" s="162">
        <v>16083</v>
      </c>
      <c r="R181" s="162"/>
      <c r="S181" s="162">
        <v>13306</v>
      </c>
      <c r="T181" s="162"/>
      <c r="U181" s="162">
        <v>2491</v>
      </c>
      <c r="V181" s="162"/>
      <c r="W181" s="162">
        <v>27811</v>
      </c>
      <c r="X181" s="162">
        <v>7010</v>
      </c>
      <c r="Y181" s="162">
        <v>8422</v>
      </c>
      <c r="Z181" s="162">
        <v>3844</v>
      </c>
      <c r="AA181" s="162"/>
      <c r="AB181" s="162"/>
      <c r="AC181" s="162"/>
      <c r="AD181" s="162"/>
      <c r="AE181" s="162"/>
      <c r="AF181" s="162"/>
      <c r="AG181" s="162"/>
      <c r="AH181" s="162"/>
      <c r="AI181" s="198"/>
    </row>
    <row r="182" spans="1:36" s="303" customFormat="1" ht="18" customHeight="1" thickBot="1" x14ac:dyDescent="0.35">
      <c r="A182" s="156" t="s">
        <v>177</v>
      </c>
      <c r="B182" s="156" t="s">
        <v>579</v>
      </c>
      <c r="C182" s="179">
        <v>44061</v>
      </c>
      <c r="D182" s="255" t="s">
        <v>587</v>
      </c>
      <c r="E182" s="238"/>
      <c r="F182" s="238">
        <f t="shared" si="7"/>
        <v>44061</v>
      </c>
      <c r="G182" s="238">
        <f t="shared" si="8"/>
        <v>0</v>
      </c>
      <c r="H182" s="131"/>
      <c r="I182" s="162"/>
      <c r="J182" s="162"/>
      <c r="K182" s="162"/>
      <c r="L182" s="162">
        <v>12340</v>
      </c>
      <c r="M182" s="162"/>
      <c r="N182" s="162"/>
      <c r="O182" s="162">
        <v>6140</v>
      </c>
      <c r="P182" s="162">
        <v>2348</v>
      </c>
      <c r="Q182" s="162"/>
      <c r="R182" s="162">
        <v>5526</v>
      </c>
      <c r="S182" s="162">
        <v>2641</v>
      </c>
      <c r="T182" s="162"/>
      <c r="U182" s="162"/>
      <c r="V182" s="162">
        <v>7097</v>
      </c>
      <c r="W182" s="162"/>
      <c r="X182" s="162"/>
      <c r="Y182" s="162">
        <v>7969</v>
      </c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98"/>
    </row>
    <row r="183" spans="1:36" s="303" customFormat="1" ht="18" customHeight="1" thickBot="1" x14ac:dyDescent="0.35">
      <c r="A183" s="156" t="s">
        <v>178</v>
      </c>
      <c r="B183" s="156" t="s">
        <v>580</v>
      </c>
      <c r="C183" s="179">
        <v>3663</v>
      </c>
      <c r="D183" s="255" t="s">
        <v>373</v>
      </c>
      <c r="E183" s="238">
        <f>IF(ISBLANK(D183),,C183)</f>
        <v>3663</v>
      </c>
      <c r="F183" s="238">
        <f t="shared" si="7"/>
        <v>0</v>
      </c>
      <c r="G183" s="238">
        <f t="shared" si="8"/>
        <v>0</v>
      </c>
      <c r="H183" s="131"/>
      <c r="I183" s="162"/>
      <c r="J183" s="162"/>
      <c r="K183" s="162"/>
      <c r="L183" s="162"/>
      <c r="M183" s="162"/>
      <c r="N183" s="162"/>
      <c r="O183" s="162" t="s">
        <v>587</v>
      </c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98"/>
    </row>
    <row r="184" spans="1:36" s="303" customFormat="1" ht="18" customHeight="1" thickBot="1" x14ac:dyDescent="0.35">
      <c r="A184" s="156" t="s">
        <v>179</v>
      </c>
      <c r="B184" s="156" t="s">
        <v>581</v>
      </c>
      <c r="C184" s="179">
        <v>5555</v>
      </c>
      <c r="D184" s="255" t="s">
        <v>373</v>
      </c>
      <c r="E184" s="238">
        <f>IF(ISBLANK(D184),,C184)</f>
        <v>5555</v>
      </c>
      <c r="F184" s="238">
        <f t="shared" si="7"/>
        <v>0</v>
      </c>
      <c r="G184" s="238">
        <f t="shared" si="8"/>
        <v>0</v>
      </c>
      <c r="H184" s="131"/>
      <c r="I184" s="162"/>
      <c r="J184" s="162"/>
      <c r="K184" s="162"/>
      <c r="L184" s="162"/>
      <c r="M184" s="162"/>
      <c r="N184" s="162"/>
      <c r="O184" s="162" t="s">
        <v>587</v>
      </c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98"/>
    </row>
    <row r="185" spans="1:36" s="303" customFormat="1" ht="18" customHeight="1" thickBot="1" x14ac:dyDescent="0.35">
      <c r="A185" s="156" t="s">
        <v>180</v>
      </c>
      <c r="B185" s="156" t="s">
        <v>582</v>
      </c>
      <c r="C185" s="179">
        <v>4863</v>
      </c>
      <c r="D185" s="255" t="s">
        <v>373</v>
      </c>
      <c r="E185" s="238">
        <f>IF(ISBLANK(D185),,C185)</f>
        <v>4863</v>
      </c>
      <c r="F185" s="238">
        <f t="shared" si="7"/>
        <v>0</v>
      </c>
      <c r="G185" s="238">
        <f t="shared" si="8"/>
        <v>0</v>
      </c>
      <c r="H185" s="131"/>
      <c r="I185" s="162"/>
      <c r="J185" s="162"/>
      <c r="K185" s="162"/>
      <c r="L185" s="162"/>
      <c r="M185" s="162"/>
      <c r="N185" s="162"/>
      <c r="O185" s="162" t="s">
        <v>587</v>
      </c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98"/>
    </row>
    <row r="186" spans="1:36" s="303" customFormat="1" ht="18" customHeight="1" thickBot="1" x14ac:dyDescent="0.35">
      <c r="A186" s="156" t="s">
        <v>181</v>
      </c>
      <c r="B186" s="156" t="s">
        <v>357</v>
      </c>
      <c r="C186" s="179">
        <v>34197</v>
      </c>
      <c r="D186" s="255" t="s">
        <v>587</v>
      </c>
      <c r="E186" s="238"/>
      <c r="F186" s="238">
        <f t="shared" si="7"/>
        <v>34197</v>
      </c>
      <c r="G186" s="238">
        <f t="shared" si="8"/>
        <v>0</v>
      </c>
      <c r="H186" s="131"/>
      <c r="I186" s="162"/>
      <c r="J186" s="162"/>
      <c r="K186" s="162"/>
      <c r="L186" s="162"/>
      <c r="M186" s="162"/>
      <c r="N186" s="162"/>
      <c r="O186" s="162">
        <v>7705</v>
      </c>
      <c r="P186" s="162"/>
      <c r="Q186" s="162"/>
      <c r="R186" s="162">
        <v>10724</v>
      </c>
      <c r="S186" s="162">
        <v>2430</v>
      </c>
      <c r="T186" s="162">
        <v>3575</v>
      </c>
      <c r="U186" s="162"/>
      <c r="V186" s="162"/>
      <c r="W186" s="162"/>
      <c r="X186" s="162"/>
      <c r="Y186" s="162"/>
      <c r="Z186" s="162"/>
      <c r="AA186" s="162"/>
      <c r="AB186" s="162">
        <v>2428</v>
      </c>
      <c r="AC186" s="162"/>
      <c r="AD186" s="162"/>
      <c r="AE186" s="162">
        <v>7335</v>
      </c>
      <c r="AF186" s="162"/>
      <c r="AG186" s="162"/>
      <c r="AH186" s="162"/>
      <c r="AI186" s="198"/>
    </row>
    <row r="187" spans="1:36" s="303" customFormat="1" ht="18" customHeight="1" thickBot="1" x14ac:dyDescent="0.35">
      <c r="A187" s="156" t="s">
        <v>182</v>
      </c>
      <c r="B187" s="156" t="s">
        <v>584</v>
      </c>
      <c r="C187" s="179">
        <v>21758</v>
      </c>
      <c r="D187" s="255" t="s">
        <v>587</v>
      </c>
      <c r="E187" s="238"/>
      <c r="F187" s="238">
        <f t="shared" si="7"/>
        <v>21758</v>
      </c>
      <c r="G187" s="238">
        <f t="shared" si="8"/>
        <v>0</v>
      </c>
      <c r="H187" s="131"/>
      <c r="I187" s="162"/>
      <c r="J187" s="162"/>
      <c r="K187" s="162"/>
      <c r="L187" s="162"/>
      <c r="M187" s="162"/>
      <c r="N187" s="162"/>
      <c r="O187" s="162" t="s">
        <v>587</v>
      </c>
      <c r="P187" s="162"/>
      <c r="Q187" s="162"/>
      <c r="R187" s="162"/>
      <c r="S187" s="162">
        <f>11710+5923</f>
        <v>17633</v>
      </c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>
        <v>4125</v>
      </c>
      <c r="AF187" s="162"/>
      <c r="AG187" s="162"/>
      <c r="AH187" s="162"/>
      <c r="AI187" s="198"/>
    </row>
    <row r="188" spans="1:36" s="303" customFormat="1" ht="18" customHeight="1" thickBot="1" x14ac:dyDescent="0.35">
      <c r="A188" s="156" t="s">
        <v>183</v>
      </c>
      <c r="B188" s="156" t="s">
        <v>585</v>
      </c>
      <c r="C188" s="179">
        <v>6622</v>
      </c>
      <c r="D188" s="255" t="s">
        <v>372</v>
      </c>
      <c r="E188" s="238">
        <f>IF(ISBLANK(D188),,C188)</f>
        <v>6622</v>
      </c>
      <c r="F188" s="238">
        <f t="shared" si="7"/>
        <v>0</v>
      </c>
      <c r="G188" s="238">
        <f t="shared" si="8"/>
        <v>0</v>
      </c>
      <c r="H188" s="131"/>
      <c r="I188" s="162"/>
      <c r="J188" s="162"/>
      <c r="K188" s="162"/>
      <c r="L188" s="162"/>
      <c r="M188" s="162"/>
      <c r="N188" s="162"/>
      <c r="O188" s="162" t="s">
        <v>587</v>
      </c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98"/>
    </row>
    <row r="189" spans="1:36" s="303" customFormat="1" ht="18" customHeight="1" thickBot="1" x14ac:dyDescent="0.35">
      <c r="A189" s="156" t="s">
        <v>184</v>
      </c>
      <c r="B189" s="156" t="s">
        <v>360</v>
      </c>
      <c r="C189" s="179">
        <v>5052</v>
      </c>
      <c r="D189" s="255" t="s">
        <v>372</v>
      </c>
      <c r="E189" s="238">
        <f>IF(ISBLANK(D189),,C189)</f>
        <v>5052</v>
      </c>
      <c r="F189" s="238">
        <f t="shared" si="7"/>
        <v>0</v>
      </c>
      <c r="G189" s="238">
        <f t="shared" si="8"/>
        <v>0</v>
      </c>
      <c r="H189" s="131"/>
      <c r="I189" s="162"/>
      <c r="J189" s="162"/>
      <c r="K189" s="162"/>
      <c r="L189" s="162"/>
      <c r="M189" s="162"/>
      <c r="N189" s="162"/>
      <c r="O189" s="162" t="s">
        <v>587</v>
      </c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98"/>
    </row>
    <row r="190" spans="1:36" s="303" customFormat="1" ht="18" customHeight="1" thickBot="1" x14ac:dyDescent="0.35">
      <c r="A190" s="156" t="s">
        <v>417</v>
      </c>
      <c r="B190" s="156" t="s">
        <v>586</v>
      </c>
      <c r="C190" s="179">
        <v>27552</v>
      </c>
      <c r="D190" s="255" t="s">
        <v>587</v>
      </c>
      <c r="E190" s="238"/>
      <c r="F190" s="238">
        <f t="shared" si="7"/>
        <v>27552</v>
      </c>
      <c r="G190" s="238">
        <f t="shared" si="8"/>
        <v>0</v>
      </c>
      <c r="H190" s="131"/>
      <c r="I190" s="162"/>
      <c r="J190" s="162"/>
      <c r="K190" s="162"/>
      <c r="L190" s="162"/>
      <c r="M190" s="162"/>
      <c r="N190" s="162"/>
      <c r="O190" s="162" t="s">
        <v>587</v>
      </c>
      <c r="P190" s="162"/>
      <c r="Q190" s="162"/>
      <c r="R190" s="162"/>
      <c r="S190" s="162"/>
      <c r="T190" s="162">
        <v>26050</v>
      </c>
      <c r="U190" s="162"/>
      <c r="V190" s="162"/>
      <c r="W190" s="162"/>
      <c r="X190" s="162">
        <v>1502</v>
      </c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98"/>
    </row>
    <row r="191" spans="1:36" s="303" customFormat="1" ht="18" customHeight="1" thickBot="1" x14ac:dyDescent="0.35">
      <c r="A191" s="156" t="s">
        <v>364</v>
      </c>
      <c r="B191" s="261" t="s">
        <v>588</v>
      </c>
      <c r="C191" s="179">
        <v>9685</v>
      </c>
      <c r="D191" s="255" t="s">
        <v>587</v>
      </c>
      <c r="E191" s="238"/>
      <c r="F191" s="238">
        <f t="shared" si="7"/>
        <v>6247</v>
      </c>
      <c r="G191" s="238">
        <f t="shared" si="8"/>
        <v>3438</v>
      </c>
      <c r="H191" s="131"/>
      <c r="I191" s="162"/>
      <c r="J191" s="162"/>
      <c r="K191" s="162"/>
      <c r="L191" s="162"/>
      <c r="M191" s="162"/>
      <c r="N191" s="162"/>
      <c r="O191" s="162" t="s">
        <v>587</v>
      </c>
      <c r="P191" s="162"/>
      <c r="Q191" s="162"/>
      <c r="R191" s="162"/>
      <c r="S191" s="162"/>
      <c r="T191" s="162">
        <v>178</v>
      </c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>
        <v>6069</v>
      </c>
      <c r="AG191" s="162"/>
      <c r="AH191" s="162"/>
      <c r="AI191" s="198"/>
    </row>
    <row r="192" spans="1:36" s="303" customFormat="1" ht="18" customHeight="1" thickBot="1" x14ac:dyDescent="0.35">
      <c r="A192" s="313">
        <v>9025</v>
      </c>
      <c r="B192" s="263" t="s">
        <v>376</v>
      </c>
      <c r="C192" s="179">
        <f>SUMIF(D:D,A192,E:E)</f>
        <v>204293</v>
      </c>
      <c r="D192" s="255" t="s">
        <v>587</v>
      </c>
      <c r="E192" s="238"/>
      <c r="F192" s="238">
        <f t="shared" si="7"/>
        <v>204293</v>
      </c>
      <c r="G192" s="238">
        <f t="shared" si="8"/>
        <v>0</v>
      </c>
      <c r="H192" s="131"/>
      <c r="I192" s="162"/>
      <c r="J192" s="162"/>
      <c r="K192" s="162"/>
      <c r="L192" s="162"/>
      <c r="M192" s="162"/>
      <c r="N192" s="162"/>
      <c r="O192" s="162" t="s">
        <v>587</v>
      </c>
      <c r="P192" s="162"/>
      <c r="Q192" s="162"/>
      <c r="R192" s="162"/>
      <c r="S192" s="162">
        <v>8486</v>
      </c>
      <c r="T192" s="162">
        <v>21569</v>
      </c>
      <c r="U192" s="162">
        <v>291</v>
      </c>
      <c r="V192" s="162"/>
      <c r="W192" s="162"/>
      <c r="X192" s="162">
        <v>39579</v>
      </c>
      <c r="Y192" s="162">
        <v>10077</v>
      </c>
      <c r="Z192" s="162"/>
      <c r="AA192" s="162">
        <v>19664</v>
      </c>
      <c r="AB192" s="162">
        <v>10160</v>
      </c>
      <c r="AC192" s="162">
        <v>9991</v>
      </c>
      <c r="AD192" s="162">
        <v>9806</v>
      </c>
      <c r="AE192" s="162">
        <v>18481</v>
      </c>
      <c r="AF192" s="162">
        <v>30720</v>
      </c>
      <c r="AG192" s="162"/>
      <c r="AH192" s="162"/>
      <c r="AI192" s="198"/>
      <c r="AJ192" s="303">
        <v>25469</v>
      </c>
    </row>
    <row r="193" spans="1:36" s="303" customFormat="1" ht="18" customHeight="1" thickBot="1" x14ac:dyDescent="0.35">
      <c r="A193" s="156" t="s">
        <v>373</v>
      </c>
      <c r="B193" s="263" t="s">
        <v>633</v>
      </c>
      <c r="C193" s="179">
        <f>SUMIF(D:D,A193,E:E)</f>
        <v>191805</v>
      </c>
      <c r="D193" s="255" t="s">
        <v>587</v>
      </c>
      <c r="E193" s="238"/>
      <c r="F193" s="238">
        <f>SUM(H193:AJ193)</f>
        <v>191805</v>
      </c>
      <c r="G193" s="238">
        <f t="shared" si="8"/>
        <v>0</v>
      </c>
      <c r="H193" s="131"/>
      <c r="I193" s="162"/>
      <c r="J193" s="162"/>
      <c r="K193" s="162"/>
      <c r="L193" s="162"/>
      <c r="M193" s="162"/>
      <c r="N193" s="162"/>
      <c r="O193" s="162" t="s">
        <v>587</v>
      </c>
      <c r="P193" s="162"/>
      <c r="Q193" s="162"/>
      <c r="R193" s="162">
        <v>38608</v>
      </c>
      <c r="S193" s="162">
        <v>25000</v>
      </c>
      <c r="T193" s="162">
        <v>11500</v>
      </c>
      <c r="U193" s="162">
        <v>45000</v>
      </c>
      <c r="V193" s="162">
        <v>23831</v>
      </c>
      <c r="W193" s="162">
        <v>774</v>
      </c>
      <c r="X193" s="162">
        <v>24112</v>
      </c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98"/>
      <c r="AJ193" s="303">
        <v>22980</v>
      </c>
    </row>
    <row r="194" spans="1:36" s="303" customFormat="1" ht="18" customHeight="1" thickBot="1" x14ac:dyDescent="0.35">
      <c r="A194" s="156" t="s">
        <v>374</v>
      </c>
      <c r="B194" s="214" t="s">
        <v>378</v>
      </c>
      <c r="C194" s="179">
        <f>SUMIF(D:D,A194,E:E)</f>
        <v>45654</v>
      </c>
      <c r="D194" s="255" t="s">
        <v>587</v>
      </c>
      <c r="E194" s="238"/>
      <c r="F194" s="238">
        <f t="shared" si="7"/>
        <v>45654</v>
      </c>
      <c r="G194" s="238">
        <f t="shared" si="8"/>
        <v>0</v>
      </c>
      <c r="H194" s="131"/>
      <c r="I194" s="162"/>
      <c r="J194" s="162"/>
      <c r="K194" s="162"/>
      <c r="L194" s="162"/>
      <c r="M194" s="162">
        <v>1616</v>
      </c>
      <c r="N194" s="162">
        <v>3112</v>
      </c>
      <c r="O194" s="162">
        <v>7812</v>
      </c>
      <c r="P194" s="162">
        <v>150</v>
      </c>
      <c r="Q194" s="162">
        <v>2968</v>
      </c>
      <c r="R194" s="162">
        <v>4419</v>
      </c>
      <c r="S194" s="162"/>
      <c r="T194" s="162">
        <v>10388</v>
      </c>
      <c r="U194" s="162"/>
      <c r="V194" s="162"/>
      <c r="W194" s="162"/>
      <c r="X194" s="162">
        <v>10813</v>
      </c>
      <c r="Y194" s="162">
        <v>1500</v>
      </c>
      <c r="Z194" s="162"/>
      <c r="AA194" s="162">
        <v>1850</v>
      </c>
      <c r="AB194" s="162"/>
      <c r="AC194" s="162">
        <v>1026</v>
      </c>
      <c r="AD194" s="162"/>
      <c r="AE194" s="162"/>
      <c r="AF194" s="162"/>
      <c r="AG194" s="162"/>
      <c r="AH194" s="162"/>
      <c r="AI194" s="198"/>
    </row>
    <row r="195" spans="1:36" s="303" customFormat="1" ht="18" customHeight="1" thickBot="1" x14ac:dyDescent="0.35">
      <c r="A195" s="156" t="s">
        <v>375</v>
      </c>
      <c r="B195" s="263" t="s">
        <v>634</v>
      </c>
      <c r="C195" s="179">
        <f>SUMIF(D:D,A195,E:E)</f>
        <v>11014</v>
      </c>
      <c r="D195" s="255" t="s">
        <v>587</v>
      </c>
      <c r="E195" s="238"/>
      <c r="F195" s="238">
        <f t="shared" si="7"/>
        <v>10980</v>
      </c>
      <c r="G195" s="238">
        <f t="shared" si="8"/>
        <v>34</v>
      </c>
      <c r="H195" s="131"/>
      <c r="I195" s="162"/>
      <c r="J195" s="162"/>
      <c r="K195" s="162"/>
      <c r="L195" s="162"/>
      <c r="M195" s="162"/>
      <c r="N195" s="162"/>
      <c r="O195" s="162" t="s">
        <v>587</v>
      </c>
      <c r="P195" s="162"/>
      <c r="Q195" s="162"/>
      <c r="S195" s="162"/>
      <c r="T195" s="162"/>
      <c r="U195" s="162"/>
      <c r="V195" s="162">
        <v>10980</v>
      </c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98"/>
    </row>
    <row r="196" spans="1:36" s="303" customFormat="1" ht="18" customHeight="1" thickBot="1" x14ac:dyDescent="0.35">
      <c r="A196" s="161"/>
      <c r="B196" s="261"/>
      <c r="C196" s="238"/>
      <c r="D196" s="179"/>
      <c r="E196" s="238"/>
      <c r="F196" s="238">
        <f t="shared" si="7"/>
        <v>0</v>
      </c>
      <c r="G196" s="238"/>
      <c r="H196" s="131"/>
      <c r="I196" s="162"/>
      <c r="J196" s="162"/>
      <c r="K196" s="162"/>
      <c r="L196" s="162"/>
      <c r="M196" s="162"/>
      <c r="N196" s="162"/>
      <c r="O196" s="162"/>
      <c r="P196" s="162"/>
      <c r="Q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49"/>
    </row>
    <row r="197" spans="1:36" s="304" customFormat="1" ht="18" customHeight="1" thickBot="1" x14ac:dyDescent="0.35">
      <c r="A197" s="155" t="s">
        <v>590</v>
      </c>
      <c r="B197" s="155"/>
      <c r="C197" s="191">
        <f>SUM(C12:C195)-E197</f>
        <v>23406796</v>
      </c>
      <c r="D197" s="191"/>
      <c r="E197" s="242">
        <f>SUM(E12:E195)</f>
        <v>452766</v>
      </c>
      <c r="F197" s="242">
        <f>SUM(F12:F195)</f>
        <v>23333911</v>
      </c>
      <c r="G197" s="242">
        <f>SUM(G12:G195)</f>
        <v>72885</v>
      </c>
      <c r="H197" s="145">
        <f>SUM(H12:H195)</f>
        <v>0</v>
      </c>
      <c r="I197" s="145">
        <f t="shared" ref="I197:AJ197" si="9">SUM(I12:I195)</f>
        <v>0</v>
      </c>
      <c r="J197" s="145">
        <f t="shared" si="9"/>
        <v>0</v>
      </c>
      <c r="K197" s="145">
        <f t="shared" si="9"/>
        <v>160408</v>
      </c>
      <c r="L197" s="145">
        <f t="shared" si="9"/>
        <v>1173899</v>
      </c>
      <c r="M197" s="145">
        <f t="shared" si="9"/>
        <v>945499</v>
      </c>
      <c r="N197" s="145">
        <f t="shared" si="9"/>
        <v>1533300</v>
      </c>
      <c r="O197" s="145">
        <f t="shared" si="9"/>
        <v>1793162</v>
      </c>
      <c r="P197" s="145">
        <f t="shared" si="9"/>
        <v>1824831</v>
      </c>
      <c r="Q197" s="145">
        <f t="shared" si="9"/>
        <v>1667756</v>
      </c>
      <c r="R197" s="145">
        <f t="shared" si="9"/>
        <v>1973613</v>
      </c>
      <c r="S197" s="145">
        <f t="shared" si="9"/>
        <v>2850263</v>
      </c>
      <c r="T197" s="145">
        <f t="shared" si="9"/>
        <v>1428055</v>
      </c>
      <c r="U197" s="145">
        <f t="shared" si="9"/>
        <v>996416</v>
      </c>
      <c r="V197" s="145">
        <f t="shared" si="9"/>
        <v>1415478</v>
      </c>
      <c r="W197" s="145">
        <f t="shared" si="9"/>
        <v>1095729</v>
      </c>
      <c r="X197" s="145">
        <f t="shared" si="9"/>
        <v>1290488</v>
      </c>
      <c r="Y197" s="145">
        <f t="shared" si="9"/>
        <v>1334367</v>
      </c>
      <c r="Z197" s="145">
        <f t="shared" si="9"/>
        <v>393234</v>
      </c>
      <c r="AA197" s="145">
        <f t="shared" si="9"/>
        <v>514479</v>
      </c>
      <c r="AB197" s="145">
        <f t="shared" si="9"/>
        <v>274696</v>
      </c>
      <c r="AC197" s="145">
        <f t="shared" si="9"/>
        <v>171205</v>
      </c>
      <c r="AD197" s="145">
        <f t="shared" si="9"/>
        <v>137668</v>
      </c>
      <c r="AE197" s="145">
        <f t="shared" si="9"/>
        <v>140165</v>
      </c>
      <c r="AF197" s="145">
        <f t="shared" si="9"/>
        <v>123458</v>
      </c>
      <c r="AG197" s="145">
        <f t="shared" si="9"/>
        <v>2501</v>
      </c>
      <c r="AH197" s="145">
        <f t="shared" si="9"/>
        <v>30217</v>
      </c>
      <c r="AI197" s="145">
        <f t="shared" si="9"/>
        <v>14575</v>
      </c>
      <c r="AJ197" s="145">
        <f t="shared" si="9"/>
        <v>48449</v>
      </c>
    </row>
    <row r="198" spans="1:36" s="303" customFormat="1" x14ac:dyDescent="0.3">
      <c r="A198" s="305"/>
      <c r="B198" s="305"/>
      <c r="C198" s="306"/>
      <c r="D198" s="307"/>
      <c r="M198" s="308"/>
    </row>
    <row r="199" spans="1:36" s="303" customFormat="1" x14ac:dyDescent="0.3">
      <c r="A199" s="305"/>
      <c r="B199" s="305"/>
      <c r="D199" s="307"/>
      <c r="K199" s="308"/>
      <c r="L199" s="308"/>
      <c r="N199" s="308"/>
      <c r="O199" s="308"/>
      <c r="P199" s="308"/>
      <c r="Q199" s="308"/>
      <c r="R199" s="308"/>
      <c r="S199" s="308"/>
      <c r="V199" s="308"/>
      <c r="Z199" s="306"/>
    </row>
    <row r="200" spans="1:36" s="303" customFormat="1" x14ac:dyDescent="0.3">
      <c r="A200" s="305" t="s">
        <v>361</v>
      </c>
      <c r="B200" s="305" t="s">
        <v>388</v>
      </c>
      <c r="D200" s="307"/>
      <c r="G200" s="306">
        <f>23374233-F197</f>
        <v>40322</v>
      </c>
      <c r="J200" s="308"/>
      <c r="L200" s="308"/>
      <c r="Q200" s="308"/>
      <c r="R200" s="308"/>
      <c r="S200" s="308"/>
      <c r="T200" s="308"/>
      <c r="U200" s="308"/>
    </row>
    <row r="201" spans="1:36" s="303" customFormat="1" x14ac:dyDescent="0.3">
      <c r="A201" s="305"/>
      <c r="B201" s="305"/>
      <c r="D201" s="307"/>
    </row>
    <row r="202" spans="1:36" s="303" customFormat="1" x14ac:dyDescent="0.3">
      <c r="A202" s="305"/>
      <c r="B202" s="305"/>
      <c r="D202" s="307"/>
    </row>
    <row r="203" spans="1:36" s="303" customFormat="1" x14ac:dyDescent="0.3">
      <c r="A203" s="305"/>
      <c r="B203" s="305"/>
      <c r="D203" s="307"/>
    </row>
    <row r="204" spans="1:36" s="303" customFormat="1" x14ac:dyDescent="0.3">
      <c r="A204" s="305"/>
      <c r="B204" s="305"/>
      <c r="D204" s="307"/>
    </row>
    <row r="205" spans="1:36" s="303" customFormat="1" x14ac:dyDescent="0.3">
      <c r="A205" s="305"/>
      <c r="B205" s="305"/>
      <c r="D205" s="307"/>
    </row>
    <row r="206" spans="1:36" s="303" customFormat="1" x14ac:dyDescent="0.3">
      <c r="A206" s="305"/>
      <c r="B206" s="305"/>
      <c r="D206" s="307"/>
    </row>
    <row r="207" spans="1:36" s="303" customFormat="1" x14ac:dyDescent="0.3">
      <c r="A207" s="305"/>
      <c r="B207" s="305"/>
      <c r="D207" s="307"/>
    </row>
    <row r="208" spans="1:36" s="303" customFormat="1" x14ac:dyDescent="0.3">
      <c r="A208" s="305"/>
      <c r="B208" s="305"/>
      <c r="D208" s="307"/>
    </row>
    <row r="209" spans="1:4" s="303" customFormat="1" x14ac:dyDescent="0.3">
      <c r="A209" s="305"/>
      <c r="B209" s="305"/>
      <c r="D209" s="307"/>
    </row>
    <row r="210" spans="1:4" s="303" customFormat="1" x14ac:dyDescent="0.3">
      <c r="A210" s="305"/>
      <c r="B210" s="305"/>
      <c r="D210" s="307"/>
    </row>
    <row r="211" spans="1:4" s="303" customFormat="1" x14ac:dyDescent="0.3">
      <c r="A211" s="305"/>
      <c r="B211" s="305"/>
      <c r="D211" s="307"/>
    </row>
    <row r="212" spans="1:4" s="303" customFormat="1" x14ac:dyDescent="0.3">
      <c r="A212" s="305"/>
      <c r="B212" s="305"/>
      <c r="D212" s="307"/>
    </row>
    <row r="213" spans="1:4" s="303" customFormat="1" x14ac:dyDescent="0.3">
      <c r="A213" s="305"/>
      <c r="B213" s="305"/>
      <c r="D213" s="307"/>
    </row>
    <row r="214" spans="1:4" s="303" customFormat="1" x14ac:dyDescent="0.3">
      <c r="A214" s="305"/>
      <c r="B214" s="305"/>
      <c r="D214" s="307"/>
    </row>
    <row r="215" spans="1:4" s="303" customFormat="1" x14ac:dyDescent="0.3">
      <c r="A215" s="305"/>
      <c r="B215" s="305"/>
      <c r="D215" s="307"/>
    </row>
    <row r="216" spans="1:4" s="303" customFormat="1" x14ac:dyDescent="0.3">
      <c r="A216" s="305"/>
      <c r="B216" s="305"/>
      <c r="D216" s="307"/>
    </row>
    <row r="217" spans="1:4" s="303" customFormat="1" x14ac:dyDescent="0.3">
      <c r="A217" s="305"/>
      <c r="B217" s="305"/>
      <c r="D217" s="307"/>
    </row>
    <row r="218" spans="1:4" s="303" customFormat="1" x14ac:dyDescent="0.3">
      <c r="A218" s="305"/>
      <c r="B218" s="305"/>
      <c r="D218" s="307"/>
    </row>
    <row r="219" spans="1:4" s="303" customFormat="1" x14ac:dyDescent="0.3">
      <c r="A219" s="305"/>
      <c r="B219" s="305"/>
      <c r="D219" s="307"/>
    </row>
    <row r="220" spans="1:4" s="303" customFormat="1" x14ac:dyDescent="0.3">
      <c r="A220" s="305"/>
      <c r="B220" s="305"/>
      <c r="D220" s="307"/>
    </row>
    <row r="221" spans="1:4" s="303" customFormat="1" x14ac:dyDescent="0.3">
      <c r="A221" s="305"/>
      <c r="B221" s="305"/>
      <c r="D221" s="307"/>
    </row>
    <row r="222" spans="1:4" s="303" customFormat="1" x14ac:dyDescent="0.3">
      <c r="A222" s="305"/>
      <c r="B222" s="305"/>
      <c r="D222" s="307"/>
    </row>
    <row r="223" spans="1:4" s="303" customFormat="1" x14ac:dyDescent="0.3">
      <c r="A223" s="305"/>
      <c r="B223" s="305"/>
      <c r="D223" s="307"/>
    </row>
    <row r="224" spans="1:4" s="303" customFormat="1" x14ac:dyDescent="0.3">
      <c r="A224" s="305"/>
      <c r="B224" s="305"/>
      <c r="D224" s="307"/>
    </row>
    <row r="225" spans="4:4" x14ac:dyDescent="0.3">
      <c r="D225" s="309"/>
    </row>
    <row r="226" spans="4:4" x14ac:dyDescent="0.3">
      <c r="D226" s="309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9CCFF"/>
  </sheetPr>
  <dimension ref="A1:AK264"/>
  <sheetViews>
    <sheetView zoomScaleNormal="100" workbookViewId="0">
      <pane xSplit="9" ySplit="12" topLeftCell="Q13" activePane="bottomRight" state="frozen"/>
      <selection activeCell="AH13" sqref="AH13"/>
      <selection pane="topRight" activeCell="AH13" sqref="AH13"/>
      <selection pane="bottomLeft" activeCell="AH13" sqref="AH13"/>
      <selection pane="bottomRight" activeCell="A13" sqref="A13"/>
    </sheetView>
  </sheetViews>
  <sheetFormatPr defaultColWidth="9.109375" defaultRowHeight="14.4" x14ac:dyDescent="0.3"/>
  <cols>
    <col min="1" max="1" width="9.109375" style="1"/>
    <col min="2" max="2" width="29.88671875" style="170" customWidth="1"/>
    <col min="3" max="3" width="15.109375" style="9" customWidth="1"/>
    <col min="4" max="4" width="16.44140625" style="9" customWidth="1"/>
    <col min="5" max="5" width="15.6640625" style="5" customWidth="1"/>
    <col min="6" max="6" width="20" style="206" hidden="1" customWidth="1"/>
    <col min="7" max="7" width="17.5546875" style="9" hidden="1" customWidth="1"/>
    <col min="8" max="8" width="15.6640625" style="9" customWidth="1"/>
    <col min="9" max="9" width="17" style="9" customWidth="1"/>
    <col min="10" max="18" width="15.6640625" style="1" customWidth="1"/>
    <col min="19" max="19" width="19.109375" style="1" customWidth="1"/>
    <col min="20" max="36" width="15.6640625" style="1" customWidth="1"/>
    <col min="37" max="16384" width="9.109375" style="1"/>
  </cols>
  <sheetData>
    <row r="1" spans="1:37" ht="21" x14ac:dyDescent="0.35">
      <c r="A1" s="10" t="s">
        <v>0</v>
      </c>
      <c r="B1" s="168"/>
      <c r="C1" s="12" t="s">
        <v>391</v>
      </c>
      <c r="D1" s="159"/>
      <c r="E1" s="25"/>
      <c r="F1" s="200"/>
      <c r="G1" s="34"/>
      <c r="H1" s="34"/>
      <c r="I1" s="35"/>
      <c r="J1" s="28"/>
      <c r="K1" s="28"/>
      <c r="L1" s="12" t="str">
        <f>C1</f>
        <v>Title III-A Formula</v>
      </c>
      <c r="M1" s="12"/>
      <c r="N1" s="10"/>
      <c r="O1" s="10"/>
      <c r="P1" s="13"/>
      <c r="Q1" s="13"/>
      <c r="R1" s="101" t="str">
        <f>C1</f>
        <v>Title III-A Formula</v>
      </c>
      <c r="S1" s="28"/>
      <c r="T1" s="12"/>
      <c r="U1" s="12"/>
      <c r="V1" s="10"/>
      <c r="W1" s="10"/>
      <c r="X1" s="101" t="str">
        <f>C1</f>
        <v>Title III-A Formula</v>
      </c>
      <c r="Y1" s="13"/>
      <c r="Z1" s="28"/>
      <c r="AA1" s="28"/>
      <c r="AB1" s="12"/>
      <c r="AC1" s="12"/>
      <c r="AD1" s="101" t="str">
        <f>C1</f>
        <v>Title III-A Formula</v>
      </c>
      <c r="AE1" s="10"/>
      <c r="AF1" s="13"/>
      <c r="AG1" s="13"/>
      <c r="AH1" s="28"/>
      <c r="AI1" s="101" t="str">
        <f>C1</f>
        <v>Title III-A Formula</v>
      </c>
      <c r="AJ1" s="12"/>
    </row>
    <row r="2" spans="1:37" ht="15.75" x14ac:dyDescent="0.25">
      <c r="A2" s="15" t="s">
        <v>1</v>
      </c>
      <c r="B2" s="168"/>
      <c r="C2" s="16" t="s">
        <v>390</v>
      </c>
      <c r="D2" s="105"/>
      <c r="E2" s="36"/>
      <c r="F2" s="201"/>
      <c r="G2" s="37"/>
      <c r="H2" s="26"/>
      <c r="I2" s="27"/>
      <c r="J2" s="28"/>
      <c r="K2" s="28"/>
      <c r="L2" s="15" t="str">
        <f>"FY"&amp;C4</f>
        <v>FYFY16-17</v>
      </c>
      <c r="M2" s="15"/>
      <c r="N2" s="18"/>
      <c r="O2" s="18"/>
      <c r="P2" s="17"/>
      <c r="Q2" s="17"/>
      <c r="R2" s="104" t="str">
        <f>"FY"&amp;C4</f>
        <v>FYFY16-17</v>
      </c>
      <c r="S2" s="17"/>
      <c r="T2" s="15"/>
      <c r="U2" s="15"/>
      <c r="V2" s="18"/>
      <c r="W2" s="18"/>
      <c r="X2" s="104" t="str">
        <f>"FY"&amp;C4</f>
        <v>FYFY16-17</v>
      </c>
      <c r="Y2" s="17"/>
      <c r="Z2" s="17"/>
      <c r="AA2" s="17"/>
      <c r="AB2" s="15"/>
      <c r="AC2" s="15"/>
      <c r="AD2" s="104" t="str">
        <f>"FY"&amp;C4</f>
        <v>FYFY16-17</v>
      </c>
      <c r="AE2" s="18"/>
      <c r="AF2" s="17"/>
      <c r="AG2" s="17"/>
      <c r="AH2" s="17"/>
      <c r="AI2" s="104" t="str">
        <f>"FY"&amp;C4</f>
        <v>FYFY16-17</v>
      </c>
      <c r="AJ2" s="15"/>
    </row>
    <row r="3" spans="1:37" ht="15.75" x14ac:dyDescent="0.25">
      <c r="A3" s="15" t="s">
        <v>3</v>
      </c>
      <c r="B3" s="168"/>
      <c r="C3" s="18">
        <v>4365</v>
      </c>
      <c r="D3" s="160"/>
      <c r="E3" s="25"/>
      <c r="F3" s="200"/>
      <c r="G3" s="26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7" ht="21" x14ac:dyDescent="0.35">
      <c r="A4" s="15" t="s">
        <v>2</v>
      </c>
      <c r="B4" s="168"/>
      <c r="C4" s="12" t="s">
        <v>653</v>
      </c>
      <c r="D4" s="159"/>
      <c r="E4" s="25"/>
      <c r="F4" s="200"/>
      <c r="G4" s="26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7" ht="15.75" x14ac:dyDescent="0.25">
      <c r="A5" s="15" t="s">
        <v>406</v>
      </c>
      <c r="B5" s="168"/>
      <c r="C5" s="97" t="s">
        <v>646</v>
      </c>
      <c r="D5" s="97"/>
      <c r="E5" s="25"/>
      <c r="F5" s="200"/>
      <c r="G5" s="26"/>
      <c r="H5" s="26"/>
      <c r="I5" s="29"/>
      <c r="J5" s="19"/>
      <c r="K5" s="19"/>
      <c r="L5" s="19"/>
      <c r="M5" s="1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7" ht="15.75" x14ac:dyDescent="0.25">
      <c r="A6" s="15" t="s">
        <v>4</v>
      </c>
      <c r="B6" s="168"/>
      <c r="C6" s="97" t="s">
        <v>366</v>
      </c>
      <c r="D6" s="97"/>
      <c r="E6" s="25"/>
      <c r="F6" s="200"/>
      <c r="G6" s="26"/>
      <c r="H6" s="26"/>
      <c r="I6" s="29"/>
      <c r="J6" s="19"/>
      <c r="K6" s="19"/>
      <c r="L6" s="19"/>
      <c r="M6" s="1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7" ht="15.75" x14ac:dyDescent="0.25">
      <c r="A7" s="15"/>
      <c r="B7" s="168"/>
      <c r="C7" s="97" t="s">
        <v>410</v>
      </c>
      <c r="D7" s="97"/>
      <c r="E7" s="25"/>
      <c r="F7" s="200"/>
      <c r="G7" s="26"/>
      <c r="H7" s="26"/>
      <c r="I7" s="29"/>
      <c r="J7" s="19"/>
      <c r="K7" s="19"/>
      <c r="L7" s="19"/>
      <c r="M7" s="1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7" ht="15.75" x14ac:dyDescent="0.25">
      <c r="A8" s="15"/>
      <c r="B8" s="168"/>
      <c r="C8" s="18"/>
      <c r="D8" s="160"/>
      <c r="E8" s="25"/>
      <c r="F8" s="200"/>
      <c r="G8" s="26"/>
      <c r="H8" s="26"/>
      <c r="I8" s="29"/>
      <c r="J8" s="19"/>
      <c r="K8" s="19"/>
      <c r="L8" s="19"/>
      <c r="M8" s="1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7" ht="15.75" x14ac:dyDescent="0.25">
      <c r="A9" s="15" t="s">
        <v>380</v>
      </c>
      <c r="B9" s="168"/>
      <c r="C9" s="107" t="s">
        <v>642</v>
      </c>
      <c r="D9" s="160"/>
      <c r="E9" s="25"/>
      <c r="F9" s="200"/>
      <c r="G9" s="26"/>
      <c r="H9" s="27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7" ht="15.75" x14ac:dyDescent="0.25">
      <c r="A10" s="15" t="s">
        <v>381</v>
      </c>
      <c r="B10" s="168"/>
      <c r="C10" s="18" t="s">
        <v>382</v>
      </c>
      <c r="D10" s="160"/>
      <c r="E10" s="25"/>
      <c r="F10" s="200"/>
      <c r="G10" s="26"/>
      <c r="H10" s="27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7" ht="16.5" thickBot="1" x14ac:dyDescent="0.3">
      <c r="A11" s="15" t="s">
        <v>407</v>
      </c>
      <c r="B11" s="158"/>
      <c r="C11" s="104" t="s">
        <v>597</v>
      </c>
      <c r="D11" s="104"/>
      <c r="E11" s="25"/>
      <c r="F11" s="200"/>
      <c r="G11" s="26"/>
      <c r="H11" s="27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7" s="8" customFormat="1" ht="43.5" customHeight="1" thickBot="1" x14ac:dyDescent="0.3">
      <c r="A12" s="209" t="s">
        <v>367</v>
      </c>
      <c r="B12" s="69" t="s">
        <v>368</v>
      </c>
      <c r="C12" s="69" t="s">
        <v>369</v>
      </c>
      <c r="D12" s="69" t="s">
        <v>637</v>
      </c>
      <c r="E12" s="69" t="s">
        <v>402</v>
      </c>
      <c r="F12" s="202"/>
      <c r="G12" s="69" t="s">
        <v>404</v>
      </c>
      <c r="H12" s="66" t="s">
        <v>370</v>
      </c>
      <c r="I12" s="85" t="s">
        <v>371</v>
      </c>
      <c r="J12" s="149" t="s">
        <v>598</v>
      </c>
      <c r="K12" s="149" t="s">
        <v>599</v>
      </c>
      <c r="L12" s="149" t="s">
        <v>600</v>
      </c>
      <c r="M12" s="149" t="s">
        <v>601</v>
      </c>
      <c r="N12" s="149" t="s">
        <v>602</v>
      </c>
      <c r="O12" s="149" t="s">
        <v>603</v>
      </c>
      <c r="P12" s="149" t="s">
        <v>604</v>
      </c>
      <c r="Q12" s="149" t="s">
        <v>605</v>
      </c>
      <c r="R12" s="149" t="s">
        <v>606</v>
      </c>
      <c r="S12" s="150" t="s">
        <v>607</v>
      </c>
      <c r="T12" s="149" t="s">
        <v>608</v>
      </c>
      <c r="U12" s="149" t="s">
        <v>609</v>
      </c>
      <c r="V12" s="149" t="s">
        <v>610</v>
      </c>
      <c r="W12" s="149" t="s">
        <v>611</v>
      </c>
      <c r="X12" s="149" t="s">
        <v>612</v>
      </c>
      <c r="Y12" s="149" t="s">
        <v>613</v>
      </c>
      <c r="Z12" s="149" t="s">
        <v>614</v>
      </c>
      <c r="AA12" s="149" t="s">
        <v>615</v>
      </c>
      <c r="AB12" s="149" t="s">
        <v>616</v>
      </c>
      <c r="AC12" s="149" t="s">
        <v>617</v>
      </c>
      <c r="AD12" s="149" t="s">
        <v>618</v>
      </c>
      <c r="AE12" s="149" t="s">
        <v>619</v>
      </c>
      <c r="AF12" s="149" t="s">
        <v>620</v>
      </c>
      <c r="AG12" s="149" t="s">
        <v>621</v>
      </c>
      <c r="AH12" s="149" t="s">
        <v>622</v>
      </c>
      <c r="AI12" s="149" t="s">
        <v>623</v>
      </c>
      <c r="AJ12" s="149" t="s">
        <v>624</v>
      </c>
      <c r="AK12" s="210"/>
    </row>
    <row r="13" spans="1:37" s="3" customFormat="1" ht="18" customHeight="1" thickBot="1" x14ac:dyDescent="0.35">
      <c r="A13" s="146" t="s">
        <v>7</v>
      </c>
      <c r="B13" s="166" t="s">
        <v>185</v>
      </c>
      <c r="C13" s="146">
        <v>163644</v>
      </c>
      <c r="D13" s="180">
        <f>C13+G13</f>
        <v>163644</v>
      </c>
      <c r="E13" s="181"/>
      <c r="F13" s="203">
        <f>SUMIF(E:E, A13,C:C )</f>
        <v>0</v>
      </c>
      <c r="G13" s="188">
        <f>IF(ISBLANK(E13),,-C13)+IF(ISBLANK(F13),,F13)</f>
        <v>0</v>
      </c>
      <c r="H13" s="127">
        <f>SUM(J13:AJ13)</f>
        <v>163644</v>
      </c>
      <c r="I13" s="188">
        <f>IF(ISBLANK(E13),D13-H13,0)</f>
        <v>0</v>
      </c>
      <c r="J13" s="134"/>
      <c r="K13" s="121"/>
      <c r="L13" s="121"/>
      <c r="M13" s="121"/>
      <c r="N13" s="121"/>
      <c r="O13" s="121"/>
      <c r="P13" s="121">
        <v>3641</v>
      </c>
      <c r="Q13" s="121">
        <v>17966</v>
      </c>
      <c r="R13" s="121">
        <v>10637</v>
      </c>
      <c r="S13" s="121">
        <v>9861</v>
      </c>
      <c r="T13" s="121">
        <v>9270</v>
      </c>
      <c r="U13" s="162">
        <v>19321</v>
      </c>
      <c r="V13" s="121">
        <v>9512</v>
      </c>
      <c r="W13" s="121">
        <v>9267</v>
      </c>
      <c r="X13" s="121">
        <v>4617</v>
      </c>
      <c r="Y13" s="121">
        <v>47733</v>
      </c>
      <c r="Z13" s="177">
        <v>9645</v>
      </c>
      <c r="AA13" s="121">
        <v>9645</v>
      </c>
      <c r="AB13" s="121">
        <v>2529</v>
      </c>
      <c r="AC13" s="121"/>
      <c r="AD13" s="121"/>
      <c r="AE13" s="121"/>
      <c r="AF13" s="121"/>
      <c r="AG13" s="121"/>
      <c r="AH13" s="121"/>
      <c r="AI13" s="121"/>
      <c r="AJ13" s="121"/>
    </row>
    <row r="14" spans="1:37" s="3" customFormat="1" ht="18" customHeight="1" thickBot="1" x14ac:dyDescent="0.35">
      <c r="A14" s="146" t="s">
        <v>8</v>
      </c>
      <c r="B14" s="166" t="s">
        <v>428</v>
      </c>
      <c r="C14" s="146">
        <v>469667</v>
      </c>
      <c r="D14" s="180">
        <f t="shared" ref="D14:D77" si="0">C14+G14</f>
        <v>469667</v>
      </c>
      <c r="E14" s="181"/>
      <c r="F14" s="203">
        <f t="shared" ref="F14:F76" si="1">SUMIF(E:E, A14,C:C )</f>
        <v>0</v>
      </c>
      <c r="G14" s="188">
        <f t="shared" ref="G14:G77" si="2">IF(ISBLANK(E14),,-C14)+IF(ISBLANK(F14),,F14)</f>
        <v>0</v>
      </c>
      <c r="H14" s="127">
        <f t="shared" ref="H14:H77" si="3">SUM(J14:AJ14)</f>
        <v>469667</v>
      </c>
      <c r="I14" s="188">
        <f t="shared" ref="I14:I77" si="4">IF(ISBLANK(E14),D14-H14,0)</f>
        <v>0</v>
      </c>
      <c r="J14" s="134"/>
      <c r="K14" s="121"/>
      <c r="L14" s="121"/>
      <c r="M14" s="121"/>
      <c r="N14" s="121">
        <v>50224</v>
      </c>
      <c r="O14" s="121">
        <v>34261</v>
      </c>
      <c r="P14" s="121">
        <v>28594</v>
      </c>
      <c r="Q14" s="162">
        <v>32063</v>
      </c>
      <c r="R14" s="121">
        <v>25478</v>
      </c>
      <c r="S14" s="121">
        <v>27853</v>
      </c>
      <c r="T14" s="121">
        <v>29478</v>
      </c>
      <c r="U14" s="128">
        <v>33640</v>
      </c>
      <c r="V14" s="121"/>
      <c r="W14" s="121"/>
      <c r="X14" s="121">
        <v>53397</v>
      </c>
      <c r="Y14" s="121">
        <v>12439</v>
      </c>
      <c r="Z14" s="177">
        <v>76447</v>
      </c>
      <c r="AA14" s="121">
        <v>64130</v>
      </c>
      <c r="AB14" s="121">
        <v>1663</v>
      </c>
      <c r="AC14" s="121"/>
      <c r="AD14" s="121"/>
      <c r="AE14" s="121"/>
      <c r="AF14" s="121"/>
      <c r="AG14" s="121"/>
      <c r="AH14" s="121"/>
      <c r="AI14" s="121"/>
      <c r="AJ14" s="121"/>
    </row>
    <row r="15" spans="1:37" s="3" customFormat="1" ht="18" customHeight="1" thickBot="1" x14ac:dyDescent="0.35">
      <c r="A15" s="146" t="s">
        <v>9</v>
      </c>
      <c r="B15" s="166" t="s">
        <v>187</v>
      </c>
      <c r="C15" s="146">
        <v>205546</v>
      </c>
      <c r="D15" s="180">
        <f t="shared" si="0"/>
        <v>205546</v>
      </c>
      <c r="E15" s="181"/>
      <c r="F15" s="203">
        <f t="shared" si="1"/>
        <v>0</v>
      </c>
      <c r="G15" s="188">
        <f t="shared" si="2"/>
        <v>0</v>
      </c>
      <c r="H15" s="127">
        <f t="shared" si="3"/>
        <v>205546</v>
      </c>
      <c r="I15" s="188">
        <f t="shared" si="4"/>
        <v>0</v>
      </c>
      <c r="J15" s="134"/>
      <c r="K15" s="121"/>
      <c r="L15" s="121"/>
      <c r="M15" s="121"/>
      <c r="N15" s="121"/>
      <c r="O15" s="121"/>
      <c r="P15" s="121"/>
      <c r="Q15" s="162">
        <v>175</v>
      </c>
      <c r="R15" s="121">
        <v>13482</v>
      </c>
      <c r="S15" s="121">
        <v>16188</v>
      </c>
      <c r="T15" s="121">
        <v>15261</v>
      </c>
      <c r="U15" s="128">
        <f>15075+14993</f>
        <v>30068</v>
      </c>
      <c r="V15" s="121"/>
      <c r="W15" s="121">
        <v>16104</v>
      </c>
      <c r="X15" s="121">
        <v>12925</v>
      </c>
      <c r="Y15" s="121"/>
      <c r="Z15" s="177"/>
      <c r="AA15" s="121">
        <f>31445+15243</f>
        <v>46688</v>
      </c>
      <c r="AB15" s="121">
        <v>23312</v>
      </c>
      <c r="AC15" s="121">
        <v>6695</v>
      </c>
      <c r="AD15" s="121">
        <v>13448</v>
      </c>
      <c r="AE15" s="121">
        <v>11200</v>
      </c>
      <c r="AF15" s="121"/>
      <c r="AG15" s="121"/>
      <c r="AH15" s="121"/>
      <c r="AI15" s="121"/>
      <c r="AJ15" s="121"/>
    </row>
    <row r="16" spans="1:37" s="3" customFormat="1" ht="18" customHeight="1" thickBot="1" x14ac:dyDescent="0.35">
      <c r="A16" s="146" t="s">
        <v>10</v>
      </c>
      <c r="B16" s="166" t="s">
        <v>411</v>
      </c>
      <c r="C16" s="146">
        <v>146909</v>
      </c>
      <c r="D16" s="180">
        <f t="shared" si="0"/>
        <v>146909</v>
      </c>
      <c r="E16" s="181"/>
      <c r="F16" s="203">
        <f t="shared" si="1"/>
        <v>0</v>
      </c>
      <c r="G16" s="188">
        <f t="shared" si="2"/>
        <v>0</v>
      </c>
      <c r="H16" s="127">
        <f t="shared" si="3"/>
        <v>146909</v>
      </c>
      <c r="I16" s="188">
        <f t="shared" si="4"/>
        <v>0</v>
      </c>
      <c r="J16" s="134"/>
      <c r="K16" s="121"/>
      <c r="L16" s="121"/>
      <c r="M16" s="121"/>
      <c r="N16" s="121"/>
      <c r="O16" s="121"/>
      <c r="P16" s="121"/>
      <c r="Q16" s="162">
        <v>62711</v>
      </c>
      <c r="R16" s="121"/>
      <c r="S16" s="121"/>
      <c r="T16" s="121">
        <v>19279</v>
      </c>
      <c r="U16" s="177">
        <v>11593</v>
      </c>
      <c r="V16" s="121">
        <v>10696</v>
      </c>
      <c r="W16" s="121"/>
      <c r="X16" s="121"/>
      <c r="Y16" s="121"/>
      <c r="Z16" s="177">
        <v>27918</v>
      </c>
      <c r="AA16" s="121"/>
      <c r="AB16" s="121">
        <v>14712</v>
      </c>
      <c r="AC16" s="121"/>
      <c r="AD16" s="121"/>
      <c r="AE16" s="121"/>
      <c r="AF16" s="121"/>
      <c r="AG16" s="121"/>
      <c r="AH16" s="121"/>
      <c r="AI16" s="121"/>
      <c r="AJ16" s="121"/>
    </row>
    <row r="17" spans="1:36" s="3" customFormat="1" ht="18" customHeight="1" thickBot="1" x14ac:dyDescent="0.35">
      <c r="A17" s="146" t="s">
        <v>11</v>
      </c>
      <c r="B17" s="166" t="s">
        <v>189</v>
      </c>
      <c r="C17" s="146">
        <v>6417</v>
      </c>
      <c r="D17" s="180">
        <f t="shared" si="0"/>
        <v>0</v>
      </c>
      <c r="E17" s="181" t="s">
        <v>372</v>
      </c>
      <c r="F17" s="203">
        <f>SUMIF(E:E, A17,C:C )</f>
        <v>0</v>
      </c>
      <c r="G17" s="188">
        <f t="shared" si="2"/>
        <v>-6417</v>
      </c>
      <c r="H17" s="127">
        <f t="shared" si="3"/>
        <v>0</v>
      </c>
      <c r="I17" s="188">
        <f t="shared" si="4"/>
        <v>0</v>
      </c>
      <c r="J17" s="134"/>
      <c r="K17" s="121"/>
      <c r="L17" s="121"/>
      <c r="M17" s="121"/>
      <c r="N17" s="121"/>
      <c r="O17" s="121"/>
      <c r="P17" s="121"/>
      <c r="Q17" s="162" t="s">
        <v>587</v>
      </c>
      <c r="R17" s="121"/>
      <c r="S17" s="121"/>
      <c r="T17" s="121"/>
      <c r="U17" s="177"/>
      <c r="V17" s="121"/>
      <c r="W17" s="121"/>
      <c r="X17" s="121"/>
      <c r="Y17" s="121"/>
      <c r="Z17" s="177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</row>
    <row r="18" spans="1:36" s="3" customFormat="1" ht="18" customHeight="1" thickBot="1" x14ac:dyDescent="0.35">
      <c r="A18" s="146" t="s">
        <v>12</v>
      </c>
      <c r="B18" s="166" t="s">
        <v>190</v>
      </c>
      <c r="C18" s="146">
        <v>2705</v>
      </c>
      <c r="D18" s="180">
        <f t="shared" si="0"/>
        <v>0</v>
      </c>
      <c r="E18" s="181" t="s">
        <v>372</v>
      </c>
      <c r="F18" s="203">
        <f t="shared" si="1"/>
        <v>0</v>
      </c>
      <c r="G18" s="188">
        <f t="shared" si="2"/>
        <v>-2705</v>
      </c>
      <c r="H18" s="127">
        <f t="shared" si="3"/>
        <v>0</v>
      </c>
      <c r="I18" s="188">
        <f t="shared" si="4"/>
        <v>0</v>
      </c>
      <c r="J18" s="134"/>
      <c r="K18" s="121"/>
      <c r="L18" s="121"/>
      <c r="M18" s="121"/>
      <c r="N18" s="121"/>
      <c r="O18" s="121"/>
      <c r="P18" s="121"/>
      <c r="Q18" s="162" t="s">
        <v>587</v>
      </c>
      <c r="R18" s="121"/>
      <c r="S18" s="121"/>
      <c r="T18" s="121"/>
      <c r="U18" s="177"/>
      <c r="V18" s="121"/>
      <c r="W18" s="121"/>
      <c r="X18" s="121"/>
      <c r="Y18" s="121"/>
      <c r="Z18" s="177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</row>
    <row r="19" spans="1:36" s="3" customFormat="1" ht="18" customHeight="1" thickBot="1" x14ac:dyDescent="0.35">
      <c r="A19" s="146" t="s">
        <v>13</v>
      </c>
      <c r="B19" s="166" t="s">
        <v>191</v>
      </c>
      <c r="C19" s="146">
        <v>247008</v>
      </c>
      <c r="D19" s="180">
        <f t="shared" si="0"/>
        <v>247008</v>
      </c>
      <c r="E19" s="181"/>
      <c r="F19" s="203">
        <f t="shared" si="1"/>
        <v>0</v>
      </c>
      <c r="G19" s="188">
        <f t="shared" si="2"/>
        <v>0</v>
      </c>
      <c r="H19" s="127">
        <f t="shared" si="3"/>
        <v>247008</v>
      </c>
      <c r="I19" s="188">
        <f>IF(ISBLANK(E19),D19-H19,0)</f>
        <v>0</v>
      </c>
      <c r="J19" s="134"/>
      <c r="K19" s="121"/>
      <c r="L19" s="121"/>
      <c r="M19" s="121"/>
      <c r="N19" s="121"/>
      <c r="O19" s="121">
        <v>7668</v>
      </c>
      <c r="P19" s="121">
        <v>16698</v>
      </c>
      <c r="Q19" s="162">
        <v>17616</v>
      </c>
      <c r="R19" s="121">
        <f>17235+17164</f>
        <v>34399</v>
      </c>
      <c r="S19" s="121">
        <v>16942</v>
      </c>
      <c r="T19" s="121">
        <v>18212</v>
      </c>
      <c r="U19" s="128">
        <v>17163</v>
      </c>
      <c r="V19" s="121">
        <v>17166</v>
      </c>
      <c r="W19" s="121">
        <v>18564</v>
      </c>
      <c r="X19" s="121">
        <v>17657</v>
      </c>
      <c r="Y19" s="121"/>
      <c r="Z19" s="177">
        <f>18475+18688</f>
        <v>37163</v>
      </c>
      <c r="AA19" s="121">
        <v>17967</v>
      </c>
      <c r="AB19" s="121"/>
      <c r="AC19" s="121">
        <v>9793</v>
      </c>
      <c r="AD19" s="121"/>
      <c r="AE19" s="121"/>
      <c r="AF19" s="121"/>
      <c r="AG19" s="121"/>
      <c r="AH19" s="121"/>
      <c r="AI19" s="121"/>
      <c r="AJ19" s="121"/>
    </row>
    <row r="20" spans="1:36" s="3" customFormat="1" ht="18" customHeight="1" thickBot="1" x14ac:dyDescent="0.35">
      <c r="A20" s="146" t="s">
        <v>14</v>
      </c>
      <c r="B20" s="166" t="s">
        <v>429</v>
      </c>
      <c r="C20" s="146">
        <v>19756</v>
      </c>
      <c r="D20" s="180">
        <f t="shared" si="0"/>
        <v>19756</v>
      </c>
      <c r="E20" s="181"/>
      <c r="F20" s="203">
        <f t="shared" si="1"/>
        <v>0</v>
      </c>
      <c r="G20" s="188">
        <f t="shared" si="2"/>
        <v>0</v>
      </c>
      <c r="H20" s="127">
        <f t="shared" si="3"/>
        <v>19756</v>
      </c>
      <c r="I20" s="188">
        <f t="shared" si="4"/>
        <v>0</v>
      </c>
      <c r="J20" s="134"/>
      <c r="K20" s="121"/>
      <c r="L20" s="121"/>
      <c r="M20" s="121">
        <v>992</v>
      </c>
      <c r="N20" s="121">
        <v>2888</v>
      </c>
      <c r="O20" s="121">
        <v>1628</v>
      </c>
      <c r="P20" s="121">
        <v>1628</v>
      </c>
      <c r="Q20" s="162">
        <v>1635</v>
      </c>
      <c r="R20" s="121">
        <v>1634</v>
      </c>
      <c r="S20" s="121">
        <v>1635</v>
      </c>
      <c r="T20" s="121">
        <v>1634</v>
      </c>
      <c r="U20" s="177">
        <v>2349</v>
      </c>
      <c r="V20" s="121">
        <v>2885</v>
      </c>
      <c r="W20" s="121">
        <v>848</v>
      </c>
      <c r="X20" s="121"/>
      <c r="Y20" s="121"/>
      <c r="Z20" s="177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</row>
    <row r="21" spans="1:36" s="3" customFormat="1" ht="18" customHeight="1" thickBot="1" x14ac:dyDescent="0.35">
      <c r="A21" s="146" t="s">
        <v>15</v>
      </c>
      <c r="B21" s="166" t="s">
        <v>431</v>
      </c>
      <c r="C21" s="146">
        <v>1321</v>
      </c>
      <c r="D21" s="180">
        <f t="shared" si="0"/>
        <v>0</v>
      </c>
      <c r="E21" s="181" t="s">
        <v>415</v>
      </c>
      <c r="F21" s="203">
        <f t="shared" si="1"/>
        <v>0</v>
      </c>
      <c r="G21" s="188">
        <f t="shared" si="2"/>
        <v>-1321</v>
      </c>
      <c r="H21" s="127">
        <f t="shared" si="3"/>
        <v>0</v>
      </c>
      <c r="I21" s="188">
        <f t="shared" si="4"/>
        <v>0</v>
      </c>
      <c r="J21" s="134"/>
      <c r="K21" s="121"/>
      <c r="L21" s="121"/>
      <c r="M21" s="121"/>
      <c r="N21" s="121"/>
      <c r="O21" s="121"/>
      <c r="P21" s="121"/>
      <c r="Q21" s="162" t="s">
        <v>587</v>
      </c>
      <c r="R21" s="121"/>
      <c r="S21" s="121"/>
      <c r="T21" s="121"/>
      <c r="U21" s="177"/>
      <c r="V21" s="121"/>
      <c r="W21" s="121"/>
      <c r="X21" s="121"/>
      <c r="Y21" s="121"/>
      <c r="Z21" s="177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s="3" customFormat="1" ht="18" customHeight="1" thickBot="1" x14ac:dyDescent="0.35">
      <c r="A22" s="146" t="s">
        <v>16</v>
      </c>
      <c r="B22" s="166" t="s">
        <v>194</v>
      </c>
      <c r="C22" s="146">
        <v>22335</v>
      </c>
      <c r="D22" s="180">
        <f t="shared" si="0"/>
        <v>22335</v>
      </c>
      <c r="E22" s="181"/>
      <c r="F22" s="203">
        <f t="shared" si="1"/>
        <v>0</v>
      </c>
      <c r="G22" s="188">
        <f t="shared" si="2"/>
        <v>0</v>
      </c>
      <c r="H22" s="127">
        <f t="shared" si="3"/>
        <v>22335</v>
      </c>
      <c r="I22" s="188">
        <f t="shared" si="4"/>
        <v>0</v>
      </c>
      <c r="J22" s="134"/>
      <c r="K22" s="121"/>
      <c r="L22" s="121"/>
      <c r="M22" s="121"/>
      <c r="N22" s="121">
        <v>3347</v>
      </c>
      <c r="O22" s="121">
        <v>1771</v>
      </c>
      <c r="P22" s="121">
        <v>1771</v>
      </c>
      <c r="Q22" s="162">
        <v>1778</v>
      </c>
      <c r="R22" s="121">
        <v>1778</v>
      </c>
      <c r="S22" s="121">
        <v>1778</v>
      </c>
      <c r="T22" s="121">
        <v>1777</v>
      </c>
      <c r="U22" s="128">
        <v>1962</v>
      </c>
      <c r="V22" s="121">
        <v>1960</v>
      </c>
      <c r="W22" s="121">
        <v>2201</v>
      </c>
      <c r="X22" s="121"/>
      <c r="Y22" s="121"/>
      <c r="Z22" s="177"/>
      <c r="AA22" s="121">
        <v>2212</v>
      </c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 s="3" customFormat="1" ht="18" customHeight="1" thickBot="1" x14ac:dyDescent="0.35">
      <c r="A23" s="146" t="s">
        <v>17</v>
      </c>
      <c r="B23" s="166" t="s">
        <v>195</v>
      </c>
      <c r="C23" s="146">
        <v>36617</v>
      </c>
      <c r="D23" s="180">
        <f t="shared" si="0"/>
        <v>36617</v>
      </c>
      <c r="E23" s="181"/>
      <c r="F23" s="203">
        <f t="shared" si="1"/>
        <v>0</v>
      </c>
      <c r="G23" s="188">
        <f t="shared" si="2"/>
        <v>0</v>
      </c>
      <c r="H23" s="127">
        <f t="shared" si="3"/>
        <v>36617</v>
      </c>
      <c r="I23" s="188">
        <f t="shared" si="4"/>
        <v>0</v>
      </c>
      <c r="J23" s="134"/>
      <c r="K23" s="121"/>
      <c r="L23" s="121"/>
      <c r="M23" s="121"/>
      <c r="N23" s="121"/>
      <c r="O23" s="121">
        <v>9764</v>
      </c>
      <c r="P23" s="121"/>
      <c r="Q23" s="162">
        <v>6898</v>
      </c>
      <c r="R23" s="121"/>
      <c r="S23" s="121">
        <v>6507</v>
      </c>
      <c r="T23" s="121"/>
      <c r="U23" s="177">
        <f>4988+3167</f>
        <v>8155</v>
      </c>
      <c r="V23" s="121"/>
      <c r="W23" s="121"/>
      <c r="X23" s="121">
        <v>1402</v>
      </c>
      <c r="Y23" s="121"/>
      <c r="Z23" s="177"/>
      <c r="AA23" s="121">
        <v>3891</v>
      </c>
      <c r="AB23" s="121"/>
      <c r="AC23" s="121"/>
      <c r="AD23" s="121"/>
      <c r="AE23" s="121"/>
      <c r="AF23" s="121"/>
      <c r="AG23" s="121"/>
      <c r="AH23" s="121"/>
      <c r="AI23" s="121"/>
      <c r="AJ23" s="121"/>
    </row>
    <row r="24" spans="1:36" s="3" customFormat="1" ht="18" customHeight="1" thickBot="1" x14ac:dyDescent="0.35">
      <c r="A24" s="146" t="s">
        <v>18</v>
      </c>
      <c r="B24" s="166" t="s">
        <v>196</v>
      </c>
      <c r="C24" s="146">
        <v>355223</v>
      </c>
      <c r="D24" s="180">
        <f t="shared" si="0"/>
        <v>355223</v>
      </c>
      <c r="E24" s="181"/>
      <c r="F24" s="203">
        <f t="shared" si="1"/>
        <v>0</v>
      </c>
      <c r="G24" s="188">
        <f t="shared" si="2"/>
        <v>0</v>
      </c>
      <c r="H24" s="127">
        <f t="shared" si="3"/>
        <v>355223</v>
      </c>
      <c r="I24" s="188">
        <f t="shared" si="4"/>
        <v>0</v>
      </c>
      <c r="J24" s="134"/>
      <c r="K24" s="121"/>
      <c r="L24" s="121"/>
      <c r="M24" s="121"/>
      <c r="N24" s="121"/>
      <c r="O24" s="121"/>
      <c r="P24" s="121"/>
      <c r="Q24" s="162">
        <v>9649</v>
      </c>
      <c r="R24" s="121"/>
      <c r="S24" s="121"/>
      <c r="T24" s="121">
        <v>99704</v>
      </c>
      <c r="U24" s="128">
        <f>32335+28959</f>
        <v>61294</v>
      </c>
      <c r="V24" s="121"/>
      <c r="W24" s="121"/>
      <c r="X24" s="121">
        <v>42144</v>
      </c>
      <c r="Y24" s="121"/>
      <c r="Z24" s="177">
        <v>64600</v>
      </c>
      <c r="AA24" s="121">
        <v>20287</v>
      </c>
      <c r="AB24" s="121">
        <v>29677</v>
      </c>
      <c r="AC24" s="121">
        <v>27868</v>
      </c>
      <c r="AD24" s="121"/>
      <c r="AE24" s="121"/>
      <c r="AF24" s="121"/>
      <c r="AG24" s="121"/>
      <c r="AH24" s="121"/>
      <c r="AI24" s="121"/>
      <c r="AJ24" s="121"/>
    </row>
    <row r="25" spans="1:36" s="3" customFormat="1" ht="18" customHeight="1" thickBot="1" x14ac:dyDescent="0.35">
      <c r="A25" s="146" t="s">
        <v>19</v>
      </c>
      <c r="B25" s="166" t="s">
        <v>197</v>
      </c>
      <c r="C25" s="146">
        <v>44482</v>
      </c>
      <c r="D25" s="180">
        <f t="shared" si="0"/>
        <v>44482</v>
      </c>
      <c r="E25" s="181"/>
      <c r="F25" s="203">
        <f t="shared" si="1"/>
        <v>0</v>
      </c>
      <c r="G25" s="188">
        <f t="shared" si="2"/>
        <v>0</v>
      </c>
      <c r="H25" s="127">
        <f t="shared" si="3"/>
        <v>44482</v>
      </c>
      <c r="I25" s="188">
        <f t="shared" si="4"/>
        <v>0</v>
      </c>
      <c r="J25" s="134"/>
      <c r="K25" s="121"/>
      <c r="L25" s="121"/>
      <c r="M25" s="121"/>
      <c r="N25" s="121"/>
      <c r="O25" s="121"/>
      <c r="P25" s="121"/>
      <c r="Q25" s="162" t="s">
        <v>587</v>
      </c>
      <c r="R25" s="121"/>
      <c r="S25" s="121"/>
      <c r="T25" s="121"/>
      <c r="U25" s="177"/>
      <c r="V25" s="121">
        <v>29</v>
      </c>
      <c r="W25" s="121"/>
      <c r="X25" s="121"/>
      <c r="Y25" s="121"/>
      <c r="Z25" s="177"/>
      <c r="AA25" s="121">
        <v>18645</v>
      </c>
      <c r="AB25" s="121"/>
      <c r="AC25" s="121">
        <v>5344</v>
      </c>
      <c r="AD25" s="121"/>
      <c r="AE25" s="121">
        <f>2719+3984</f>
        <v>6703</v>
      </c>
      <c r="AF25" s="121">
        <v>2600</v>
      </c>
      <c r="AG25" s="121">
        <v>2600</v>
      </c>
      <c r="AH25" s="121">
        <v>8561</v>
      </c>
      <c r="AI25" s="121"/>
      <c r="AJ25" s="121"/>
    </row>
    <row r="26" spans="1:36" s="3" customFormat="1" ht="18" customHeight="1" thickBot="1" x14ac:dyDescent="0.35">
      <c r="A26" s="146" t="s">
        <v>20</v>
      </c>
      <c r="B26" s="166" t="s">
        <v>198</v>
      </c>
      <c r="C26" s="146">
        <v>1132</v>
      </c>
      <c r="D26" s="180">
        <f t="shared" si="0"/>
        <v>0</v>
      </c>
      <c r="E26" s="181" t="s">
        <v>372</v>
      </c>
      <c r="F26" s="203">
        <f t="shared" si="1"/>
        <v>0</v>
      </c>
      <c r="G26" s="188">
        <f t="shared" si="2"/>
        <v>-1132</v>
      </c>
      <c r="H26" s="127">
        <f t="shared" si="3"/>
        <v>0</v>
      </c>
      <c r="I26" s="188">
        <f t="shared" si="4"/>
        <v>0</v>
      </c>
      <c r="J26" s="134"/>
      <c r="K26" s="121"/>
      <c r="L26" s="121"/>
      <c r="M26" s="121"/>
      <c r="N26" s="121"/>
      <c r="O26" s="121"/>
      <c r="P26" s="121"/>
      <c r="Q26" s="162" t="s">
        <v>587</v>
      </c>
      <c r="R26" s="121"/>
      <c r="S26" s="121"/>
      <c r="T26" s="121"/>
      <c r="U26" s="177"/>
      <c r="V26" s="121"/>
      <c r="W26" s="121"/>
      <c r="X26" s="121"/>
      <c r="Y26" s="121"/>
      <c r="Z26" s="177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</row>
    <row r="27" spans="1:36" s="3" customFormat="1" ht="18" customHeight="1" thickBot="1" x14ac:dyDescent="0.35">
      <c r="A27" s="146" t="s">
        <v>21</v>
      </c>
      <c r="B27" s="166" t="s">
        <v>199</v>
      </c>
      <c r="C27" s="146">
        <v>1038175</v>
      </c>
      <c r="D27" s="180">
        <f t="shared" si="0"/>
        <v>1038175</v>
      </c>
      <c r="E27" s="181"/>
      <c r="F27" s="203">
        <f t="shared" si="1"/>
        <v>0</v>
      </c>
      <c r="G27" s="188">
        <f t="shared" si="2"/>
        <v>0</v>
      </c>
      <c r="H27" s="127">
        <f t="shared" si="3"/>
        <v>1038175</v>
      </c>
      <c r="I27" s="188">
        <f t="shared" si="4"/>
        <v>0</v>
      </c>
      <c r="J27" s="134"/>
      <c r="K27" s="121"/>
      <c r="L27" s="121"/>
      <c r="M27" s="121"/>
      <c r="N27" s="121">
        <v>157173</v>
      </c>
      <c r="O27" s="121">
        <v>100821</v>
      </c>
      <c r="P27" s="121">
        <v>96516</v>
      </c>
      <c r="Q27" s="162">
        <v>19867</v>
      </c>
      <c r="R27" s="121">
        <v>192072</v>
      </c>
      <c r="S27" s="121">
        <v>94671</v>
      </c>
      <c r="T27" s="121">
        <v>96096</v>
      </c>
      <c r="U27" s="128">
        <v>94420</v>
      </c>
      <c r="V27" s="121">
        <v>91828</v>
      </c>
      <c r="W27" s="121">
        <v>1800</v>
      </c>
      <c r="X27" s="121"/>
      <c r="Y27" s="121">
        <v>92612</v>
      </c>
      <c r="Z27" s="177"/>
      <c r="AA27" s="121">
        <v>299</v>
      </c>
      <c r="AB27" s="121"/>
      <c r="AC27" s="121"/>
      <c r="AD27" s="121"/>
      <c r="AE27" s="121"/>
      <c r="AF27" s="121"/>
      <c r="AG27" s="121"/>
      <c r="AH27" s="121"/>
      <c r="AI27" s="121"/>
      <c r="AJ27" s="121"/>
    </row>
    <row r="28" spans="1:36" s="3" customFormat="1" ht="18" customHeight="1" thickBot="1" x14ac:dyDescent="0.4">
      <c r="A28" s="146" t="s">
        <v>22</v>
      </c>
      <c r="B28" s="166" t="s">
        <v>200</v>
      </c>
      <c r="C28" s="146">
        <v>52283</v>
      </c>
      <c r="D28" s="180">
        <f t="shared" si="0"/>
        <v>52283</v>
      </c>
      <c r="E28" s="181"/>
      <c r="F28" s="203">
        <f t="shared" si="1"/>
        <v>0</v>
      </c>
      <c r="G28" s="188">
        <f t="shared" si="2"/>
        <v>0</v>
      </c>
      <c r="H28" s="127">
        <f t="shared" si="3"/>
        <v>52283</v>
      </c>
      <c r="I28" s="188">
        <f t="shared" si="4"/>
        <v>0</v>
      </c>
      <c r="J28" s="134"/>
      <c r="K28" s="121"/>
      <c r="L28" s="121"/>
      <c r="M28" s="121"/>
      <c r="N28" s="121"/>
      <c r="O28" s="121"/>
      <c r="P28" s="121"/>
      <c r="Q28" s="162" t="s">
        <v>587</v>
      </c>
      <c r="R28" s="121"/>
      <c r="S28" s="121"/>
      <c r="T28" s="121">
        <v>34560</v>
      </c>
      <c r="U28" s="177">
        <v>9768</v>
      </c>
      <c r="V28" s="121">
        <v>7955</v>
      </c>
      <c r="W28" s="121"/>
      <c r="X28" s="121"/>
      <c r="Y28" s="121"/>
      <c r="Z28" s="177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</row>
    <row r="29" spans="1:36" s="3" customFormat="1" ht="18" customHeight="1" thickBot="1" x14ac:dyDescent="0.4">
      <c r="A29" s="146" t="s">
        <v>23</v>
      </c>
      <c r="B29" s="166" t="s">
        <v>433</v>
      </c>
      <c r="C29" s="146"/>
      <c r="D29" s="180">
        <f t="shared" si="0"/>
        <v>0</v>
      </c>
      <c r="E29" s="181"/>
      <c r="F29" s="203">
        <f t="shared" si="1"/>
        <v>0</v>
      </c>
      <c r="G29" s="188">
        <f t="shared" si="2"/>
        <v>0</v>
      </c>
      <c r="H29" s="127">
        <f t="shared" si="3"/>
        <v>0</v>
      </c>
      <c r="I29" s="188">
        <f t="shared" si="4"/>
        <v>0</v>
      </c>
      <c r="J29" s="134"/>
      <c r="K29" s="121"/>
      <c r="L29" s="121"/>
      <c r="M29" s="121"/>
      <c r="N29" s="121"/>
      <c r="O29" s="121"/>
      <c r="P29" s="121"/>
      <c r="Q29" s="162" t="s">
        <v>587</v>
      </c>
      <c r="R29" s="121"/>
      <c r="S29" s="121"/>
      <c r="T29" s="121"/>
      <c r="U29" s="177"/>
      <c r="V29" s="121"/>
      <c r="W29" s="121"/>
      <c r="X29" s="121"/>
      <c r="Y29" s="121"/>
      <c r="Z29" s="177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</row>
    <row r="30" spans="1:36" s="3" customFormat="1" ht="18" customHeight="1" thickBot="1" x14ac:dyDescent="0.4">
      <c r="A30" s="146" t="s">
        <v>24</v>
      </c>
      <c r="B30" s="166" t="s">
        <v>435</v>
      </c>
      <c r="C30" s="146">
        <v>377</v>
      </c>
      <c r="D30" s="180">
        <f t="shared" si="0"/>
        <v>0</v>
      </c>
      <c r="E30" s="181" t="s">
        <v>416</v>
      </c>
      <c r="F30" s="203">
        <f t="shared" si="1"/>
        <v>0</v>
      </c>
      <c r="G30" s="188">
        <f t="shared" si="2"/>
        <v>-377</v>
      </c>
      <c r="H30" s="127">
        <f t="shared" si="3"/>
        <v>0</v>
      </c>
      <c r="I30" s="188">
        <f t="shared" si="4"/>
        <v>0</v>
      </c>
      <c r="J30" s="134"/>
      <c r="K30" s="121"/>
      <c r="L30" s="121"/>
      <c r="M30" s="121"/>
      <c r="N30" s="121"/>
      <c r="O30" s="121"/>
      <c r="P30" s="121"/>
      <c r="Q30" s="162" t="s">
        <v>587</v>
      </c>
      <c r="R30" s="121"/>
      <c r="S30" s="121"/>
      <c r="T30" s="121"/>
      <c r="U30" s="177"/>
      <c r="V30" s="121"/>
      <c r="W30" s="121"/>
      <c r="X30" s="121"/>
      <c r="Y30" s="121"/>
      <c r="Z30" s="177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</row>
    <row r="31" spans="1:36" s="3" customFormat="1" ht="18" customHeight="1" thickBot="1" x14ac:dyDescent="0.4">
      <c r="A31" s="146" t="s">
        <v>25</v>
      </c>
      <c r="B31" s="166" t="s">
        <v>437</v>
      </c>
      <c r="C31" s="146"/>
      <c r="D31" s="180">
        <f t="shared" si="0"/>
        <v>0</v>
      </c>
      <c r="E31" s="181"/>
      <c r="F31" s="203">
        <f t="shared" si="1"/>
        <v>0</v>
      </c>
      <c r="G31" s="188">
        <f t="shared" si="2"/>
        <v>0</v>
      </c>
      <c r="H31" s="127">
        <f t="shared" si="3"/>
        <v>0</v>
      </c>
      <c r="I31" s="188">
        <f t="shared" si="4"/>
        <v>0</v>
      </c>
      <c r="J31" s="134"/>
      <c r="K31" s="121"/>
      <c r="L31" s="121"/>
      <c r="M31" s="121"/>
      <c r="N31" s="121"/>
      <c r="O31" s="121"/>
      <c r="P31" s="121"/>
      <c r="Q31" s="162" t="s">
        <v>587</v>
      </c>
      <c r="R31" s="121"/>
      <c r="S31" s="121"/>
      <c r="T31" s="121"/>
      <c r="U31" s="177"/>
      <c r="V31" s="121"/>
      <c r="W31" s="121"/>
      <c r="X31" s="121"/>
      <c r="Y31" s="121"/>
      <c r="Z31" s="177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</row>
    <row r="32" spans="1:36" s="3" customFormat="1" ht="18" customHeight="1" thickBot="1" x14ac:dyDescent="0.4">
      <c r="A32" s="146" t="s">
        <v>26</v>
      </c>
      <c r="B32" s="166" t="s">
        <v>438</v>
      </c>
      <c r="C32" s="146">
        <v>252</v>
      </c>
      <c r="D32" s="180">
        <f t="shared" si="0"/>
        <v>0</v>
      </c>
      <c r="E32" s="181" t="s">
        <v>416</v>
      </c>
      <c r="F32" s="203">
        <f t="shared" si="1"/>
        <v>0</v>
      </c>
      <c r="G32" s="188">
        <f t="shared" si="2"/>
        <v>-252</v>
      </c>
      <c r="H32" s="127">
        <f t="shared" si="3"/>
        <v>0</v>
      </c>
      <c r="I32" s="188">
        <f t="shared" si="4"/>
        <v>0</v>
      </c>
      <c r="J32" s="134"/>
      <c r="K32" s="121"/>
      <c r="L32" s="121"/>
      <c r="M32" s="121"/>
      <c r="N32" s="121"/>
      <c r="O32" s="121"/>
      <c r="P32" s="121"/>
      <c r="Q32" s="162" t="s">
        <v>587</v>
      </c>
      <c r="R32" s="121"/>
      <c r="S32" s="121"/>
      <c r="T32" s="121"/>
      <c r="U32" s="177"/>
      <c r="V32" s="121"/>
      <c r="W32" s="121"/>
      <c r="X32" s="121"/>
      <c r="Y32" s="121"/>
      <c r="Z32" s="177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</row>
    <row r="33" spans="1:36" s="3" customFormat="1" ht="18" customHeight="1" thickBot="1" x14ac:dyDescent="0.4">
      <c r="A33" s="146" t="s">
        <v>27</v>
      </c>
      <c r="B33" s="166" t="s">
        <v>439</v>
      </c>
      <c r="C33" s="146"/>
      <c r="D33" s="180">
        <f t="shared" si="0"/>
        <v>0</v>
      </c>
      <c r="E33" s="181"/>
      <c r="F33" s="203">
        <f t="shared" si="1"/>
        <v>0</v>
      </c>
      <c r="G33" s="188">
        <f t="shared" si="2"/>
        <v>0</v>
      </c>
      <c r="H33" s="127">
        <f t="shared" si="3"/>
        <v>0</v>
      </c>
      <c r="I33" s="188">
        <f t="shared" si="4"/>
        <v>0</v>
      </c>
      <c r="J33" s="134"/>
      <c r="K33" s="121"/>
      <c r="L33" s="121"/>
      <c r="M33" s="121"/>
      <c r="N33" s="121"/>
      <c r="O33" s="121"/>
      <c r="P33" s="121"/>
      <c r="Q33" s="162" t="s">
        <v>587</v>
      </c>
      <c r="R33" s="121"/>
      <c r="S33" s="121"/>
      <c r="T33" s="121"/>
      <c r="U33" s="177"/>
      <c r="V33" s="121"/>
      <c r="W33" s="121"/>
      <c r="X33" s="121"/>
      <c r="Y33" s="121"/>
      <c r="Z33" s="177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</row>
    <row r="34" spans="1:36" s="3" customFormat="1" ht="18" customHeight="1" thickBot="1" x14ac:dyDescent="0.4">
      <c r="A34" s="146" t="s">
        <v>28</v>
      </c>
      <c r="B34" s="166" t="s">
        <v>440</v>
      </c>
      <c r="C34" s="146"/>
      <c r="D34" s="180">
        <f t="shared" si="0"/>
        <v>0</v>
      </c>
      <c r="E34" s="181"/>
      <c r="F34" s="203">
        <f t="shared" si="1"/>
        <v>0</v>
      </c>
      <c r="G34" s="188">
        <f t="shared" si="2"/>
        <v>0</v>
      </c>
      <c r="H34" s="127">
        <f t="shared" si="3"/>
        <v>0</v>
      </c>
      <c r="I34" s="188">
        <f t="shared" si="4"/>
        <v>0</v>
      </c>
      <c r="J34" s="134"/>
      <c r="K34" s="121"/>
      <c r="L34" s="121"/>
      <c r="M34" s="121"/>
      <c r="N34" s="121"/>
      <c r="O34" s="121"/>
      <c r="P34" s="121"/>
      <c r="Q34" s="162" t="s">
        <v>587</v>
      </c>
      <c r="R34" s="121"/>
      <c r="S34" s="121"/>
      <c r="T34" s="121"/>
      <c r="U34" s="177"/>
      <c r="V34" s="121"/>
      <c r="W34" s="121"/>
      <c r="X34" s="121"/>
      <c r="Y34" s="121"/>
      <c r="Z34" s="177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</row>
    <row r="35" spans="1:36" s="3" customFormat="1" ht="18" customHeight="1" thickBot="1" x14ac:dyDescent="0.4">
      <c r="A35" s="146" t="s">
        <v>29</v>
      </c>
      <c r="B35" s="166" t="s">
        <v>441</v>
      </c>
      <c r="C35" s="146">
        <v>126</v>
      </c>
      <c r="D35" s="180">
        <f t="shared" si="0"/>
        <v>0</v>
      </c>
      <c r="E35" s="181" t="s">
        <v>416</v>
      </c>
      <c r="F35" s="203">
        <f t="shared" si="1"/>
        <v>0</v>
      </c>
      <c r="G35" s="188">
        <f t="shared" si="2"/>
        <v>-126</v>
      </c>
      <c r="H35" s="127">
        <f t="shared" si="3"/>
        <v>0</v>
      </c>
      <c r="I35" s="188">
        <f t="shared" si="4"/>
        <v>0</v>
      </c>
      <c r="J35" s="134"/>
      <c r="K35" s="121"/>
      <c r="L35" s="121"/>
      <c r="M35" s="121"/>
      <c r="N35" s="121"/>
      <c r="O35" s="121"/>
      <c r="P35" s="121"/>
      <c r="Q35" s="162" t="s">
        <v>587</v>
      </c>
      <c r="R35" s="121"/>
      <c r="S35" s="121"/>
      <c r="T35" s="121"/>
      <c r="U35" s="128"/>
      <c r="V35" s="121"/>
      <c r="W35" s="121"/>
      <c r="X35" s="121"/>
      <c r="Y35" s="121"/>
      <c r="Z35" s="177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</row>
    <row r="36" spans="1:36" s="3" customFormat="1" ht="18" customHeight="1" thickBot="1" x14ac:dyDescent="0.4">
      <c r="A36" s="146" t="s">
        <v>30</v>
      </c>
      <c r="B36" s="166" t="s">
        <v>443</v>
      </c>
      <c r="C36" s="146">
        <v>2139</v>
      </c>
      <c r="D36" s="180">
        <f t="shared" si="0"/>
        <v>0</v>
      </c>
      <c r="E36" s="181" t="s">
        <v>416</v>
      </c>
      <c r="F36" s="203">
        <f t="shared" si="1"/>
        <v>0</v>
      </c>
      <c r="G36" s="188">
        <f t="shared" si="2"/>
        <v>-2139</v>
      </c>
      <c r="H36" s="127">
        <f t="shared" si="3"/>
        <v>0</v>
      </c>
      <c r="I36" s="188">
        <f t="shared" si="4"/>
        <v>0</v>
      </c>
      <c r="J36" s="134"/>
      <c r="K36" s="121"/>
      <c r="L36" s="121"/>
      <c r="M36" s="121"/>
      <c r="N36" s="121"/>
      <c r="O36" s="121"/>
      <c r="P36" s="121"/>
      <c r="Q36" s="162" t="s">
        <v>587</v>
      </c>
      <c r="R36" s="121"/>
      <c r="S36" s="121"/>
      <c r="T36" s="121"/>
      <c r="U36" s="177"/>
      <c r="V36" s="121"/>
      <c r="W36" s="121"/>
      <c r="X36" s="121"/>
      <c r="Y36" s="121"/>
      <c r="Z36" s="177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</row>
    <row r="37" spans="1:36" s="3" customFormat="1" ht="18" customHeight="1" thickBot="1" x14ac:dyDescent="0.4">
      <c r="A37" s="146" t="s">
        <v>31</v>
      </c>
      <c r="B37" s="166" t="s">
        <v>444</v>
      </c>
      <c r="C37" s="146">
        <v>298221</v>
      </c>
      <c r="D37" s="180">
        <f t="shared" si="0"/>
        <v>298221</v>
      </c>
      <c r="E37" s="181"/>
      <c r="F37" s="203">
        <f t="shared" si="1"/>
        <v>0</v>
      </c>
      <c r="G37" s="188">
        <f t="shared" si="2"/>
        <v>0</v>
      </c>
      <c r="H37" s="127">
        <f t="shared" si="3"/>
        <v>298221</v>
      </c>
      <c r="I37" s="188">
        <f t="shared" si="4"/>
        <v>0</v>
      </c>
      <c r="J37" s="134"/>
      <c r="K37" s="121"/>
      <c r="L37" s="121"/>
      <c r="M37" s="121"/>
      <c r="N37" s="121"/>
      <c r="O37" s="121"/>
      <c r="P37" s="121"/>
      <c r="Q37" s="162" t="s">
        <v>587</v>
      </c>
      <c r="R37" s="121">
        <v>77474</v>
      </c>
      <c r="S37" s="121"/>
      <c r="T37" s="121"/>
      <c r="U37" s="177">
        <f>73029+74116</f>
        <v>147145</v>
      </c>
      <c r="V37" s="121"/>
      <c r="W37" s="121"/>
      <c r="X37" s="121"/>
      <c r="Y37" s="121">
        <v>41887</v>
      </c>
      <c r="Z37" s="177"/>
      <c r="AA37" s="121"/>
      <c r="AB37" s="121"/>
      <c r="AC37" s="121">
        <v>31715</v>
      </c>
      <c r="AD37" s="121"/>
      <c r="AE37" s="121"/>
      <c r="AF37" s="121"/>
      <c r="AG37" s="121"/>
      <c r="AH37" s="121"/>
      <c r="AI37" s="121"/>
      <c r="AJ37" s="121"/>
    </row>
    <row r="38" spans="1:36" s="3" customFormat="1" ht="18" customHeight="1" thickBot="1" x14ac:dyDescent="0.4">
      <c r="A38" s="146" t="s">
        <v>32</v>
      </c>
      <c r="B38" s="166" t="s">
        <v>446</v>
      </c>
      <c r="C38" s="146">
        <v>197808</v>
      </c>
      <c r="D38" s="180">
        <f t="shared" si="0"/>
        <v>197808</v>
      </c>
      <c r="E38" s="181"/>
      <c r="F38" s="203">
        <f t="shared" si="1"/>
        <v>0</v>
      </c>
      <c r="G38" s="188">
        <f t="shared" si="2"/>
        <v>0</v>
      </c>
      <c r="H38" s="127">
        <f t="shared" si="3"/>
        <v>197808</v>
      </c>
      <c r="I38" s="188">
        <f t="shared" si="4"/>
        <v>0</v>
      </c>
      <c r="J38" s="134"/>
      <c r="K38" s="121"/>
      <c r="L38" s="121"/>
      <c r="M38" s="121"/>
      <c r="N38" s="121"/>
      <c r="O38" s="121">
        <v>12198</v>
      </c>
      <c r="P38" s="121">
        <v>21055</v>
      </c>
      <c r="Q38" s="162">
        <v>22139</v>
      </c>
      <c r="R38" s="121">
        <v>14466</v>
      </c>
      <c r="S38" s="121">
        <v>46480</v>
      </c>
      <c r="T38" s="121"/>
      <c r="U38" s="177">
        <v>3872</v>
      </c>
      <c r="V38" s="121">
        <v>1494</v>
      </c>
      <c r="W38" s="121"/>
      <c r="X38" s="121">
        <v>3219</v>
      </c>
      <c r="Y38" s="121"/>
      <c r="Z38" s="177">
        <f>44404+23916</f>
        <v>68320</v>
      </c>
      <c r="AA38" s="121">
        <v>4565</v>
      </c>
      <c r="AB38" s="121"/>
      <c r="AC38" s="121"/>
      <c r="AD38" s="121"/>
      <c r="AE38" s="121"/>
      <c r="AF38" s="121"/>
      <c r="AG38" s="121"/>
      <c r="AH38" s="121"/>
      <c r="AI38" s="121"/>
      <c r="AJ38" s="121"/>
    </row>
    <row r="39" spans="1:36" s="3" customFormat="1" ht="18" customHeight="1" thickBot="1" x14ac:dyDescent="0.4">
      <c r="A39" s="146" t="s">
        <v>33</v>
      </c>
      <c r="B39" s="166" t="s">
        <v>211</v>
      </c>
      <c r="C39" s="146"/>
      <c r="D39" s="180">
        <f t="shared" si="0"/>
        <v>0</v>
      </c>
      <c r="E39" s="181"/>
      <c r="F39" s="203">
        <f t="shared" si="1"/>
        <v>0</v>
      </c>
      <c r="G39" s="188">
        <f t="shared" si="2"/>
        <v>0</v>
      </c>
      <c r="H39" s="127">
        <f t="shared" si="3"/>
        <v>0</v>
      </c>
      <c r="I39" s="188">
        <f t="shared" si="4"/>
        <v>0</v>
      </c>
      <c r="J39" s="134"/>
      <c r="K39" s="121"/>
      <c r="L39" s="121"/>
      <c r="M39" s="121"/>
      <c r="N39" s="121"/>
      <c r="O39" s="121"/>
      <c r="P39" s="121"/>
      <c r="Q39" s="162" t="s">
        <v>587</v>
      </c>
      <c r="R39" s="121"/>
      <c r="S39" s="121"/>
      <c r="T39" s="121"/>
      <c r="U39" s="177"/>
      <c r="V39" s="121"/>
      <c r="W39" s="121"/>
      <c r="X39" s="121"/>
      <c r="Y39" s="121"/>
      <c r="Z39" s="177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</row>
    <row r="40" spans="1:36" s="3" customFormat="1" ht="18" customHeight="1" thickBot="1" x14ac:dyDescent="0.4">
      <c r="A40" s="146" t="s">
        <v>34</v>
      </c>
      <c r="B40" s="166" t="s">
        <v>212</v>
      </c>
      <c r="C40" s="146">
        <v>1447</v>
      </c>
      <c r="D40" s="180">
        <f t="shared" si="0"/>
        <v>0</v>
      </c>
      <c r="E40" s="181" t="s">
        <v>415</v>
      </c>
      <c r="F40" s="203">
        <f t="shared" si="1"/>
        <v>0</v>
      </c>
      <c r="G40" s="188">
        <f t="shared" si="2"/>
        <v>-1447</v>
      </c>
      <c r="H40" s="127">
        <f t="shared" si="3"/>
        <v>0</v>
      </c>
      <c r="I40" s="188">
        <f t="shared" si="4"/>
        <v>0</v>
      </c>
      <c r="J40" s="134"/>
      <c r="K40" s="121"/>
      <c r="L40" s="121"/>
      <c r="M40" s="121"/>
      <c r="N40" s="121"/>
      <c r="O40" s="121"/>
      <c r="P40" s="121"/>
      <c r="Q40" s="162" t="s">
        <v>587</v>
      </c>
      <c r="R40" s="121"/>
      <c r="S40" s="121"/>
      <c r="T40" s="121"/>
      <c r="U40" s="177"/>
      <c r="V40" s="121"/>
      <c r="W40" s="121"/>
      <c r="X40" s="121"/>
      <c r="Y40" s="121"/>
      <c r="Z40" s="177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</row>
    <row r="41" spans="1:36" s="3" customFormat="1" ht="18" customHeight="1" thickBot="1" x14ac:dyDescent="0.4">
      <c r="A41" s="146" t="s">
        <v>35</v>
      </c>
      <c r="B41" s="166" t="s">
        <v>213</v>
      </c>
      <c r="C41" s="146">
        <v>63</v>
      </c>
      <c r="D41" s="180">
        <f t="shared" si="0"/>
        <v>0</v>
      </c>
      <c r="E41" s="181" t="s">
        <v>372</v>
      </c>
      <c r="F41" s="203">
        <f t="shared" si="1"/>
        <v>0</v>
      </c>
      <c r="G41" s="188">
        <f t="shared" si="2"/>
        <v>-63</v>
      </c>
      <c r="H41" s="127">
        <f t="shared" si="3"/>
        <v>0</v>
      </c>
      <c r="I41" s="188">
        <f t="shared" si="4"/>
        <v>0</v>
      </c>
      <c r="J41" s="134"/>
      <c r="K41" s="121"/>
      <c r="L41" s="121"/>
      <c r="M41" s="121"/>
      <c r="N41" s="121"/>
      <c r="O41" s="121"/>
      <c r="P41" s="121"/>
      <c r="Q41" s="162" t="s">
        <v>587</v>
      </c>
      <c r="R41" s="121"/>
      <c r="S41" s="121"/>
      <c r="T41" s="121"/>
      <c r="U41" s="177"/>
      <c r="V41" s="121"/>
      <c r="W41" s="121"/>
      <c r="X41" s="121"/>
      <c r="Y41" s="121"/>
      <c r="Z41" s="177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</row>
    <row r="42" spans="1:36" s="3" customFormat="1" ht="18" customHeight="1" thickBot="1" x14ac:dyDescent="0.4">
      <c r="A42" s="146" t="s">
        <v>36</v>
      </c>
      <c r="B42" s="166" t="s">
        <v>449</v>
      </c>
      <c r="C42" s="146">
        <v>755</v>
      </c>
      <c r="D42" s="180">
        <f t="shared" si="0"/>
        <v>0</v>
      </c>
      <c r="E42" s="181" t="s">
        <v>372</v>
      </c>
      <c r="F42" s="203">
        <f t="shared" si="1"/>
        <v>0</v>
      </c>
      <c r="G42" s="188">
        <f t="shared" si="2"/>
        <v>-755</v>
      </c>
      <c r="H42" s="127">
        <f t="shared" si="3"/>
        <v>0</v>
      </c>
      <c r="I42" s="188">
        <f t="shared" si="4"/>
        <v>0</v>
      </c>
      <c r="J42" s="134"/>
      <c r="K42" s="121"/>
      <c r="L42" s="121"/>
      <c r="M42" s="121"/>
      <c r="N42" s="121"/>
      <c r="O42" s="121"/>
      <c r="P42" s="121"/>
      <c r="Q42" s="162" t="s">
        <v>587</v>
      </c>
      <c r="R42" s="121"/>
      <c r="S42" s="121"/>
      <c r="T42" s="121"/>
      <c r="U42" s="177"/>
      <c r="V42" s="121"/>
      <c r="W42" s="121"/>
      <c r="X42" s="121"/>
      <c r="Y42" s="121"/>
      <c r="Z42" s="177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</row>
    <row r="43" spans="1:36" s="3" customFormat="1" ht="18" customHeight="1" thickBot="1" x14ac:dyDescent="0.4">
      <c r="A43" s="146" t="s">
        <v>37</v>
      </c>
      <c r="B43" s="166" t="s">
        <v>450</v>
      </c>
      <c r="C43" s="146"/>
      <c r="D43" s="180">
        <f t="shared" si="0"/>
        <v>0</v>
      </c>
      <c r="E43" s="181"/>
      <c r="F43" s="203">
        <f t="shared" si="1"/>
        <v>0</v>
      </c>
      <c r="G43" s="188">
        <f t="shared" si="2"/>
        <v>0</v>
      </c>
      <c r="H43" s="127">
        <f t="shared" si="3"/>
        <v>0</v>
      </c>
      <c r="I43" s="188">
        <f t="shared" si="4"/>
        <v>0</v>
      </c>
      <c r="J43" s="134"/>
      <c r="K43" s="121"/>
      <c r="L43" s="121"/>
      <c r="M43" s="121"/>
      <c r="N43" s="121"/>
      <c r="O43" s="121"/>
      <c r="P43" s="121"/>
      <c r="Q43" s="162" t="s">
        <v>587</v>
      </c>
      <c r="R43" s="121"/>
      <c r="S43" s="121"/>
      <c r="T43" s="121"/>
      <c r="U43" s="177"/>
      <c r="V43" s="121"/>
      <c r="W43" s="121"/>
      <c r="X43" s="121"/>
      <c r="Y43" s="121"/>
      <c r="Z43" s="177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</row>
    <row r="44" spans="1:36" s="3" customFormat="1" ht="18" customHeight="1" thickBot="1" x14ac:dyDescent="0.4">
      <c r="A44" s="146" t="s">
        <v>38</v>
      </c>
      <c r="B44" s="166" t="s">
        <v>452</v>
      </c>
      <c r="C44" s="146"/>
      <c r="D44" s="180">
        <f t="shared" si="0"/>
        <v>0</v>
      </c>
      <c r="E44" s="181"/>
      <c r="F44" s="203">
        <f t="shared" si="1"/>
        <v>0</v>
      </c>
      <c r="G44" s="188">
        <f t="shared" si="2"/>
        <v>0</v>
      </c>
      <c r="H44" s="127">
        <f t="shared" si="3"/>
        <v>0</v>
      </c>
      <c r="I44" s="188">
        <f t="shared" si="4"/>
        <v>0</v>
      </c>
      <c r="J44" s="134"/>
      <c r="K44" s="121"/>
      <c r="L44" s="121"/>
      <c r="M44" s="121"/>
      <c r="N44" s="121"/>
      <c r="O44" s="121"/>
      <c r="P44" s="121"/>
      <c r="Q44" s="162" t="s">
        <v>587</v>
      </c>
      <c r="R44" s="121"/>
      <c r="S44" s="121"/>
      <c r="T44" s="121"/>
      <c r="U44" s="177"/>
      <c r="V44" s="121"/>
      <c r="W44" s="121"/>
      <c r="X44" s="121"/>
      <c r="Y44" s="121"/>
      <c r="Z44" s="177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</row>
    <row r="45" spans="1:36" s="3" customFormat="1" ht="18" customHeight="1" thickBot="1" x14ac:dyDescent="0.4">
      <c r="A45" s="146" t="s">
        <v>39</v>
      </c>
      <c r="B45" s="166" t="s">
        <v>217</v>
      </c>
      <c r="C45" s="146">
        <v>315</v>
      </c>
      <c r="D45" s="180">
        <f t="shared" si="0"/>
        <v>0</v>
      </c>
      <c r="E45" s="181" t="s">
        <v>415</v>
      </c>
      <c r="F45" s="203">
        <f t="shared" si="1"/>
        <v>0</v>
      </c>
      <c r="G45" s="188">
        <f t="shared" si="2"/>
        <v>-315</v>
      </c>
      <c r="H45" s="127">
        <f t="shared" si="3"/>
        <v>0</v>
      </c>
      <c r="I45" s="188">
        <f t="shared" si="4"/>
        <v>0</v>
      </c>
      <c r="J45" s="134"/>
      <c r="K45" s="121"/>
      <c r="L45" s="121"/>
      <c r="M45" s="121"/>
      <c r="N45" s="121"/>
      <c r="O45" s="121"/>
      <c r="P45" s="121"/>
      <c r="Q45" s="162" t="s">
        <v>587</v>
      </c>
      <c r="R45" s="121"/>
      <c r="S45" s="121"/>
      <c r="T45" s="121"/>
      <c r="U45" s="177"/>
      <c r="V45" s="121"/>
      <c r="W45" s="121"/>
      <c r="X45" s="121"/>
      <c r="Y45" s="121"/>
      <c r="Z45" s="177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</row>
    <row r="46" spans="1:36" s="3" customFormat="1" ht="18" customHeight="1" thickBot="1" x14ac:dyDescent="0.4">
      <c r="A46" s="146" t="s">
        <v>40</v>
      </c>
      <c r="B46" s="166" t="s">
        <v>454</v>
      </c>
      <c r="C46" s="146">
        <v>1825</v>
      </c>
      <c r="D46" s="180">
        <f t="shared" si="0"/>
        <v>0</v>
      </c>
      <c r="E46" s="181" t="s">
        <v>415</v>
      </c>
      <c r="F46" s="203">
        <f t="shared" si="1"/>
        <v>0</v>
      </c>
      <c r="G46" s="188">
        <f t="shared" si="2"/>
        <v>-1825</v>
      </c>
      <c r="H46" s="127">
        <f t="shared" si="3"/>
        <v>0</v>
      </c>
      <c r="I46" s="188">
        <f t="shared" si="4"/>
        <v>0</v>
      </c>
      <c r="J46" s="134"/>
      <c r="K46" s="121"/>
      <c r="L46" s="121"/>
      <c r="M46" s="121"/>
      <c r="N46" s="121"/>
      <c r="O46" s="121"/>
      <c r="P46" s="121"/>
      <c r="Q46" s="162" t="s">
        <v>587</v>
      </c>
      <c r="R46" s="121"/>
      <c r="S46" s="121"/>
      <c r="T46" s="121"/>
      <c r="U46" s="177"/>
      <c r="V46" s="121"/>
      <c r="W46" s="121"/>
      <c r="X46" s="121"/>
      <c r="Y46" s="121"/>
      <c r="Z46" s="177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</row>
    <row r="47" spans="1:36" s="3" customFormat="1" ht="18" customHeight="1" thickBot="1" x14ac:dyDescent="0.4">
      <c r="A47" s="146" t="s">
        <v>41</v>
      </c>
      <c r="B47" s="166" t="s">
        <v>219</v>
      </c>
      <c r="C47" s="146">
        <v>1007</v>
      </c>
      <c r="D47" s="180">
        <f t="shared" si="0"/>
        <v>0</v>
      </c>
      <c r="E47" s="181" t="s">
        <v>415</v>
      </c>
      <c r="F47" s="203">
        <f t="shared" si="1"/>
        <v>0</v>
      </c>
      <c r="G47" s="188">
        <f t="shared" si="2"/>
        <v>-1007</v>
      </c>
      <c r="H47" s="127">
        <f t="shared" si="3"/>
        <v>0</v>
      </c>
      <c r="I47" s="188">
        <f t="shared" si="4"/>
        <v>0</v>
      </c>
      <c r="J47" s="134"/>
      <c r="K47" s="121"/>
      <c r="L47" s="121"/>
      <c r="M47" s="121"/>
      <c r="N47" s="121"/>
      <c r="O47" s="121"/>
      <c r="P47" s="121"/>
      <c r="Q47" s="162" t="s">
        <v>587</v>
      </c>
      <c r="R47" s="121"/>
      <c r="S47" s="121"/>
      <c r="T47" s="121"/>
      <c r="U47" s="128"/>
      <c r="V47" s="121"/>
      <c r="W47" s="121"/>
      <c r="X47" s="121"/>
      <c r="Y47" s="121"/>
      <c r="Z47" s="177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</row>
    <row r="48" spans="1:36" s="3" customFormat="1" ht="18" customHeight="1" thickBot="1" x14ac:dyDescent="0.4">
      <c r="A48" s="146" t="s">
        <v>42</v>
      </c>
      <c r="B48" s="166" t="s">
        <v>220</v>
      </c>
      <c r="C48" s="146">
        <v>2139</v>
      </c>
      <c r="D48" s="180">
        <f t="shared" si="0"/>
        <v>0</v>
      </c>
      <c r="E48" s="181" t="s">
        <v>415</v>
      </c>
      <c r="F48" s="203">
        <f t="shared" si="1"/>
        <v>0</v>
      </c>
      <c r="G48" s="188">
        <f t="shared" si="2"/>
        <v>-2139</v>
      </c>
      <c r="H48" s="127">
        <f t="shared" si="3"/>
        <v>0</v>
      </c>
      <c r="I48" s="188">
        <f t="shared" si="4"/>
        <v>0</v>
      </c>
      <c r="J48" s="134"/>
      <c r="K48" s="121"/>
      <c r="L48" s="121"/>
      <c r="M48" s="121"/>
      <c r="N48" s="121"/>
      <c r="O48" s="121"/>
      <c r="P48" s="121"/>
      <c r="Q48" s="162" t="s">
        <v>587</v>
      </c>
      <c r="R48" s="121"/>
      <c r="S48" s="121"/>
      <c r="T48" s="121"/>
      <c r="U48" s="177"/>
      <c r="V48" s="121"/>
      <c r="W48" s="121"/>
      <c r="X48" s="121"/>
      <c r="Y48" s="121"/>
      <c r="Z48" s="177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</row>
    <row r="49" spans="1:36" s="3" customFormat="1" ht="18" customHeight="1" thickBot="1" x14ac:dyDescent="0.4">
      <c r="A49" s="146" t="s">
        <v>43</v>
      </c>
      <c r="B49" s="166" t="s">
        <v>456</v>
      </c>
      <c r="C49" s="146"/>
      <c r="D49" s="180">
        <f t="shared" si="0"/>
        <v>0</v>
      </c>
      <c r="E49" s="181"/>
      <c r="F49" s="203">
        <f t="shared" si="1"/>
        <v>0</v>
      </c>
      <c r="G49" s="188">
        <f t="shared" si="2"/>
        <v>0</v>
      </c>
      <c r="H49" s="127">
        <f t="shared" si="3"/>
        <v>0</v>
      </c>
      <c r="I49" s="188">
        <f t="shared" si="4"/>
        <v>0</v>
      </c>
      <c r="J49" s="134"/>
      <c r="K49" s="121"/>
      <c r="L49" s="121"/>
      <c r="M49" s="121"/>
      <c r="N49" s="121"/>
      <c r="O49" s="121"/>
      <c r="P49" s="121"/>
      <c r="Q49" s="162" t="s">
        <v>587</v>
      </c>
      <c r="R49" s="121"/>
      <c r="S49" s="121"/>
      <c r="T49" s="121"/>
      <c r="U49" s="177"/>
      <c r="V49" s="121"/>
      <c r="W49" s="121"/>
      <c r="X49" s="121"/>
      <c r="Y49" s="121"/>
      <c r="Z49" s="177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</row>
    <row r="50" spans="1:36" s="3" customFormat="1" ht="18" customHeight="1" thickBot="1" x14ac:dyDescent="0.4">
      <c r="A50" s="146" t="s">
        <v>44</v>
      </c>
      <c r="B50" s="166" t="s">
        <v>458</v>
      </c>
      <c r="C50" s="146"/>
      <c r="D50" s="180">
        <f t="shared" si="0"/>
        <v>0</v>
      </c>
      <c r="E50" s="181"/>
      <c r="F50" s="203">
        <f t="shared" si="1"/>
        <v>0</v>
      </c>
      <c r="G50" s="188">
        <f t="shared" si="2"/>
        <v>0</v>
      </c>
      <c r="H50" s="127">
        <f t="shared" si="3"/>
        <v>0</v>
      </c>
      <c r="I50" s="188">
        <f t="shared" si="4"/>
        <v>0</v>
      </c>
      <c r="J50" s="134"/>
      <c r="K50" s="121"/>
      <c r="L50" s="121"/>
      <c r="M50" s="121"/>
      <c r="N50" s="121"/>
      <c r="O50" s="121"/>
      <c r="P50" s="121"/>
      <c r="Q50" s="162" t="s">
        <v>587</v>
      </c>
      <c r="R50" s="121"/>
      <c r="S50" s="121"/>
      <c r="T50" s="121"/>
      <c r="U50" s="177"/>
      <c r="V50" s="121"/>
      <c r="W50" s="121"/>
      <c r="X50" s="121"/>
      <c r="Y50" s="121"/>
      <c r="Z50" s="177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</row>
    <row r="51" spans="1:36" s="3" customFormat="1" ht="18" customHeight="1" thickBot="1" x14ac:dyDescent="0.4">
      <c r="A51" s="146" t="s">
        <v>45</v>
      </c>
      <c r="B51" s="166" t="s">
        <v>223</v>
      </c>
      <c r="C51" s="146">
        <v>21014</v>
      </c>
      <c r="D51" s="180">
        <f t="shared" si="0"/>
        <v>21014</v>
      </c>
      <c r="E51" s="181"/>
      <c r="F51" s="203">
        <f t="shared" si="1"/>
        <v>0</v>
      </c>
      <c r="G51" s="188">
        <f t="shared" si="2"/>
        <v>0</v>
      </c>
      <c r="H51" s="127">
        <f t="shared" si="3"/>
        <v>21014</v>
      </c>
      <c r="I51" s="188">
        <f t="shared" si="4"/>
        <v>0</v>
      </c>
      <c r="J51" s="134"/>
      <c r="K51" s="121"/>
      <c r="L51" s="121"/>
      <c r="M51" s="121"/>
      <c r="N51" s="121"/>
      <c r="O51" s="121"/>
      <c r="P51" s="121"/>
      <c r="Q51" s="162" t="s">
        <v>587</v>
      </c>
      <c r="R51" s="121">
        <v>446</v>
      </c>
      <c r="S51" s="121"/>
      <c r="T51" s="121">
        <f>1688+3374</f>
        <v>5062</v>
      </c>
      <c r="U51" s="177"/>
      <c r="V51" s="121"/>
      <c r="W51" s="121"/>
      <c r="X51" s="121"/>
      <c r="Y51" s="121">
        <f>7846+5059</f>
        <v>12905</v>
      </c>
      <c r="Z51" s="177"/>
      <c r="AA51" s="121"/>
      <c r="AB51" s="121"/>
      <c r="AC51" s="121"/>
      <c r="AD51" s="121"/>
      <c r="AE51" s="121">
        <v>2601</v>
      </c>
      <c r="AF51" s="121"/>
      <c r="AG51" s="121"/>
      <c r="AH51" s="121"/>
      <c r="AI51" s="121"/>
      <c r="AJ51" s="121"/>
    </row>
    <row r="52" spans="1:36" s="3" customFormat="1" ht="18" customHeight="1" thickBot="1" x14ac:dyDescent="0.4">
      <c r="A52" s="146" t="s">
        <v>46</v>
      </c>
      <c r="B52" s="166" t="s">
        <v>224</v>
      </c>
      <c r="C52" s="146">
        <v>1791341</v>
      </c>
      <c r="D52" s="180">
        <f t="shared" si="0"/>
        <v>1791341</v>
      </c>
      <c r="E52" s="181"/>
      <c r="F52" s="203">
        <f t="shared" si="1"/>
        <v>0</v>
      </c>
      <c r="G52" s="188">
        <f t="shared" si="2"/>
        <v>0</v>
      </c>
      <c r="H52" s="127">
        <f t="shared" si="3"/>
        <v>1791341</v>
      </c>
      <c r="I52" s="188">
        <f t="shared" si="4"/>
        <v>0</v>
      </c>
      <c r="J52" s="134"/>
      <c r="K52" s="121"/>
      <c r="L52" s="121"/>
      <c r="M52" s="121"/>
      <c r="N52" s="121"/>
      <c r="O52" s="121"/>
      <c r="P52" s="121"/>
      <c r="Q52" s="162">
        <f>354075+131211</f>
        <v>485286</v>
      </c>
      <c r="R52" s="121"/>
      <c r="S52" s="121">
        <f>137130+168124</f>
        <v>305254</v>
      </c>
      <c r="T52" s="121">
        <v>98025</v>
      </c>
      <c r="U52" s="177">
        <v>119285</v>
      </c>
      <c r="V52" s="121">
        <v>179929</v>
      </c>
      <c r="W52" s="121">
        <v>120840</v>
      </c>
      <c r="X52" s="121"/>
      <c r="Y52" s="121">
        <v>96233</v>
      </c>
      <c r="Z52" s="177">
        <v>324925</v>
      </c>
      <c r="AA52" s="121"/>
      <c r="AB52" s="121"/>
      <c r="AC52" s="121">
        <v>61564</v>
      </c>
      <c r="AD52" s="121"/>
      <c r="AE52" s="121"/>
      <c r="AF52" s="121"/>
      <c r="AG52" s="121"/>
      <c r="AH52" s="121"/>
      <c r="AI52" s="121"/>
      <c r="AJ52" s="121"/>
    </row>
    <row r="53" spans="1:36" s="3" customFormat="1" ht="18" customHeight="1" thickBot="1" x14ac:dyDescent="0.4">
      <c r="A53" s="146" t="s">
        <v>47</v>
      </c>
      <c r="B53" s="166" t="s">
        <v>462</v>
      </c>
      <c r="C53" s="146"/>
      <c r="D53" s="180">
        <f t="shared" si="0"/>
        <v>0</v>
      </c>
      <c r="E53" s="181"/>
      <c r="F53" s="203">
        <f t="shared" si="1"/>
        <v>0</v>
      </c>
      <c r="G53" s="188">
        <f t="shared" si="2"/>
        <v>0</v>
      </c>
      <c r="H53" s="127">
        <f t="shared" si="3"/>
        <v>0</v>
      </c>
      <c r="I53" s="188">
        <f t="shared" si="4"/>
        <v>0</v>
      </c>
      <c r="J53" s="134"/>
      <c r="K53" s="121"/>
      <c r="L53" s="121"/>
      <c r="M53" s="121"/>
      <c r="N53" s="121"/>
      <c r="O53" s="121"/>
      <c r="P53" s="121"/>
      <c r="Q53" s="162" t="s">
        <v>587</v>
      </c>
      <c r="R53" s="121"/>
      <c r="S53" s="121"/>
      <c r="T53" s="121"/>
      <c r="U53" s="177"/>
      <c r="V53" s="121"/>
      <c r="W53" s="121"/>
      <c r="X53" s="121"/>
      <c r="Y53" s="121"/>
      <c r="Z53" s="177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</row>
    <row r="54" spans="1:36" s="3" customFormat="1" ht="18" customHeight="1" thickBot="1" x14ac:dyDescent="0.4">
      <c r="A54" s="146" t="s">
        <v>48</v>
      </c>
      <c r="B54" s="166" t="s">
        <v>464</v>
      </c>
      <c r="C54" s="146">
        <v>198751</v>
      </c>
      <c r="D54" s="180">
        <f t="shared" si="0"/>
        <v>200701</v>
      </c>
      <c r="E54" s="181"/>
      <c r="F54" s="203">
        <f t="shared" si="1"/>
        <v>1950</v>
      </c>
      <c r="G54" s="188">
        <f t="shared" si="2"/>
        <v>1950</v>
      </c>
      <c r="H54" s="127">
        <f t="shared" si="3"/>
        <v>200701</v>
      </c>
      <c r="I54" s="188">
        <f t="shared" si="4"/>
        <v>0</v>
      </c>
      <c r="J54" s="134"/>
      <c r="K54" s="121"/>
      <c r="L54" s="121"/>
      <c r="M54" s="121"/>
      <c r="N54" s="121"/>
      <c r="O54" s="121"/>
      <c r="P54" s="121">
        <v>23332</v>
      </c>
      <c r="Q54" s="162">
        <v>23154</v>
      </c>
      <c r="R54" s="121">
        <v>4115</v>
      </c>
      <c r="S54" s="121"/>
      <c r="T54" s="121"/>
      <c r="U54" s="128">
        <v>15578</v>
      </c>
      <c r="V54" s="121">
        <v>73459</v>
      </c>
      <c r="W54" s="121">
        <v>46196</v>
      </c>
      <c r="X54" s="121"/>
      <c r="Y54" s="121">
        <v>1301</v>
      </c>
      <c r="Z54" s="177">
        <v>1818</v>
      </c>
      <c r="AA54" s="121">
        <v>11748</v>
      </c>
      <c r="AB54" s="121"/>
      <c r="AC54" s="121"/>
      <c r="AD54" s="121"/>
      <c r="AE54" s="121"/>
      <c r="AF54" s="121"/>
      <c r="AG54" s="121"/>
      <c r="AH54" s="121"/>
      <c r="AI54" s="121"/>
      <c r="AJ54" s="121"/>
    </row>
    <row r="55" spans="1:36" s="3" customFormat="1" ht="18" customHeight="1" thickBot="1" x14ac:dyDescent="0.4">
      <c r="A55" s="146" t="s">
        <v>49</v>
      </c>
      <c r="B55" s="166" t="s">
        <v>466</v>
      </c>
      <c r="C55" s="146">
        <v>140239</v>
      </c>
      <c r="D55" s="180">
        <f t="shared" si="0"/>
        <v>140239</v>
      </c>
      <c r="E55" s="181"/>
      <c r="F55" s="203">
        <f t="shared" si="1"/>
        <v>0</v>
      </c>
      <c r="G55" s="188">
        <f t="shared" si="2"/>
        <v>0</v>
      </c>
      <c r="H55" s="127">
        <f t="shared" si="3"/>
        <v>140239</v>
      </c>
      <c r="I55" s="188">
        <f t="shared" si="4"/>
        <v>0</v>
      </c>
      <c r="J55" s="134"/>
      <c r="K55" s="121"/>
      <c r="L55" s="121"/>
      <c r="M55" s="121"/>
      <c r="N55" s="121">
        <v>32371</v>
      </c>
      <c r="O55" s="121"/>
      <c r="P55" s="121"/>
      <c r="Q55" s="162">
        <v>33741</v>
      </c>
      <c r="R55" s="121"/>
      <c r="S55" s="121">
        <f>25118+20172</f>
        <v>45290</v>
      </c>
      <c r="T55" s="121"/>
      <c r="U55" s="177">
        <v>28837</v>
      </c>
      <c r="V55" s="121"/>
      <c r="W55" s="121"/>
      <c r="X55" s="121"/>
      <c r="Y55" s="121"/>
      <c r="Z55" s="177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</row>
    <row r="56" spans="1:36" s="3" customFormat="1" ht="18" customHeight="1" thickBot="1" x14ac:dyDescent="0.4">
      <c r="A56" s="146" t="s">
        <v>50</v>
      </c>
      <c r="B56" s="166" t="s">
        <v>228</v>
      </c>
      <c r="C56" s="146">
        <v>1950</v>
      </c>
      <c r="D56" s="180">
        <f t="shared" si="0"/>
        <v>0</v>
      </c>
      <c r="E56" s="169" t="s">
        <v>48</v>
      </c>
      <c r="F56" s="203">
        <f t="shared" si="1"/>
        <v>0</v>
      </c>
      <c r="G56" s="188">
        <f t="shared" si="2"/>
        <v>-1950</v>
      </c>
      <c r="H56" s="127">
        <f t="shared" si="3"/>
        <v>0</v>
      </c>
      <c r="I56" s="188">
        <f t="shared" si="4"/>
        <v>0</v>
      </c>
      <c r="J56" s="134"/>
      <c r="K56" s="121"/>
      <c r="L56" s="121"/>
      <c r="M56" s="121"/>
      <c r="N56" s="121"/>
      <c r="O56" s="121"/>
      <c r="P56" s="121"/>
      <c r="Q56" s="162" t="s">
        <v>587</v>
      </c>
      <c r="R56" s="121"/>
      <c r="S56" s="121"/>
      <c r="T56" s="121"/>
      <c r="U56" s="177"/>
      <c r="V56" s="121"/>
      <c r="W56" s="121"/>
      <c r="X56" s="121"/>
      <c r="Y56" s="121"/>
      <c r="Z56" s="177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</row>
    <row r="57" spans="1:36" s="3" customFormat="1" ht="18" customHeight="1" thickBot="1" x14ac:dyDescent="0.4">
      <c r="A57" s="146" t="s">
        <v>51</v>
      </c>
      <c r="B57" s="166" t="s">
        <v>229</v>
      </c>
      <c r="C57" s="146">
        <v>566</v>
      </c>
      <c r="D57" s="180">
        <f t="shared" si="0"/>
        <v>0</v>
      </c>
      <c r="E57" s="181" t="s">
        <v>372</v>
      </c>
      <c r="F57" s="203">
        <f t="shared" si="1"/>
        <v>0</v>
      </c>
      <c r="G57" s="188">
        <f t="shared" si="2"/>
        <v>-566</v>
      </c>
      <c r="H57" s="127">
        <f t="shared" si="3"/>
        <v>0</v>
      </c>
      <c r="I57" s="188">
        <f t="shared" si="4"/>
        <v>0</v>
      </c>
      <c r="J57" s="134"/>
      <c r="K57" s="121"/>
      <c r="L57" s="121"/>
      <c r="M57" s="121"/>
      <c r="N57" s="121"/>
      <c r="O57" s="121"/>
      <c r="P57" s="121"/>
      <c r="Q57" s="162" t="s">
        <v>587</v>
      </c>
      <c r="R57" s="121"/>
      <c r="S57" s="121"/>
      <c r="T57" s="121"/>
      <c r="U57" s="128"/>
      <c r="V57" s="121"/>
      <c r="W57" s="121"/>
      <c r="X57" s="121"/>
      <c r="Y57" s="121"/>
      <c r="Z57" s="177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</row>
    <row r="58" spans="1:36" s="3" customFormat="1" ht="18" customHeight="1" thickBot="1" x14ac:dyDescent="0.4">
      <c r="A58" s="146" t="s">
        <v>52</v>
      </c>
      <c r="B58" s="166" t="s">
        <v>230</v>
      </c>
      <c r="C58" s="146">
        <v>63</v>
      </c>
      <c r="D58" s="180">
        <f t="shared" si="0"/>
        <v>0</v>
      </c>
      <c r="E58" s="181" t="s">
        <v>372</v>
      </c>
      <c r="F58" s="203">
        <f t="shared" si="1"/>
        <v>0</v>
      </c>
      <c r="G58" s="188">
        <f t="shared" si="2"/>
        <v>-63</v>
      </c>
      <c r="H58" s="127">
        <f t="shared" si="3"/>
        <v>0</v>
      </c>
      <c r="I58" s="188">
        <f t="shared" si="4"/>
        <v>0</v>
      </c>
      <c r="J58" s="134"/>
      <c r="K58" s="121"/>
      <c r="L58" s="121"/>
      <c r="M58" s="121"/>
      <c r="N58" s="121"/>
      <c r="O58" s="121"/>
      <c r="P58" s="121"/>
      <c r="Q58" s="162" t="s">
        <v>587</v>
      </c>
      <c r="R58" s="121"/>
      <c r="S58" s="121"/>
      <c r="T58" s="121"/>
      <c r="U58" s="177"/>
      <c r="V58" s="121"/>
      <c r="W58" s="121"/>
      <c r="X58" s="121"/>
      <c r="Y58" s="121"/>
      <c r="Z58" s="177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</row>
    <row r="59" spans="1:36" s="3" customFormat="1" ht="18" customHeight="1" thickBot="1" x14ac:dyDescent="0.4">
      <c r="A59" s="146" t="s">
        <v>53</v>
      </c>
      <c r="B59" s="166" t="s">
        <v>231</v>
      </c>
      <c r="C59" s="146"/>
      <c r="D59" s="180">
        <f t="shared" si="0"/>
        <v>0</v>
      </c>
      <c r="E59" s="181"/>
      <c r="F59" s="203">
        <f t="shared" si="1"/>
        <v>0</v>
      </c>
      <c r="G59" s="188">
        <f t="shared" si="2"/>
        <v>0</v>
      </c>
      <c r="H59" s="127">
        <f t="shared" si="3"/>
        <v>0</v>
      </c>
      <c r="I59" s="188">
        <f t="shared" si="4"/>
        <v>0</v>
      </c>
      <c r="J59" s="134"/>
      <c r="K59" s="121"/>
      <c r="L59" s="121"/>
      <c r="M59" s="121"/>
      <c r="N59" s="121"/>
      <c r="O59" s="121"/>
      <c r="P59" s="121"/>
      <c r="Q59" s="162" t="s">
        <v>587</v>
      </c>
      <c r="R59" s="121"/>
      <c r="S59" s="121"/>
      <c r="T59" s="121"/>
      <c r="U59" s="177"/>
      <c r="V59" s="121"/>
      <c r="W59" s="121"/>
      <c r="X59" s="121"/>
      <c r="Y59" s="121"/>
      <c r="Z59" s="177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</row>
    <row r="60" spans="1:36" s="3" customFormat="1" ht="18" customHeight="1" thickBot="1" x14ac:dyDescent="0.4">
      <c r="A60" s="146" t="s">
        <v>54</v>
      </c>
      <c r="B60" s="166" t="s">
        <v>232</v>
      </c>
      <c r="C60" s="146"/>
      <c r="D60" s="180">
        <f t="shared" si="0"/>
        <v>0</v>
      </c>
      <c r="E60" s="181"/>
      <c r="F60" s="203">
        <f t="shared" si="1"/>
        <v>0</v>
      </c>
      <c r="G60" s="188">
        <f t="shared" si="2"/>
        <v>0</v>
      </c>
      <c r="H60" s="127">
        <f t="shared" si="3"/>
        <v>0</v>
      </c>
      <c r="I60" s="188">
        <f t="shared" si="4"/>
        <v>0</v>
      </c>
      <c r="J60" s="134"/>
      <c r="K60" s="121"/>
      <c r="L60" s="121"/>
      <c r="M60" s="121"/>
      <c r="N60" s="121"/>
      <c r="O60" s="121"/>
      <c r="P60" s="121"/>
      <c r="Q60" s="162" t="s">
        <v>587</v>
      </c>
      <c r="R60" s="121"/>
      <c r="S60" s="121"/>
      <c r="T60" s="121"/>
      <c r="U60" s="128"/>
      <c r="V60" s="121"/>
      <c r="W60" s="121"/>
      <c r="X60" s="121"/>
      <c r="Y60" s="121"/>
      <c r="Z60" s="177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</row>
    <row r="61" spans="1:36" s="3" customFormat="1" ht="18" customHeight="1" thickBot="1" x14ac:dyDescent="0.4">
      <c r="A61" s="146" t="s">
        <v>55</v>
      </c>
      <c r="B61" s="166" t="s">
        <v>469</v>
      </c>
      <c r="C61" s="146"/>
      <c r="D61" s="180">
        <f t="shared" si="0"/>
        <v>0</v>
      </c>
      <c r="E61" s="181"/>
      <c r="F61" s="203">
        <f t="shared" si="1"/>
        <v>0</v>
      </c>
      <c r="G61" s="188">
        <f t="shared" si="2"/>
        <v>0</v>
      </c>
      <c r="H61" s="127">
        <f t="shared" si="3"/>
        <v>0</v>
      </c>
      <c r="I61" s="188">
        <f t="shared" si="4"/>
        <v>0</v>
      </c>
      <c r="J61" s="134"/>
      <c r="K61" s="121"/>
      <c r="L61" s="121"/>
      <c r="M61" s="121"/>
      <c r="N61" s="121"/>
      <c r="O61" s="121"/>
      <c r="P61" s="121"/>
      <c r="Q61" s="162" t="s">
        <v>587</v>
      </c>
      <c r="R61" s="121"/>
      <c r="S61" s="121"/>
      <c r="T61" s="121"/>
      <c r="U61" s="177"/>
      <c r="V61" s="121"/>
      <c r="W61" s="121"/>
      <c r="X61" s="121"/>
      <c r="Y61" s="121"/>
      <c r="Z61" s="177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</row>
    <row r="62" spans="1:36" s="3" customFormat="1" ht="18" customHeight="1" thickBot="1" x14ac:dyDescent="0.4">
      <c r="A62" s="146" t="s">
        <v>56</v>
      </c>
      <c r="B62" s="166" t="s">
        <v>234</v>
      </c>
      <c r="C62" s="146">
        <v>149425</v>
      </c>
      <c r="D62" s="180">
        <f t="shared" si="0"/>
        <v>149425</v>
      </c>
      <c r="E62" s="181"/>
      <c r="F62" s="203">
        <f t="shared" si="1"/>
        <v>0</v>
      </c>
      <c r="G62" s="188">
        <f t="shared" si="2"/>
        <v>0</v>
      </c>
      <c r="H62" s="127">
        <f t="shared" si="3"/>
        <v>149425</v>
      </c>
      <c r="I62" s="188">
        <f t="shared" si="4"/>
        <v>0</v>
      </c>
      <c r="J62" s="134"/>
      <c r="K62" s="121"/>
      <c r="L62" s="121"/>
      <c r="M62" s="121"/>
      <c r="N62" s="121">
        <v>14090</v>
      </c>
      <c r="O62" s="121">
        <v>13466</v>
      </c>
      <c r="P62" s="121">
        <v>13475</v>
      </c>
      <c r="Q62" s="162">
        <v>13511</v>
      </c>
      <c r="R62" s="121">
        <v>16088</v>
      </c>
      <c r="S62" s="121">
        <v>17274</v>
      </c>
      <c r="T62" s="121"/>
      <c r="U62" s="177">
        <v>31524</v>
      </c>
      <c r="V62" s="121">
        <v>7349</v>
      </c>
      <c r="W62" s="121"/>
      <c r="X62" s="121"/>
      <c r="Y62" s="121"/>
      <c r="Z62" s="177"/>
      <c r="AA62" s="121"/>
      <c r="AB62" s="121">
        <v>15152</v>
      </c>
      <c r="AC62" s="121"/>
      <c r="AD62" s="121"/>
      <c r="AE62" s="121"/>
      <c r="AF62" s="121">
        <v>7496</v>
      </c>
      <c r="AG62" s="121"/>
      <c r="AH62" s="121"/>
      <c r="AI62" s="121"/>
      <c r="AJ62" s="121"/>
    </row>
    <row r="63" spans="1:36" s="3" customFormat="1" ht="18" customHeight="1" thickBot="1" x14ac:dyDescent="0.4">
      <c r="A63" s="146" t="s">
        <v>57</v>
      </c>
      <c r="B63" s="166" t="s">
        <v>235</v>
      </c>
      <c r="C63" s="146">
        <v>13779</v>
      </c>
      <c r="D63" s="180">
        <f t="shared" si="0"/>
        <v>13779</v>
      </c>
      <c r="E63" s="181"/>
      <c r="F63" s="203">
        <f t="shared" si="1"/>
        <v>0</v>
      </c>
      <c r="G63" s="188">
        <f t="shared" si="2"/>
        <v>0</v>
      </c>
      <c r="H63" s="127">
        <f t="shared" si="3"/>
        <v>13779</v>
      </c>
      <c r="I63" s="188">
        <f t="shared" si="4"/>
        <v>0</v>
      </c>
      <c r="J63" s="134"/>
      <c r="K63" s="121"/>
      <c r="L63" s="121"/>
      <c r="M63" s="121"/>
      <c r="N63" s="121">
        <v>3810</v>
      </c>
      <c r="O63" s="121"/>
      <c r="P63" s="121">
        <v>806</v>
      </c>
      <c r="Q63" s="162" t="s">
        <v>587</v>
      </c>
      <c r="R63" s="121">
        <v>209</v>
      </c>
      <c r="S63" s="121">
        <v>6750</v>
      </c>
      <c r="T63" s="121"/>
      <c r="U63" s="177"/>
      <c r="V63" s="121">
        <v>1417</v>
      </c>
      <c r="W63" s="121"/>
      <c r="X63" s="121">
        <v>172</v>
      </c>
      <c r="Y63" s="121"/>
      <c r="Z63" s="177"/>
      <c r="AA63" s="121"/>
      <c r="AB63" s="121"/>
      <c r="AC63" s="121">
        <v>615</v>
      </c>
      <c r="AD63" s="121"/>
      <c r="AE63" s="121"/>
      <c r="AF63" s="121"/>
      <c r="AG63" s="121"/>
      <c r="AH63" s="121"/>
      <c r="AI63" s="121"/>
      <c r="AJ63" s="121"/>
    </row>
    <row r="64" spans="1:36" s="3" customFormat="1" ht="18" customHeight="1" thickBot="1" x14ac:dyDescent="0.4">
      <c r="A64" s="146" t="s">
        <v>58</v>
      </c>
      <c r="B64" s="166" t="s">
        <v>236</v>
      </c>
      <c r="C64" s="146">
        <v>24223</v>
      </c>
      <c r="D64" s="180">
        <f t="shared" si="0"/>
        <v>24223</v>
      </c>
      <c r="E64" s="181"/>
      <c r="F64" s="203">
        <f t="shared" si="1"/>
        <v>0</v>
      </c>
      <c r="G64" s="188">
        <f t="shared" si="2"/>
        <v>0</v>
      </c>
      <c r="H64" s="127">
        <f t="shared" si="3"/>
        <v>24223</v>
      </c>
      <c r="I64" s="188">
        <f t="shared" si="4"/>
        <v>0</v>
      </c>
      <c r="J64" s="134"/>
      <c r="K64" s="121"/>
      <c r="L64" s="121"/>
      <c r="M64" s="121">
        <v>12428</v>
      </c>
      <c r="N64" s="121">
        <v>1889</v>
      </c>
      <c r="O64" s="121">
        <v>2194</v>
      </c>
      <c r="P64" s="121">
        <v>131</v>
      </c>
      <c r="Q64" s="162" t="s">
        <v>587</v>
      </c>
      <c r="R64" s="121">
        <v>555</v>
      </c>
      <c r="S64" s="121">
        <v>200</v>
      </c>
      <c r="T64" s="121">
        <v>892</v>
      </c>
      <c r="U64" s="128">
        <v>1280</v>
      </c>
      <c r="V64" s="121"/>
      <c r="W64" s="121"/>
      <c r="X64" s="121"/>
      <c r="Y64" s="121">
        <v>4654</v>
      </c>
      <c r="Z64" s="177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</row>
    <row r="65" spans="1:36" s="3" customFormat="1" ht="18" customHeight="1" thickBot="1" x14ac:dyDescent="0.4">
      <c r="A65" s="146" t="s">
        <v>59</v>
      </c>
      <c r="B65" s="166" t="s">
        <v>237</v>
      </c>
      <c r="C65" s="146">
        <v>149866</v>
      </c>
      <c r="D65" s="180">
        <f t="shared" si="0"/>
        <v>149866</v>
      </c>
      <c r="E65" s="181"/>
      <c r="F65" s="203">
        <f t="shared" si="1"/>
        <v>0</v>
      </c>
      <c r="G65" s="188">
        <f t="shared" si="2"/>
        <v>0</v>
      </c>
      <c r="H65" s="127">
        <f t="shared" si="3"/>
        <v>149866</v>
      </c>
      <c r="I65" s="188">
        <f t="shared" si="4"/>
        <v>0</v>
      </c>
      <c r="J65" s="134"/>
      <c r="K65" s="121"/>
      <c r="L65" s="121"/>
      <c r="M65" s="121"/>
      <c r="N65" s="121">
        <v>6961</v>
      </c>
      <c r="O65" s="121">
        <v>13855</v>
      </c>
      <c r="P65" s="121">
        <v>4715</v>
      </c>
      <c r="Q65" s="162">
        <v>7466</v>
      </c>
      <c r="R65" s="121">
        <v>1820</v>
      </c>
      <c r="S65" s="121">
        <v>8846</v>
      </c>
      <c r="T65" s="121">
        <v>13118</v>
      </c>
      <c r="U65" s="128">
        <v>1855</v>
      </c>
      <c r="V65" s="121"/>
      <c r="W65" s="121"/>
      <c r="X65" s="121">
        <v>12752</v>
      </c>
      <c r="Y65" s="121">
        <v>47562</v>
      </c>
      <c r="Z65" s="177">
        <v>20684</v>
      </c>
      <c r="AA65" s="121">
        <v>10232</v>
      </c>
      <c r="AB65" s="121"/>
      <c r="AC65" s="121"/>
      <c r="AD65" s="121"/>
      <c r="AE65" s="121"/>
      <c r="AF65" s="121"/>
      <c r="AG65" s="121"/>
      <c r="AH65" s="121"/>
      <c r="AI65" s="121"/>
      <c r="AJ65" s="121"/>
    </row>
    <row r="66" spans="1:36" s="3" customFormat="1" ht="18" customHeight="1" thickBot="1" x14ac:dyDescent="0.4">
      <c r="A66" s="146" t="s">
        <v>60</v>
      </c>
      <c r="B66" s="166" t="s">
        <v>238</v>
      </c>
      <c r="C66" s="146">
        <v>10444</v>
      </c>
      <c r="D66" s="180">
        <f t="shared" si="0"/>
        <v>14596</v>
      </c>
      <c r="E66" s="181"/>
      <c r="F66" s="203">
        <f t="shared" si="1"/>
        <v>4152</v>
      </c>
      <c r="G66" s="188">
        <f t="shared" si="2"/>
        <v>4152</v>
      </c>
      <c r="H66" s="127">
        <f t="shared" si="3"/>
        <v>14596</v>
      </c>
      <c r="I66" s="188">
        <f t="shared" si="4"/>
        <v>0</v>
      </c>
      <c r="J66" s="134"/>
      <c r="K66" s="121"/>
      <c r="L66" s="121"/>
      <c r="M66" s="121"/>
      <c r="N66" s="121"/>
      <c r="O66" s="121"/>
      <c r="P66" s="121"/>
      <c r="Q66" s="162" t="s">
        <v>587</v>
      </c>
      <c r="R66" s="121"/>
      <c r="S66" s="121"/>
      <c r="T66" s="121"/>
      <c r="U66" s="177">
        <v>14596</v>
      </c>
      <c r="V66" s="121"/>
      <c r="W66" s="121"/>
      <c r="X66" s="121"/>
      <c r="Y66" s="121"/>
      <c r="Z66" s="177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</row>
    <row r="67" spans="1:36" s="3" customFormat="1" ht="18" customHeight="1" thickBot="1" x14ac:dyDescent="0.4">
      <c r="A67" s="146" t="s">
        <v>61</v>
      </c>
      <c r="B67" s="166" t="s">
        <v>239</v>
      </c>
      <c r="C67" s="146"/>
      <c r="D67" s="180">
        <f t="shared" si="0"/>
        <v>0</v>
      </c>
      <c r="E67" s="181"/>
      <c r="F67" s="203">
        <f t="shared" si="1"/>
        <v>0</v>
      </c>
      <c r="G67" s="188">
        <f t="shared" si="2"/>
        <v>0</v>
      </c>
      <c r="H67" s="127">
        <f t="shared" si="3"/>
        <v>0</v>
      </c>
      <c r="I67" s="188">
        <f t="shared" si="4"/>
        <v>0</v>
      </c>
      <c r="J67" s="134"/>
      <c r="K67" s="121"/>
      <c r="L67" s="121"/>
      <c r="M67" s="121"/>
      <c r="N67" s="121"/>
      <c r="O67" s="121"/>
      <c r="P67" s="121"/>
      <c r="Q67" s="162" t="s">
        <v>587</v>
      </c>
      <c r="R67" s="121"/>
      <c r="S67" s="121"/>
      <c r="T67" s="121"/>
      <c r="U67" s="177"/>
      <c r="V67" s="121"/>
      <c r="W67" s="121"/>
      <c r="X67" s="121"/>
      <c r="Y67" s="121"/>
      <c r="Z67" s="177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</row>
    <row r="68" spans="1:36" s="3" customFormat="1" ht="18" customHeight="1" thickBot="1" x14ac:dyDescent="0.4">
      <c r="A68" s="146" t="s">
        <v>62</v>
      </c>
      <c r="B68" s="166" t="s">
        <v>240</v>
      </c>
      <c r="C68" s="146">
        <v>33912</v>
      </c>
      <c r="D68" s="180">
        <f t="shared" si="0"/>
        <v>33912</v>
      </c>
      <c r="E68" s="181"/>
      <c r="F68" s="203">
        <f t="shared" si="1"/>
        <v>0</v>
      </c>
      <c r="G68" s="188">
        <f t="shared" si="2"/>
        <v>0</v>
      </c>
      <c r="H68" s="127">
        <f t="shared" si="3"/>
        <v>33912</v>
      </c>
      <c r="I68" s="188">
        <f t="shared" si="4"/>
        <v>0</v>
      </c>
      <c r="J68" s="134"/>
      <c r="K68" s="121"/>
      <c r="L68" s="121"/>
      <c r="M68" s="121"/>
      <c r="N68" s="121"/>
      <c r="O68" s="121"/>
      <c r="P68" s="121"/>
      <c r="Q68" s="162">
        <v>9136</v>
      </c>
      <c r="R68" s="121"/>
      <c r="S68" s="121"/>
      <c r="T68" s="121">
        <v>1282</v>
      </c>
      <c r="U68" s="177">
        <v>4178</v>
      </c>
      <c r="V68" s="121"/>
      <c r="W68" s="121">
        <v>1181</v>
      </c>
      <c r="X68" s="121"/>
      <c r="Y68" s="121"/>
      <c r="Z68" s="177">
        <v>1416</v>
      </c>
      <c r="AA68" s="121"/>
      <c r="AB68" s="121"/>
      <c r="AC68" s="121">
        <v>16719</v>
      </c>
      <c r="AD68" s="121"/>
      <c r="AE68" s="121"/>
      <c r="AF68" s="121"/>
      <c r="AG68" s="121"/>
      <c r="AH68" s="121"/>
      <c r="AI68" s="121"/>
      <c r="AJ68" s="121"/>
    </row>
    <row r="69" spans="1:36" s="3" customFormat="1" ht="18" customHeight="1" thickBot="1" x14ac:dyDescent="0.4">
      <c r="A69" s="146" t="s">
        <v>63</v>
      </c>
      <c r="B69" s="166" t="s">
        <v>241</v>
      </c>
      <c r="C69" s="146">
        <v>8053</v>
      </c>
      <c r="D69" s="180">
        <f t="shared" si="0"/>
        <v>0</v>
      </c>
      <c r="E69" s="181" t="s">
        <v>372</v>
      </c>
      <c r="F69" s="203">
        <f t="shared" si="1"/>
        <v>0</v>
      </c>
      <c r="G69" s="188">
        <f t="shared" si="2"/>
        <v>-8053</v>
      </c>
      <c r="H69" s="127">
        <f t="shared" si="3"/>
        <v>0</v>
      </c>
      <c r="I69" s="188">
        <f t="shared" si="4"/>
        <v>0</v>
      </c>
      <c r="J69" s="134"/>
      <c r="K69" s="121"/>
      <c r="L69" s="121"/>
      <c r="M69" s="121"/>
      <c r="N69" s="121"/>
      <c r="O69" s="121"/>
      <c r="P69" s="121"/>
      <c r="Q69" s="162" t="s">
        <v>587</v>
      </c>
      <c r="R69" s="121"/>
      <c r="S69" s="121"/>
      <c r="T69" s="121"/>
      <c r="U69" s="177"/>
      <c r="V69" s="121"/>
      <c r="W69" s="121"/>
      <c r="X69" s="121"/>
      <c r="Y69" s="121"/>
      <c r="Z69" s="177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</row>
    <row r="70" spans="1:36" s="3" customFormat="1" ht="18" customHeight="1" thickBot="1" x14ac:dyDescent="0.4">
      <c r="A70" s="146" t="s">
        <v>64</v>
      </c>
      <c r="B70" s="166" t="s">
        <v>471</v>
      </c>
      <c r="C70" s="146"/>
      <c r="D70" s="180">
        <f t="shared" si="0"/>
        <v>0</v>
      </c>
      <c r="E70" s="181"/>
      <c r="F70" s="203">
        <f t="shared" si="1"/>
        <v>0</v>
      </c>
      <c r="G70" s="188">
        <f t="shared" si="2"/>
        <v>0</v>
      </c>
      <c r="H70" s="127">
        <f t="shared" si="3"/>
        <v>0</v>
      </c>
      <c r="I70" s="188">
        <f t="shared" si="4"/>
        <v>0</v>
      </c>
      <c r="J70" s="134"/>
      <c r="K70" s="121"/>
      <c r="L70" s="121"/>
      <c r="M70" s="121"/>
      <c r="N70" s="121"/>
      <c r="O70" s="121"/>
      <c r="P70" s="121"/>
      <c r="Q70" s="162" t="s">
        <v>587</v>
      </c>
      <c r="R70" s="121"/>
      <c r="S70" s="121"/>
      <c r="T70" s="121"/>
      <c r="U70" s="177"/>
      <c r="V70" s="121"/>
      <c r="W70" s="121"/>
      <c r="X70" s="121"/>
      <c r="Y70" s="121"/>
      <c r="Z70" s="177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</row>
    <row r="71" spans="1:36" s="3" customFormat="1" ht="18" customHeight="1" thickBot="1" x14ac:dyDescent="0.4">
      <c r="A71" s="146" t="s">
        <v>65</v>
      </c>
      <c r="B71" s="166" t="s">
        <v>243</v>
      </c>
      <c r="C71" s="146"/>
      <c r="D71" s="180">
        <f t="shared" si="0"/>
        <v>0</v>
      </c>
      <c r="E71" s="181"/>
      <c r="F71" s="203">
        <f t="shared" si="1"/>
        <v>0</v>
      </c>
      <c r="G71" s="188">
        <f t="shared" si="2"/>
        <v>0</v>
      </c>
      <c r="H71" s="127">
        <f t="shared" si="3"/>
        <v>0</v>
      </c>
      <c r="I71" s="188">
        <f t="shared" si="4"/>
        <v>0</v>
      </c>
      <c r="J71" s="134"/>
      <c r="K71" s="121"/>
      <c r="L71" s="121"/>
      <c r="M71" s="121"/>
      <c r="N71" s="121"/>
      <c r="O71" s="121"/>
      <c r="P71" s="121"/>
      <c r="Q71" s="162" t="s">
        <v>587</v>
      </c>
      <c r="R71" s="121"/>
      <c r="S71" s="121"/>
      <c r="T71" s="121"/>
      <c r="U71" s="177"/>
      <c r="V71" s="121"/>
      <c r="W71" s="121"/>
      <c r="X71" s="121"/>
      <c r="Y71" s="121"/>
      <c r="Z71" s="177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</row>
    <row r="72" spans="1:36" s="3" customFormat="1" ht="18" customHeight="1" thickBot="1" x14ac:dyDescent="0.4">
      <c r="A72" s="146" t="s">
        <v>66</v>
      </c>
      <c r="B72" s="166" t="s">
        <v>244</v>
      </c>
      <c r="C72" s="146">
        <v>14282</v>
      </c>
      <c r="D72" s="180">
        <f t="shared" si="0"/>
        <v>14282</v>
      </c>
      <c r="E72" s="181"/>
      <c r="F72" s="203">
        <f t="shared" si="1"/>
        <v>0</v>
      </c>
      <c r="G72" s="188">
        <f t="shared" si="2"/>
        <v>0</v>
      </c>
      <c r="H72" s="127">
        <f t="shared" si="3"/>
        <v>14282</v>
      </c>
      <c r="I72" s="188">
        <f t="shared" si="4"/>
        <v>0</v>
      </c>
      <c r="J72" s="134"/>
      <c r="K72" s="121"/>
      <c r="L72" s="121"/>
      <c r="M72" s="121"/>
      <c r="N72" s="121"/>
      <c r="O72" s="121">
        <v>1268</v>
      </c>
      <c r="P72" s="121"/>
      <c r="Q72" s="162">
        <v>3331</v>
      </c>
      <c r="R72" s="121"/>
      <c r="S72" s="121">
        <v>1654</v>
      </c>
      <c r="T72" s="121">
        <v>1087</v>
      </c>
      <c r="U72" s="177">
        <v>1953</v>
      </c>
      <c r="V72" s="121"/>
      <c r="W72" s="121"/>
      <c r="X72" s="121"/>
      <c r="Y72" s="121"/>
      <c r="Z72" s="177"/>
      <c r="AA72" s="121"/>
      <c r="AB72" s="121">
        <v>4520</v>
      </c>
      <c r="AC72" s="121">
        <v>469</v>
      </c>
      <c r="AD72" s="121"/>
      <c r="AE72" s="121"/>
      <c r="AF72" s="121"/>
      <c r="AG72" s="121"/>
      <c r="AH72" s="121"/>
      <c r="AI72" s="121"/>
      <c r="AJ72" s="121"/>
    </row>
    <row r="73" spans="1:36" s="3" customFormat="1" ht="18" customHeight="1" thickBot="1" x14ac:dyDescent="0.4">
      <c r="A73" s="146" t="s">
        <v>67</v>
      </c>
      <c r="B73" s="166" t="s">
        <v>245</v>
      </c>
      <c r="C73" s="146">
        <v>68515</v>
      </c>
      <c r="D73" s="180">
        <f t="shared" si="0"/>
        <v>68515</v>
      </c>
      <c r="E73" s="181"/>
      <c r="F73" s="203">
        <f t="shared" si="1"/>
        <v>0</v>
      </c>
      <c r="G73" s="188">
        <f t="shared" si="2"/>
        <v>0</v>
      </c>
      <c r="H73" s="127">
        <f t="shared" si="3"/>
        <v>68515</v>
      </c>
      <c r="I73" s="188">
        <f t="shared" si="4"/>
        <v>0</v>
      </c>
      <c r="J73" s="134"/>
      <c r="K73" s="121"/>
      <c r="L73" s="121"/>
      <c r="M73" s="121"/>
      <c r="N73" s="121"/>
      <c r="O73" s="121">
        <v>6996</v>
      </c>
      <c r="P73" s="121">
        <v>7101</v>
      </c>
      <c r="Q73" s="162">
        <v>2311</v>
      </c>
      <c r="R73" s="121">
        <v>2761</v>
      </c>
      <c r="S73" s="121">
        <v>5830</v>
      </c>
      <c r="T73" s="121"/>
      <c r="U73" s="177">
        <v>4019</v>
      </c>
      <c r="V73" s="121"/>
      <c r="W73" s="121">
        <v>6736</v>
      </c>
      <c r="X73" s="121"/>
      <c r="Y73" s="121"/>
      <c r="Z73" s="177"/>
      <c r="AA73" s="121">
        <v>19376</v>
      </c>
      <c r="AB73" s="121"/>
      <c r="AC73" s="121">
        <v>7807</v>
      </c>
      <c r="AD73" s="121">
        <v>1355</v>
      </c>
      <c r="AE73" s="121">
        <v>4223</v>
      </c>
      <c r="AF73" s="121"/>
      <c r="AG73" s="121"/>
      <c r="AH73" s="121"/>
      <c r="AI73" s="121"/>
      <c r="AJ73" s="121"/>
    </row>
    <row r="74" spans="1:36" s="3" customFormat="1" ht="18" customHeight="1" thickBot="1" x14ac:dyDescent="0.4">
      <c r="A74" s="146" t="s">
        <v>68</v>
      </c>
      <c r="B74" s="166" t="s">
        <v>472</v>
      </c>
      <c r="C74" s="146"/>
      <c r="D74" s="180">
        <f t="shared" si="0"/>
        <v>0</v>
      </c>
      <c r="E74" s="181"/>
      <c r="F74" s="203">
        <f t="shared" si="1"/>
        <v>0</v>
      </c>
      <c r="G74" s="188">
        <f t="shared" si="2"/>
        <v>0</v>
      </c>
      <c r="H74" s="127">
        <f t="shared" si="3"/>
        <v>0</v>
      </c>
      <c r="I74" s="188">
        <f t="shared" si="4"/>
        <v>0</v>
      </c>
      <c r="J74" s="134"/>
      <c r="K74" s="121"/>
      <c r="L74" s="121"/>
      <c r="M74" s="121"/>
      <c r="N74" s="121"/>
      <c r="O74" s="121"/>
      <c r="P74" s="121"/>
      <c r="Q74" s="162" t="s">
        <v>587</v>
      </c>
      <c r="R74" s="121"/>
      <c r="S74" s="121"/>
      <c r="T74" s="121"/>
      <c r="U74" s="177"/>
      <c r="V74" s="121"/>
      <c r="W74" s="121"/>
      <c r="X74" s="121"/>
      <c r="Y74" s="121"/>
      <c r="Z74" s="177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</row>
    <row r="75" spans="1:36" s="3" customFormat="1" ht="18" customHeight="1" thickBot="1" x14ac:dyDescent="0.4">
      <c r="A75" s="146" t="s">
        <v>69</v>
      </c>
      <c r="B75" s="166" t="s">
        <v>473</v>
      </c>
      <c r="C75" s="146"/>
      <c r="D75" s="180">
        <f t="shared" si="0"/>
        <v>0</v>
      </c>
      <c r="E75" s="181"/>
      <c r="F75" s="203">
        <f t="shared" si="1"/>
        <v>0</v>
      </c>
      <c r="G75" s="188">
        <f t="shared" si="2"/>
        <v>0</v>
      </c>
      <c r="H75" s="127">
        <f t="shared" si="3"/>
        <v>0</v>
      </c>
      <c r="I75" s="188">
        <f t="shared" si="4"/>
        <v>0</v>
      </c>
      <c r="J75" s="134"/>
      <c r="K75" s="121"/>
      <c r="L75" s="121"/>
      <c r="M75" s="121"/>
      <c r="N75" s="121"/>
      <c r="O75" s="121"/>
      <c r="P75" s="121"/>
      <c r="Q75" s="162" t="s">
        <v>587</v>
      </c>
      <c r="R75" s="121"/>
      <c r="S75" s="121"/>
      <c r="T75" s="121"/>
      <c r="U75" s="177"/>
      <c r="V75" s="121"/>
      <c r="W75" s="121"/>
      <c r="X75" s="121"/>
      <c r="Y75" s="121"/>
      <c r="Z75" s="177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</row>
    <row r="76" spans="1:36" s="3" customFormat="1" ht="18" customHeight="1" thickBot="1" x14ac:dyDescent="0.4">
      <c r="A76" s="146" t="s">
        <v>70</v>
      </c>
      <c r="B76" s="166" t="s">
        <v>474</v>
      </c>
      <c r="C76" s="146">
        <v>2957</v>
      </c>
      <c r="D76" s="180">
        <f t="shared" si="0"/>
        <v>2957</v>
      </c>
      <c r="E76" s="181"/>
      <c r="F76" s="203">
        <f t="shared" si="1"/>
        <v>0</v>
      </c>
      <c r="G76" s="188">
        <f t="shared" si="2"/>
        <v>0</v>
      </c>
      <c r="H76" s="127">
        <f t="shared" si="3"/>
        <v>0</v>
      </c>
      <c r="I76" s="188">
        <f t="shared" si="4"/>
        <v>2957</v>
      </c>
      <c r="J76" s="134"/>
      <c r="K76" s="121"/>
      <c r="L76" s="121"/>
      <c r="M76" s="121"/>
      <c r="N76" s="121"/>
      <c r="O76" s="121"/>
      <c r="P76" s="121"/>
      <c r="Q76" s="162" t="s">
        <v>587</v>
      </c>
      <c r="R76" s="121"/>
      <c r="S76" s="121"/>
      <c r="T76" s="121"/>
      <c r="U76" s="177"/>
      <c r="V76" s="121"/>
      <c r="W76" s="121"/>
      <c r="X76" s="121"/>
      <c r="Y76" s="121"/>
      <c r="Z76" s="177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</row>
    <row r="77" spans="1:36" s="3" customFormat="1" ht="18" customHeight="1" thickBot="1" x14ac:dyDescent="0.4">
      <c r="A77" s="146" t="s">
        <v>71</v>
      </c>
      <c r="B77" s="166" t="s">
        <v>476</v>
      </c>
      <c r="C77" s="146"/>
      <c r="D77" s="180">
        <f t="shared" si="0"/>
        <v>0</v>
      </c>
      <c r="E77" s="181"/>
      <c r="F77" s="203">
        <f t="shared" ref="F77:F140" si="5">SUMIF(E:E, A77,C:C )</f>
        <v>0</v>
      </c>
      <c r="G77" s="188">
        <f t="shared" si="2"/>
        <v>0</v>
      </c>
      <c r="H77" s="127">
        <f t="shared" si="3"/>
        <v>0</v>
      </c>
      <c r="I77" s="188">
        <f t="shared" si="4"/>
        <v>0</v>
      </c>
      <c r="J77" s="134"/>
      <c r="K77" s="121"/>
      <c r="L77" s="121"/>
      <c r="M77" s="121"/>
      <c r="N77" s="121"/>
      <c r="O77" s="121"/>
      <c r="P77" s="121"/>
      <c r="Q77" s="162" t="s">
        <v>587</v>
      </c>
      <c r="R77" s="121"/>
      <c r="S77" s="121"/>
      <c r="T77" s="121"/>
      <c r="U77" s="177"/>
      <c r="V77" s="121"/>
      <c r="W77" s="121"/>
      <c r="X77" s="121"/>
      <c r="Y77" s="121"/>
      <c r="Z77" s="177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</row>
    <row r="78" spans="1:36" s="3" customFormat="1" ht="18" customHeight="1" thickBot="1" x14ac:dyDescent="0.4">
      <c r="A78" s="146" t="s">
        <v>72</v>
      </c>
      <c r="B78" s="166" t="s">
        <v>477</v>
      </c>
      <c r="C78" s="146"/>
      <c r="D78" s="180">
        <f t="shared" ref="D78:D141" si="6">C78+G78</f>
        <v>0</v>
      </c>
      <c r="E78" s="181"/>
      <c r="F78" s="203">
        <f t="shared" si="5"/>
        <v>0</v>
      </c>
      <c r="G78" s="188">
        <f t="shared" ref="G78:G141" si="7">IF(ISBLANK(E78),,-C78)+IF(ISBLANK(F78),,F78)</f>
        <v>0</v>
      </c>
      <c r="H78" s="127">
        <f t="shared" ref="H78:H141" si="8">SUM(J78:AJ78)</f>
        <v>0</v>
      </c>
      <c r="I78" s="188">
        <f t="shared" ref="I78:I141" si="9">IF(ISBLANK(E78),D78-H78,0)</f>
        <v>0</v>
      </c>
      <c r="J78" s="134"/>
      <c r="K78" s="121"/>
      <c r="L78" s="121"/>
      <c r="M78" s="121"/>
      <c r="N78" s="121"/>
      <c r="O78" s="117"/>
      <c r="P78" s="121"/>
      <c r="Q78" s="162" t="s">
        <v>587</v>
      </c>
      <c r="R78" s="121"/>
      <c r="S78" s="121"/>
      <c r="T78" s="121"/>
      <c r="U78" s="128"/>
      <c r="V78" s="121"/>
      <c r="W78" s="121"/>
      <c r="X78" s="121"/>
      <c r="Y78" s="121"/>
      <c r="Z78" s="177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</row>
    <row r="79" spans="1:36" s="3" customFormat="1" ht="18" customHeight="1" thickBot="1" x14ac:dyDescent="0.4">
      <c r="A79" s="146" t="s">
        <v>73</v>
      </c>
      <c r="B79" s="166" t="s">
        <v>478</v>
      </c>
      <c r="C79" s="146">
        <v>117024</v>
      </c>
      <c r="D79" s="180">
        <f t="shared" si="6"/>
        <v>117024</v>
      </c>
      <c r="E79" s="181"/>
      <c r="F79" s="203">
        <f t="shared" si="5"/>
        <v>0</v>
      </c>
      <c r="G79" s="188">
        <f t="shared" si="7"/>
        <v>0</v>
      </c>
      <c r="H79" s="127">
        <f t="shared" si="8"/>
        <v>117024</v>
      </c>
      <c r="I79" s="188">
        <f t="shared" si="9"/>
        <v>0</v>
      </c>
      <c r="J79" s="134"/>
      <c r="K79" s="121"/>
      <c r="L79" s="121"/>
      <c r="M79" s="121"/>
      <c r="N79" s="121"/>
      <c r="O79" s="121"/>
      <c r="P79" s="121"/>
      <c r="Q79" s="162" t="s">
        <v>587</v>
      </c>
      <c r="R79" s="121">
        <v>52426</v>
      </c>
      <c r="S79" s="121"/>
      <c r="T79" s="121"/>
      <c r="U79" s="177"/>
      <c r="V79" s="121"/>
      <c r="W79" s="121"/>
      <c r="X79" s="121"/>
      <c r="Y79" s="121"/>
      <c r="Z79" s="177">
        <v>64598</v>
      </c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</row>
    <row r="80" spans="1:36" s="3" customFormat="1" ht="18" customHeight="1" thickBot="1" x14ac:dyDescent="0.4">
      <c r="A80" s="146" t="s">
        <v>74</v>
      </c>
      <c r="B80" s="166" t="s">
        <v>480</v>
      </c>
      <c r="C80" s="146">
        <v>65370</v>
      </c>
      <c r="D80" s="180">
        <f t="shared" si="6"/>
        <v>65370</v>
      </c>
      <c r="E80" s="181"/>
      <c r="F80" s="203">
        <f t="shared" si="5"/>
        <v>0</v>
      </c>
      <c r="G80" s="188">
        <f t="shared" si="7"/>
        <v>0</v>
      </c>
      <c r="H80" s="127">
        <f t="shared" si="8"/>
        <v>65370</v>
      </c>
      <c r="I80" s="188">
        <f t="shared" si="9"/>
        <v>0</v>
      </c>
      <c r="J80" s="134"/>
      <c r="K80" s="121"/>
      <c r="L80" s="121"/>
      <c r="M80" s="121"/>
      <c r="N80" s="121"/>
      <c r="O80" s="121"/>
      <c r="P80" s="121">
        <v>12514</v>
      </c>
      <c r="Q80" s="162" t="s">
        <v>587</v>
      </c>
      <c r="R80" s="121">
        <v>6800</v>
      </c>
      <c r="S80" s="121">
        <v>2506</v>
      </c>
      <c r="T80" s="121"/>
      <c r="U80" s="177">
        <v>1700</v>
      </c>
      <c r="V80" s="121">
        <v>910</v>
      </c>
      <c r="W80" s="121"/>
      <c r="X80" s="121"/>
      <c r="Y80" s="121"/>
      <c r="Z80" s="177">
        <v>593</v>
      </c>
      <c r="AA80" s="121">
        <v>40347</v>
      </c>
      <c r="AB80" s="121"/>
      <c r="AC80" s="121"/>
      <c r="AD80" s="121"/>
      <c r="AE80" s="121"/>
      <c r="AF80" s="121"/>
      <c r="AG80" s="121"/>
      <c r="AH80" s="121"/>
      <c r="AI80" s="121"/>
      <c r="AJ80" s="121"/>
    </row>
    <row r="81" spans="1:36" s="3" customFormat="1" ht="18" customHeight="1" thickBot="1" x14ac:dyDescent="0.4">
      <c r="A81" s="146" t="s">
        <v>75</v>
      </c>
      <c r="B81" s="166" t="s">
        <v>253</v>
      </c>
      <c r="C81" s="146">
        <v>12646</v>
      </c>
      <c r="D81" s="180">
        <f t="shared" si="6"/>
        <v>12646</v>
      </c>
      <c r="E81" s="181"/>
      <c r="F81" s="203">
        <f t="shared" si="5"/>
        <v>0</v>
      </c>
      <c r="G81" s="188">
        <f t="shared" si="7"/>
        <v>0</v>
      </c>
      <c r="H81" s="127">
        <f t="shared" si="8"/>
        <v>12646</v>
      </c>
      <c r="I81" s="188">
        <f t="shared" si="9"/>
        <v>0</v>
      </c>
      <c r="J81" s="134"/>
      <c r="K81" s="121"/>
      <c r="L81" s="121"/>
      <c r="M81" s="121"/>
      <c r="N81" s="121"/>
      <c r="O81" s="121"/>
      <c r="P81" s="121"/>
      <c r="Q81" s="162" t="s">
        <v>587</v>
      </c>
      <c r="R81" s="121"/>
      <c r="S81" s="121"/>
      <c r="T81" s="121">
        <v>12646</v>
      </c>
      <c r="U81" s="177"/>
      <c r="V81" s="121"/>
      <c r="W81" s="121"/>
      <c r="X81" s="121"/>
      <c r="Y81" s="121"/>
      <c r="Z81" s="177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</row>
    <row r="82" spans="1:36" s="3" customFormat="1" ht="18" customHeight="1" thickBot="1" x14ac:dyDescent="0.4">
      <c r="A82" s="146" t="s">
        <v>76</v>
      </c>
      <c r="B82" s="166" t="s">
        <v>481</v>
      </c>
      <c r="C82" s="146"/>
      <c r="D82" s="180">
        <f t="shared" si="6"/>
        <v>0</v>
      </c>
      <c r="E82" s="181"/>
      <c r="F82" s="203">
        <f t="shared" si="5"/>
        <v>0</v>
      </c>
      <c r="G82" s="188">
        <f t="shared" si="7"/>
        <v>0</v>
      </c>
      <c r="H82" s="127">
        <f t="shared" si="8"/>
        <v>0</v>
      </c>
      <c r="I82" s="188">
        <f t="shared" si="9"/>
        <v>0</v>
      </c>
      <c r="J82" s="134"/>
      <c r="K82" s="121"/>
      <c r="L82" s="121"/>
      <c r="M82" s="121"/>
      <c r="N82" s="121"/>
      <c r="O82" s="121"/>
      <c r="P82" s="121"/>
      <c r="Q82" s="162" t="s">
        <v>587</v>
      </c>
      <c r="R82" s="121"/>
      <c r="S82" s="121"/>
      <c r="T82" s="121"/>
      <c r="U82" s="177"/>
      <c r="V82" s="121"/>
      <c r="W82" s="121"/>
      <c r="X82" s="121"/>
      <c r="Y82" s="121"/>
      <c r="Z82" s="177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</row>
    <row r="83" spans="1:36" s="3" customFormat="1" ht="18" customHeight="1" thickBot="1" x14ac:dyDescent="0.4">
      <c r="A83" s="146" t="s">
        <v>77</v>
      </c>
      <c r="B83" s="166" t="s">
        <v>483</v>
      </c>
      <c r="C83" s="146">
        <v>3272</v>
      </c>
      <c r="D83" s="180">
        <f t="shared" si="6"/>
        <v>0</v>
      </c>
      <c r="E83" s="181" t="s">
        <v>375</v>
      </c>
      <c r="F83" s="203">
        <f t="shared" si="5"/>
        <v>0</v>
      </c>
      <c r="G83" s="188">
        <f t="shared" si="7"/>
        <v>-3272</v>
      </c>
      <c r="H83" s="127">
        <f t="shared" si="8"/>
        <v>0</v>
      </c>
      <c r="I83" s="188">
        <f t="shared" si="9"/>
        <v>0</v>
      </c>
      <c r="J83" s="134"/>
      <c r="K83" s="121"/>
      <c r="L83" s="121"/>
      <c r="M83" s="121"/>
      <c r="N83" s="121"/>
      <c r="O83" s="121"/>
      <c r="P83" s="121"/>
      <c r="Q83" s="162" t="s">
        <v>587</v>
      </c>
      <c r="R83" s="121"/>
      <c r="S83" s="121"/>
      <c r="T83" s="121"/>
      <c r="U83" s="128"/>
      <c r="V83" s="121"/>
      <c r="W83" s="121"/>
      <c r="X83" s="121"/>
      <c r="Y83" s="121"/>
      <c r="Z83" s="177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</row>
    <row r="84" spans="1:36" s="3" customFormat="1" ht="18" customHeight="1" thickBot="1" x14ac:dyDescent="0.4">
      <c r="A84" s="146" t="s">
        <v>78</v>
      </c>
      <c r="B84" s="166" t="s">
        <v>256</v>
      </c>
      <c r="C84" s="146">
        <v>6606</v>
      </c>
      <c r="D84" s="180">
        <f t="shared" si="6"/>
        <v>0</v>
      </c>
      <c r="E84" s="181" t="s">
        <v>375</v>
      </c>
      <c r="F84" s="203">
        <f t="shared" si="5"/>
        <v>0</v>
      </c>
      <c r="G84" s="188">
        <f t="shared" si="7"/>
        <v>-6606</v>
      </c>
      <c r="H84" s="127">
        <f t="shared" si="8"/>
        <v>0</v>
      </c>
      <c r="I84" s="188">
        <f t="shared" si="9"/>
        <v>0</v>
      </c>
      <c r="J84" s="134"/>
      <c r="K84" s="121"/>
      <c r="L84" s="121"/>
      <c r="M84" s="121"/>
      <c r="N84" s="121"/>
      <c r="O84" s="121"/>
      <c r="P84" s="121"/>
      <c r="Q84" s="162" t="s">
        <v>587</v>
      </c>
      <c r="R84" s="121"/>
      <c r="S84" s="121"/>
      <c r="T84" s="121"/>
      <c r="U84" s="177"/>
      <c r="V84" s="121"/>
      <c r="W84" s="121"/>
      <c r="X84" s="121"/>
      <c r="Y84" s="121"/>
      <c r="Z84" s="177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</row>
    <row r="85" spans="1:36" s="3" customFormat="1" ht="18" customHeight="1" thickBot="1" x14ac:dyDescent="0.4">
      <c r="A85" s="146" t="s">
        <v>79</v>
      </c>
      <c r="B85" s="166" t="s">
        <v>485</v>
      </c>
      <c r="C85" s="146">
        <v>10255</v>
      </c>
      <c r="D85" s="180">
        <f t="shared" si="6"/>
        <v>10255</v>
      </c>
      <c r="E85" s="181"/>
      <c r="F85" s="203">
        <f t="shared" si="5"/>
        <v>0</v>
      </c>
      <c r="G85" s="188">
        <f t="shared" si="7"/>
        <v>0</v>
      </c>
      <c r="H85" s="127">
        <f t="shared" si="8"/>
        <v>10255</v>
      </c>
      <c r="I85" s="188">
        <f t="shared" si="9"/>
        <v>0</v>
      </c>
      <c r="J85" s="134"/>
      <c r="K85" s="121"/>
      <c r="L85" s="121"/>
      <c r="M85" s="121"/>
      <c r="N85" s="121"/>
      <c r="O85" s="121"/>
      <c r="P85" s="121">
        <v>2736</v>
      </c>
      <c r="Q85" s="162" t="s">
        <v>587</v>
      </c>
      <c r="R85" s="121"/>
      <c r="S85" s="121">
        <v>2983</v>
      </c>
      <c r="T85" s="121"/>
      <c r="U85" s="177">
        <v>2756</v>
      </c>
      <c r="V85" s="121"/>
      <c r="W85" s="121">
        <v>1780</v>
      </c>
      <c r="X85" s="121"/>
      <c r="Y85" s="121"/>
      <c r="Z85" s="177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</row>
    <row r="86" spans="1:36" s="3" customFormat="1" ht="18" customHeight="1" thickBot="1" x14ac:dyDescent="0.4">
      <c r="A86" s="146" t="s">
        <v>80</v>
      </c>
      <c r="B86" s="166" t="s">
        <v>632</v>
      </c>
      <c r="C86" s="146"/>
      <c r="D86" s="180">
        <f t="shared" si="6"/>
        <v>0</v>
      </c>
      <c r="E86" s="181"/>
      <c r="F86" s="203">
        <f t="shared" si="5"/>
        <v>0</v>
      </c>
      <c r="G86" s="188">
        <f t="shared" si="7"/>
        <v>0</v>
      </c>
      <c r="H86" s="127">
        <f t="shared" si="8"/>
        <v>0</v>
      </c>
      <c r="I86" s="188">
        <f t="shared" si="9"/>
        <v>0</v>
      </c>
      <c r="J86" s="134"/>
      <c r="K86" s="121"/>
      <c r="L86" s="121"/>
      <c r="M86" s="121"/>
      <c r="N86" s="121"/>
      <c r="O86" s="121"/>
      <c r="P86" s="121"/>
      <c r="Q86" s="162" t="s">
        <v>587</v>
      </c>
      <c r="R86" s="121"/>
      <c r="S86" s="121"/>
      <c r="T86" s="121"/>
      <c r="U86" s="177"/>
      <c r="V86" s="121"/>
      <c r="W86" s="121"/>
      <c r="X86" s="121"/>
      <c r="Y86" s="121"/>
      <c r="Z86" s="177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</row>
    <row r="87" spans="1:36" s="3" customFormat="1" ht="18" customHeight="1" thickBot="1" x14ac:dyDescent="0.4">
      <c r="A87" s="146" t="s">
        <v>81</v>
      </c>
      <c r="B87" s="166" t="s">
        <v>489</v>
      </c>
      <c r="C87" s="146"/>
      <c r="D87" s="180">
        <f t="shared" si="6"/>
        <v>0</v>
      </c>
      <c r="E87" s="181" t="s">
        <v>60</v>
      </c>
      <c r="F87" s="203">
        <f t="shared" si="5"/>
        <v>0</v>
      </c>
      <c r="G87" s="188">
        <f t="shared" si="7"/>
        <v>0</v>
      </c>
      <c r="H87" s="127">
        <f t="shared" si="8"/>
        <v>0</v>
      </c>
      <c r="I87" s="188">
        <f t="shared" si="9"/>
        <v>0</v>
      </c>
      <c r="J87" s="134"/>
      <c r="K87" s="121"/>
      <c r="L87" s="121"/>
      <c r="M87" s="121"/>
      <c r="N87" s="121"/>
      <c r="O87" s="121"/>
      <c r="P87" s="121"/>
      <c r="Q87" s="162" t="s">
        <v>587</v>
      </c>
      <c r="R87" s="121"/>
      <c r="S87" s="121"/>
      <c r="T87" s="121"/>
      <c r="U87" s="177"/>
      <c r="V87" s="121"/>
      <c r="W87" s="121"/>
      <c r="X87" s="121"/>
      <c r="Y87" s="121"/>
      <c r="Z87" s="177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</row>
    <row r="88" spans="1:36" s="3" customFormat="1" ht="18" customHeight="1" thickBot="1" x14ac:dyDescent="0.4">
      <c r="A88" s="146" t="s">
        <v>82</v>
      </c>
      <c r="B88" s="166" t="s">
        <v>491</v>
      </c>
      <c r="C88" s="146"/>
      <c r="D88" s="180">
        <f t="shared" si="6"/>
        <v>0</v>
      </c>
      <c r="E88" s="181"/>
      <c r="F88" s="203">
        <f t="shared" si="5"/>
        <v>0</v>
      </c>
      <c r="G88" s="188">
        <f t="shared" si="7"/>
        <v>0</v>
      </c>
      <c r="H88" s="127">
        <f t="shared" si="8"/>
        <v>0</v>
      </c>
      <c r="I88" s="188">
        <f t="shared" si="9"/>
        <v>0</v>
      </c>
      <c r="J88" s="134"/>
      <c r="K88" s="121"/>
      <c r="L88" s="121"/>
      <c r="M88" s="121"/>
      <c r="N88" s="121"/>
      <c r="O88" s="121"/>
      <c r="P88" s="121"/>
      <c r="Q88" s="162" t="s">
        <v>587</v>
      </c>
      <c r="R88" s="121"/>
      <c r="S88" s="121"/>
      <c r="T88" s="121"/>
      <c r="U88" s="128"/>
      <c r="V88" s="121"/>
      <c r="W88" s="121"/>
      <c r="X88" s="121"/>
      <c r="Y88" s="121"/>
      <c r="Z88" s="177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</row>
    <row r="89" spans="1:36" s="3" customFormat="1" ht="18" customHeight="1" thickBot="1" x14ac:dyDescent="0.4">
      <c r="A89" s="146" t="s">
        <v>83</v>
      </c>
      <c r="B89" s="166" t="s">
        <v>261</v>
      </c>
      <c r="C89" s="146">
        <v>1195</v>
      </c>
      <c r="D89" s="180">
        <f t="shared" si="6"/>
        <v>0</v>
      </c>
      <c r="E89" s="181" t="s">
        <v>375</v>
      </c>
      <c r="F89" s="203">
        <f t="shared" si="5"/>
        <v>0</v>
      </c>
      <c r="G89" s="188">
        <f t="shared" si="7"/>
        <v>-1195</v>
      </c>
      <c r="H89" s="127">
        <f t="shared" si="8"/>
        <v>0</v>
      </c>
      <c r="I89" s="188">
        <f t="shared" si="9"/>
        <v>0</v>
      </c>
      <c r="J89" s="134"/>
      <c r="K89" s="121"/>
      <c r="L89" s="121"/>
      <c r="M89" s="121"/>
      <c r="N89" s="121"/>
      <c r="O89" s="121"/>
      <c r="P89" s="121"/>
      <c r="Q89" s="162" t="s">
        <v>587</v>
      </c>
      <c r="R89" s="121"/>
      <c r="S89" s="121"/>
      <c r="T89" s="121"/>
      <c r="U89" s="177"/>
      <c r="V89" s="121"/>
      <c r="W89" s="121"/>
      <c r="X89" s="121"/>
      <c r="Y89" s="121"/>
      <c r="Z89" s="177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</row>
    <row r="90" spans="1:36" s="3" customFormat="1" ht="18" customHeight="1" thickBot="1" x14ac:dyDescent="0.4">
      <c r="A90" s="146" t="s">
        <v>84</v>
      </c>
      <c r="B90" s="166" t="s">
        <v>262</v>
      </c>
      <c r="C90" s="146">
        <v>440285</v>
      </c>
      <c r="D90" s="180">
        <f t="shared" si="6"/>
        <v>440285</v>
      </c>
      <c r="E90" s="181"/>
      <c r="F90" s="203">
        <f t="shared" si="5"/>
        <v>0</v>
      </c>
      <c r="G90" s="188">
        <f t="shared" si="7"/>
        <v>0</v>
      </c>
      <c r="H90" s="127">
        <f t="shared" si="8"/>
        <v>440285</v>
      </c>
      <c r="I90" s="188">
        <f t="shared" si="9"/>
        <v>0</v>
      </c>
      <c r="J90" s="134"/>
      <c r="K90" s="121"/>
      <c r="L90" s="121"/>
      <c r="M90" s="121"/>
      <c r="N90" s="121"/>
      <c r="O90" s="121"/>
      <c r="P90" s="121">
        <v>6378</v>
      </c>
      <c r="Q90" s="162">
        <v>14963</v>
      </c>
      <c r="R90" s="121">
        <v>78574</v>
      </c>
      <c r="S90" s="121">
        <v>30864</v>
      </c>
      <c r="T90" s="121">
        <v>72983</v>
      </c>
      <c r="U90" s="177">
        <v>10812</v>
      </c>
      <c r="V90" s="121"/>
      <c r="W90" s="121">
        <v>20296</v>
      </c>
      <c r="X90" s="121">
        <v>40704</v>
      </c>
      <c r="Y90" s="121"/>
      <c r="Z90" s="177">
        <v>61053</v>
      </c>
      <c r="AA90" s="121">
        <v>52064</v>
      </c>
      <c r="AB90" s="121"/>
      <c r="AC90" s="121">
        <v>51594</v>
      </c>
      <c r="AD90" s="121"/>
      <c r="AE90" s="121"/>
      <c r="AF90" s="121"/>
      <c r="AG90" s="121"/>
      <c r="AH90" s="121"/>
      <c r="AI90" s="121"/>
      <c r="AJ90" s="121"/>
    </row>
    <row r="91" spans="1:36" s="3" customFormat="1" ht="18" customHeight="1" thickBot="1" x14ac:dyDescent="0.4">
      <c r="A91" s="146" t="s">
        <v>85</v>
      </c>
      <c r="B91" s="166" t="s">
        <v>494</v>
      </c>
      <c r="C91" s="146"/>
      <c r="D91" s="180">
        <f t="shared" si="6"/>
        <v>0</v>
      </c>
      <c r="E91" s="181"/>
      <c r="F91" s="203">
        <f t="shared" si="5"/>
        <v>0</v>
      </c>
      <c r="G91" s="188">
        <f t="shared" si="7"/>
        <v>0</v>
      </c>
      <c r="H91" s="127">
        <f t="shared" si="8"/>
        <v>0</v>
      </c>
      <c r="I91" s="188">
        <f t="shared" si="9"/>
        <v>0</v>
      </c>
      <c r="J91" s="134"/>
      <c r="K91" s="121"/>
      <c r="L91" s="121"/>
      <c r="M91" s="121"/>
      <c r="N91" s="121"/>
      <c r="O91" s="121"/>
      <c r="P91" s="121"/>
      <c r="Q91" s="162" t="s">
        <v>587</v>
      </c>
      <c r="R91" s="121"/>
      <c r="S91" s="121"/>
      <c r="T91" s="121"/>
      <c r="U91" s="177"/>
      <c r="V91" s="121"/>
      <c r="W91" s="121"/>
      <c r="X91" s="121"/>
      <c r="Y91" s="121"/>
      <c r="Z91" s="177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</row>
    <row r="92" spans="1:36" s="3" customFormat="1" ht="18" customHeight="1" thickBot="1" x14ac:dyDescent="0.4">
      <c r="A92" s="146" t="s">
        <v>86</v>
      </c>
      <c r="B92" s="166" t="s">
        <v>496</v>
      </c>
      <c r="C92" s="146"/>
      <c r="D92" s="180">
        <f t="shared" si="6"/>
        <v>0</v>
      </c>
      <c r="E92" s="181"/>
      <c r="F92" s="203">
        <f t="shared" si="5"/>
        <v>0</v>
      </c>
      <c r="G92" s="188">
        <f t="shared" si="7"/>
        <v>0</v>
      </c>
      <c r="H92" s="127">
        <f t="shared" si="8"/>
        <v>0</v>
      </c>
      <c r="I92" s="188">
        <f t="shared" si="9"/>
        <v>0</v>
      </c>
      <c r="J92" s="134"/>
      <c r="K92" s="121"/>
      <c r="L92" s="121"/>
      <c r="M92" s="121"/>
      <c r="N92" s="121"/>
      <c r="O92" s="121"/>
      <c r="P92" s="121"/>
      <c r="Q92" s="162" t="s">
        <v>587</v>
      </c>
      <c r="R92" s="121"/>
      <c r="S92" s="121"/>
      <c r="T92" s="121"/>
      <c r="U92" s="177"/>
      <c r="V92" s="121"/>
      <c r="W92" s="121"/>
      <c r="X92" s="121"/>
      <c r="Y92" s="121"/>
      <c r="Z92" s="177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</row>
    <row r="93" spans="1:36" s="3" customFormat="1" ht="18" customHeight="1" thickBot="1" x14ac:dyDescent="0.4">
      <c r="A93" s="146" t="s">
        <v>87</v>
      </c>
      <c r="B93" s="166" t="s">
        <v>265</v>
      </c>
      <c r="C93" s="146"/>
      <c r="D93" s="180">
        <f t="shared" si="6"/>
        <v>0</v>
      </c>
      <c r="E93" s="181"/>
      <c r="F93" s="203">
        <f t="shared" si="5"/>
        <v>0</v>
      </c>
      <c r="G93" s="188">
        <f t="shared" si="7"/>
        <v>0</v>
      </c>
      <c r="H93" s="127">
        <f t="shared" si="8"/>
        <v>0</v>
      </c>
      <c r="I93" s="188">
        <f t="shared" si="9"/>
        <v>0</v>
      </c>
      <c r="J93" s="134"/>
      <c r="K93" s="121"/>
      <c r="L93" s="121"/>
      <c r="M93" s="121"/>
      <c r="N93" s="121"/>
      <c r="O93" s="121"/>
      <c r="P93" s="121"/>
      <c r="Q93" s="162" t="s">
        <v>587</v>
      </c>
      <c r="R93" s="121"/>
      <c r="S93" s="121"/>
      <c r="T93" s="121"/>
      <c r="U93" s="177"/>
      <c r="V93" s="121"/>
      <c r="W93" s="121"/>
      <c r="X93" s="121"/>
      <c r="Y93" s="121"/>
      <c r="Z93" s="177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</row>
    <row r="94" spans="1:36" s="3" customFormat="1" ht="18" customHeight="1" thickBot="1" x14ac:dyDescent="0.4">
      <c r="A94" s="146" t="s">
        <v>88</v>
      </c>
      <c r="B94" s="166" t="s">
        <v>266</v>
      </c>
      <c r="C94" s="146">
        <v>252</v>
      </c>
      <c r="D94" s="180">
        <f t="shared" si="6"/>
        <v>0</v>
      </c>
      <c r="E94" s="181" t="s">
        <v>372</v>
      </c>
      <c r="F94" s="203">
        <f t="shared" si="5"/>
        <v>0</v>
      </c>
      <c r="G94" s="188">
        <f t="shared" si="7"/>
        <v>-252</v>
      </c>
      <c r="H94" s="127">
        <f t="shared" si="8"/>
        <v>0</v>
      </c>
      <c r="I94" s="188">
        <f t="shared" si="9"/>
        <v>0</v>
      </c>
      <c r="J94" s="134"/>
      <c r="K94" s="121"/>
      <c r="L94" s="121"/>
      <c r="M94" s="121"/>
      <c r="N94" s="121"/>
      <c r="O94" s="121"/>
      <c r="P94" s="121"/>
      <c r="Q94" s="162" t="s">
        <v>587</v>
      </c>
      <c r="R94" s="121"/>
      <c r="S94" s="121"/>
      <c r="T94" s="121"/>
      <c r="U94" s="177"/>
      <c r="V94" s="121"/>
      <c r="W94" s="121"/>
      <c r="X94" s="121"/>
      <c r="Y94" s="121"/>
      <c r="Z94" s="177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</row>
    <row r="95" spans="1:36" s="3" customFormat="1" ht="18" customHeight="1" thickBot="1" x14ac:dyDescent="0.4">
      <c r="A95" s="146" t="s">
        <v>89</v>
      </c>
      <c r="B95" s="166" t="s">
        <v>267</v>
      </c>
      <c r="C95" s="146">
        <v>1195</v>
      </c>
      <c r="D95" s="180">
        <f t="shared" si="6"/>
        <v>0</v>
      </c>
      <c r="E95" s="181" t="s">
        <v>372</v>
      </c>
      <c r="F95" s="203">
        <f t="shared" si="5"/>
        <v>0</v>
      </c>
      <c r="G95" s="188">
        <f t="shared" si="7"/>
        <v>-1195</v>
      </c>
      <c r="H95" s="127">
        <f t="shared" si="8"/>
        <v>0</v>
      </c>
      <c r="I95" s="188">
        <f t="shared" si="9"/>
        <v>0</v>
      </c>
      <c r="J95" s="134"/>
      <c r="K95" s="121"/>
      <c r="L95" s="121"/>
      <c r="M95" s="121"/>
      <c r="N95" s="121"/>
      <c r="O95" s="121"/>
      <c r="P95" s="121"/>
      <c r="Q95" s="162" t="s">
        <v>587</v>
      </c>
      <c r="R95" s="121"/>
      <c r="S95" s="121"/>
      <c r="T95" s="121"/>
      <c r="U95" s="177"/>
      <c r="V95" s="121"/>
      <c r="W95" s="121"/>
      <c r="X95" s="121"/>
      <c r="Y95" s="121"/>
      <c r="Z95" s="177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</row>
    <row r="96" spans="1:36" s="3" customFormat="1" ht="18" customHeight="1" thickBot="1" x14ac:dyDescent="0.4">
      <c r="A96" s="146" t="s">
        <v>90</v>
      </c>
      <c r="B96" s="166" t="s">
        <v>268</v>
      </c>
      <c r="C96" s="146">
        <v>2076</v>
      </c>
      <c r="D96" s="180">
        <f t="shared" si="6"/>
        <v>0</v>
      </c>
      <c r="E96" s="181" t="s">
        <v>372</v>
      </c>
      <c r="F96" s="203">
        <f t="shared" si="5"/>
        <v>0</v>
      </c>
      <c r="G96" s="188">
        <f t="shared" si="7"/>
        <v>-2076</v>
      </c>
      <c r="H96" s="127">
        <f t="shared" si="8"/>
        <v>0</v>
      </c>
      <c r="I96" s="188">
        <f t="shared" si="9"/>
        <v>0</v>
      </c>
      <c r="J96" s="134"/>
      <c r="K96" s="121"/>
      <c r="L96" s="121"/>
      <c r="M96" s="121"/>
      <c r="N96" s="121"/>
      <c r="O96" s="121"/>
      <c r="P96" s="121"/>
      <c r="Q96" s="162" t="s">
        <v>587</v>
      </c>
      <c r="R96" s="121"/>
      <c r="S96" s="121"/>
      <c r="T96" s="121"/>
      <c r="U96" s="177"/>
      <c r="V96" s="121"/>
      <c r="W96" s="121"/>
      <c r="X96" s="121"/>
      <c r="Y96" s="121"/>
      <c r="Z96" s="177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</row>
    <row r="97" spans="1:36" s="3" customFormat="1" ht="18" customHeight="1" thickBot="1" x14ac:dyDescent="0.4">
      <c r="A97" s="146" t="s">
        <v>91</v>
      </c>
      <c r="B97" s="166" t="s">
        <v>498</v>
      </c>
      <c r="C97" s="146">
        <v>10255</v>
      </c>
      <c r="D97" s="180">
        <f t="shared" si="6"/>
        <v>0</v>
      </c>
      <c r="E97" s="181" t="s">
        <v>372</v>
      </c>
      <c r="F97" s="203">
        <f t="shared" si="5"/>
        <v>0</v>
      </c>
      <c r="G97" s="188">
        <f t="shared" si="7"/>
        <v>-10255</v>
      </c>
      <c r="H97" s="127">
        <f t="shared" si="8"/>
        <v>0</v>
      </c>
      <c r="I97" s="188">
        <f t="shared" si="9"/>
        <v>0</v>
      </c>
      <c r="J97" s="134"/>
      <c r="K97" s="121"/>
      <c r="L97" s="121"/>
      <c r="M97" s="121"/>
      <c r="N97" s="121"/>
      <c r="O97" s="121"/>
      <c r="P97" s="121"/>
      <c r="Q97" s="162" t="s">
        <v>587</v>
      </c>
      <c r="R97" s="121"/>
      <c r="S97" s="121"/>
      <c r="T97" s="121"/>
      <c r="U97" s="177"/>
      <c r="V97" s="121"/>
      <c r="W97" s="121"/>
      <c r="X97" s="121"/>
      <c r="Y97" s="121"/>
      <c r="Z97" s="177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</row>
    <row r="98" spans="1:36" s="3" customFormat="1" ht="18" customHeight="1" thickBot="1" x14ac:dyDescent="0.4">
      <c r="A98" s="146" t="s">
        <v>92</v>
      </c>
      <c r="B98" s="166" t="s">
        <v>270</v>
      </c>
      <c r="C98" s="146">
        <v>23971</v>
      </c>
      <c r="D98" s="180">
        <f t="shared" si="6"/>
        <v>23971</v>
      </c>
      <c r="E98" s="181"/>
      <c r="F98" s="203">
        <f t="shared" si="5"/>
        <v>0</v>
      </c>
      <c r="G98" s="188">
        <f t="shared" si="7"/>
        <v>0</v>
      </c>
      <c r="H98" s="127">
        <f t="shared" si="8"/>
        <v>23971</v>
      </c>
      <c r="I98" s="188">
        <f t="shared" si="9"/>
        <v>0</v>
      </c>
      <c r="J98" s="134"/>
      <c r="K98" s="121"/>
      <c r="L98" s="121"/>
      <c r="M98" s="121"/>
      <c r="N98" s="121"/>
      <c r="O98" s="121">
        <v>6846</v>
      </c>
      <c r="P98" s="121">
        <v>2747</v>
      </c>
      <c r="Q98" s="162">
        <v>1839</v>
      </c>
      <c r="R98" s="121"/>
      <c r="S98" s="121">
        <v>1838</v>
      </c>
      <c r="T98" s="121">
        <v>1626</v>
      </c>
      <c r="U98" s="177">
        <v>9075</v>
      </c>
      <c r="V98" s="121"/>
      <c r="W98" s="121"/>
      <c r="X98" s="121"/>
      <c r="Y98" s="121"/>
      <c r="Z98" s="177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</row>
    <row r="99" spans="1:36" s="3" customFormat="1" ht="18" customHeight="1" thickBot="1" x14ac:dyDescent="0.4">
      <c r="A99" s="146" t="s">
        <v>93</v>
      </c>
      <c r="B99" s="166" t="s">
        <v>271</v>
      </c>
      <c r="C99" s="146">
        <v>18560</v>
      </c>
      <c r="D99" s="180">
        <f t="shared" si="6"/>
        <v>18560</v>
      </c>
      <c r="E99" s="181"/>
      <c r="F99" s="203">
        <f t="shared" si="5"/>
        <v>0</v>
      </c>
      <c r="G99" s="188">
        <f t="shared" si="7"/>
        <v>0</v>
      </c>
      <c r="H99" s="127">
        <f t="shared" si="8"/>
        <v>18560</v>
      </c>
      <c r="I99" s="188">
        <f t="shared" si="9"/>
        <v>0</v>
      </c>
      <c r="J99" s="134"/>
      <c r="K99" s="121"/>
      <c r="L99" s="121"/>
      <c r="M99" s="121"/>
      <c r="N99" s="121"/>
      <c r="O99" s="121"/>
      <c r="P99" s="121"/>
      <c r="Q99" s="162" t="s">
        <v>587</v>
      </c>
      <c r="R99" s="121">
        <v>13212</v>
      </c>
      <c r="S99" s="121"/>
      <c r="T99" s="121"/>
      <c r="U99" s="177">
        <v>2574</v>
      </c>
      <c r="V99" s="121"/>
      <c r="W99" s="121"/>
      <c r="X99" s="121">
        <v>2774</v>
      </c>
      <c r="Y99" s="121"/>
      <c r="Z99" s="177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</row>
    <row r="100" spans="1:36" s="3" customFormat="1" ht="18" customHeight="1" thickBot="1" x14ac:dyDescent="0.4">
      <c r="A100" s="146" t="s">
        <v>94</v>
      </c>
      <c r="B100" s="166" t="s">
        <v>501</v>
      </c>
      <c r="C100" s="146"/>
      <c r="D100" s="180">
        <f t="shared" si="6"/>
        <v>0</v>
      </c>
      <c r="E100" s="181"/>
      <c r="F100" s="203">
        <f t="shared" si="5"/>
        <v>0</v>
      </c>
      <c r="G100" s="188">
        <f t="shared" si="7"/>
        <v>0</v>
      </c>
      <c r="H100" s="127">
        <f t="shared" si="8"/>
        <v>0</v>
      </c>
      <c r="I100" s="188">
        <f t="shared" si="9"/>
        <v>0</v>
      </c>
      <c r="J100" s="134"/>
      <c r="K100" s="121"/>
      <c r="L100" s="121"/>
      <c r="M100" s="121"/>
      <c r="N100" s="121"/>
      <c r="O100" s="121"/>
      <c r="P100" s="121"/>
      <c r="Q100" s="162" t="s">
        <v>587</v>
      </c>
      <c r="R100" s="121"/>
      <c r="S100" s="121"/>
      <c r="T100" s="121"/>
      <c r="U100" s="177"/>
      <c r="V100" s="121"/>
      <c r="W100" s="121"/>
      <c r="X100" s="121"/>
      <c r="Y100" s="121"/>
      <c r="Z100" s="177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</row>
    <row r="101" spans="1:36" s="3" customFormat="1" ht="18" customHeight="1" thickBot="1" x14ac:dyDescent="0.4">
      <c r="A101" s="146" t="s">
        <v>95</v>
      </c>
      <c r="B101" s="166" t="s">
        <v>502</v>
      </c>
      <c r="C101" s="146"/>
      <c r="D101" s="180">
        <f t="shared" si="6"/>
        <v>0</v>
      </c>
      <c r="E101" s="181"/>
      <c r="F101" s="203">
        <f t="shared" si="5"/>
        <v>0</v>
      </c>
      <c r="G101" s="188">
        <f t="shared" si="7"/>
        <v>0</v>
      </c>
      <c r="H101" s="127">
        <f t="shared" si="8"/>
        <v>0</v>
      </c>
      <c r="I101" s="188">
        <f t="shared" si="9"/>
        <v>0</v>
      </c>
      <c r="J101" s="134"/>
      <c r="K101" s="121"/>
      <c r="L101" s="121"/>
      <c r="M101" s="121"/>
      <c r="N101" s="121"/>
      <c r="O101" s="121"/>
      <c r="P101" s="121"/>
      <c r="Q101" s="162" t="s">
        <v>587</v>
      </c>
      <c r="R101" s="121"/>
      <c r="S101" s="121"/>
      <c r="T101" s="121"/>
      <c r="U101" s="128"/>
      <c r="V101" s="121"/>
      <c r="W101" s="121"/>
      <c r="X101" s="121"/>
      <c r="Y101" s="121"/>
      <c r="Z101" s="177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</row>
    <row r="102" spans="1:36" s="3" customFormat="1" ht="18" customHeight="1" thickBot="1" x14ac:dyDescent="0.4">
      <c r="A102" s="146" t="s">
        <v>96</v>
      </c>
      <c r="B102" s="166" t="s">
        <v>274</v>
      </c>
      <c r="C102" s="146">
        <v>131683</v>
      </c>
      <c r="D102" s="180">
        <f t="shared" si="6"/>
        <v>131683</v>
      </c>
      <c r="E102" s="181"/>
      <c r="F102" s="203">
        <f t="shared" si="5"/>
        <v>0</v>
      </c>
      <c r="G102" s="188">
        <f t="shared" si="7"/>
        <v>0</v>
      </c>
      <c r="H102" s="127">
        <f t="shared" si="8"/>
        <v>131683</v>
      </c>
      <c r="I102" s="188">
        <f t="shared" si="9"/>
        <v>0</v>
      </c>
      <c r="J102" s="134"/>
      <c r="K102" s="121"/>
      <c r="L102" s="121"/>
      <c r="M102" s="121"/>
      <c r="N102" s="121"/>
      <c r="O102" s="121"/>
      <c r="P102" s="121"/>
      <c r="Q102" s="162">
        <v>25146</v>
      </c>
      <c r="R102" s="121"/>
      <c r="S102" s="121"/>
      <c r="T102" s="121">
        <v>31756</v>
      </c>
      <c r="U102" s="177"/>
      <c r="V102" s="121"/>
      <c r="W102" s="121">
        <v>54235</v>
      </c>
      <c r="X102" s="121"/>
      <c r="Y102" s="121">
        <v>12515</v>
      </c>
      <c r="Z102" s="177">
        <v>8031</v>
      </c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</row>
    <row r="103" spans="1:36" s="3" customFormat="1" ht="18" customHeight="1" thickBot="1" x14ac:dyDescent="0.4">
      <c r="A103" s="146" t="s">
        <v>97</v>
      </c>
      <c r="B103" s="166" t="s">
        <v>504</v>
      </c>
      <c r="C103" s="146">
        <v>40140</v>
      </c>
      <c r="D103" s="180">
        <f t="shared" si="6"/>
        <v>40140</v>
      </c>
      <c r="E103" s="181"/>
      <c r="F103" s="203">
        <f t="shared" si="5"/>
        <v>0</v>
      </c>
      <c r="G103" s="188">
        <f t="shared" si="7"/>
        <v>0</v>
      </c>
      <c r="H103" s="127">
        <f t="shared" si="8"/>
        <v>40140</v>
      </c>
      <c r="I103" s="188">
        <f t="shared" si="9"/>
        <v>0</v>
      </c>
      <c r="J103" s="134"/>
      <c r="K103" s="121"/>
      <c r="L103" s="121"/>
      <c r="M103" s="121"/>
      <c r="N103" s="121"/>
      <c r="O103" s="121"/>
      <c r="P103" s="121"/>
      <c r="Q103" s="162" t="s">
        <v>587</v>
      </c>
      <c r="R103" s="121"/>
      <c r="S103" s="121"/>
      <c r="T103" s="121"/>
      <c r="U103" s="177"/>
      <c r="V103" s="121">
        <v>8462</v>
      </c>
      <c r="W103" s="121"/>
      <c r="X103" s="121">
        <f>172+11922</f>
        <v>12094</v>
      </c>
      <c r="Y103" s="121"/>
      <c r="Z103" s="177">
        <v>545</v>
      </c>
      <c r="AA103" s="121">
        <v>3899</v>
      </c>
      <c r="AB103" s="121">
        <v>89</v>
      </c>
      <c r="AC103" s="121">
        <v>650</v>
      </c>
      <c r="AD103" s="121">
        <v>2747</v>
      </c>
      <c r="AE103" s="121">
        <v>5823</v>
      </c>
      <c r="AF103" s="121">
        <v>1264</v>
      </c>
      <c r="AG103" s="121">
        <v>2794</v>
      </c>
      <c r="AH103" s="121">
        <v>1773</v>
      </c>
      <c r="AI103" s="121"/>
      <c r="AJ103" s="121"/>
    </row>
    <row r="104" spans="1:36" s="3" customFormat="1" ht="18" customHeight="1" thickBot="1" x14ac:dyDescent="0.4">
      <c r="A104" s="146" t="s">
        <v>98</v>
      </c>
      <c r="B104" s="166" t="s">
        <v>505</v>
      </c>
      <c r="C104" s="146">
        <v>11828</v>
      </c>
      <c r="D104" s="180">
        <f t="shared" si="6"/>
        <v>11828</v>
      </c>
      <c r="E104" s="181"/>
      <c r="F104" s="203">
        <f t="shared" si="5"/>
        <v>0</v>
      </c>
      <c r="G104" s="188">
        <f t="shared" si="7"/>
        <v>0</v>
      </c>
      <c r="H104" s="127">
        <f t="shared" si="8"/>
        <v>11828</v>
      </c>
      <c r="I104" s="188">
        <f t="shared" si="9"/>
        <v>0</v>
      </c>
      <c r="J104" s="134"/>
      <c r="K104" s="121"/>
      <c r="L104" s="121"/>
      <c r="M104" s="121"/>
      <c r="N104" s="121"/>
      <c r="O104" s="121">
        <v>7996</v>
      </c>
      <c r="P104" s="121"/>
      <c r="Q104" s="162" t="s">
        <v>587</v>
      </c>
      <c r="R104" s="121"/>
      <c r="S104" s="121">
        <v>3832</v>
      </c>
      <c r="T104" s="121"/>
      <c r="U104" s="177"/>
      <c r="V104" s="121"/>
      <c r="W104" s="121"/>
      <c r="X104" s="121"/>
      <c r="Y104" s="121"/>
      <c r="Z104" s="177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</row>
    <row r="105" spans="1:36" s="3" customFormat="1" ht="18" customHeight="1" thickBot="1" x14ac:dyDescent="0.4">
      <c r="A105" s="146" t="s">
        <v>99</v>
      </c>
      <c r="B105" s="166" t="s">
        <v>277</v>
      </c>
      <c r="C105" s="146"/>
      <c r="D105" s="180">
        <f t="shared" si="6"/>
        <v>0</v>
      </c>
      <c r="E105" s="181"/>
      <c r="F105" s="203">
        <f t="shared" si="5"/>
        <v>0</v>
      </c>
      <c r="G105" s="188">
        <f t="shared" si="7"/>
        <v>0</v>
      </c>
      <c r="H105" s="127">
        <f t="shared" si="8"/>
        <v>0</v>
      </c>
      <c r="I105" s="188">
        <f t="shared" si="9"/>
        <v>0</v>
      </c>
      <c r="J105" s="134"/>
      <c r="K105" s="121"/>
      <c r="L105" s="121"/>
      <c r="M105" s="121"/>
      <c r="N105" s="121"/>
      <c r="O105" s="121"/>
      <c r="P105" s="121"/>
      <c r="Q105" s="162" t="s">
        <v>587</v>
      </c>
      <c r="R105" s="121"/>
      <c r="S105" s="121"/>
      <c r="T105" s="121"/>
      <c r="U105" s="177"/>
      <c r="V105" s="121"/>
      <c r="W105" s="121"/>
      <c r="X105" s="121"/>
      <c r="Y105" s="121"/>
      <c r="Z105" s="177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</row>
    <row r="106" spans="1:36" s="3" customFormat="1" ht="18" customHeight="1" thickBot="1" x14ac:dyDescent="0.4">
      <c r="A106" s="146" t="s">
        <v>100</v>
      </c>
      <c r="B106" s="166" t="s">
        <v>278</v>
      </c>
      <c r="C106" s="180"/>
      <c r="D106" s="180">
        <f t="shared" si="6"/>
        <v>0</v>
      </c>
      <c r="E106" s="181"/>
      <c r="F106" s="203">
        <f t="shared" si="5"/>
        <v>0</v>
      </c>
      <c r="G106" s="188">
        <f t="shared" si="7"/>
        <v>0</v>
      </c>
      <c r="H106" s="127">
        <f t="shared" si="8"/>
        <v>0</v>
      </c>
      <c r="I106" s="188">
        <f t="shared" si="9"/>
        <v>0</v>
      </c>
      <c r="J106" s="134"/>
      <c r="K106" s="121"/>
      <c r="L106" s="121"/>
      <c r="M106" s="121"/>
      <c r="N106" s="121"/>
      <c r="O106" s="121"/>
      <c r="P106" s="121"/>
      <c r="Q106" s="162" t="s">
        <v>587</v>
      </c>
      <c r="R106" s="121"/>
      <c r="S106" s="121"/>
      <c r="T106" s="121"/>
      <c r="U106" s="128"/>
      <c r="V106" s="121"/>
      <c r="W106" s="121"/>
      <c r="X106" s="121"/>
      <c r="Y106" s="121"/>
      <c r="Z106" s="177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</row>
    <row r="107" spans="1:36" s="3" customFormat="1" ht="18" customHeight="1" thickBot="1" x14ac:dyDescent="0.4">
      <c r="A107" s="146" t="s">
        <v>101</v>
      </c>
      <c r="B107" s="166" t="s">
        <v>279</v>
      </c>
      <c r="C107" s="180"/>
      <c r="D107" s="180">
        <f t="shared" si="6"/>
        <v>0</v>
      </c>
      <c r="E107" s="181"/>
      <c r="F107" s="203">
        <f t="shared" si="5"/>
        <v>0</v>
      </c>
      <c r="G107" s="188">
        <f t="shared" si="7"/>
        <v>0</v>
      </c>
      <c r="H107" s="127">
        <f t="shared" si="8"/>
        <v>0</v>
      </c>
      <c r="I107" s="188">
        <f t="shared" si="9"/>
        <v>0</v>
      </c>
      <c r="J107" s="134"/>
      <c r="K107" s="121"/>
      <c r="L107" s="121"/>
      <c r="M107" s="121"/>
      <c r="N107" s="121"/>
      <c r="O107" s="121"/>
      <c r="P107" s="121"/>
      <c r="Q107" s="162" t="s">
        <v>587</v>
      </c>
      <c r="R107" s="121"/>
      <c r="S107" s="121"/>
      <c r="T107" s="121"/>
      <c r="U107" s="177"/>
      <c r="V107" s="121"/>
      <c r="W107" s="121"/>
      <c r="X107" s="121"/>
      <c r="Y107" s="121"/>
      <c r="Z107" s="177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</row>
    <row r="108" spans="1:36" s="3" customFormat="1" ht="18" customHeight="1" thickBot="1" x14ac:dyDescent="0.4">
      <c r="A108" s="146" t="s">
        <v>102</v>
      </c>
      <c r="B108" s="166" t="s">
        <v>507</v>
      </c>
      <c r="C108" s="180"/>
      <c r="D108" s="180">
        <f t="shared" si="6"/>
        <v>0</v>
      </c>
      <c r="E108" s="181"/>
      <c r="F108" s="203">
        <f t="shared" si="5"/>
        <v>0</v>
      </c>
      <c r="G108" s="188">
        <f t="shared" si="7"/>
        <v>0</v>
      </c>
      <c r="H108" s="127">
        <f t="shared" si="8"/>
        <v>0</v>
      </c>
      <c r="I108" s="188">
        <f t="shared" si="9"/>
        <v>0</v>
      </c>
      <c r="J108" s="134"/>
      <c r="K108" s="121"/>
      <c r="L108" s="121"/>
      <c r="M108" s="121"/>
      <c r="N108" s="121"/>
      <c r="O108" s="121"/>
      <c r="P108" s="121"/>
      <c r="Q108" s="162" t="s">
        <v>587</v>
      </c>
      <c r="R108" s="121"/>
      <c r="S108" s="121"/>
      <c r="T108" s="121"/>
      <c r="U108" s="177"/>
      <c r="V108" s="121"/>
      <c r="W108" s="121"/>
      <c r="X108" s="121"/>
      <c r="Y108" s="121"/>
      <c r="Z108" s="177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</row>
    <row r="109" spans="1:36" s="3" customFormat="1" ht="18" customHeight="1" thickBot="1" x14ac:dyDescent="0.4">
      <c r="A109" s="146" t="s">
        <v>103</v>
      </c>
      <c r="B109" s="166" t="s">
        <v>281</v>
      </c>
      <c r="C109" s="146"/>
      <c r="D109" s="180">
        <f t="shared" si="6"/>
        <v>0</v>
      </c>
      <c r="E109" s="181"/>
      <c r="F109" s="203">
        <f t="shared" si="5"/>
        <v>0</v>
      </c>
      <c r="G109" s="188">
        <f t="shared" si="7"/>
        <v>0</v>
      </c>
      <c r="H109" s="127">
        <f t="shared" si="8"/>
        <v>0</v>
      </c>
      <c r="I109" s="188">
        <f t="shared" si="9"/>
        <v>0</v>
      </c>
      <c r="J109" s="134"/>
      <c r="K109" s="121"/>
      <c r="L109" s="121"/>
      <c r="M109" s="121"/>
      <c r="N109" s="121"/>
      <c r="O109" s="121"/>
      <c r="P109" s="121"/>
      <c r="Q109" s="162" t="s">
        <v>587</v>
      </c>
      <c r="R109" s="121"/>
      <c r="S109" s="121"/>
      <c r="T109" s="121"/>
      <c r="U109" s="128"/>
      <c r="V109" s="121"/>
      <c r="W109" s="121"/>
      <c r="X109" s="121"/>
      <c r="Y109" s="121"/>
      <c r="Z109" s="177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</row>
    <row r="110" spans="1:36" s="3" customFormat="1" ht="18" customHeight="1" thickBot="1" x14ac:dyDescent="0.4">
      <c r="A110" s="146" t="s">
        <v>104</v>
      </c>
      <c r="B110" s="166" t="s">
        <v>282</v>
      </c>
      <c r="C110" s="146"/>
      <c r="D110" s="180">
        <f t="shared" si="6"/>
        <v>0</v>
      </c>
      <c r="E110" s="181"/>
      <c r="F110" s="203">
        <f t="shared" si="5"/>
        <v>0</v>
      </c>
      <c r="G110" s="188">
        <f t="shared" si="7"/>
        <v>0</v>
      </c>
      <c r="H110" s="127">
        <f t="shared" si="8"/>
        <v>0</v>
      </c>
      <c r="I110" s="188">
        <f t="shared" si="9"/>
        <v>0</v>
      </c>
      <c r="J110" s="134"/>
      <c r="K110" s="121"/>
      <c r="L110" s="121"/>
      <c r="M110" s="121"/>
      <c r="N110" s="121"/>
      <c r="O110" s="121"/>
      <c r="P110" s="121"/>
      <c r="Q110" s="162" t="s">
        <v>587</v>
      </c>
      <c r="R110" s="121"/>
      <c r="S110" s="121"/>
      <c r="T110" s="121"/>
      <c r="U110" s="177"/>
      <c r="V110" s="121"/>
      <c r="W110" s="121"/>
      <c r="X110" s="121"/>
      <c r="Y110" s="121"/>
      <c r="Z110" s="177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</row>
    <row r="111" spans="1:36" s="3" customFormat="1" ht="18" customHeight="1" thickBot="1" x14ac:dyDescent="0.4">
      <c r="A111" s="146" t="s">
        <v>105</v>
      </c>
      <c r="B111" s="166" t="s">
        <v>283</v>
      </c>
      <c r="C111" s="146"/>
      <c r="D111" s="180">
        <f t="shared" si="6"/>
        <v>0</v>
      </c>
      <c r="E111" s="181"/>
      <c r="F111" s="203">
        <f t="shared" si="5"/>
        <v>0</v>
      </c>
      <c r="G111" s="188">
        <f t="shared" si="7"/>
        <v>0</v>
      </c>
      <c r="H111" s="127">
        <f t="shared" si="8"/>
        <v>0</v>
      </c>
      <c r="I111" s="188">
        <f t="shared" si="9"/>
        <v>0</v>
      </c>
      <c r="J111" s="134"/>
      <c r="K111" s="121"/>
      <c r="L111" s="121"/>
      <c r="M111" s="121"/>
      <c r="N111" s="121"/>
      <c r="O111" s="121"/>
      <c r="P111" s="121"/>
      <c r="Q111" s="162" t="s">
        <v>587</v>
      </c>
      <c r="R111" s="121"/>
      <c r="S111" s="121"/>
      <c r="T111" s="121"/>
      <c r="U111" s="177"/>
      <c r="V111" s="121"/>
      <c r="W111" s="121"/>
      <c r="X111" s="121"/>
      <c r="Y111" s="121"/>
      <c r="Z111" s="177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</row>
    <row r="112" spans="1:36" s="3" customFormat="1" ht="18" customHeight="1" thickBot="1" x14ac:dyDescent="0.4">
      <c r="A112" s="146" t="s">
        <v>106</v>
      </c>
      <c r="B112" s="166" t="s">
        <v>509</v>
      </c>
      <c r="C112" s="146">
        <v>1510</v>
      </c>
      <c r="D112" s="180">
        <f t="shared" si="6"/>
        <v>0</v>
      </c>
      <c r="E112" s="181" t="s">
        <v>372</v>
      </c>
      <c r="F112" s="203">
        <f t="shared" si="5"/>
        <v>0</v>
      </c>
      <c r="G112" s="188">
        <f t="shared" si="7"/>
        <v>-1510</v>
      </c>
      <c r="H112" s="127">
        <f t="shared" si="8"/>
        <v>0</v>
      </c>
      <c r="I112" s="188">
        <f t="shared" si="9"/>
        <v>0</v>
      </c>
      <c r="J112" s="134"/>
      <c r="K112" s="121"/>
      <c r="L112" s="121"/>
      <c r="M112" s="121"/>
      <c r="N112" s="121"/>
      <c r="O112" s="121"/>
      <c r="P112" s="121"/>
      <c r="Q112" s="162" t="s">
        <v>587</v>
      </c>
      <c r="R112" s="121"/>
      <c r="S112" s="121"/>
      <c r="T112" s="121"/>
      <c r="U112" s="177"/>
      <c r="V112" s="121"/>
      <c r="W112" s="121"/>
      <c r="X112" s="121"/>
      <c r="Y112" s="121"/>
      <c r="Z112" s="177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</row>
    <row r="113" spans="1:36" s="3" customFormat="1" ht="18" customHeight="1" thickBot="1" x14ac:dyDescent="0.4">
      <c r="A113" s="146" t="s">
        <v>107</v>
      </c>
      <c r="B113" s="166" t="s">
        <v>510</v>
      </c>
      <c r="C113" s="146"/>
      <c r="D113" s="180">
        <f t="shared" si="6"/>
        <v>0</v>
      </c>
      <c r="E113" s="181"/>
      <c r="F113" s="203">
        <f t="shared" si="5"/>
        <v>0</v>
      </c>
      <c r="G113" s="188">
        <f t="shared" si="7"/>
        <v>0</v>
      </c>
      <c r="H113" s="127">
        <f t="shared" si="8"/>
        <v>0</v>
      </c>
      <c r="I113" s="188">
        <f t="shared" si="9"/>
        <v>0</v>
      </c>
      <c r="J113" s="134"/>
      <c r="K113" s="121"/>
      <c r="L113" s="121"/>
      <c r="M113" s="121"/>
      <c r="N113" s="121"/>
      <c r="O113" s="121"/>
      <c r="P113" s="121"/>
      <c r="Q113" s="162" t="s">
        <v>587</v>
      </c>
      <c r="R113" s="121"/>
      <c r="S113" s="121"/>
      <c r="T113" s="121"/>
      <c r="U113" s="177"/>
      <c r="V113" s="121"/>
      <c r="W113" s="121"/>
      <c r="X113" s="121"/>
      <c r="Y113" s="121"/>
      <c r="Z113" s="177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</row>
    <row r="114" spans="1:36" s="3" customFormat="1" ht="18" customHeight="1" thickBot="1" x14ac:dyDescent="0.4">
      <c r="A114" s="146" t="s">
        <v>108</v>
      </c>
      <c r="B114" s="166" t="s">
        <v>511</v>
      </c>
      <c r="C114" s="146">
        <v>7927</v>
      </c>
      <c r="D114" s="180">
        <f t="shared" si="6"/>
        <v>0</v>
      </c>
      <c r="E114" s="181" t="s">
        <v>373</v>
      </c>
      <c r="F114" s="203">
        <f t="shared" si="5"/>
        <v>0</v>
      </c>
      <c r="G114" s="188">
        <f t="shared" si="7"/>
        <v>-7927</v>
      </c>
      <c r="H114" s="127">
        <f t="shared" si="8"/>
        <v>0</v>
      </c>
      <c r="I114" s="188">
        <f t="shared" si="9"/>
        <v>0</v>
      </c>
      <c r="J114" s="134"/>
      <c r="K114" s="121"/>
      <c r="L114" s="121"/>
      <c r="M114" s="121"/>
      <c r="N114" s="121"/>
      <c r="O114" s="121"/>
      <c r="P114" s="121"/>
      <c r="Q114" s="162" t="s">
        <v>587</v>
      </c>
      <c r="R114" s="121"/>
      <c r="S114" s="121"/>
      <c r="T114" s="121"/>
      <c r="U114" s="177"/>
      <c r="V114" s="121"/>
      <c r="W114" s="121"/>
      <c r="X114" s="121"/>
      <c r="Y114" s="121"/>
      <c r="Z114" s="177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</row>
    <row r="115" spans="1:36" s="3" customFormat="1" ht="18" customHeight="1" thickBot="1" x14ac:dyDescent="0.4">
      <c r="A115" s="146" t="s">
        <v>109</v>
      </c>
      <c r="B115" s="166" t="s">
        <v>513</v>
      </c>
      <c r="C115" s="146"/>
      <c r="D115" s="180">
        <f t="shared" si="6"/>
        <v>0</v>
      </c>
      <c r="E115" s="181"/>
      <c r="F115" s="203">
        <f t="shared" si="5"/>
        <v>0</v>
      </c>
      <c r="G115" s="188">
        <f t="shared" si="7"/>
        <v>0</v>
      </c>
      <c r="H115" s="127">
        <f t="shared" si="8"/>
        <v>0</v>
      </c>
      <c r="I115" s="188">
        <f t="shared" si="9"/>
        <v>0</v>
      </c>
      <c r="J115" s="134"/>
      <c r="K115" s="121"/>
      <c r="L115" s="121"/>
      <c r="M115" s="121"/>
      <c r="N115" s="121"/>
      <c r="O115" s="121"/>
      <c r="P115" s="121"/>
      <c r="Q115" s="162" t="s">
        <v>587</v>
      </c>
      <c r="R115" s="121"/>
      <c r="S115" s="121"/>
      <c r="T115" s="121"/>
      <c r="U115" s="177"/>
      <c r="V115" s="121"/>
      <c r="W115" s="121"/>
      <c r="X115" s="121"/>
      <c r="Y115" s="121"/>
      <c r="Z115" s="177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</row>
    <row r="116" spans="1:36" s="3" customFormat="1" ht="18" customHeight="1" thickBot="1" x14ac:dyDescent="0.4">
      <c r="A116" s="146" t="s">
        <v>110</v>
      </c>
      <c r="B116" s="166" t="s">
        <v>514</v>
      </c>
      <c r="C116" s="180"/>
      <c r="D116" s="180">
        <f t="shared" si="6"/>
        <v>0</v>
      </c>
      <c r="E116" s="181"/>
      <c r="F116" s="203">
        <f t="shared" si="5"/>
        <v>0</v>
      </c>
      <c r="G116" s="188">
        <f t="shared" si="7"/>
        <v>0</v>
      </c>
      <c r="H116" s="127">
        <f t="shared" si="8"/>
        <v>0</v>
      </c>
      <c r="I116" s="188">
        <f t="shared" si="9"/>
        <v>0</v>
      </c>
      <c r="J116" s="134"/>
      <c r="K116" s="121"/>
      <c r="L116" s="121"/>
      <c r="M116" s="121"/>
      <c r="N116" s="121"/>
      <c r="O116" s="121"/>
      <c r="P116" s="121"/>
      <c r="Q116" s="162" t="s">
        <v>587</v>
      </c>
      <c r="R116" s="121"/>
      <c r="S116" s="121"/>
      <c r="T116" s="121"/>
      <c r="U116" s="177"/>
      <c r="V116" s="121"/>
      <c r="W116" s="121"/>
      <c r="X116" s="121"/>
      <c r="Y116" s="121"/>
      <c r="Z116" s="177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</row>
    <row r="117" spans="1:36" s="3" customFormat="1" ht="18" customHeight="1" thickBot="1" x14ac:dyDescent="0.4">
      <c r="A117" s="146" t="s">
        <v>111</v>
      </c>
      <c r="B117" s="166" t="s">
        <v>515</v>
      </c>
      <c r="C117" s="180"/>
      <c r="D117" s="180">
        <f t="shared" si="6"/>
        <v>0</v>
      </c>
      <c r="E117" s="181"/>
      <c r="F117" s="203">
        <f t="shared" si="5"/>
        <v>0</v>
      </c>
      <c r="G117" s="188">
        <f t="shared" si="7"/>
        <v>0</v>
      </c>
      <c r="H117" s="127">
        <f t="shared" si="8"/>
        <v>0</v>
      </c>
      <c r="I117" s="188">
        <f t="shared" si="9"/>
        <v>0</v>
      </c>
      <c r="J117" s="134"/>
      <c r="K117" s="121"/>
      <c r="L117" s="121"/>
      <c r="M117" s="121"/>
      <c r="N117" s="121"/>
      <c r="O117" s="121"/>
      <c r="P117" s="121"/>
      <c r="Q117" s="162" t="s">
        <v>587</v>
      </c>
      <c r="R117" s="121"/>
      <c r="S117" s="121"/>
      <c r="T117" s="121"/>
      <c r="U117" s="177"/>
      <c r="V117" s="121"/>
      <c r="W117" s="121"/>
      <c r="X117" s="121"/>
      <c r="Y117" s="121"/>
      <c r="Z117" s="177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</row>
    <row r="118" spans="1:36" s="3" customFormat="1" ht="18" customHeight="1" thickBot="1" x14ac:dyDescent="0.4">
      <c r="A118" s="146" t="s">
        <v>112</v>
      </c>
      <c r="B118" s="166" t="s">
        <v>516</v>
      </c>
      <c r="C118" s="180"/>
      <c r="D118" s="180">
        <f t="shared" si="6"/>
        <v>0</v>
      </c>
      <c r="E118" s="181"/>
      <c r="F118" s="203">
        <f t="shared" si="5"/>
        <v>0</v>
      </c>
      <c r="G118" s="188">
        <f t="shared" si="7"/>
        <v>0</v>
      </c>
      <c r="H118" s="127">
        <f t="shared" si="8"/>
        <v>0</v>
      </c>
      <c r="I118" s="188">
        <f t="shared" si="9"/>
        <v>0</v>
      </c>
      <c r="J118" s="134"/>
      <c r="K118" s="121"/>
      <c r="L118" s="121"/>
      <c r="M118" s="121"/>
      <c r="N118" s="121"/>
      <c r="O118" s="121"/>
      <c r="P118" s="121"/>
      <c r="Q118" s="162" t="s">
        <v>587</v>
      </c>
      <c r="R118" s="121"/>
      <c r="S118" s="121"/>
      <c r="T118" s="121"/>
      <c r="U118" s="177"/>
      <c r="V118" s="121"/>
      <c r="W118" s="121"/>
      <c r="X118" s="121"/>
      <c r="Y118" s="121"/>
      <c r="Z118" s="177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</row>
    <row r="119" spans="1:36" s="3" customFormat="1" ht="18" customHeight="1" thickBot="1" x14ac:dyDescent="0.4">
      <c r="A119" s="146" t="s">
        <v>113</v>
      </c>
      <c r="B119" s="166" t="s">
        <v>291</v>
      </c>
      <c r="C119" s="180"/>
      <c r="D119" s="180">
        <f t="shared" si="6"/>
        <v>0</v>
      </c>
      <c r="E119" s="181"/>
      <c r="F119" s="203">
        <f t="shared" si="5"/>
        <v>0</v>
      </c>
      <c r="G119" s="188">
        <f t="shared" si="7"/>
        <v>0</v>
      </c>
      <c r="H119" s="127">
        <f t="shared" si="8"/>
        <v>0</v>
      </c>
      <c r="I119" s="188">
        <f t="shared" si="9"/>
        <v>0</v>
      </c>
      <c r="J119" s="134"/>
      <c r="K119" s="121"/>
      <c r="L119" s="121"/>
      <c r="M119" s="121"/>
      <c r="N119" s="121"/>
      <c r="O119" s="121"/>
      <c r="P119" s="121"/>
      <c r="Q119" s="162" t="s">
        <v>587</v>
      </c>
      <c r="R119" s="121"/>
      <c r="S119" s="121"/>
      <c r="T119" s="121"/>
      <c r="U119" s="177"/>
      <c r="V119" s="121"/>
      <c r="W119" s="121"/>
      <c r="X119" s="121"/>
      <c r="Y119" s="121"/>
      <c r="Z119" s="177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</row>
    <row r="120" spans="1:36" s="3" customFormat="1" ht="18" customHeight="1" thickBot="1" x14ac:dyDescent="0.4">
      <c r="A120" s="146" t="s">
        <v>114</v>
      </c>
      <c r="B120" s="166" t="s">
        <v>292</v>
      </c>
      <c r="C120" s="146">
        <v>57631</v>
      </c>
      <c r="D120" s="180">
        <f t="shared" si="6"/>
        <v>57631</v>
      </c>
      <c r="E120" s="181"/>
      <c r="F120" s="203">
        <f t="shared" si="5"/>
        <v>0</v>
      </c>
      <c r="G120" s="188">
        <f t="shared" si="7"/>
        <v>0</v>
      </c>
      <c r="H120" s="127">
        <f t="shared" si="8"/>
        <v>57631</v>
      </c>
      <c r="I120" s="188">
        <f t="shared" si="9"/>
        <v>0</v>
      </c>
      <c r="J120" s="134"/>
      <c r="K120" s="121"/>
      <c r="L120" s="121"/>
      <c r="M120" s="121"/>
      <c r="N120" s="121"/>
      <c r="O120" s="121"/>
      <c r="P120" s="121">
        <f>1219+368</f>
        <v>1587</v>
      </c>
      <c r="Q120" s="162" t="s">
        <v>587</v>
      </c>
      <c r="R120" s="121">
        <v>2609</v>
      </c>
      <c r="S120" s="121">
        <v>8974</v>
      </c>
      <c r="T120" s="121"/>
      <c r="U120" s="177">
        <v>4576</v>
      </c>
      <c r="V120" s="121"/>
      <c r="W120" s="121"/>
      <c r="X120" s="121"/>
      <c r="Y120" s="121">
        <v>17814</v>
      </c>
      <c r="Z120" s="177">
        <v>2666</v>
      </c>
      <c r="AA120" s="121"/>
      <c r="AB120" s="121">
        <f>3910+928</f>
        <v>4838</v>
      </c>
      <c r="AC120" s="121"/>
      <c r="AD120" s="121">
        <v>2253</v>
      </c>
      <c r="AE120" s="121"/>
      <c r="AF120" s="121">
        <v>12314</v>
      </c>
      <c r="AG120" s="121"/>
      <c r="AH120" s="121"/>
      <c r="AI120" s="121"/>
      <c r="AJ120" s="121"/>
    </row>
    <row r="121" spans="1:36" s="3" customFormat="1" ht="18" customHeight="1" thickBot="1" x14ac:dyDescent="0.4">
      <c r="A121" s="146" t="s">
        <v>115</v>
      </c>
      <c r="B121" s="166" t="s">
        <v>518</v>
      </c>
      <c r="C121" s="146"/>
      <c r="D121" s="180">
        <f t="shared" si="6"/>
        <v>0</v>
      </c>
      <c r="E121" s="181"/>
      <c r="F121" s="203">
        <f t="shared" si="5"/>
        <v>0</v>
      </c>
      <c r="G121" s="188">
        <f t="shared" si="7"/>
        <v>0</v>
      </c>
      <c r="H121" s="127">
        <f t="shared" si="8"/>
        <v>0</v>
      </c>
      <c r="I121" s="188">
        <f t="shared" si="9"/>
        <v>0</v>
      </c>
      <c r="J121" s="134"/>
      <c r="K121" s="121"/>
      <c r="L121" s="121"/>
      <c r="M121" s="121"/>
      <c r="N121" s="121"/>
      <c r="O121" s="121"/>
      <c r="P121" s="121"/>
      <c r="Q121" s="162" t="s">
        <v>587</v>
      </c>
      <c r="R121" s="121"/>
      <c r="S121" s="121"/>
      <c r="T121" s="121"/>
      <c r="U121" s="177"/>
      <c r="V121" s="121"/>
      <c r="W121" s="121"/>
      <c r="X121" s="121"/>
      <c r="Y121" s="121"/>
      <c r="Z121" s="177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</row>
    <row r="122" spans="1:36" s="3" customFormat="1" ht="18" customHeight="1" thickBot="1" x14ac:dyDescent="0.4">
      <c r="A122" s="146" t="s">
        <v>116</v>
      </c>
      <c r="B122" s="166" t="s">
        <v>520</v>
      </c>
      <c r="C122" s="146">
        <v>14596</v>
      </c>
      <c r="D122" s="180">
        <f t="shared" si="6"/>
        <v>14596</v>
      </c>
      <c r="E122" s="181"/>
      <c r="F122" s="203">
        <f t="shared" si="5"/>
        <v>0</v>
      </c>
      <c r="G122" s="188">
        <f t="shared" si="7"/>
        <v>0</v>
      </c>
      <c r="H122" s="127">
        <f t="shared" si="8"/>
        <v>14596</v>
      </c>
      <c r="I122" s="188">
        <f t="shared" si="9"/>
        <v>0</v>
      </c>
      <c r="J122" s="134"/>
      <c r="K122" s="121"/>
      <c r="L122" s="121"/>
      <c r="M122" s="121"/>
      <c r="N122" s="121"/>
      <c r="O122" s="121"/>
      <c r="P122" s="121"/>
      <c r="Q122" s="162" t="s">
        <v>587</v>
      </c>
      <c r="R122" s="121"/>
      <c r="S122" s="121"/>
      <c r="T122" s="121">
        <v>9266</v>
      </c>
      <c r="U122" s="177">
        <v>2321</v>
      </c>
      <c r="V122" s="121"/>
      <c r="W122" s="121">
        <v>2475</v>
      </c>
      <c r="X122" s="121"/>
      <c r="Y122" s="121"/>
      <c r="Z122" s="177"/>
      <c r="AA122" s="121"/>
      <c r="AB122" s="121"/>
      <c r="AC122" s="121">
        <v>534</v>
      </c>
      <c r="AD122" s="121"/>
      <c r="AE122" s="121"/>
      <c r="AF122" s="121"/>
      <c r="AG122" s="121"/>
      <c r="AH122" s="121"/>
      <c r="AI122" s="121"/>
      <c r="AJ122" s="121"/>
    </row>
    <row r="123" spans="1:36" s="3" customFormat="1" ht="18" customHeight="1" thickBot="1" x14ac:dyDescent="0.4">
      <c r="A123" s="146" t="s">
        <v>117</v>
      </c>
      <c r="B123" s="166" t="s">
        <v>522</v>
      </c>
      <c r="C123" s="146"/>
      <c r="D123" s="180">
        <f t="shared" si="6"/>
        <v>0</v>
      </c>
      <c r="E123" s="181"/>
      <c r="F123" s="203">
        <f t="shared" si="5"/>
        <v>0</v>
      </c>
      <c r="G123" s="188">
        <f t="shared" si="7"/>
        <v>0</v>
      </c>
      <c r="H123" s="127">
        <f t="shared" si="8"/>
        <v>0</v>
      </c>
      <c r="I123" s="188">
        <f t="shared" si="9"/>
        <v>0</v>
      </c>
      <c r="J123" s="134"/>
      <c r="K123" s="121"/>
      <c r="L123" s="121"/>
      <c r="M123" s="121"/>
      <c r="N123" s="121"/>
      <c r="O123" s="121"/>
      <c r="P123" s="121"/>
      <c r="Q123" s="162" t="s">
        <v>587</v>
      </c>
      <c r="R123" s="121"/>
      <c r="S123" s="121"/>
      <c r="T123" s="121"/>
      <c r="U123" s="177"/>
      <c r="V123" s="121"/>
      <c r="W123" s="121"/>
      <c r="X123" s="121"/>
      <c r="Y123" s="121"/>
      <c r="Z123" s="177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</row>
    <row r="124" spans="1:36" s="3" customFormat="1" ht="18" customHeight="1" thickBot="1" x14ac:dyDescent="0.4">
      <c r="A124" s="146" t="s">
        <v>118</v>
      </c>
      <c r="B124" s="166" t="s">
        <v>524</v>
      </c>
      <c r="C124" s="146"/>
      <c r="D124" s="180">
        <f t="shared" si="6"/>
        <v>0</v>
      </c>
      <c r="E124" s="181"/>
      <c r="F124" s="203">
        <f t="shared" si="5"/>
        <v>0</v>
      </c>
      <c r="G124" s="188">
        <f t="shared" si="7"/>
        <v>0</v>
      </c>
      <c r="H124" s="127">
        <f t="shared" si="8"/>
        <v>0</v>
      </c>
      <c r="I124" s="188">
        <f t="shared" si="9"/>
        <v>0</v>
      </c>
      <c r="J124" s="134"/>
      <c r="K124" s="121"/>
      <c r="L124" s="121"/>
      <c r="M124" s="121"/>
      <c r="N124" s="121"/>
      <c r="O124" s="121"/>
      <c r="P124" s="121"/>
      <c r="Q124" s="162" t="s">
        <v>587</v>
      </c>
      <c r="R124" s="121"/>
      <c r="S124" s="121"/>
      <c r="T124" s="121"/>
      <c r="U124" s="177"/>
      <c r="V124" s="121"/>
      <c r="W124" s="121"/>
      <c r="X124" s="121"/>
      <c r="Y124" s="121"/>
      <c r="Z124" s="177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</row>
    <row r="125" spans="1:36" s="3" customFormat="1" ht="18" customHeight="1" thickBot="1" x14ac:dyDescent="0.4">
      <c r="A125" s="146" t="s">
        <v>119</v>
      </c>
      <c r="B125" s="166" t="s">
        <v>525</v>
      </c>
      <c r="C125" s="146"/>
      <c r="D125" s="180">
        <f t="shared" si="6"/>
        <v>0</v>
      </c>
      <c r="E125" s="181"/>
      <c r="F125" s="203">
        <f t="shared" si="5"/>
        <v>0</v>
      </c>
      <c r="G125" s="188">
        <f t="shared" si="7"/>
        <v>0</v>
      </c>
      <c r="H125" s="127">
        <f t="shared" si="8"/>
        <v>0</v>
      </c>
      <c r="I125" s="188">
        <f t="shared" si="9"/>
        <v>0</v>
      </c>
      <c r="J125" s="134"/>
      <c r="K125" s="121"/>
      <c r="L125" s="121"/>
      <c r="M125" s="121"/>
      <c r="N125" s="121"/>
      <c r="O125" s="121"/>
      <c r="P125" s="121"/>
      <c r="Q125" s="162" t="s">
        <v>587</v>
      </c>
      <c r="R125" s="121"/>
      <c r="S125" s="121"/>
      <c r="T125" s="121"/>
      <c r="U125" s="177"/>
      <c r="V125" s="121"/>
      <c r="W125" s="121"/>
      <c r="X125" s="121"/>
      <c r="Y125" s="121"/>
      <c r="Z125" s="177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</row>
    <row r="126" spans="1:36" s="3" customFormat="1" ht="18" customHeight="1" thickBot="1" x14ac:dyDescent="0.4">
      <c r="A126" s="146" t="s">
        <v>120</v>
      </c>
      <c r="B126" s="166" t="s">
        <v>526</v>
      </c>
      <c r="C126" s="146">
        <v>61217</v>
      </c>
      <c r="D126" s="180">
        <f t="shared" si="6"/>
        <v>67823</v>
      </c>
      <c r="E126" s="181"/>
      <c r="F126" s="203">
        <f t="shared" si="5"/>
        <v>6606</v>
      </c>
      <c r="G126" s="188">
        <f t="shared" si="7"/>
        <v>6606</v>
      </c>
      <c r="H126" s="127">
        <f t="shared" si="8"/>
        <v>67823</v>
      </c>
      <c r="I126" s="188">
        <f t="shared" si="9"/>
        <v>0</v>
      </c>
      <c r="J126" s="134"/>
      <c r="K126" s="121"/>
      <c r="L126" s="121"/>
      <c r="M126" s="121"/>
      <c r="N126" s="121"/>
      <c r="O126" s="121">
        <v>7244</v>
      </c>
      <c r="P126" s="121">
        <v>11350</v>
      </c>
      <c r="Q126" s="162">
        <v>4753</v>
      </c>
      <c r="R126" s="121">
        <v>4794</v>
      </c>
      <c r="S126" s="121">
        <v>5626</v>
      </c>
      <c r="T126" s="121">
        <v>5378</v>
      </c>
      <c r="U126" s="177">
        <v>7977</v>
      </c>
      <c r="V126" s="121">
        <v>5439</v>
      </c>
      <c r="W126" s="121">
        <v>3961</v>
      </c>
      <c r="X126" s="121"/>
      <c r="Y126" s="121">
        <v>3743</v>
      </c>
      <c r="Z126" s="177">
        <v>7558</v>
      </c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</row>
    <row r="127" spans="1:36" s="3" customFormat="1" ht="18" customHeight="1" thickBot="1" x14ac:dyDescent="0.4">
      <c r="A127" s="146" t="s">
        <v>121</v>
      </c>
      <c r="B127" s="166" t="s">
        <v>528</v>
      </c>
      <c r="C127" s="146"/>
      <c r="D127" s="180">
        <f t="shared" si="6"/>
        <v>0</v>
      </c>
      <c r="E127" s="181"/>
      <c r="F127" s="203">
        <f t="shared" si="5"/>
        <v>0</v>
      </c>
      <c r="G127" s="188">
        <f t="shared" si="7"/>
        <v>0</v>
      </c>
      <c r="H127" s="127">
        <f t="shared" si="8"/>
        <v>0</v>
      </c>
      <c r="I127" s="188">
        <f t="shared" si="9"/>
        <v>0</v>
      </c>
      <c r="J127" s="134"/>
      <c r="K127" s="121"/>
      <c r="L127" s="121"/>
      <c r="M127" s="121"/>
      <c r="N127" s="121"/>
      <c r="O127" s="121"/>
      <c r="P127" s="121"/>
      <c r="Q127" s="162" t="s">
        <v>587</v>
      </c>
      <c r="R127" s="121"/>
      <c r="S127" s="121"/>
      <c r="T127" s="121"/>
      <c r="U127" s="177"/>
      <c r="V127" s="121"/>
      <c r="W127" s="121"/>
      <c r="X127" s="121"/>
      <c r="Y127" s="121"/>
      <c r="Z127" s="177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</row>
    <row r="128" spans="1:36" s="3" customFormat="1" ht="18" customHeight="1" thickBot="1" x14ac:dyDescent="0.4">
      <c r="A128" s="146" t="s">
        <v>122</v>
      </c>
      <c r="B128" s="166" t="s">
        <v>529</v>
      </c>
      <c r="C128" s="146">
        <v>14093</v>
      </c>
      <c r="D128" s="180">
        <f t="shared" si="6"/>
        <v>0</v>
      </c>
      <c r="E128" s="181" t="s">
        <v>373</v>
      </c>
      <c r="F128" s="203">
        <f t="shared" si="5"/>
        <v>0</v>
      </c>
      <c r="G128" s="188">
        <f t="shared" si="7"/>
        <v>-14093</v>
      </c>
      <c r="H128" s="127">
        <f t="shared" si="8"/>
        <v>0</v>
      </c>
      <c r="I128" s="188">
        <f t="shared" si="9"/>
        <v>0</v>
      </c>
      <c r="J128" s="134"/>
      <c r="K128" s="121"/>
      <c r="L128" s="121"/>
      <c r="M128" s="121"/>
      <c r="N128" s="121"/>
      <c r="O128" s="121"/>
      <c r="P128" s="121"/>
      <c r="Q128" s="162" t="s">
        <v>587</v>
      </c>
      <c r="R128" s="121"/>
      <c r="S128" s="121"/>
      <c r="T128" s="121"/>
      <c r="U128" s="177"/>
      <c r="V128" s="121"/>
      <c r="W128" s="121"/>
      <c r="X128" s="121"/>
      <c r="Y128" s="121"/>
      <c r="Z128" s="177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</row>
    <row r="129" spans="1:36" s="3" customFormat="1" ht="18" customHeight="1" thickBot="1" x14ac:dyDescent="0.4">
      <c r="A129" s="146" t="s">
        <v>123</v>
      </c>
      <c r="B129" s="166" t="s">
        <v>531</v>
      </c>
      <c r="C129" s="146">
        <v>56498</v>
      </c>
      <c r="D129" s="180">
        <f t="shared" si="6"/>
        <v>56498</v>
      </c>
      <c r="E129" s="181"/>
      <c r="F129" s="203">
        <f t="shared" si="5"/>
        <v>0</v>
      </c>
      <c r="G129" s="188">
        <f t="shared" si="7"/>
        <v>0</v>
      </c>
      <c r="H129" s="127">
        <f t="shared" si="8"/>
        <v>56498</v>
      </c>
      <c r="I129" s="188">
        <f t="shared" si="9"/>
        <v>0</v>
      </c>
      <c r="J129" s="134"/>
      <c r="K129" s="121"/>
      <c r="L129" s="121"/>
      <c r="M129" s="121"/>
      <c r="N129" s="121">
        <f>7245+2639</f>
        <v>9884</v>
      </c>
      <c r="O129" s="121">
        <v>5576</v>
      </c>
      <c r="P129" s="121">
        <v>4839</v>
      </c>
      <c r="Q129" s="162">
        <v>3705</v>
      </c>
      <c r="R129" s="121">
        <v>6237</v>
      </c>
      <c r="S129" s="121">
        <v>6149</v>
      </c>
      <c r="T129" s="121">
        <v>5454</v>
      </c>
      <c r="U129" s="177">
        <v>5790</v>
      </c>
      <c r="V129" s="121">
        <v>4291</v>
      </c>
      <c r="W129" s="121">
        <v>1219</v>
      </c>
      <c r="X129" s="121"/>
      <c r="Y129" s="121"/>
      <c r="Z129" s="177">
        <f>1117+2237</f>
        <v>3354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</row>
    <row r="130" spans="1:36" s="3" customFormat="1" ht="18" customHeight="1" thickBot="1" x14ac:dyDescent="0.4">
      <c r="A130" s="146" t="s">
        <v>124</v>
      </c>
      <c r="B130" s="166" t="s">
        <v>532</v>
      </c>
      <c r="C130" s="146"/>
      <c r="D130" s="180">
        <f t="shared" si="6"/>
        <v>0</v>
      </c>
      <c r="E130" s="181"/>
      <c r="F130" s="203">
        <f t="shared" si="5"/>
        <v>0</v>
      </c>
      <c r="G130" s="188">
        <f t="shared" si="7"/>
        <v>0</v>
      </c>
      <c r="H130" s="127">
        <f t="shared" si="8"/>
        <v>0</v>
      </c>
      <c r="I130" s="188">
        <f t="shared" si="9"/>
        <v>0</v>
      </c>
      <c r="J130" s="134"/>
      <c r="K130" s="121"/>
      <c r="L130" s="121"/>
      <c r="M130" s="121"/>
      <c r="N130" s="121"/>
      <c r="O130" s="121"/>
      <c r="P130" s="121"/>
      <c r="Q130" s="162" t="s">
        <v>587</v>
      </c>
      <c r="R130" s="121"/>
      <c r="S130" s="121"/>
      <c r="T130" s="121"/>
      <c r="U130" s="177"/>
      <c r="V130" s="121"/>
      <c r="W130" s="121"/>
      <c r="X130" s="121"/>
      <c r="Y130" s="121"/>
      <c r="Z130" s="177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</row>
    <row r="131" spans="1:36" s="3" customFormat="1" ht="18" customHeight="1" thickBot="1" x14ac:dyDescent="0.4">
      <c r="A131" s="146" t="s">
        <v>125</v>
      </c>
      <c r="B131" s="166" t="s">
        <v>533</v>
      </c>
      <c r="C131" s="146">
        <v>4593</v>
      </c>
      <c r="D131" s="180">
        <f t="shared" si="6"/>
        <v>0</v>
      </c>
      <c r="E131" s="181" t="s">
        <v>373</v>
      </c>
      <c r="F131" s="203">
        <f t="shared" si="5"/>
        <v>0</v>
      </c>
      <c r="G131" s="188">
        <f t="shared" si="7"/>
        <v>-4593</v>
      </c>
      <c r="H131" s="127">
        <f t="shared" si="8"/>
        <v>0</v>
      </c>
      <c r="I131" s="188">
        <f t="shared" si="9"/>
        <v>0</v>
      </c>
      <c r="J131" s="134"/>
      <c r="K131" s="121"/>
      <c r="L131" s="121"/>
      <c r="M131" s="121"/>
      <c r="N131" s="121"/>
      <c r="O131" s="121"/>
      <c r="P131" s="121"/>
      <c r="Q131" s="162" t="s">
        <v>587</v>
      </c>
      <c r="R131" s="121"/>
      <c r="S131" s="121"/>
      <c r="T131" s="121"/>
      <c r="U131" s="177"/>
      <c r="V131" s="121"/>
      <c r="W131" s="121"/>
      <c r="X131" s="121"/>
      <c r="Y131" s="121"/>
      <c r="Z131" s="177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</row>
    <row r="132" spans="1:36" s="3" customFormat="1" ht="18" customHeight="1" thickBot="1" x14ac:dyDescent="0.4">
      <c r="A132" s="146" t="s">
        <v>126</v>
      </c>
      <c r="B132" s="166" t="s">
        <v>304</v>
      </c>
      <c r="C132" s="146">
        <v>1573</v>
      </c>
      <c r="D132" s="180">
        <f t="shared" si="6"/>
        <v>0</v>
      </c>
      <c r="E132" s="181" t="s">
        <v>416</v>
      </c>
      <c r="F132" s="203">
        <f t="shared" si="5"/>
        <v>0</v>
      </c>
      <c r="G132" s="188">
        <f t="shared" si="7"/>
        <v>-1573</v>
      </c>
      <c r="H132" s="127">
        <f t="shared" si="8"/>
        <v>0</v>
      </c>
      <c r="I132" s="188">
        <f t="shared" si="9"/>
        <v>0</v>
      </c>
      <c r="J132" s="134"/>
      <c r="K132" s="121"/>
      <c r="L132" s="121"/>
      <c r="M132" s="121"/>
      <c r="N132" s="121"/>
      <c r="O132" s="121"/>
      <c r="P132" s="121"/>
      <c r="Q132" s="162" t="s">
        <v>587</v>
      </c>
      <c r="R132" s="121"/>
      <c r="S132" s="121"/>
      <c r="T132" s="121"/>
      <c r="U132" s="177"/>
      <c r="V132" s="121"/>
      <c r="W132" s="121"/>
      <c r="X132" s="121"/>
      <c r="Y132" s="121"/>
      <c r="Z132" s="177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</row>
    <row r="133" spans="1:36" s="3" customFormat="1" ht="18" customHeight="1" thickBot="1" x14ac:dyDescent="0.4">
      <c r="A133" s="146" t="s">
        <v>127</v>
      </c>
      <c r="B133" s="166" t="s">
        <v>305</v>
      </c>
      <c r="C133" s="146">
        <v>3335</v>
      </c>
      <c r="D133" s="180">
        <f t="shared" si="6"/>
        <v>0</v>
      </c>
      <c r="E133" s="181" t="s">
        <v>416</v>
      </c>
      <c r="F133" s="203">
        <f t="shared" si="5"/>
        <v>0</v>
      </c>
      <c r="G133" s="188">
        <f t="shared" si="7"/>
        <v>-3335</v>
      </c>
      <c r="H133" s="127">
        <f t="shared" si="8"/>
        <v>0</v>
      </c>
      <c r="I133" s="188">
        <f t="shared" si="9"/>
        <v>0</v>
      </c>
      <c r="J133" s="134"/>
      <c r="K133" s="121"/>
      <c r="L133" s="121"/>
      <c r="M133" s="121"/>
      <c r="N133" s="121"/>
      <c r="O133" s="121"/>
      <c r="P133" s="121"/>
      <c r="Q133" s="162" t="s">
        <v>587</v>
      </c>
      <c r="R133" s="121"/>
      <c r="S133" s="121"/>
      <c r="T133" s="121"/>
      <c r="U133" s="177"/>
      <c r="V133" s="121"/>
      <c r="W133" s="121"/>
      <c r="X133" s="121"/>
      <c r="Y133" s="121"/>
      <c r="Z133" s="177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</row>
    <row r="134" spans="1:36" s="3" customFormat="1" ht="18" customHeight="1" thickBot="1" x14ac:dyDescent="0.4">
      <c r="A134" s="146" t="s">
        <v>128</v>
      </c>
      <c r="B134" s="166" t="s">
        <v>306</v>
      </c>
      <c r="C134" s="146"/>
      <c r="D134" s="180">
        <f t="shared" si="6"/>
        <v>0</v>
      </c>
      <c r="E134" s="181"/>
      <c r="F134" s="203">
        <f t="shared" si="5"/>
        <v>0</v>
      </c>
      <c r="G134" s="188">
        <f t="shared" si="7"/>
        <v>0</v>
      </c>
      <c r="H134" s="127">
        <f t="shared" si="8"/>
        <v>0</v>
      </c>
      <c r="I134" s="188">
        <f t="shared" si="9"/>
        <v>0</v>
      </c>
      <c r="J134" s="134"/>
      <c r="K134" s="121"/>
      <c r="L134" s="121"/>
      <c r="M134" s="121"/>
      <c r="N134" s="121"/>
      <c r="O134" s="121"/>
      <c r="P134" s="121"/>
      <c r="Q134" s="162" t="s">
        <v>587</v>
      </c>
      <c r="R134" s="121"/>
      <c r="S134" s="121"/>
      <c r="T134" s="121"/>
      <c r="U134" s="177"/>
      <c r="V134" s="121"/>
      <c r="W134" s="121"/>
      <c r="X134" s="121"/>
      <c r="Y134" s="121"/>
      <c r="Z134" s="177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</row>
    <row r="135" spans="1:36" s="3" customFormat="1" ht="18" customHeight="1" thickBot="1" x14ac:dyDescent="0.4">
      <c r="A135" s="146" t="s">
        <v>129</v>
      </c>
      <c r="B135" s="166" t="s">
        <v>307</v>
      </c>
      <c r="C135" s="146"/>
      <c r="D135" s="180">
        <f t="shared" si="6"/>
        <v>0</v>
      </c>
      <c r="E135" s="181"/>
      <c r="F135" s="203">
        <f t="shared" si="5"/>
        <v>0</v>
      </c>
      <c r="G135" s="188">
        <f t="shared" si="7"/>
        <v>0</v>
      </c>
      <c r="H135" s="127">
        <f t="shared" si="8"/>
        <v>0</v>
      </c>
      <c r="I135" s="188">
        <f t="shared" si="9"/>
        <v>0</v>
      </c>
      <c r="J135" s="134"/>
      <c r="K135" s="121"/>
      <c r="L135" s="121"/>
      <c r="M135" s="121"/>
      <c r="N135" s="121"/>
      <c r="O135" s="121"/>
      <c r="P135" s="121"/>
      <c r="Q135" s="162" t="s">
        <v>587</v>
      </c>
      <c r="R135" s="121"/>
      <c r="S135" s="121"/>
      <c r="T135" s="121"/>
      <c r="U135" s="177"/>
      <c r="V135" s="121"/>
      <c r="W135" s="121"/>
      <c r="X135" s="121"/>
      <c r="Y135" s="121"/>
      <c r="Z135" s="177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</row>
    <row r="136" spans="1:36" s="3" customFormat="1" ht="18" customHeight="1" thickBot="1" x14ac:dyDescent="0.4">
      <c r="A136" s="146" t="s">
        <v>130</v>
      </c>
      <c r="B136" s="166" t="s">
        <v>308</v>
      </c>
      <c r="C136" s="146"/>
      <c r="D136" s="180">
        <f t="shared" si="6"/>
        <v>0</v>
      </c>
      <c r="E136" s="181"/>
      <c r="F136" s="203">
        <f t="shared" si="5"/>
        <v>0</v>
      </c>
      <c r="G136" s="188">
        <f t="shared" si="7"/>
        <v>0</v>
      </c>
      <c r="H136" s="127">
        <f t="shared" si="8"/>
        <v>0</v>
      </c>
      <c r="I136" s="188">
        <f t="shared" si="9"/>
        <v>0</v>
      </c>
      <c r="J136" s="134"/>
      <c r="K136" s="121"/>
      <c r="L136" s="121"/>
      <c r="M136" s="121"/>
      <c r="N136" s="121"/>
      <c r="O136" s="121"/>
      <c r="P136" s="121"/>
      <c r="Q136" s="162" t="s">
        <v>587</v>
      </c>
      <c r="R136" s="121"/>
      <c r="S136" s="121"/>
      <c r="T136" s="121"/>
      <c r="U136" s="177"/>
      <c r="V136" s="121"/>
      <c r="W136" s="121"/>
      <c r="X136" s="121"/>
      <c r="Y136" s="121"/>
      <c r="Z136" s="177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</row>
    <row r="137" spans="1:36" s="3" customFormat="1" ht="18" customHeight="1" thickBot="1" x14ac:dyDescent="0.4">
      <c r="A137" s="146" t="s">
        <v>131</v>
      </c>
      <c r="B137" s="166" t="s">
        <v>309</v>
      </c>
      <c r="C137" s="146"/>
      <c r="D137" s="180">
        <f t="shared" si="6"/>
        <v>0</v>
      </c>
      <c r="E137" s="181"/>
      <c r="F137" s="203">
        <f t="shared" si="5"/>
        <v>0</v>
      </c>
      <c r="G137" s="188">
        <f t="shared" si="7"/>
        <v>0</v>
      </c>
      <c r="H137" s="127">
        <f t="shared" si="8"/>
        <v>0</v>
      </c>
      <c r="I137" s="188">
        <f t="shared" si="9"/>
        <v>0</v>
      </c>
      <c r="J137" s="134"/>
      <c r="K137" s="121"/>
      <c r="L137" s="121"/>
      <c r="M137" s="121"/>
      <c r="N137" s="121"/>
      <c r="O137" s="121"/>
      <c r="P137" s="121"/>
      <c r="Q137" s="162" t="s">
        <v>587</v>
      </c>
      <c r="R137" s="121"/>
      <c r="S137" s="121"/>
      <c r="T137" s="121"/>
      <c r="U137" s="177"/>
      <c r="V137" s="121"/>
      <c r="W137" s="121"/>
      <c r="X137" s="121"/>
      <c r="Y137" s="121"/>
      <c r="Z137" s="177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</row>
    <row r="138" spans="1:36" s="3" customFormat="1" ht="18" customHeight="1" thickBot="1" x14ac:dyDescent="0.4">
      <c r="A138" s="146" t="s">
        <v>132</v>
      </c>
      <c r="B138" s="166" t="s">
        <v>310</v>
      </c>
      <c r="C138" s="146"/>
      <c r="D138" s="180">
        <f t="shared" si="6"/>
        <v>0</v>
      </c>
      <c r="E138" s="181"/>
      <c r="F138" s="203">
        <f t="shared" si="5"/>
        <v>0</v>
      </c>
      <c r="G138" s="188">
        <f t="shared" si="7"/>
        <v>0</v>
      </c>
      <c r="H138" s="127">
        <f t="shared" si="8"/>
        <v>0</v>
      </c>
      <c r="I138" s="188">
        <f t="shared" si="9"/>
        <v>0</v>
      </c>
      <c r="J138" s="134"/>
      <c r="K138" s="121"/>
      <c r="L138" s="121"/>
      <c r="M138" s="121"/>
      <c r="N138" s="121"/>
      <c r="O138" s="121"/>
      <c r="P138" s="121"/>
      <c r="Q138" s="162" t="s">
        <v>587</v>
      </c>
      <c r="R138" s="121"/>
      <c r="S138" s="121"/>
      <c r="T138" s="121"/>
      <c r="U138" s="177"/>
      <c r="V138" s="121"/>
      <c r="W138" s="121"/>
      <c r="X138" s="121"/>
      <c r="Y138" s="121"/>
      <c r="Z138" s="177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</row>
    <row r="139" spans="1:36" s="3" customFormat="1" ht="18" customHeight="1" thickBot="1" x14ac:dyDescent="0.4">
      <c r="A139" s="146" t="s">
        <v>133</v>
      </c>
      <c r="B139" s="166" t="s">
        <v>311</v>
      </c>
      <c r="C139" s="146"/>
      <c r="D139" s="180">
        <f t="shared" si="6"/>
        <v>0</v>
      </c>
      <c r="E139" s="181"/>
      <c r="F139" s="203">
        <f t="shared" si="5"/>
        <v>0</v>
      </c>
      <c r="G139" s="188">
        <f t="shared" si="7"/>
        <v>0</v>
      </c>
      <c r="H139" s="127">
        <f t="shared" si="8"/>
        <v>0</v>
      </c>
      <c r="I139" s="188">
        <f t="shared" si="9"/>
        <v>0</v>
      </c>
      <c r="J139" s="134"/>
      <c r="K139" s="121"/>
      <c r="L139" s="121"/>
      <c r="M139" s="121"/>
      <c r="N139" s="121"/>
      <c r="O139" s="121"/>
      <c r="P139" s="121"/>
      <c r="Q139" s="162" t="s">
        <v>587</v>
      </c>
      <c r="R139" s="121"/>
      <c r="S139" s="121"/>
      <c r="T139" s="121"/>
      <c r="U139" s="177"/>
      <c r="V139" s="121"/>
      <c r="W139" s="121"/>
      <c r="X139" s="121"/>
      <c r="Y139" s="121"/>
      <c r="Z139" s="177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</row>
    <row r="140" spans="1:36" s="3" customFormat="1" ht="18" customHeight="1" thickBot="1" x14ac:dyDescent="0.4">
      <c r="A140" s="146" t="s">
        <v>134</v>
      </c>
      <c r="B140" s="166" t="s">
        <v>312</v>
      </c>
      <c r="C140" s="146"/>
      <c r="D140" s="180">
        <f t="shared" si="6"/>
        <v>0</v>
      </c>
      <c r="E140" s="181"/>
      <c r="F140" s="203">
        <f t="shared" si="5"/>
        <v>0</v>
      </c>
      <c r="G140" s="188">
        <f t="shared" si="7"/>
        <v>0</v>
      </c>
      <c r="H140" s="127">
        <f t="shared" si="8"/>
        <v>0</v>
      </c>
      <c r="I140" s="188">
        <f t="shared" si="9"/>
        <v>0</v>
      </c>
      <c r="J140" s="134"/>
      <c r="K140" s="121"/>
      <c r="L140" s="121"/>
      <c r="M140" s="121"/>
      <c r="N140" s="121"/>
      <c r="O140" s="121"/>
      <c r="P140" s="121"/>
      <c r="Q140" s="162" t="s">
        <v>587</v>
      </c>
      <c r="R140" s="121"/>
      <c r="S140" s="121"/>
      <c r="T140" s="121"/>
      <c r="U140" s="177"/>
      <c r="V140" s="121"/>
      <c r="W140" s="121"/>
      <c r="X140" s="121"/>
      <c r="Y140" s="121"/>
      <c r="Z140" s="177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</row>
    <row r="141" spans="1:36" s="3" customFormat="1" ht="18" customHeight="1" thickBot="1" x14ac:dyDescent="0.4">
      <c r="A141" s="146" t="s">
        <v>135</v>
      </c>
      <c r="B141" s="166" t="s">
        <v>537</v>
      </c>
      <c r="C141" s="146"/>
      <c r="D141" s="180">
        <f t="shared" si="6"/>
        <v>0</v>
      </c>
      <c r="E141" s="181"/>
      <c r="F141" s="203">
        <f t="shared" ref="F141:F197" si="10">SUMIF(E:E, A141,C:C )</f>
        <v>0</v>
      </c>
      <c r="G141" s="188">
        <f t="shared" si="7"/>
        <v>0</v>
      </c>
      <c r="H141" s="127">
        <f t="shared" si="8"/>
        <v>0</v>
      </c>
      <c r="I141" s="188">
        <f t="shared" si="9"/>
        <v>0</v>
      </c>
      <c r="J141" s="134"/>
      <c r="K141" s="121"/>
      <c r="L141" s="121"/>
      <c r="M141" s="121"/>
      <c r="N141" s="121"/>
      <c r="O141" s="121"/>
      <c r="P141" s="121"/>
      <c r="Q141" s="162" t="s">
        <v>587</v>
      </c>
      <c r="R141" s="121"/>
      <c r="S141" s="121"/>
      <c r="T141" s="121"/>
      <c r="U141" s="177"/>
      <c r="V141" s="121"/>
      <c r="W141" s="121"/>
      <c r="X141" s="121"/>
      <c r="Y141" s="121"/>
      <c r="Z141" s="177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</row>
    <row r="142" spans="1:36" s="3" customFormat="1" ht="18" customHeight="1" thickBot="1" x14ac:dyDescent="0.4">
      <c r="A142" s="146" t="s">
        <v>136</v>
      </c>
      <c r="B142" s="166" t="s">
        <v>538</v>
      </c>
      <c r="C142" s="146">
        <v>9312</v>
      </c>
      <c r="D142" s="180">
        <f t="shared" ref="D142:D197" si="11">C142+G142</f>
        <v>0</v>
      </c>
      <c r="E142" s="181" t="s">
        <v>374</v>
      </c>
      <c r="F142" s="203">
        <f t="shared" si="10"/>
        <v>0</v>
      </c>
      <c r="G142" s="188">
        <f t="shared" ref="G142:G197" si="12">IF(ISBLANK(E142),,-C142)+IF(ISBLANK(F142),,F142)</f>
        <v>-9312</v>
      </c>
      <c r="H142" s="127">
        <f t="shared" ref="H142:H197" si="13">SUM(J142:AJ142)</f>
        <v>0</v>
      </c>
      <c r="I142" s="188">
        <f t="shared" ref="I142:I197" si="14">IF(ISBLANK(E142),D142-H142,0)</f>
        <v>0</v>
      </c>
      <c r="J142" s="134"/>
      <c r="K142" s="121"/>
      <c r="L142" s="121"/>
      <c r="M142" s="121"/>
      <c r="N142" s="121"/>
      <c r="O142" s="121"/>
      <c r="P142" s="121"/>
      <c r="Q142" s="162" t="s">
        <v>587</v>
      </c>
      <c r="R142" s="121"/>
      <c r="S142" s="121"/>
      <c r="T142" s="121"/>
      <c r="U142" s="177"/>
      <c r="V142" s="121"/>
      <c r="W142" s="121"/>
      <c r="X142" s="121"/>
      <c r="Y142" s="121"/>
      <c r="Z142" s="177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</row>
    <row r="143" spans="1:36" s="3" customFormat="1" ht="18" customHeight="1" thickBot="1" x14ac:dyDescent="0.4">
      <c r="A143" s="146" t="s">
        <v>137</v>
      </c>
      <c r="B143" s="166" t="s">
        <v>540</v>
      </c>
      <c r="C143" s="146"/>
      <c r="D143" s="180">
        <f t="shared" si="11"/>
        <v>0</v>
      </c>
      <c r="E143" s="181"/>
      <c r="F143" s="203">
        <f t="shared" si="10"/>
        <v>0</v>
      </c>
      <c r="G143" s="188">
        <f t="shared" si="12"/>
        <v>0</v>
      </c>
      <c r="H143" s="127">
        <f t="shared" si="13"/>
        <v>0</v>
      </c>
      <c r="I143" s="188">
        <f t="shared" si="14"/>
        <v>0</v>
      </c>
      <c r="J143" s="134"/>
      <c r="K143" s="121"/>
      <c r="L143" s="121"/>
      <c r="M143" s="121"/>
      <c r="N143" s="121"/>
      <c r="O143" s="121"/>
      <c r="P143" s="121"/>
      <c r="Q143" s="162" t="s">
        <v>587</v>
      </c>
      <c r="R143" s="121"/>
      <c r="S143" s="121"/>
      <c r="T143" s="121"/>
      <c r="U143" s="177"/>
      <c r="V143" s="121"/>
      <c r="W143" s="121"/>
      <c r="X143" s="121"/>
      <c r="Y143" s="121"/>
      <c r="Z143" s="177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</row>
    <row r="144" spans="1:36" s="3" customFormat="1" ht="18" customHeight="1" thickBot="1" x14ac:dyDescent="0.4">
      <c r="A144" s="146" t="s">
        <v>138</v>
      </c>
      <c r="B144" s="166" t="s">
        <v>316</v>
      </c>
      <c r="C144" s="146"/>
      <c r="D144" s="180">
        <f t="shared" si="11"/>
        <v>0</v>
      </c>
      <c r="E144" s="181"/>
      <c r="F144" s="203">
        <f t="shared" si="10"/>
        <v>0</v>
      </c>
      <c r="G144" s="188">
        <f t="shared" si="12"/>
        <v>0</v>
      </c>
      <c r="H144" s="127">
        <f t="shared" si="13"/>
        <v>0</v>
      </c>
      <c r="I144" s="188">
        <f t="shared" si="14"/>
        <v>0</v>
      </c>
      <c r="J144" s="134"/>
      <c r="K144" s="121"/>
      <c r="L144" s="121"/>
      <c r="M144" s="121"/>
      <c r="N144" s="121"/>
      <c r="O144" s="121"/>
      <c r="P144" s="121"/>
      <c r="Q144" s="162" t="s">
        <v>587</v>
      </c>
      <c r="R144" s="121"/>
      <c r="S144" s="121"/>
      <c r="T144" s="121"/>
      <c r="U144" s="177"/>
      <c r="V144" s="121"/>
      <c r="W144" s="121"/>
      <c r="X144" s="121"/>
      <c r="Y144" s="121"/>
      <c r="Z144" s="177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</row>
    <row r="145" spans="1:36" s="3" customFormat="1" ht="18" customHeight="1" thickBot="1" x14ac:dyDescent="0.4">
      <c r="A145" s="146" t="s">
        <v>139</v>
      </c>
      <c r="B145" s="166" t="s">
        <v>542</v>
      </c>
      <c r="C145" s="146">
        <v>2139</v>
      </c>
      <c r="D145" s="180">
        <f t="shared" si="11"/>
        <v>0</v>
      </c>
      <c r="E145" s="181" t="s">
        <v>416</v>
      </c>
      <c r="F145" s="203">
        <f t="shared" si="10"/>
        <v>0</v>
      </c>
      <c r="G145" s="188">
        <f t="shared" si="12"/>
        <v>-2139</v>
      </c>
      <c r="H145" s="127">
        <f t="shared" si="13"/>
        <v>0</v>
      </c>
      <c r="I145" s="188">
        <f t="shared" si="14"/>
        <v>0</v>
      </c>
      <c r="J145" s="134"/>
      <c r="K145" s="121"/>
      <c r="L145" s="121"/>
      <c r="M145" s="121"/>
      <c r="N145" s="121"/>
      <c r="O145" s="121"/>
      <c r="P145" s="121"/>
      <c r="Q145" s="162" t="s">
        <v>587</v>
      </c>
      <c r="R145" s="121"/>
      <c r="S145" s="121"/>
      <c r="T145" s="121"/>
      <c r="U145" s="177"/>
      <c r="V145" s="121"/>
      <c r="W145" s="121"/>
      <c r="X145" s="121"/>
      <c r="Y145" s="121"/>
      <c r="Z145" s="177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</row>
    <row r="146" spans="1:36" s="3" customFormat="1" ht="18" customHeight="1" thickBot="1" x14ac:dyDescent="0.4">
      <c r="A146" s="146" t="s">
        <v>140</v>
      </c>
      <c r="B146" s="166" t="s">
        <v>544</v>
      </c>
      <c r="C146" s="146">
        <v>7739</v>
      </c>
      <c r="D146" s="180">
        <f t="shared" si="11"/>
        <v>0</v>
      </c>
      <c r="E146" s="181" t="s">
        <v>416</v>
      </c>
      <c r="F146" s="203">
        <f t="shared" si="10"/>
        <v>0</v>
      </c>
      <c r="G146" s="188">
        <f t="shared" si="12"/>
        <v>-7739</v>
      </c>
      <c r="H146" s="127">
        <f t="shared" si="13"/>
        <v>0</v>
      </c>
      <c r="I146" s="188">
        <f t="shared" si="14"/>
        <v>0</v>
      </c>
      <c r="J146" s="134"/>
      <c r="K146" s="121"/>
      <c r="L146" s="121"/>
      <c r="M146" s="121"/>
      <c r="N146" s="121"/>
      <c r="O146" s="121"/>
      <c r="P146" s="121"/>
      <c r="Q146" s="162" t="s">
        <v>587</v>
      </c>
      <c r="R146" s="121"/>
      <c r="S146" s="121"/>
      <c r="T146" s="121"/>
      <c r="U146" s="177"/>
      <c r="V146" s="121"/>
      <c r="W146" s="121"/>
      <c r="X146" s="121"/>
      <c r="Y146" s="121"/>
      <c r="Z146" s="177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</row>
    <row r="147" spans="1:36" s="3" customFormat="1" ht="18" customHeight="1" thickBot="1" x14ac:dyDescent="0.4">
      <c r="A147" s="146" t="s">
        <v>141</v>
      </c>
      <c r="B147" s="166" t="s">
        <v>545</v>
      </c>
      <c r="C147" s="146">
        <v>4656</v>
      </c>
      <c r="D147" s="180">
        <f t="shared" si="11"/>
        <v>0</v>
      </c>
      <c r="E147" s="181" t="s">
        <v>416</v>
      </c>
      <c r="F147" s="203">
        <f t="shared" si="10"/>
        <v>0</v>
      </c>
      <c r="G147" s="188">
        <f t="shared" si="12"/>
        <v>-4656</v>
      </c>
      <c r="H147" s="127">
        <f t="shared" si="13"/>
        <v>0</v>
      </c>
      <c r="I147" s="188">
        <f t="shared" si="14"/>
        <v>0</v>
      </c>
      <c r="J147" s="134"/>
      <c r="K147" s="121"/>
      <c r="L147" s="121"/>
      <c r="M147" s="121"/>
      <c r="N147" s="121"/>
      <c r="O147" s="121"/>
      <c r="P147" s="121"/>
      <c r="Q147" s="162" t="s">
        <v>587</v>
      </c>
      <c r="R147" s="121"/>
      <c r="S147" s="121"/>
      <c r="T147" s="121"/>
      <c r="U147" s="177"/>
      <c r="V147" s="121"/>
      <c r="W147" s="121"/>
      <c r="X147" s="121"/>
      <c r="Y147" s="121"/>
      <c r="Z147" s="177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</row>
    <row r="148" spans="1:36" s="3" customFormat="1" ht="18" customHeight="1" thickBot="1" x14ac:dyDescent="0.4">
      <c r="A148" s="146" t="s">
        <v>142</v>
      </c>
      <c r="B148" s="166" t="s">
        <v>546</v>
      </c>
      <c r="C148" s="146">
        <v>503</v>
      </c>
      <c r="D148" s="180">
        <f t="shared" si="11"/>
        <v>0</v>
      </c>
      <c r="E148" s="181" t="s">
        <v>416</v>
      </c>
      <c r="F148" s="203">
        <f t="shared" si="10"/>
        <v>0</v>
      </c>
      <c r="G148" s="188">
        <f t="shared" si="12"/>
        <v>-503</v>
      </c>
      <c r="H148" s="127">
        <f t="shared" si="13"/>
        <v>0</v>
      </c>
      <c r="I148" s="188">
        <f t="shared" si="14"/>
        <v>0</v>
      </c>
      <c r="J148" s="134"/>
      <c r="K148" s="121"/>
      <c r="L148" s="121"/>
      <c r="M148" s="121"/>
      <c r="N148" s="121"/>
      <c r="O148" s="121"/>
      <c r="P148" s="121"/>
      <c r="Q148" s="162" t="s">
        <v>587</v>
      </c>
      <c r="R148" s="121"/>
      <c r="S148" s="121"/>
      <c r="T148" s="121"/>
      <c r="U148" s="177"/>
      <c r="V148" s="121"/>
      <c r="W148" s="121"/>
      <c r="X148" s="121"/>
      <c r="Y148" s="121"/>
      <c r="Z148" s="177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</row>
    <row r="149" spans="1:36" s="3" customFormat="1" ht="18" customHeight="1" thickBot="1" x14ac:dyDescent="0.4">
      <c r="A149" s="146" t="s">
        <v>143</v>
      </c>
      <c r="B149" s="166" t="s">
        <v>321</v>
      </c>
      <c r="C149" s="146">
        <v>67509</v>
      </c>
      <c r="D149" s="180">
        <f t="shared" si="11"/>
        <v>67509</v>
      </c>
      <c r="E149" s="181"/>
      <c r="F149" s="203">
        <f t="shared" si="10"/>
        <v>0</v>
      </c>
      <c r="G149" s="188">
        <f t="shared" si="12"/>
        <v>0</v>
      </c>
      <c r="H149" s="127">
        <f t="shared" si="13"/>
        <v>67509</v>
      </c>
      <c r="I149" s="188">
        <f t="shared" si="14"/>
        <v>0</v>
      </c>
      <c r="J149" s="134"/>
      <c r="K149" s="121"/>
      <c r="L149" s="121"/>
      <c r="M149" s="121"/>
      <c r="N149" s="121"/>
      <c r="O149" s="121"/>
      <c r="P149" s="121"/>
      <c r="Q149" s="162" t="s">
        <v>587</v>
      </c>
      <c r="R149" s="121"/>
      <c r="S149" s="121"/>
      <c r="T149" s="121"/>
      <c r="U149" s="177"/>
      <c r="V149" s="121">
        <v>29457</v>
      </c>
      <c r="W149" s="121"/>
      <c r="X149" s="121"/>
      <c r="Y149" s="121"/>
      <c r="Z149" s="177"/>
      <c r="AA149" s="121">
        <v>9890</v>
      </c>
      <c r="AB149" s="121"/>
      <c r="AC149" s="121">
        <v>5939</v>
      </c>
      <c r="AD149" s="121">
        <v>5317</v>
      </c>
      <c r="AE149" s="121">
        <v>2516</v>
      </c>
      <c r="AF149" s="121">
        <v>8724</v>
      </c>
      <c r="AG149" s="121">
        <v>5666</v>
      </c>
      <c r="AH149" s="121"/>
      <c r="AI149" s="121"/>
      <c r="AJ149" s="121"/>
    </row>
    <row r="150" spans="1:36" s="3" customFormat="1" ht="18" customHeight="1" thickBot="1" x14ac:dyDescent="0.4">
      <c r="A150" s="146" t="s">
        <v>144</v>
      </c>
      <c r="B150" s="166" t="s">
        <v>548</v>
      </c>
      <c r="C150" s="146">
        <v>21203</v>
      </c>
      <c r="D150" s="180">
        <f t="shared" si="11"/>
        <v>21203</v>
      </c>
      <c r="E150" s="181"/>
      <c r="F150" s="203">
        <f t="shared" si="10"/>
        <v>0</v>
      </c>
      <c r="G150" s="188">
        <f t="shared" si="12"/>
        <v>0</v>
      </c>
      <c r="H150" s="127">
        <f t="shared" si="13"/>
        <v>21203</v>
      </c>
      <c r="I150" s="188">
        <f t="shared" si="14"/>
        <v>0</v>
      </c>
      <c r="J150" s="134"/>
      <c r="K150" s="121"/>
      <c r="L150" s="121"/>
      <c r="M150" s="121"/>
      <c r="N150" s="121"/>
      <c r="O150" s="121"/>
      <c r="P150" s="121"/>
      <c r="Q150" s="162" t="s">
        <v>587</v>
      </c>
      <c r="R150" s="121"/>
      <c r="S150" s="121">
        <v>5049</v>
      </c>
      <c r="T150" s="121">
        <v>1007</v>
      </c>
      <c r="U150" s="177">
        <v>81</v>
      </c>
      <c r="V150" s="121">
        <v>725</v>
      </c>
      <c r="W150" s="121">
        <v>12613</v>
      </c>
      <c r="X150" s="121"/>
      <c r="Y150" s="121"/>
      <c r="Z150" s="177"/>
      <c r="AA150" s="121"/>
      <c r="AB150" s="121"/>
      <c r="AC150" s="121"/>
      <c r="AD150" s="121"/>
      <c r="AE150" s="121">
        <v>1728</v>
      </c>
      <c r="AF150" s="121"/>
      <c r="AG150" s="121"/>
      <c r="AH150" s="121"/>
      <c r="AI150" s="121"/>
      <c r="AJ150" s="121"/>
    </row>
    <row r="151" spans="1:36" s="3" customFormat="1" ht="18" customHeight="1" thickBot="1" x14ac:dyDescent="0.4">
      <c r="A151" s="146" t="s">
        <v>145</v>
      </c>
      <c r="B151" s="166" t="s">
        <v>549</v>
      </c>
      <c r="C151" s="146">
        <v>2894</v>
      </c>
      <c r="D151" s="180">
        <f t="shared" si="11"/>
        <v>0</v>
      </c>
      <c r="E151" s="181" t="s">
        <v>375</v>
      </c>
      <c r="F151" s="203">
        <f t="shared" si="10"/>
        <v>0</v>
      </c>
      <c r="G151" s="188">
        <f t="shared" si="12"/>
        <v>-2894</v>
      </c>
      <c r="H151" s="127">
        <f t="shared" si="13"/>
        <v>0</v>
      </c>
      <c r="I151" s="188">
        <f t="shared" si="14"/>
        <v>0</v>
      </c>
      <c r="J151" s="134"/>
      <c r="K151" s="121"/>
      <c r="L151" s="121"/>
      <c r="M151" s="121"/>
      <c r="N151" s="121"/>
      <c r="O151" s="121"/>
      <c r="P151" s="121"/>
      <c r="Q151" s="162" t="s">
        <v>587</v>
      </c>
      <c r="R151" s="121"/>
      <c r="S151" s="121"/>
      <c r="T151" s="121"/>
      <c r="U151" s="177"/>
      <c r="V151" s="121"/>
      <c r="W151" s="121"/>
      <c r="X151" s="121"/>
      <c r="Y151" s="121"/>
      <c r="Z151" s="177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</row>
    <row r="152" spans="1:36" s="3" customFormat="1" ht="18" customHeight="1" thickBot="1" x14ac:dyDescent="0.4">
      <c r="A152" s="146" t="s">
        <v>146</v>
      </c>
      <c r="B152" s="166" t="s">
        <v>551</v>
      </c>
      <c r="C152" s="146"/>
      <c r="D152" s="180">
        <f t="shared" si="11"/>
        <v>0</v>
      </c>
      <c r="E152" s="169"/>
      <c r="F152" s="203">
        <f t="shared" si="10"/>
        <v>0</v>
      </c>
      <c r="G152" s="188">
        <f t="shared" si="12"/>
        <v>0</v>
      </c>
      <c r="H152" s="127">
        <f t="shared" si="13"/>
        <v>0</v>
      </c>
      <c r="I152" s="188">
        <f t="shared" si="14"/>
        <v>0</v>
      </c>
      <c r="J152" s="134"/>
      <c r="K152" s="121"/>
      <c r="L152" s="121"/>
      <c r="M152" s="121"/>
      <c r="N152" s="121"/>
      <c r="O152" s="121"/>
      <c r="P152" s="121"/>
      <c r="Q152" s="162" t="s">
        <v>587</v>
      </c>
      <c r="R152" s="121"/>
      <c r="S152" s="121"/>
      <c r="T152" s="121"/>
      <c r="U152" s="177"/>
      <c r="V152" s="121"/>
      <c r="W152" s="121"/>
      <c r="X152" s="121"/>
      <c r="Y152" s="121"/>
      <c r="Z152" s="177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</row>
    <row r="153" spans="1:36" s="3" customFormat="1" ht="18" customHeight="1" thickBot="1" x14ac:dyDescent="0.4">
      <c r="A153" s="146" t="s">
        <v>147</v>
      </c>
      <c r="B153" s="166" t="s">
        <v>325</v>
      </c>
      <c r="C153" s="146">
        <v>1573</v>
      </c>
      <c r="D153" s="180">
        <f t="shared" si="11"/>
        <v>0</v>
      </c>
      <c r="E153" s="181" t="s">
        <v>415</v>
      </c>
      <c r="F153" s="203">
        <f t="shared" si="10"/>
        <v>0</v>
      </c>
      <c r="G153" s="188">
        <f t="shared" si="12"/>
        <v>-1573</v>
      </c>
      <c r="H153" s="127">
        <f t="shared" si="13"/>
        <v>0</v>
      </c>
      <c r="I153" s="188">
        <f t="shared" si="14"/>
        <v>0</v>
      </c>
      <c r="J153" s="134"/>
      <c r="K153" s="121"/>
      <c r="L153" s="121"/>
      <c r="M153" s="121"/>
      <c r="N153" s="121"/>
      <c r="O153" s="121"/>
      <c r="P153" s="121"/>
      <c r="Q153" s="162" t="s">
        <v>587</v>
      </c>
      <c r="R153" s="121"/>
      <c r="S153" s="121"/>
      <c r="T153" s="121"/>
      <c r="U153" s="177"/>
      <c r="V153" s="121"/>
      <c r="W153" s="121"/>
      <c r="X153" s="121"/>
      <c r="Y153" s="121"/>
      <c r="Z153" s="177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</row>
    <row r="154" spans="1:36" s="3" customFormat="1" ht="18" customHeight="1" thickBot="1" x14ac:dyDescent="0.4">
      <c r="A154" s="146" t="s">
        <v>148</v>
      </c>
      <c r="B154" s="166" t="s">
        <v>326</v>
      </c>
      <c r="C154" s="146">
        <v>7613</v>
      </c>
      <c r="D154" s="180">
        <f t="shared" si="11"/>
        <v>0</v>
      </c>
      <c r="E154" s="181" t="s">
        <v>415</v>
      </c>
      <c r="F154" s="203">
        <f t="shared" si="10"/>
        <v>0</v>
      </c>
      <c r="G154" s="188">
        <f t="shared" si="12"/>
        <v>-7613</v>
      </c>
      <c r="H154" s="127">
        <f t="shared" si="13"/>
        <v>0</v>
      </c>
      <c r="I154" s="188">
        <f t="shared" si="14"/>
        <v>0</v>
      </c>
      <c r="J154" s="134"/>
      <c r="K154" s="121"/>
      <c r="L154" s="121"/>
      <c r="M154" s="121"/>
      <c r="N154" s="121"/>
      <c r="O154" s="121"/>
      <c r="P154" s="121"/>
      <c r="Q154" s="162" t="s">
        <v>587</v>
      </c>
      <c r="R154" s="121"/>
      <c r="S154" s="121"/>
      <c r="T154" s="121"/>
      <c r="U154" s="177"/>
      <c r="V154" s="121"/>
      <c r="W154" s="121"/>
      <c r="X154" s="121"/>
      <c r="Y154" s="121"/>
      <c r="Z154" s="177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</row>
    <row r="155" spans="1:36" s="3" customFormat="1" ht="18" customHeight="1" thickBot="1" x14ac:dyDescent="0.4">
      <c r="A155" s="146" t="s">
        <v>149</v>
      </c>
      <c r="B155" s="166" t="s">
        <v>553</v>
      </c>
      <c r="C155" s="146">
        <v>1195</v>
      </c>
      <c r="D155" s="180">
        <f t="shared" si="11"/>
        <v>0</v>
      </c>
      <c r="E155" s="181" t="s">
        <v>415</v>
      </c>
      <c r="F155" s="203">
        <f t="shared" si="10"/>
        <v>0</v>
      </c>
      <c r="G155" s="188">
        <f t="shared" si="12"/>
        <v>-1195</v>
      </c>
      <c r="H155" s="127">
        <f t="shared" si="13"/>
        <v>0</v>
      </c>
      <c r="I155" s="188">
        <f t="shared" si="14"/>
        <v>0</v>
      </c>
      <c r="J155" s="134"/>
      <c r="K155" s="121"/>
      <c r="L155" s="121"/>
      <c r="M155" s="121"/>
      <c r="N155" s="121"/>
      <c r="O155" s="121"/>
      <c r="P155" s="121"/>
      <c r="Q155" s="162" t="s">
        <v>587</v>
      </c>
      <c r="R155" s="121"/>
      <c r="S155" s="121"/>
      <c r="T155" s="121"/>
      <c r="U155" s="177"/>
      <c r="V155" s="121"/>
      <c r="W155" s="121"/>
      <c r="X155" s="121"/>
      <c r="Y155" s="121"/>
      <c r="Z155" s="177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</row>
    <row r="156" spans="1:36" s="3" customFormat="1" ht="18" customHeight="1" thickBot="1" x14ac:dyDescent="0.4">
      <c r="A156" s="146" t="s">
        <v>150</v>
      </c>
      <c r="B156" s="166" t="s">
        <v>554</v>
      </c>
      <c r="C156" s="146">
        <v>1007</v>
      </c>
      <c r="D156" s="180">
        <f t="shared" si="11"/>
        <v>0</v>
      </c>
      <c r="E156" s="181" t="s">
        <v>375</v>
      </c>
      <c r="F156" s="203">
        <f t="shared" si="10"/>
        <v>0</v>
      </c>
      <c r="G156" s="188">
        <f t="shared" si="12"/>
        <v>-1007</v>
      </c>
      <c r="H156" s="127">
        <f t="shared" si="13"/>
        <v>0</v>
      </c>
      <c r="I156" s="188">
        <f t="shared" si="14"/>
        <v>0</v>
      </c>
      <c r="J156" s="134"/>
      <c r="K156" s="121"/>
      <c r="L156" s="121"/>
      <c r="M156" s="121"/>
      <c r="N156" s="121"/>
      <c r="O156" s="121"/>
      <c r="P156" s="121"/>
      <c r="Q156" s="162" t="s">
        <v>587</v>
      </c>
      <c r="R156" s="121"/>
      <c r="S156" s="121"/>
      <c r="T156" s="121"/>
      <c r="U156" s="128"/>
      <c r="V156" s="121"/>
      <c r="W156" s="121"/>
      <c r="X156" s="121"/>
      <c r="Y156" s="121"/>
      <c r="Z156" s="177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</row>
    <row r="157" spans="1:36" s="3" customFormat="1" ht="18" customHeight="1" thickBot="1" x14ac:dyDescent="0.4">
      <c r="A157" s="146" t="s">
        <v>151</v>
      </c>
      <c r="B157" s="166" t="s">
        <v>556</v>
      </c>
      <c r="C157" s="146">
        <v>13401</v>
      </c>
      <c r="D157" s="180">
        <f t="shared" si="11"/>
        <v>13967</v>
      </c>
      <c r="E157" s="181"/>
      <c r="F157" s="203">
        <f>SUMIF(E:E, A157,C:C )</f>
        <v>566</v>
      </c>
      <c r="G157" s="188">
        <f t="shared" si="12"/>
        <v>566</v>
      </c>
      <c r="H157" s="127">
        <f>SUM(J157:AJ157)</f>
        <v>13967</v>
      </c>
      <c r="I157" s="188">
        <f t="shared" si="14"/>
        <v>0</v>
      </c>
      <c r="J157" s="134"/>
      <c r="K157" s="121"/>
      <c r="L157" s="121"/>
      <c r="M157" s="121"/>
      <c r="N157" s="121"/>
      <c r="O157" s="121"/>
      <c r="P157" s="121"/>
      <c r="Q157" s="162">
        <v>13401</v>
      </c>
      <c r="R157" s="121"/>
      <c r="S157" s="121"/>
      <c r="T157" s="121">
        <v>566</v>
      </c>
      <c r="U157" s="177"/>
      <c r="V157" s="121"/>
      <c r="W157" s="121"/>
      <c r="X157" s="121"/>
      <c r="Y157" s="121"/>
      <c r="Z157" s="177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</row>
    <row r="158" spans="1:36" s="3" customFormat="1" ht="18" customHeight="1" thickBot="1" x14ac:dyDescent="0.4">
      <c r="A158" s="146" t="s">
        <v>152</v>
      </c>
      <c r="B158" s="166" t="s">
        <v>557</v>
      </c>
      <c r="C158" s="146">
        <v>566</v>
      </c>
      <c r="D158" s="180">
        <f t="shared" si="11"/>
        <v>0</v>
      </c>
      <c r="E158" s="181" t="s">
        <v>151</v>
      </c>
      <c r="F158" s="203">
        <f t="shared" si="10"/>
        <v>0</v>
      </c>
      <c r="G158" s="188">
        <f t="shared" si="12"/>
        <v>-566</v>
      </c>
      <c r="H158" s="127">
        <f t="shared" si="13"/>
        <v>0</v>
      </c>
      <c r="I158" s="188">
        <f t="shared" si="14"/>
        <v>0</v>
      </c>
      <c r="J158" s="134"/>
      <c r="K158" s="121"/>
      <c r="L158" s="121"/>
      <c r="M158" s="121"/>
      <c r="N158" s="121"/>
      <c r="O158" s="121"/>
      <c r="P158" s="121"/>
      <c r="Q158" s="162" t="s">
        <v>587</v>
      </c>
      <c r="R158" s="121"/>
      <c r="S158" s="121"/>
      <c r="T158" s="121"/>
      <c r="U158" s="177"/>
      <c r="V158" s="121"/>
      <c r="W158" s="121"/>
      <c r="X158" s="121"/>
      <c r="Y158" s="121"/>
      <c r="Z158" s="177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</row>
    <row r="159" spans="1:36" s="3" customFormat="1" ht="18" customHeight="1" thickBot="1" x14ac:dyDescent="0.4">
      <c r="A159" s="146" t="s">
        <v>153</v>
      </c>
      <c r="B159" s="166" t="s">
        <v>558</v>
      </c>
      <c r="C159" s="146"/>
      <c r="D159" s="180">
        <f t="shared" si="11"/>
        <v>0</v>
      </c>
      <c r="E159" s="181"/>
      <c r="F159" s="203">
        <f t="shared" si="10"/>
        <v>0</v>
      </c>
      <c r="G159" s="188">
        <f t="shared" si="12"/>
        <v>0</v>
      </c>
      <c r="H159" s="127">
        <f t="shared" si="13"/>
        <v>0</v>
      </c>
      <c r="I159" s="188">
        <f t="shared" si="14"/>
        <v>0</v>
      </c>
      <c r="J159" s="134"/>
      <c r="K159" s="121"/>
      <c r="L159" s="121"/>
      <c r="M159" s="121"/>
      <c r="N159" s="121"/>
      <c r="O159" s="121"/>
      <c r="P159" s="121"/>
      <c r="Q159" s="162" t="s">
        <v>587</v>
      </c>
      <c r="R159" s="121"/>
      <c r="S159" s="121"/>
      <c r="T159" s="121"/>
      <c r="U159" s="177"/>
      <c r="V159" s="121"/>
      <c r="W159" s="121"/>
      <c r="X159" s="121"/>
      <c r="Y159" s="121"/>
      <c r="Z159" s="177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</row>
    <row r="160" spans="1:36" s="3" customFormat="1" ht="18" customHeight="1" thickBot="1" x14ac:dyDescent="0.4">
      <c r="A160" s="146" t="s">
        <v>154</v>
      </c>
      <c r="B160" s="166" t="s">
        <v>332</v>
      </c>
      <c r="C160" s="146"/>
      <c r="D160" s="180">
        <f t="shared" si="11"/>
        <v>0</v>
      </c>
      <c r="E160" s="181"/>
      <c r="F160" s="203">
        <f t="shared" si="10"/>
        <v>0</v>
      </c>
      <c r="G160" s="188">
        <f t="shared" si="12"/>
        <v>0</v>
      </c>
      <c r="H160" s="127">
        <f t="shared" si="13"/>
        <v>0</v>
      </c>
      <c r="I160" s="188">
        <f t="shared" si="14"/>
        <v>0</v>
      </c>
      <c r="J160" s="134"/>
      <c r="K160" s="121"/>
      <c r="L160" s="121"/>
      <c r="M160" s="121"/>
      <c r="N160" s="121"/>
      <c r="O160" s="121"/>
      <c r="P160" s="121"/>
      <c r="Q160" s="162" t="s">
        <v>587</v>
      </c>
      <c r="R160" s="121"/>
      <c r="S160" s="121"/>
      <c r="T160" s="121"/>
      <c r="U160" s="177"/>
      <c r="V160" s="121"/>
      <c r="W160" s="121"/>
      <c r="X160" s="121"/>
      <c r="Y160" s="121"/>
      <c r="Z160" s="177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</row>
    <row r="161" spans="1:36" s="3" customFormat="1" ht="18" customHeight="1" thickBot="1" x14ac:dyDescent="0.4">
      <c r="A161" s="146" t="s">
        <v>155</v>
      </c>
      <c r="B161" s="166" t="s">
        <v>560</v>
      </c>
      <c r="C161" s="146">
        <v>15666</v>
      </c>
      <c r="D161" s="180">
        <f t="shared" si="11"/>
        <v>15666</v>
      </c>
      <c r="E161" s="181"/>
      <c r="F161" s="203">
        <f t="shared" si="10"/>
        <v>0</v>
      </c>
      <c r="G161" s="188">
        <f t="shared" si="12"/>
        <v>0</v>
      </c>
      <c r="H161" s="127">
        <f t="shared" si="13"/>
        <v>14060</v>
      </c>
      <c r="I161" s="188">
        <f t="shared" si="14"/>
        <v>1606</v>
      </c>
      <c r="J161" s="134"/>
      <c r="K161" s="121"/>
      <c r="L161" s="121"/>
      <c r="M161" s="121"/>
      <c r="N161" s="121"/>
      <c r="O161" s="121"/>
      <c r="P161" s="121"/>
      <c r="Q161" s="162" t="s">
        <v>587</v>
      </c>
      <c r="R161" s="121"/>
      <c r="S161" s="121"/>
      <c r="T161" s="121"/>
      <c r="U161" s="177"/>
      <c r="V161" s="121">
        <v>14060</v>
      </c>
      <c r="W161" s="121"/>
      <c r="X161" s="121"/>
      <c r="Y161" s="121"/>
      <c r="Z161" s="177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</row>
    <row r="162" spans="1:36" s="3" customFormat="1" ht="18" customHeight="1" thickBot="1" x14ac:dyDescent="0.4">
      <c r="A162" s="146" t="s">
        <v>156</v>
      </c>
      <c r="B162" s="166" t="s">
        <v>334</v>
      </c>
      <c r="C162" s="146"/>
      <c r="D162" s="180">
        <f t="shared" si="11"/>
        <v>0</v>
      </c>
      <c r="E162" s="181"/>
      <c r="F162" s="203">
        <f t="shared" si="10"/>
        <v>0</v>
      </c>
      <c r="G162" s="188">
        <f t="shared" si="12"/>
        <v>0</v>
      </c>
      <c r="H162" s="127">
        <f t="shared" si="13"/>
        <v>0</v>
      </c>
      <c r="I162" s="188">
        <f t="shared" si="14"/>
        <v>0</v>
      </c>
      <c r="J162" s="134"/>
      <c r="K162" s="121"/>
      <c r="L162" s="121"/>
      <c r="M162" s="121"/>
      <c r="N162" s="121"/>
      <c r="O162" s="121"/>
      <c r="P162" s="121"/>
      <c r="Q162" s="162" t="s">
        <v>587</v>
      </c>
      <c r="R162" s="121"/>
      <c r="S162" s="121"/>
      <c r="T162" s="121"/>
      <c r="U162" s="177"/>
      <c r="V162" s="121"/>
      <c r="W162" s="121"/>
      <c r="X162" s="121"/>
      <c r="Y162" s="121"/>
      <c r="Z162" s="177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</row>
    <row r="163" spans="1:36" s="3" customFormat="1" ht="18" customHeight="1" thickBot="1" x14ac:dyDescent="0.4">
      <c r="A163" s="146" t="s">
        <v>157</v>
      </c>
      <c r="B163" s="166" t="s">
        <v>335</v>
      </c>
      <c r="C163" s="146">
        <v>6606</v>
      </c>
      <c r="D163" s="180">
        <f t="shared" si="11"/>
        <v>0</v>
      </c>
      <c r="E163" s="181" t="s">
        <v>120</v>
      </c>
      <c r="F163" s="203">
        <f t="shared" si="10"/>
        <v>0</v>
      </c>
      <c r="G163" s="188">
        <f t="shared" si="12"/>
        <v>-6606</v>
      </c>
      <c r="H163" s="127">
        <f t="shared" si="13"/>
        <v>0</v>
      </c>
      <c r="I163" s="188">
        <f t="shared" si="14"/>
        <v>0</v>
      </c>
      <c r="J163" s="134"/>
      <c r="K163" s="121"/>
      <c r="L163" s="121"/>
      <c r="M163" s="121"/>
      <c r="N163" s="121"/>
      <c r="O163" s="121"/>
      <c r="P163" s="121"/>
      <c r="Q163" s="162" t="s">
        <v>587</v>
      </c>
      <c r="R163" s="121"/>
      <c r="S163" s="121"/>
      <c r="T163" s="121"/>
      <c r="U163" s="177"/>
      <c r="V163" s="121"/>
      <c r="W163" s="121"/>
      <c r="X163" s="121"/>
      <c r="Y163" s="121"/>
      <c r="Z163" s="177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</row>
    <row r="164" spans="1:36" s="3" customFormat="1" ht="18" customHeight="1" thickBot="1" x14ac:dyDescent="0.4">
      <c r="A164" s="146" t="s">
        <v>158</v>
      </c>
      <c r="B164" s="166" t="s">
        <v>336</v>
      </c>
      <c r="C164" s="146"/>
      <c r="D164" s="180">
        <f t="shared" si="11"/>
        <v>0</v>
      </c>
      <c r="E164" s="181"/>
      <c r="F164" s="203">
        <f t="shared" si="10"/>
        <v>0</v>
      </c>
      <c r="G164" s="188">
        <f t="shared" si="12"/>
        <v>0</v>
      </c>
      <c r="H164" s="127">
        <f t="shared" si="13"/>
        <v>0</v>
      </c>
      <c r="I164" s="188">
        <f t="shared" si="14"/>
        <v>0</v>
      </c>
      <c r="J164" s="134"/>
      <c r="K164" s="121"/>
      <c r="L164" s="121"/>
      <c r="M164" s="121"/>
      <c r="N164" s="121"/>
      <c r="O164" s="121"/>
      <c r="P164" s="121"/>
      <c r="Q164" s="162" t="s">
        <v>587</v>
      </c>
      <c r="R164" s="121"/>
      <c r="S164" s="121"/>
      <c r="T164" s="121"/>
      <c r="U164" s="177"/>
      <c r="V164" s="121"/>
      <c r="W164" s="121"/>
      <c r="X164" s="121"/>
      <c r="Y164" s="121"/>
      <c r="Z164" s="177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</row>
    <row r="165" spans="1:36" ht="18" customHeight="1" thickBot="1" x14ac:dyDescent="0.35">
      <c r="A165" s="146" t="s">
        <v>159</v>
      </c>
      <c r="B165" s="166" t="s">
        <v>563</v>
      </c>
      <c r="C165" s="146">
        <v>1258</v>
      </c>
      <c r="D165" s="180">
        <f t="shared" si="11"/>
        <v>0</v>
      </c>
      <c r="E165" s="154" t="s">
        <v>374</v>
      </c>
      <c r="F165" s="203">
        <f t="shared" si="10"/>
        <v>0</v>
      </c>
      <c r="G165" s="188">
        <f t="shared" si="12"/>
        <v>-1258</v>
      </c>
      <c r="H165" s="127">
        <f t="shared" si="13"/>
        <v>0</v>
      </c>
      <c r="I165" s="188">
        <f t="shared" si="14"/>
        <v>0</v>
      </c>
      <c r="J165" s="117"/>
      <c r="K165" s="86"/>
      <c r="L165" s="86"/>
      <c r="M165" s="86"/>
      <c r="N165" s="86"/>
      <c r="O165" s="86"/>
      <c r="P165" s="86"/>
      <c r="Q165" s="162" t="s">
        <v>587</v>
      </c>
      <c r="R165" s="86"/>
      <c r="S165" s="86"/>
      <c r="T165" s="86"/>
      <c r="U165" s="177"/>
      <c r="V165" s="86"/>
      <c r="W165" s="86"/>
      <c r="X165" s="86"/>
      <c r="Y165" s="86"/>
      <c r="Z165" s="177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</row>
    <row r="166" spans="1:36" ht="18" customHeight="1" thickBot="1" x14ac:dyDescent="0.35">
      <c r="A166" s="146" t="s">
        <v>160</v>
      </c>
      <c r="B166" s="166" t="s">
        <v>412</v>
      </c>
      <c r="C166" s="146"/>
      <c r="D166" s="180">
        <f t="shared" si="11"/>
        <v>0</v>
      </c>
      <c r="E166" s="165"/>
      <c r="F166" s="203">
        <f t="shared" si="10"/>
        <v>0</v>
      </c>
      <c r="G166" s="188">
        <f t="shared" si="12"/>
        <v>0</v>
      </c>
      <c r="H166" s="127">
        <f t="shared" si="13"/>
        <v>0</v>
      </c>
      <c r="I166" s="188">
        <f t="shared" si="14"/>
        <v>0</v>
      </c>
      <c r="J166" s="117"/>
      <c r="K166" s="86"/>
      <c r="L166" s="86"/>
      <c r="M166" s="86"/>
      <c r="N166" s="86"/>
      <c r="O166" s="86"/>
      <c r="P166" s="86"/>
      <c r="Q166" s="162" t="s">
        <v>587</v>
      </c>
      <c r="R166" s="86"/>
      <c r="S166" s="86"/>
      <c r="T166" s="86"/>
      <c r="U166" s="177"/>
      <c r="V166" s="86"/>
      <c r="W166" s="86"/>
      <c r="X166" s="86"/>
      <c r="Y166" s="86"/>
      <c r="Z166" s="177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</row>
    <row r="167" spans="1:36" s="147" customFormat="1" ht="18" customHeight="1" thickBot="1" x14ac:dyDescent="0.35">
      <c r="A167" s="146" t="s">
        <v>161</v>
      </c>
      <c r="B167" s="166" t="s">
        <v>566</v>
      </c>
      <c r="C167" s="146">
        <v>55869</v>
      </c>
      <c r="D167" s="180">
        <f t="shared" si="11"/>
        <v>55869</v>
      </c>
      <c r="E167" s="165"/>
      <c r="F167" s="203">
        <f t="shared" si="10"/>
        <v>0</v>
      </c>
      <c r="G167" s="188">
        <f t="shared" si="12"/>
        <v>0</v>
      </c>
      <c r="H167" s="127">
        <f t="shared" si="13"/>
        <v>55869</v>
      </c>
      <c r="I167" s="188">
        <f t="shared" si="14"/>
        <v>0</v>
      </c>
      <c r="J167" s="117"/>
      <c r="K167" s="86"/>
      <c r="L167" s="86"/>
      <c r="M167" s="86">
        <v>4999</v>
      </c>
      <c r="N167" s="86">
        <v>4999</v>
      </c>
      <c r="O167" s="86">
        <v>4999</v>
      </c>
      <c r="P167" s="86">
        <v>4075</v>
      </c>
      <c r="Q167" s="162">
        <v>5017</v>
      </c>
      <c r="R167" s="86">
        <v>5016</v>
      </c>
      <c r="S167" s="86">
        <v>5017</v>
      </c>
      <c r="T167" s="86">
        <v>5017</v>
      </c>
      <c r="U167" s="177">
        <v>5018</v>
      </c>
      <c r="V167" s="86">
        <v>5019</v>
      </c>
      <c r="W167" s="86"/>
      <c r="X167" s="86">
        <v>6693</v>
      </c>
      <c r="Y167" s="86"/>
      <c r="Z167" s="177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</row>
    <row r="168" spans="1:36" ht="18" customHeight="1" thickBot="1" x14ac:dyDescent="0.35">
      <c r="A168" s="146" t="s">
        <v>162</v>
      </c>
      <c r="B168" s="166" t="s">
        <v>568</v>
      </c>
      <c r="C168" s="146"/>
      <c r="D168" s="180">
        <f t="shared" si="11"/>
        <v>0</v>
      </c>
      <c r="E168" s="165"/>
      <c r="F168" s="203">
        <f t="shared" si="10"/>
        <v>0</v>
      </c>
      <c r="G168" s="188">
        <f t="shared" si="12"/>
        <v>0</v>
      </c>
      <c r="H168" s="127">
        <f t="shared" si="13"/>
        <v>0</v>
      </c>
      <c r="I168" s="188">
        <f t="shared" si="14"/>
        <v>0</v>
      </c>
      <c r="J168" s="117"/>
      <c r="K168" s="86"/>
      <c r="L168" s="86"/>
      <c r="M168" s="86"/>
      <c r="N168" s="86"/>
      <c r="O168" s="86"/>
      <c r="P168" s="86"/>
      <c r="Q168" s="162" t="s">
        <v>587</v>
      </c>
      <c r="R168" s="86"/>
      <c r="S168" s="86"/>
      <c r="T168" s="86"/>
      <c r="U168" s="177"/>
      <c r="V168" s="86"/>
      <c r="W168" s="86"/>
      <c r="X168" s="86"/>
      <c r="Y168" s="86"/>
      <c r="Z168" s="177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</row>
    <row r="169" spans="1:36" ht="18" customHeight="1" thickBot="1" x14ac:dyDescent="0.35">
      <c r="A169" s="146" t="s">
        <v>163</v>
      </c>
      <c r="B169" s="166" t="s">
        <v>570</v>
      </c>
      <c r="C169" s="146">
        <v>4152</v>
      </c>
      <c r="D169" s="180">
        <f t="shared" si="11"/>
        <v>0</v>
      </c>
      <c r="E169" s="165" t="s">
        <v>60</v>
      </c>
      <c r="F169" s="203">
        <f t="shared" si="10"/>
        <v>0</v>
      </c>
      <c r="G169" s="188">
        <f t="shared" si="12"/>
        <v>-4152</v>
      </c>
      <c r="H169" s="127">
        <f t="shared" si="13"/>
        <v>0</v>
      </c>
      <c r="I169" s="188">
        <f t="shared" si="14"/>
        <v>0</v>
      </c>
      <c r="J169" s="117"/>
      <c r="K169" s="86"/>
      <c r="L169" s="86"/>
      <c r="M169" s="86"/>
      <c r="N169" s="86"/>
      <c r="O169" s="86"/>
      <c r="P169" s="86"/>
      <c r="Q169" s="162" t="s">
        <v>587</v>
      </c>
      <c r="R169" s="86"/>
      <c r="S169" s="86"/>
      <c r="T169" s="86"/>
      <c r="U169" s="177"/>
      <c r="V169" s="86"/>
      <c r="W169" s="86"/>
      <c r="X169" s="86"/>
      <c r="Y169" s="86"/>
      <c r="Z169" s="177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</row>
    <row r="170" spans="1:36" ht="18" customHeight="1" thickBot="1" x14ac:dyDescent="0.35">
      <c r="A170" s="146" t="s">
        <v>164</v>
      </c>
      <c r="B170" s="166" t="s">
        <v>341</v>
      </c>
      <c r="C170" s="146"/>
      <c r="D170" s="180">
        <f t="shared" si="11"/>
        <v>0</v>
      </c>
      <c r="E170" s="165"/>
      <c r="F170" s="203">
        <f t="shared" si="10"/>
        <v>0</v>
      </c>
      <c r="G170" s="188">
        <f t="shared" si="12"/>
        <v>0</v>
      </c>
      <c r="H170" s="127">
        <f t="shared" si="13"/>
        <v>0</v>
      </c>
      <c r="I170" s="188">
        <f t="shared" si="14"/>
        <v>0</v>
      </c>
      <c r="J170" s="117"/>
      <c r="K170" s="86"/>
      <c r="L170" s="86"/>
      <c r="M170" s="86"/>
      <c r="N170" s="86"/>
      <c r="O170" s="86"/>
      <c r="P170" s="86"/>
      <c r="Q170" s="162" t="s">
        <v>587</v>
      </c>
      <c r="R170" s="86"/>
      <c r="S170" s="86"/>
      <c r="T170" s="86"/>
      <c r="U170" s="177"/>
      <c r="V170" s="86"/>
      <c r="W170" s="86"/>
      <c r="X170" s="86"/>
      <c r="Y170" s="86"/>
      <c r="Z170" s="177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</row>
    <row r="171" spans="1:36" ht="18" customHeight="1" thickBot="1" x14ac:dyDescent="0.35">
      <c r="A171" s="146" t="s">
        <v>165</v>
      </c>
      <c r="B171" s="166" t="s">
        <v>342</v>
      </c>
      <c r="C171" s="146">
        <v>1636</v>
      </c>
      <c r="D171" s="180">
        <f t="shared" si="11"/>
        <v>0</v>
      </c>
      <c r="E171" s="165" t="s">
        <v>372</v>
      </c>
      <c r="F171" s="203">
        <f t="shared" si="10"/>
        <v>0</v>
      </c>
      <c r="G171" s="188">
        <f t="shared" si="12"/>
        <v>-1636</v>
      </c>
      <c r="H171" s="127">
        <f t="shared" si="13"/>
        <v>0</v>
      </c>
      <c r="I171" s="188">
        <f t="shared" si="14"/>
        <v>0</v>
      </c>
      <c r="J171" s="117"/>
      <c r="K171" s="86"/>
      <c r="L171" s="86"/>
      <c r="M171" s="86"/>
      <c r="N171" s="86"/>
      <c r="O171" s="86"/>
      <c r="P171" s="86"/>
      <c r="Q171" s="162" t="s">
        <v>587</v>
      </c>
      <c r="R171" s="86"/>
      <c r="S171" s="86"/>
      <c r="T171" s="86"/>
      <c r="U171" s="177"/>
      <c r="V171" s="86"/>
      <c r="W171" s="86"/>
      <c r="X171" s="86"/>
      <c r="Y171" s="86"/>
      <c r="Z171" s="177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</row>
    <row r="172" spans="1:36" ht="18" customHeight="1" thickBot="1" x14ac:dyDescent="0.35">
      <c r="A172" s="146" t="s">
        <v>166</v>
      </c>
      <c r="B172" s="166" t="s">
        <v>343</v>
      </c>
      <c r="C172" s="146"/>
      <c r="D172" s="180">
        <f t="shared" si="11"/>
        <v>0</v>
      </c>
      <c r="E172" s="165"/>
      <c r="F172" s="203">
        <f t="shared" si="10"/>
        <v>0</v>
      </c>
      <c r="G172" s="188">
        <f t="shared" si="12"/>
        <v>0</v>
      </c>
      <c r="H172" s="127">
        <f t="shared" si="13"/>
        <v>0</v>
      </c>
      <c r="I172" s="188">
        <f t="shared" si="14"/>
        <v>0</v>
      </c>
      <c r="J172" s="117"/>
      <c r="K172" s="86"/>
      <c r="L172" s="86"/>
      <c r="M172" s="86"/>
      <c r="N172" s="86"/>
      <c r="O172" s="86"/>
      <c r="P172" s="86"/>
      <c r="Q172" s="162" t="s">
        <v>587</v>
      </c>
      <c r="R172" s="86"/>
      <c r="S172" s="86"/>
      <c r="T172" s="86"/>
      <c r="U172" s="177"/>
      <c r="V172" s="86"/>
      <c r="W172" s="86"/>
      <c r="X172" s="86"/>
      <c r="Y172" s="86"/>
      <c r="Z172" s="177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</row>
    <row r="173" spans="1:36" ht="18" customHeight="1" thickBot="1" x14ac:dyDescent="0.35">
      <c r="A173" s="146" t="s">
        <v>167</v>
      </c>
      <c r="B173" s="166" t="s">
        <v>344</v>
      </c>
      <c r="C173" s="146"/>
      <c r="D173" s="180">
        <f t="shared" si="11"/>
        <v>0</v>
      </c>
      <c r="E173" s="165"/>
      <c r="F173" s="203">
        <f t="shared" si="10"/>
        <v>0</v>
      </c>
      <c r="G173" s="188">
        <f t="shared" si="12"/>
        <v>0</v>
      </c>
      <c r="H173" s="127">
        <f t="shared" si="13"/>
        <v>0</v>
      </c>
      <c r="I173" s="188">
        <f t="shared" si="14"/>
        <v>0</v>
      </c>
      <c r="J173" s="117"/>
      <c r="K173" s="86"/>
      <c r="L173" s="86"/>
      <c r="M173" s="86"/>
      <c r="N173" s="86"/>
      <c r="O173" s="86"/>
      <c r="P173" s="86"/>
      <c r="Q173" s="162" t="s">
        <v>587</v>
      </c>
      <c r="R173" s="86"/>
      <c r="S173" s="86"/>
      <c r="T173" s="86"/>
      <c r="U173" s="177"/>
      <c r="V173" s="86"/>
      <c r="W173" s="86"/>
      <c r="X173" s="86"/>
      <c r="Y173" s="86"/>
      <c r="Z173" s="177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</row>
    <row r="174" spans="1:36" ht="18" customHeight="1" thickBot="1" x14ac:dyDescent="0.35">
      <c r="A174" s="146" t="s">
        <v>168</v>
      </c>
      <c r="B174" s="166" t="s">
        <v>345</v>
      </c>
      <c r="C174" s="146">
        <v>63</v>
      </c>
      <c r="D174" s="180">
        <f t="shared" si="11"/>
        <v>0</v>
      </c>
      <c r="E174" s="165" t="s">
        <v>372</v>
      </c>
      <c r="F174" s="203">
        <f t="shared" si="10"/>
        <v>0</v>
      </c>
      <c r="G174" s="188">
        <f t="shared" si="12"/>
        <v>-63</v>
      </c>
      <c r="H174" s="127">
        <f t="shared" si="13"/>
        <v>0</v>
      </c>
      <c r="I174" s="188">
        <f t="shared" si="14"/>
        <v>0</v>
      </c>
      <c r="J174" s="117"/>
      <c r="K174" s="86"/>
      <c r="L174" s="86"/>
      <c r="M174" s="86"/>
      <c r="N174" s="86"/>
      <c r="O174" s="86"/>
      <c r="P174" s="86"/>
      <c r="Q174" s="162" t="s">
        <v>587</v>
      </c>
      <c r="R174" s="86"/>
      <c r="S174" s="86"/>
      <c r="T174" s="86"/>
      <c r="U174" s="177"/>
      <c r="V174" s="86"/>
      <c r="W174" s="86"/>
      <c r="X174" s="86"/>
      <c r="Y174" s="86"/>
      <c r="Z174" s="177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</row>
    <row r="175" spans="1:36" ht="18" customHeight="1" thickBot="1" x14ac:dyDescent="0.35">
      <c r="A175" s="146" t="s">
        <v>169</v>
      </c>
      <c r="B175" s="166" t="s">
        <v>572</v>
      </c>
      <c r="C175" s="146">
        <v>24160</v>
      </c>
      <c r="D175" s="180">
        <f t="shared" si="11"/>
        <v>0</v>
      </c>
      <c r="E175" s="165" t="s">
        <v>373</v>
      </c>
      <c r="F175" s="203">
        <f t="shared" si="10"/>
        <v>0</v>
      </c>
      <c r="G175" s="188">
        <f t="shared" si="12"/>
        <v>-24160</v>
      </c>
      <c r="H175" s="127">
        <f t="shared" si="13"/>
        <v>0</v>
      </c>
      <c r="I175" s="188">
        <f t="shared" si="14"/>
        <v>0</v>
      </c>
      <c r="J175" s="117"/>
      <c r="K175" s="86"/>
      <c r="L175" s="86"/>
      <c r="M175" s="86"/>
      <c r="N175" s="86"/>
      <c r="O175" s="86"/>
      <c r="P175" s="86"/>
      <c r="Q175" s="162" t="s">
        <v>587</v>
      </c>
      <c r="R175" s="86"/>
      <c r="S175" s="86"/>
      <c r="T175" s="86"/>
      <c r="U175" s="177"/>
      <c r="V175" s="86"/>
      <c r="W175" s="86"/>
      <c r="X175" s="86"/>
      <c r="Y175" s="86"/>
      <c r="Z175" s="177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</row>
    <row r="176" spans="1:36" ht="18" customHeight="1" thickBot="1" x14ac:dyDescent="0.35">
      <c r="A176" s="146" t="s">
        <v>170</v>
      </c>
      <c r="B176" s="166" t="s">
        <v>574</v>
      </c>
      <c r="C176" s="146">
        <v>7613</v>
      </c>
      <c r="D176" s="180">
        <f t="shared" si="11"/>
        <v>0</v>
      </c>
      <c r="E176" s="165" t="s">
        <v>373</v>
      </c>
      <c r="F176" s="203">
        <f t="shared" si="10"/>
        <v>0</v>
      </c>
      <c r="G176" s="188">
        <f t="shared" si="12"/>
        <v>-7613</v>
      </c>
      <c r="H176" s="127">
        <f t="shared" si="13"/>
        <v>0</v>
      </c>
      <c r="I176" s="188">
        <f t="shared" si="14"/>
        <v>0</v>
      </c>
      <c r="J176" s="117"/>
      <c r="K176" s="86"/>
      <c r="L176" s="86"/>
      <c r="M176" s="86"/>
      <c r="N176" s="86"/>
      <c r="O176" s="86"/>
      <c r="P176" s="86"/>
      <c r="Q176" s="162" t="s">
        <v>587</v>
      </c>
      <c r="R176" s="86"/>
      <c r="S176" s="86"/>
      <c r="T176" s="86"/>
      <c r="U176" s="177"/>
      <c r="V176" s="86"/>
      <c r="W176" s="86"/>
      <c r="X176" s="86"/>
      <c r="Y176" s="86"/>
      <c r="Z176" s="177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</row>
    <row r="177" spans="1:36" ht="18" customHeight="1" thickBot="1" x14ac:dyDescent="0.35">
      <c r="A177" s="146" t="s">
        <v>171</v>
      </c>
      <c r="B177" s="166" t="s">
        <v>413</v>
      </c>
      <c r="C177" s="146">
        <v>24978</v>
      </c>
      <c r="D177" s="180">
        <f t="shared" si="11"/>
        <v>24978</v>
      </c>
      <c r="E177" s="165"/>
      <c r="F177" s="203">
        <f t="shared" si="10"/>
        <v>0</v>
      </c>
      <c r="G177" s="188">
        <f t="shared" si="12"/>
        <v>0</v>
      </c>
      <c r="H177" s="127">
        <f t="shared" si="13"/>
        <v>24978</v>
      </c>
      <c r="I177" s="188">
        <f t="shared" si="14"/>
        <v>0</v>
      </c>
      <c r="J177" s="117"/>
      <c r="K177" s="86"/>
      <c r="L177" s="86"/>
      <c r="M177" s="86"/>
      <c r="N177" s="86"/>
      <c r="O177" s="86"/>
      <c r="P177" s="86"/>
      <c r="Q177" s="162" t="s">
        <v>587</v>
      </c>
      <c r="R177" s="86"/>
      <c r="S177" s="86"/>
      <c r="T177" s="86"/>
      <c r="U177" s="177">
        <v>24978</v>
      </c>
      <c r="V177" s="86"/>
      <c r="W177" s="86"/>
      <c r="X177" s="86"/>
      <c r="Y177" s="86"/>
      <c r="Z177" s="177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</row>
    <row r="178" spans="1:36" ht="18" customHeight="1" thickBot="1" x14ac:dyDescent="0.35">
      <c r="A178" s="146" t="s">
        <v>172</v>
      </c>
      <c r="B178" s="166" t="s">
        <v>575</v>
      </c>
      <c r="C178" s="146">
        <v>4341</v>
      </c>
      <c r="D178" s="180">
        <f t="shared" si="11"/>
        <v>0</v>
      </c>
      <c r="E178" s="165" t="s">
        <v>373</v>
      </c>
      <c r="F178" s="203">
        <f t="shared" si="10"/>
        <v>0</v>
      </c>
      <c r="G178" s="188">
        <f t="shared" si="12"/>
        <v>-4341</v>
      </c>
      <c r="H178" s="127">
        <f t="shared" si="13"/>
        <v>0</v>
      </c>
      <c r="I178" s="188">
        <f t="shared" si="14"/>
        <v>0</v>
      </c>
      <c r="J178" s="117"/>
      <c r="K178" s="86"/>
      <c r="L178" s="86"/>
      <c r="M178" s="86"/>
      <c r="N178" s="86"/>
      <c r="O178" s="86"/>
      <c r="P178" s="86"/>
      <c r="Q178" s="162" t="s">
        <v>587</v>
      </c>
      <c r="R178" s="86"/>
      <c r="S178" s="86"/>
      <c r="T178" s="86"/>
      <c r="U178" s="177"/>
      <c r="V178" s="86"/>
      <c r="W178" s="86"/>
      <c r="X178" s="86"/>
      <c r="Y178" s="86"/>
      <c r="Z178" s="177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</row>
    <row r="179" spans="1:36" ht="18" customHeight="1" thickBot="1" x14ac:dyDescent="0.35">
      <c r="A179" s="146" t="s">
        <v>173</v>
      </c>
      <c r="B179" s="166" t="s">
        <v>576</v>
      </c>
      <c r="C179" s="146">
        <v>15666</v>
      </c>
      <c r="D179" s="180">
        <f t="shared" si="11"/>
        <v>15666</v>
      </c>
      <c r="E179" s="165"/>
      <c r="F179" s="203">
        <f t="shared" si="10"/>
        <v>0</v>
      </c>
      <c r="G179" s="188">
        <f t="shared" si="12"/>
        <v>0</v>
      </c>
      <c r="H179" s="127">
        <f t="shared" si="13"/>
        <v>15666</v>
      </c>
      <c r="I179" s="188">
        <f t="shared" si="14"/>
        <v>0</v>
      </c>
      <c r="J179" s="117"/>
      <c r="K179" s="86"/>
      <c r="L179" s="86"/>
      <c r="M179" s="86"/>
      <c r="N179" s="86"/>
      <c r="O179" s="86"/>
      <c r="P179" s="86"/>
      <c r="Q179" s="162" t="s">
        <v>587</v>
      </c>
      <c r="R179" s="86"/>
      <c r="S179" s="86">
        <v>10223</v>
      </c>
      <c r="T179" s="86"/>
      <c r="U179" s="177">
        <v>2721</v>
      </c>
      <c r="V179" s="86"/>
      <c r="W179" s="86">
        <v>2722</v>
      </c>
      <c r="X179" s="86"/>
      <c r="Y179" s="86"/>
      <c r="Z179" s="177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</row>
    <row r="180" spans="1:36" ht="18" customHeight="1" thickBot="1" x14ac:dyDescent="0.35">
      <c r="A180" s="146" t="s">
        <v>174</v>
      </c>
      <c r="B180" s="166" t="s">
        <v>350</v>
      </c>
      <c r="C180" s="146">
        <v>328673</v>
      </c>
      <c r="D180" s="180">
        <f t="shared" si="11"/>
        <v>328673</v>
      </c>
      <c r="E180" s="165"/>
      <c r="F180" s="203">
        <f t="shared" si="10"/>
        <v>0</v>
      </c>
      <c r="G180" s="188">
        <f t="shared" si="12"/>
        <v>0</v>
      </c>
      <c r="H180" s="127">
        <f>SUM(J180:AJ180)</f>
        <v>328673</v>
      </c>
      <c r="I180" s="188">
        <f t="shared" si="14"/>
        <v>0</v>
      </c>
      <c r="J180" s="117"/>
      <c r="K180" s="86"/>
      <c r="L180" s="86"/>
      <c r="M180" s="86"/>
      <c r="N180" s="86"/>
      <c r="O180" s="86"/>
      <c r="P180" s="86"/>
      <c r="Q180" s="162">
        <v>48590</v>
      </c>
      <c r="R180" s="86">
        <v>24242</v>
      </c>
      <c r="S180" s="86">
        <v>22413</v>
      </c>
      <c r="T180" s="86">
        <v>22801</v>
      </c>
      <c r="U180" s="177">
        <v>2037</v>
      </c>
      <c r="V180" s="86">
        <v>46424</v>
      </c>
      <c r="W180" s="86"/>
      <c r="X180" s="86"/>
      <c r="Y180" s="86">
        <v>100332</v>
      </c>
      <c r="Z180" s="177">
        <v>52976</v>
      </c>
      <c r="AA180" s="86">
        <v>8858</v>
      </c>
      <c r="AB180" s="86"/>
      <c r="AC180" s="86"/>
      <c r="AD180" s="86"/>
      <c r="AE180" s="86"/>
      <c r="AF180" s="86"/>
      <c r="AG180" s="86"/>
      <c r="AH180" s="86"/>
      <c r="AI180" s="86"/>
      <c r="AJ180" s="86"/>
    </row>
    <row r="181" spans="1:36" ht="18" customHeight="1" thickBot="1" x14ac:dyDescent="0.35">
      <c r="A181" s="146" t="s">
        <v>175</v>
      </c>
      <c r="B181" s="166" t="s">
        <v>577</v>
      </c>
      <c r="C181" s="146">
        <v>6669</v>
      </c>
      <c r="D181" s="180">
        <f t="shared" si="11"/>
        <v>0</v>
      </c>
      <c r="E181" s="165" t="s">
        <v>373</v>
      </c>
      <c r="F181" s="203">
        <f t="shared" si="10"/>
        <v>0</v>
      </c>
      <c r="G181" s="188">
        <f t="shared" si="12"/>
        <v>-6669</v>
      </c>
      <c r="H181" s="127">
        <f t="shared" si="13"/>
        <v>0</v>
      </c>
      <c r="I181" s="188">
        <f t="shared" si="14"/>
        <v>0</v>
      </c>
      <c r="J181" s="117"/>
      <c r="K181" s="86"/>
      <c r="L181" s="86"/>
      <c r="M181" s="86"/>
      <c r="N181" s="86"/>
      <c r="O181" s="86"/>
      <c r="P181" s="86"/>
      <c r="Q181" s="162" t="s">
        <v>587</v>
      </c>
      <c r="R181" s="86"/>
      <c r="S181" s="86"/>
      <c r="T181" s="86"/>
      <c r="U181" s="177"/>
      <c r="V181" s="86"/>
      <c r="W181" s="86"/>
      <c r="X181" s="86"/>
      <c r="Y181" s="86"/>
      <c r="Z181" s="177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</row>
    <row r="182" spans="1:36" ht="18" customHeight="1" thickBot="1" x14ac:dyDescent="0.35">
      <c r="A182" s="146" t="s">
        <v>176</v>
      </c>
      <c r="B182" s="166" t="s">
        <v>578</v>
      </c>
      <c r="C182" s="146">
        <v>45299</v>
      </c>
      <c r="D182" s="180">
        <f t="shared" si="11"/>
        <v>45299</v>
      </c>
      <c r="E182" s="165"/>
      <c r="F182" s="203">
        <f t="shared" si="10"/>
        <v>0</v>
      </c>
      <c r="G182" s="188">
        <f t="shared" si="12"/>
        <v>0</v>
      </c>
      <c r="H182" s="127">
        <f t="shared" si="13"/>
        <v>45299</v>
      </c>
      <c r="I182" s="188">
        <f t="shared" si="14"/>
        <v>0</v>
      </c>
      <c r="J182" s="117"/>
      <c r="K182" s="86"/>
      <c r="L182" s="86"/>
      <c r="M182" s="86"/>
      <c r="N182" s="86"/>
      <c r="O182" s="86">
        <v>3583</v>
      </c>
      <c r="P182" s="86"/>
      <c r="Q182" s="162">
        <v>7952</v>
      </c>
      <c r="R182" s="86">
        <v>3982</v>
      </c>
      <c r="S182" s="86">
        <v>3983</v>
      </c>
      <c r="T182" s="86"/>
      <c r="U182" s="177">
        <v>7966</v>
      </c>
      <c r="V182" s="86"/>
      <c r="W182" s="86"/>
      <c r="X182" s="86">
        <v>17291</v>
      </c>
      <c r="Y182" s="86">
        <v>542</v>
      </c>
      <c r="Z182" s="177"/>
      <c r="AA182" s="86"/>
      <c r="AB182" s="86">
        <v>-5084</v>
      </c>
      <c r="AC182" s="86">
        <v>4077</v>
      </c>
      <c r="AD182" s="86">
        <v>1007</v>
      </c>
      <c r="AE182" s="86"/>
      <c r="AF182" s="86"/>
      <c r="AG182" s="86"/>
      <c r="AH182" s="86"/>
      <c r="AI182" s="86"/>
      <c r="AJ182" s="86"/>
    </row>
    <row r="183" spans="1:36" ht="18" customHeight="1" thickBot="1" x14ac:dyDescent="0.35">
      <c r="A183" s="146" t="s">
        <v>177</v>
      </c>
      <c r="B183" s="166" t="s">
        <v>579</v>
      </c>
      <c r="C183" s="146">
        <v>6732</v>
      </c>
      <c r="D183" s="180">
        <f t="shared" si="11"/>
        <v>0</v>
      </c>
      <c r="E183" s="165" t="s">
        <v>373</v>
      </c>
      <c r="F183" s="203">
        <f t="shared" si="10"/>
        <v>0</v>
      </c>
      <c r="G183" s="188">
        <f t="shared" si="12"/>
        <v>-6732</v>
      </c>
      <c r="H183" s="127">
        <f t="shared" si="13"/>
        <v>0</v>
      </c>
      <c r="I183" s="188">
        <f t="shared" si="14"/>
        <v>0</v>
      </c>
      <c r="J183" s="117"/>
      <c r="K183" s="86"/>
      <c r="L183" s="86"/>
      <c r="M183" s="86"/>
      <c r="N183" s="86"/>
      <c r="O183" s="86"/>
      <c r="P183" s="86"/>
      <c r="Q183" s="162" t="s">
        <v>587</v>
      </c>
      <c r="R183" s="86"/>
      <c r="S183" s="86"/>
      <c r="T183" s="86"/>
      <c r="U183" s="177"/>
      <c r="V183" s="86"/>
      <c r="W183" s="86"/>
      <c r="X183" s="86"/>
      <c r="Y183" s="86"/>
      <c r="Z183" s="177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</row>
    <row r="184" spans="1:36" ht="18" customHeight="1" thickBot="1" x14ac:dyDescent="0.35">
      <c r="A184" s="146" t="s">
        <v>178</v>
      </c>
      <c r="B184" s="166" t="s">
        <v>580</v>
      </c>
      <c r="C184" s="146">
        <v>189</v>
      </c>
      <c r="D184" s="180">
        <f t="shared" si="11"/>
        <v>0</v>
      </c>
      <c r="E184" s="165" t="s">
        <v>373</v>
      </c>
      <c r="F184" s="203">
        <f t="shared" si="10"/>
        <v>0</v>
      </c>
      <c r="G184" s="188">
        <f t="shared" si="12"/>
        <v>-189</v>
      </c>
      <c r="H184" s="127">
        <f t="shared" si="13"/>
        <v>0</v>
      </c>
      <c r="I184" s="188">
        <f t="shared" si="14"/>
        <v>0</v>
      </c>
      <c r="J184" s="117"/>
      <c r="K184" s="86"/>
      <c r="L184" s="86"/>
      <c r="M184" s="86"/>
      <c r="N184" s="86"/>
      <c r="O184" s="86"/>
      <c r="P184" s="86"/>
      <c r="Q184" s="162" t="s">
        <v>587</v>
      </c>
      <c r="R184" s="86"/>
      <c r="S184" s="86"/>
      <c r="T184" s="86"/>
      <c r="U184" s="177"/>
      <c r="V184" s="86"/>
      <c r="W184" s="86"/>
      <c r="X184" s="86"/>
      <c r="Y184" s="86"/>
      <c r="Z184" s="177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</row>
    <row r="185" spans="1:36" ht="18" customHeight="1" thickBot="1" x14ac:dyDescent="0.35">
      <c r="A185" s="146" t="s">
        <v>179</v>
      </c>
      <c r="B185" s="166" t="s">
        <v>581</v>
      </c>
      <c r="C185" s="146"/>
      <c r="D185" s="180">
        <f t="shared" si="11"/>
        <v>0</v>
      </c>
      <c r="E185" s="165"/>
      <c r="F185" s="203">
        <f t="shared" si="10"/>
        <v>0</v>
      </c>
      <c r="G185" s="188">
        <f t="shared" si="12"/>
        <v>0</v>
      </c>
      <c r="H185" s="127">
        <f t="shared" si="13"/>
        <v>0</v>
      </c>
      <c r="I185" s="188">
        <f t="shared" si="14"/>
        <v>0</v>
      </c>
      <c r="J185" s="117"/>
      <c r="K185" s="86"/>
      <c r="L185" s="86"/>
      <c r="M185" s="86"/>
      <c r="N185" s="86"/>
      <c r="O185" s="86"/>
      <c r="P185" s="86"/>
      <c r="Q185" s="162" t="s">
        <v>587</v>
      </c>
      <c r="R185" s="86"/>
      <c r="S185" s="86"/>
      <c r="T185" s="86"/>
      <c r="U185" s="177"/>
      <c r="V185" s="86"/>
      <c r="W185" s="86"/>
      <c r="X185" s="86"/>
      <c r="Y185" s="86"/>
      <c r="Z185" s="177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</row>
    <row r="186" spans="1:36" ht="18" customHeight="1" thickBot="1" x14ac:dyDescent="0.35">
      <c r="A186" s="146" t="s">
        <v>180</v>
      </c>
      <c r="B186" s="166" t="s">
        <v>582</v>
      </c>
      <c r="C186" s="146"/>
      <c r="D186" s="180">
        <f t="shared" si="11"/>
        <v>0</v>
      </c>
      <c r="E186" s="165"/>
      <c r="F186" s="203">
        <f t="shared" si="10"/>
        <v>0</v>
      </c>
      <c r="G186" s="188">
        <f t="shared" si="12"/>
        <v>0</v>
      </c>
      <c r="H186" s="127">
        <f t="shared" si="13"/>
        <v>0</v>
      </c>
      <c r="I186" s="188">
        <f t="shared" si="14"/>
        <v>0</v>
      </c>
      <c r="J186" s="117"/>
      <c r="K186" s="86"/>
      <c r="L186" s="86"/>
      <c r="M186" s="86"/>
      <c r="N186" s="86"/>
      <c r="O186" s="86"/>
      <c r="P186" s="86"/>
      <c r="Q186" s="162" t="s">
        <v>587</v>
      </c>
      <c r="R186" s="86"/>
      <c r="S186" s="86"/>
      <c r="T186" s="86"/>
      <c r="U186" s="177"/>
      <c r="V186" s="86"/>
      <c r="W186" s="86"/>
      <c r="X186" s="86"/>
      <c r="Y186" s="86"/>
      <c r="Z186" s="177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</row>
    <row r="187" spans="1:36" ht="18" customHeight="1" thickBot="1" x14ac:dyDescent="0.35">
      <c r="A187" s="146" t="s">
        <v>181</v>
      </c>
      <c r="B187" s="166" t="s">
        <v>357</v>
      </c>
      <c r="C187" s="146">
        <v>18497</v>
      </c>
      <c r="D187" s="180">
        <f t="shared" si="11"/>
        <v>18497</v>
      </c>
      <c r="E187" s="165"/>
      <c r="F187" s="203">
        <f t="shared" si="10"/>
        <v>0</v>
      </c>
      <c r="G187" s="188">
        <f t="shared" si="12"/>
        <v>0</v>
      </c>
      <c r="H187" s="127">
        <f t="shared" si="13"/>
        <v>18497</v>
      </c>
      <c r="I187" s="188">
        <f t="shared" si="14"/>
        <v>0</v>
      </c>
      <c r="J187" s="117"/>
      <c r="K187" s="86"/>
      <c r="L187" s="86"/>
      <c r="M187" s="86"/>
      <c r="N187" s="86"/>
      <c r="O187" s="86"/>
      <c r="P187" s="86"/>
      <c r="Q187" s="162" t="s">
        <v>587</v>
      </c>
      <c r="R187" s="86"/>
      <c r="S187" s="86"/>
      <c r="T187" s="86"/>
      <c r="U187" s="177"/>
      <c r="V187" s="86">
        <v>2464</v>
      </c>
      <c r="W187" s="86"/>
      <c r="X187" s="86"/>
      <c r="Y187" s="86"/>
      <c r="Z187" s="177"/>
      <c r="AA187" s="86"/>
      <c r="AB187" s="86"/>
      <c r="AC187" s="86"/>
      <c r="AD187" s="86">
        <v>14152</v>
      </c>
      <c r="AE187" s="86"/>
      <c r="AF187" s="86"/>
      <c r="AG187" s="86">
        <v>1881</v>
      </c>
      <c r="AH187" s="86"/>
      <c r="AI187" s="86"/>
      <c r="AJ187" s="86"/>
    </row>
    <row r="188" spans="1:36" ht="18" customHeight="1" thickBot="1" x14ac:dyDescent="0.35">
      <c r="A188" s="146" t="s">
        <v>182</v>
      </c>
      <c r="B188" s="166" t="s">
        <v>584</v>
      </c>
      <c r="C188" s="146">
        <v>7550</v>
      </c>
      <c r="D188" s="180">
        <f t="shared" si="11"/>
        <v>0</v>
      </c>
      <c r="E188" s="165" t="s">
        <v>374</v>
      </c>
      <c r="F188" s="203">
        <f t="shared" si="10"/>
        <v>0</v>
      </c>
      <c r="G188" s="188">
        <f t="shared" si="12"/>
        <v>-7550</v>
      </c>
      <c r="H188" s="127">
        <f t="shared" si="13"/>
        <v>0</v>
      </c>
      <c r="I188" s="188">
        <f t="shared" si="14"/>
        <v>0</v>
      </c>
      <c r="J188" s="117"/>
      <c r="K188" s="86"/>
      <c r="L188" s="86"/>
      <c r="M188" s="86"/>
      <c r="N188" s="86"/>
      <c r="O188" s="86"/>
      <c r="P188" s="86"/>
      <c r="Q188" s="162" t="s">
        <v>587</v>
      </c>
      <c r="R188" s="86"/>
      <c r="S188" s="86"/>
      <c r="T188" s="86"/>
      <c r="U188" s="177"/>
      <c r="V188" s="86"/>
      <c r="W188" s="86"/>
      <c r="X188" s="86"/>
      <c r="Y188" s="86"/>
      <c r="Z188" s="177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</row>
    <row r="189" spans="1:36" ht="18" customHeight="1" thickBot="1" x14ac:dyDescent="0.35">
      <c r="A189" s="146" t="s">
        <v>183</v>
      </c>
      <c r="B189" s="166" t="s">
        <v>585</v>
      </c>
      <c r="C189" s="146">
        <v>3020</v>
      </c>
      <c r="D189" s="180">
        <f t="shared" si="11"/>
        <v>0</v>
      </c>
      <c r="E189" s="165" t="s">
        <v>372</v>
      </c>
      <c r="F189" s="203">
        <f t="shared" si="10"/>
        <v>0</v>
      </c>
      <c r="G189" s="188">
        <f t="shared" si="12"/>
        <v>-3020</v>
      </c>
      <c r="H189" s="127">
        <f t="shared" si="13"/>
        <v>0</v>
      </c>
      <c r="I189" s="188">
        <f t="shared" si="14"/>
        <v>0</v>
      </c>
      <c r="J189" s="117"/>
      <c r="K189" s="86"/>
      <c r="L189" s="86"/>
      <c r="M189" s="86"/>
      <c r="N189" s="86"/>
      <c r="O189" s="86"/>
      <c r="P189" s="86"/>
      <c r="Q189" s="162" t="s">
        <v>587</v>
      </c>
      <c r="R189" s="86"/>
      <c r="S189" s="86"/>
      <c r="T189" s="86"/>
      <c r="U189" s="177"/>
      <c r="V189" s="86"/>
      <c r="W189" s="86"/>
      <c r="X189" s="86"/>
      <c r="Y189" s="86"/>
      <c r="Z189" s="177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</row>
    <row r="190" spans="1:36" ht="18" customHeight="1" thickBot="1" x14ac:dyDescent="0.35">
      <c r="A190" s="146" t="s">
        <v>184</v>
      </c>
      <c r="B190" s="166" t="s">
        <v>360</v>
      </c>
      <c r="C190" s="146"/>
      <c r="D190" s="180">
        <f t="shared" si="11"/>
        <v>0</v>
      </c>
      <c r="E190" s="165"/>
      <c r="F190" s="203">
        <f t="shared" si="10"/>
        <v>0</v>
      </c>
      <c r="G190" s="188">
        <f t="shared" si="12"/>
        <v>0</v>
      </c>
      <c r="H190" s="127">
        <f t="shared" si="13"/>
        <v>0</v>
      </c>
      <c r="I190" s="188">
        <f t="shared" si="14"/>
        <v>0</v>
      </c>
      <c r="J190" s="117"/>
      <c r="K190" s="86"/>
      <c r="L190" s="86"/>
      <c r="M190" s="86"/>
      <c r="N190" s="86"/>
      <c r="O190" s="86"/>
      <c r="P190" s="86"/>
      <c r="Q190" s="162" t="s">
        <v>587</v>
      </c>
      <c r="R190" s="86"/>
      <c r="S190" s="86"/>
      <c r="T190" s="86"/>
      <c r="U190" s="177"/>
      <c r="V190" s="86"/>
      <c r="W190" s="86"/>
      <c r="X190" s="86"/>
      <c r="Y190" s="86"/>
      <c r="Z190" s="177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</row>
    <row r="191" spans="1:36" ht="18" customHeight="1" thickBot="1" x14ac:dyDescent="0.35">
      <c r="A191" s="146" t="s">
        <v>417</v>
      </c>
      <c r="B191" s="166" t="s">
        <v>586</v>
      </c>
      <c r="C191" s="146">
        <v>211775</v>
      </c>
      <c r="D191" s="180">
        <f t="shared" si="11"/>
        <v>211775</v>
      </c>
      <c r="E191" s="165"/>
      <c r="F191" s="203">
        <f t="shared" si="10"/>
        <v>0</v>
      </c>
      <c r="G191" s="188">
        <f t="shared" si="12"/>
        <v>0</v>
      </c>
      <c r="H191" s="127">
        <f>SUM(J191:AJ191)</f>
        <v>211775</v>
      </c>
      <c r="I191" s="188">
        <f t="shared" si="14"/>
        <v>0</v>
      </c>
      <c r="J191" s="117"/>
      <c r="K191" s="86"/>
      <c r="L191" s="86"/>
      <c r="M191" s="86"/>
      <c r="N191" s="86"/>
      <c r="O191" s="86"/>
      <c r="P191" s="86"/>
      <c r="Q191" s="162" t="s">
        <v>587</v>
      </c>
      <c r="R191" s="86">
        <f>17205-16849</f>
        <v>356</v>
      </c>
      <c r="S191" s="86">
        <f>15892+22557</f>
        <v>38449</v>
      </c>
      <c r="T191" s="86">
        <v>17408</v>
      </c>
      <c r="U191" s="177">
        <v>30571</v>
      </c>
      <c r="V191" s="86">
        <f>12694+28505+4893</f>
        <v>46092</v>
      </c>
      <c r="W191" s="86"/>
      <c r="X191" s="86"/>
      <c r="Y191" s="86"/>
      <c r="Z191" s="177">
        <v>23192</v>
      </c>
      <c r="AA191" s="86">
        <v>13360</v>
      </c>
      <c r="AB191" s="86">
        <v>23952</v>
      </c>
      <c r="AC191" s="86">
        <v>826</v>
      </c>
      <c r="AD191" s="86">
        <v>14340</v>
      </c>
      <c r="AE191" s="86">
        <v>3229</v>
      </c>
      <c r="AF191" s="86"/>
      <c r="AG191" s="86"/>
      <c r="AH191" s="86"/>
      <c r="AI191" s="86"/>
      <c r="AJ191" s="86"/>
    </row>
    <row r="192" spans="1:36" s="174" customFormat="1" ht="18" customHeight="1" thickBot="1" x14ac:dyDescent="0.35">
      <c r="A192" s="180" t="s">
        <v>372</v>
      </c>
      <c r="B192" s="175" t="s">
        <v>376</v>
      </c>
      <c r="C192" s="188"/>
      <c r="D192" s="180">
        <f t="shared" si="11"/>
        <v>39761</v>
      </c>
      <c r="E192" s="165"/>
      <c r="F192" s="203">
        <f>SUMIF(E:E, A192,C:C )</f>
        <v>39761</v>
      </c>
      <c r="G192" s="188">
        <f t="shared" si="12"/>
        <v>39761</v>
      </c>
      <c r="H192" s="188">
        <f t="shared" si="13"/>
        <v>39761</v>
      </c>
      <c r="I192" s="188">
        <f t="shared" si="14"/>
        <v>0</v>
      </c>
      <c r="J192" s="178"/>
      <c r="K192" s="177"/>
      <c r="L192" s="177"/>
      <c r="M192" s="177"/>
      <c r="N192" s="177"/>
      <c r="O192" s="177"/>
      <c r="P192" s="177"/>
      <c r="Q192" s="162" t="s">
        <v>587</v>
      </c>
      <c r="R192" s="177">
        <v>2469</v>
      </c>
      <c r="S192" s="177">
        <v>2758</v>
      </c>
      <c r="T192" s="177">
        <v>1436</v>
      </c>
      <c r="U192" s="177">
        <v>16336</v>
      </c>
      <c r="V192" s="177">
        <v>1787</v>
      </c>
      <c r="W192" s="177">
        <v>160</v>
      </c>
      <c r="X192" s="177"/>
      <c r="Y192" s="177"/>
      <c r="Z192" s="177">
        <v>8245</v>
      </c>
      <c r="AA192" s="177">
        <v>2914</v>
      </c>
      <c r="AB192" s="177"/>
      <c r="AC192" s="177">
        <v>3526</v>
      </c>
      <c r="AD192" s="177">
        <v>130</v>
      </c>
      <c r="AE192" s="177"/>
      <c r="AF192" s="177"/>
      <c r="AG192" s="177"/>
      <c r="AH192" s="177"/>
      <c r="AI192" s="177"/>
      <c r="AJ192" s="177"/>
    </row>
    <row r="193" spans="1:36" s="174" customFormat="1" ht="18" customHeight="1" thickBot="1" x14ac:dyDescent="0.35">
      <c r="A193" s="180" t="s">
        <v>373</v>
      </c>
      <c r="B193" s="175" t="s">
        <v>633</v>
      </c>
      <c r="C193" s="188"/>
      <c r="D193" s="180">
        <f t="shared" si="11"/>
        <v>76317</v>
      </c>
      <c r="E193" s="165"/>
      <c r="F193" s="203">
        <f t="shared" si="10"/>
        <v>76317</v>
      </c>
      <c r="G193" s="188">
        <f t="shared" si="12"/>
        <v>76317</v>
      </c>
      <c r="H193" s="188">
        <f t="shared" si="13"/>
        <v>76317</v>
      </c>
      <c r="I193" s="188">
        <f t="shared" si="14"/>
        <v>0</v>
      </c>
      <c r="J193" s="178"/>
      <c r="K193" s="177"/>
      <c r="L193" s="177"/>
      <c r="M193" s="177"/>
      <c r="N193" s="177"/>
      <c r="O193" s="177"/>
      <c r="P193" s="177">
        <v>20082</v>
      </c>
      <c r="Q193" s="162">
        <v>9250</v>
      </c>
      <c r="R193" s="177">
        <v>3800</v>
      </c>
      <c r="S193" s="177">
        <v>5000</v>
      </c>
      <c r="T193" s="177">
        <v>11500</v>
      </c>
      <c r="U193" s="177">
        <v>5500</v>
      </c>
      <c r="V193" s="177">
        <v>5000</v>
      </c>
      <c r="W193" s="177">
        <v>7627</v>
      </c>
      <c r="X193" s="177">
        <v>2055</v>
      </c>
      <c r="Y193" s="177">
        <v>2976</v>
      </c>
      <c r="Z193" s="177">
        <v>3527</v>
      </c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</row>
    <row r="194" spans="1:36" s="174" customFormat="1" ht="18" customHeight="1" thickBot="1" x14ac:dyDescent="0.35">
      <c r="A194" s="180" t="s">
        <v>374</v>
      </c>
      <c r="B194" s="176" t="s">
        <v>378</v>
      </c>
      <c r="C194" s="188"/>
      <c r="D194" s="180">
        <f t="shared" si="11"/>
        <v>18120</v>
      </c>
      <c r="E194" s="165"/>
      <c r="F194" s="203">
        <f t="shared" si="10"/>
        <v>18120</v>
      </c>
      <c r="G194" s="188">
        <f t="shared" si="12"/>
        <v>18120</v>
      </c>
      <c r="H194" s="188">
        <f t="shared" si="13"/>
        <v>18120</v>
      </c>
      <c r="I194" s="188">
        <f t="shared" si="14"/>
        <v>0</v>
      </c>
      <c r="J194" s="178"/>
      <c r="K194" s="177"/>
      <c r="L194" s="177"/>
      <c r="M194" s="177"/>
      <c r="N194" s="177"/>
      <c r="O194" s="177"/>
      <c r="P194" s="177"/>
      <c r="Q194" s="162" t="s">
        <v>587</v>
      </c>
      <c r="R194" s="177"/>
      <c r="S194" s="177"/>
      <c r="T194" s="177"/>
      <c r="U194" s="177">
        <v>10545</v>
      </c>
      <c r="V194" s="177">
        <v>7575</v>
      </c>
      <c r="W194" s="177"/>
      <c r="X194" s="177"/>
      <c r="Y194" s="177"/>
      <c r="Z194" s="178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</row>
    <row r="195" spans="1:36" s="174" customFormat="1" ht="18" customHeight="1" thickBot="1" x14ac:dyDescent="0.35">
      <c r="A195" s="180" t="s">
        <v>415</v>
      </c>
      <c r="B195" s="176" t="s">
        <v>400</v>
      </c>
      <c r="C195" s="188"/>
      <c r="D195" s="180">
        <f t="shared" si="11"/>
        <v>18435</v>
      </c>
      <c r="E195" s="165"/>
      <c r="F195" s="203">
        <f t="shared" si="10"/>
        <v>18435</v>
      </c>
      <c r="G195" s="188">
        <f t="shared" si="12"/>
        <v>18435</v>
      </c>
      <c r="H195" s="188">
        <f t="shared" si="13"/>
        <v>18435</v>
      </c>
      <c r="I195" s="188">
        <f t="shared" si="14"/>
        <v>0</v>
      </c>
      <c r="J195" s="178"/>
      <c r="K195" s="177"/>
      <c r="L195" s="177"/>
      <c r="M195" s="177"/>
      <c r="N195" s="177"/>
      <c r="O195" s="177"/>
      <c r="P195" s="177"/>
      <c r="Q195" s="162" t="s">
        <v>587</v>
      </c>
      <c r="R195" s="177"/>
      <c r="S195" s="177"/>
      <c r="T195" s="177"/>
      <c r="U195" s="177"/>
      <c r="V195" s="177">
        <v>10306</v>
      </c>
      <c r="W195" s="177"/>
      <c r="X195" s="177"/>
      <c r="Y195" s="177"/>
      <c r="Z195" s="178"/>
      <c r="AA195" s="177"/>
      <c r="AB195" s="177"/>
      <c r="AC195" s="177"/>
      <c r="AD195" s="177"/>
      <c r="AE195" s="177"/>
      <c r="AF195" s="177">
        <f>637+3471</f>
        <v>4108</v>
      </c>
      <c r="AG195" s="177"/>
      <c r="AH195" s="177">
        <v>4021</v>
      </c>
      <c r="AI195" s="177"/>
      <c r="AJ195" s="177"/>
    </row>
    <row r="196" spans="1:36" s="174" customFormat="1" ht="18" customHeight="1" thickBot="1" x14ac:dyDescent="0.35">
      <c r="A196" s="180" t="s">
        <v>416</v>
      </c>
      <c r="B196" s="176" t="s">
        <v>405</v>
      </c>
      <c r="C196" s="188"/>
      <c r="D196" s="180">
        <f t="shared" si="11"/>
        <v>22839</v>
      </c>
      <c r="E196" s="165"/>
      <c r="F196" s="203">
        <f t="shared" si="10"/>
        <v>22839</v>
      </c>
      <c r="G196" s="188">
        <f t="shared" si="12"/>
        <v>22839</v>
      </c>
      <c r="H196" s="188">
        <f t="shared" si="13"/>
        <v>18996</v>
      </c>
      <c r="I196" s="188">
        <f t="shared" si="14"/>
        <v>3843</v>
      </c>
      <c r="J196" s="178"/>
      <c r="K196" s="177"/>
      <c r="L196" s="177"/>
      <c r="M196" s="177"/>
      <c r="N196" s="177"/>
      <c r="O196" s="177"/>
      <c r="P196" s="177"/>
      <c r="Q196" s="162" t="s">
        <v>587</v>
      </c>
      <c r="R196" s="177"/>
      <c r="S196" s="177"/>
      <c r="T196" s="177"/>
      <c r="U196" s="177"/>
      <c r="V196" s="177"/>
      <c r="W196" s="177"/>
      <c r="X196" s="177">
        <v>13879</v>
      </c>
      <c r="Y196" s="177"/>
      <c r="Z196" s="178"/>
      <c r="AA196" s="177"/>
      <c r="AB196" s="177"/>
      <c r="AC196" s="177"/>
      <c r="AD196" s="177"/>
      <c r="AE196" s="177"/>
      <c r="AF196" s="177"/>
      <c r="AG196" s="177"/>
      <c r="AH196" s="177">
        <v>5117</v>
      </c>
      <c r="AI196" s="177"/>
      <c r="AJ196" s="177"/>
    </row>
    <row r="197" spans="1:36" s="174" customFormat="1" ht="18" customHeight="1" thickBot="1" x14ac:dyDescent="0.35">
      <c r="A197" s="180" t="s">
        <v>375</v>
      </c>
      <c r="B197" s="175" t="s">
        <v>634</v>
      </c>
      <c r="C197" s="188"/>
      <c r="D197" s="180">
        <f t="shared" si="11"/>
        <v>14974</v>
      </c>
      <c r="E197" s="165"/>
      <c r="F197" s="203">
        <f t="shared" si="10"/>
        <v>14974</v>
      </c>
      <c r="G197" s="188">
        <f t="shared" si="12"/>
        <v>14974</v>
      </c>
      <c r="H197" s="188">
        <f t="shared" si="13"/>
        <v>14974</v>
      </c>
      <c r="I197" s="188">
        <f t="shared" si="14"/>
        <v>0</v>
      </c>
      <c r="J197" s="178"/>
      <c r="K197" s="177"/>
      <c r="L197" s="177"/>
      <c r="M197" s="177"/>
      <c r="N197" s="177"/>
      <c r="O197" s="177"/>
      <c r="P197" s="177"/>
      <c r="Q197" s="162" t="s">
        <v>587</v>
      </c>
      <c r="R197" s="177"/>
      <c r="S197" s="177"/>
      <c r="T197" s="177"/>
      <c r="U197" s="177"/>
      <c r="V197" s="177"/>
      <c r="W197" s="177"/>
      <c r="X197" s="177">
        <v>14974</v>
      </c>
      <c r="Y197" s="177"/>
      <c r="Z197" s="178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</row>
    <row r="198" spans="1:36" ht="18" customHeight="1" thickBot="1" x14ac:dyDescent="0.35">
      <c r="A198" s="146"/>
      <c r="B198" s="166"/>
      <c r="C198" s="146"/>
      <c r="D198" s="199"/>
      <c r="E198" s="152"/>
      <c r="F198" s="204"/>
      <c r="G198" s="127"/>
      <c r="H198" s="127"/>
      <c r="I198" s="127"/>
      <c r="J198" s="117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117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</row>
    <row r="199" spans="1:36" ht="18" customHeight="1" thickBot="1" x14ac:dyDescent="0.35">
      <c r="A199" s="111" t="s">
        <v>590</v>
      </c>
      <c r="B199" s="155"/>
      <c r="C199" s="130">
        <f>SUM(C13:C197)-G199</f>
        <v>8000382</v>
      </c>
      <c r="D199" s="190">
        <f>SUM(D13:D197)</f>
        <v>8000382</v>
      </c>
      <c r="E199" s="190">
        <f t="shared" ref="E199:F199" si="15">SUM(E13:E197)</f>
        <v>0</v>
      </c>
      <c r="F199" s="190">
        <f t="shared" si="15"/>
        <v>203720</v>
      </c>
      <c r="G199" s="129">
        <f>SUM(G13:G197)</f>
        <v>0</v>
      </c>
      <c r="H199" s="129">
        <f>SUM(H13:H197)</f>
        <v>7991976</v>
      </c>
      <c r="I199" s="129">
        <f>SUM(I13:I197)</f>
        <v>8406</v>
      </c>
      <c r="J199" s="129">
        <f>SUM(J13:J197)</f>
        <v>0</v>
      </c>
      <c r="K199" s="190">
        <f t="shared" ref="K199:AJ199" si="16">SUM(K13:K197)</f>
        <v>0</v>
      </c>
      <c r="L199" s="190">
        <f t="shared" si="16"/>
        <v>0</v>
      </c>
      <c r="M199" s="190">
        <f t="shared" si="16"/>
        <v>18419</v>
      </c>
      <c r="N199" s="190">
        <f t="shared" si="16"/>
        <v>287636</v>
      </c>
      <c r="O199" s="190">
        <f t="shared" si="16"/>
        <v>242134</v>
      </c>
      <c r="P199" s="190">
        <f t="shared" si="16"/>
        <v>285771</v>
      </c>
      <c r="Q199" s="190">
        <f t="shared" si="16"/>
        <v>905049</v>
      </c>
      <c r="R199" s="190">
        <f t="shared" si="16"/>
        <v>601931</v>
      </c>
      <c r="S199" s="190">
        <f t="shared" si="16"/>
        <v>768677</v>
      </c>
      <c r="T199" s="190">
        <f t="shared" si="16"/>
        <v>643581</v>
      </c>
      <c r="U199" s="190">
        <f t="shared" si="16"/>
        <v>817189</v>
      </c>
      <c r="V199" s="190">
        <f t="shared" si="16"/>
        <v>593690</v>
      </c>
      <c r="W199" s="190">
        <f t="shared" si="16"/>
        <v>330825</v>
      </c>
      <c r="X199" s="190">
        <f t="shared" si="16"/>
        <v>258749</v>
      </c>
      <c r="Y199" s="190">
        <f t="shared" si="16"/>
        <v>495248</v>
      </c>
      <c r="Z199" s="190">
        <f t="shared" si="16"/>
        <v>869274</v>
      </c>
      <c r="AA199" s="190">
        <f t="shared" si="16"/>
        <v>361017</v>
      </c>
      <c r="AB199" s="190">
        <f t="shared" si="16"/>
        <v>115360</v>
      </c>
      <c r="AC199" s="190">
        <f t="shared" si="16"/>
        <v>235735</v>
      </c>
      <c r="AD199" s="190">
        <f t="shared" si="16"/>
        <v>54749</v>
      </c>
      <c r="AE199" s="190">
        <f t="shared" si="16"/>
        <v>38023</v>
      </c>
      <c r="AF199" s="190">
        <f t="shared" si="16"/>
        <v>36506</v>
      </c>
      <c r="AG199" s="190">
        <f t="shared" si="16"/>
        <v>12941</v>
      </c>
      <c r="AH199" s="190">
        <f t="shared" si="16"/>
        <v>19472</v>
      </c>
      <c r="AI199" s="190">
        <f t="shared" si="16"/>
        <v>0</v>
      </c>
      <c r="AJ199" s="190">
        <f t="shared" si="16"/>
        <v>0</v>
      </c>
    </row>
    <row r="200" spans="1:36" ht="15.6" x14ac:dyDescent="0.3">
      <c r="A200" s="6"/>
      <c r="B200" s="171"/>
      <c r="C200" s="33"/>
      <c r="D200" s="207"/>
      <c r="E200" s="32"/>
      <c r="F200" s="205"/>
      <c r="G200" s="207"/>
      <c r="H200" s="33"/>
      <c r="I200" s="33"/>
      <c r="J200" s="6"/>
      <c r="K200" s="6"/>
      <c r="L200" s="6"/>
      <c r="M200" s="6"/>
      <c r="N200" s="6"/>
      <c r="O200" s="11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6" x14ac:dyDescent="0.3">
      <c r="A201" s="6"/>
      <c r="B201" s="171"/>
      <c r="C201" s="207"/>
      <c r="D201" s="33"/>
      <c r="E201" s="32"/>
      <c r="F201" s="205"/>
      <c r="G201" s="33"/>
      <c r="H201" s="207"/>
      <c r="I201" s="33"/>
      <c r="J201" s="6"/>
      <c r="K201" s="6"/>
      <c r="L201" s="6"/>
      <c r="M201" s="112"/>
      <c r="N201" s="6"/>
      <c r="O201" s="6"/>
      <c r="P201" s="87"/>
      <c r="Q201" s="87"/>
      <c r="R201" s="112"/>
      <c r="S201" s="112"/>
      <c r="T201" s="112"/>
      <c r="U201" s="112"/>
      <c r="V201" s="6"/>
      <c r="W201" s="6"/>
      <c r="X201" s="6"/>
      <c r="Y201" s="6"/>
      <c r="Z201" s="6"/>
      <c r="AA201" s="6"/>
      <c r="AB201" s="208"/>
      <c r="AC201" s="6"/>
      <c r="AD201" s="6"/>
      <c r="AE201" s="6"/>
      <c r="AF201" s="6"/>
      <c r="AG201" s="6"/>
      <c r="AH201" s="6"/>
      <c r="AI201" s="6"/>
      <c r="AJ201" s="6"/>
    </row>
    <row r="202" spans="1:36" ht="15.6" x14ac:dyDescent="0.3">
      <c r="A202" s="6"/>
      <c r="B202" s="171"/>
      <c r="C202" s="33"/>
      <c r="D202" s="33"/>
      <c r="E202" s="32"/>
      <c r="F202" s="205"/>
      <c r="G202" s="33"/>
      <c r="H202" s="33"/>
      <c r="I202" s="3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87"/>
      <c r="U202" s="112"/>
      <c r="V202" s="6"/>
      <c r="W202" s="87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6" x14ac:dyDescent="0.3">
      <c r="A203" s="6"/>
      <c r="B203" s="171"/>
      <c r="C203" s="33"/>
      <c r="D203" s="33"/>
      <c r="E203" s="32"/>
      <c r="F203" s="205"/>
      <c r="G203" s="33"/>
      <c r="H203" s="33"/>
      <c r="I203" s="3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6" x14ac:dyDescent="0.3">
      <c r="A204" s="6"/>
      <c r="B204" s="171"/>
      <c r="C204" s="33"/>
      <c r="D204" s="33"/>
      <c r="E204" s="32"/>
      <c r="F204" s="205"/>
      <c r="G204" s="33"/>
      <c r="H204" s="33"/>
      <c r="I204" s="3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6" x14ac:dyDescent="0.3">
      <c r="A205" s="6"/>
      <c r="B205" s="171"/>
      <c r="C205" s="33"/>
      <c r="D205" s="33"/>
      <c r="E205" s="32"/>
      <c r="F205" s="205"/>
      <c r="G205" s="33"/>
      <c r="H205" s="33"/>
      <c r="I205" s="3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6" x14ac:dyDescent="0.3">
      <c r="A206" s="6"/>
      <c r="B206" s="171"/>
      <c r="C206" s="33"/>
      <c r="D206" s="33"/>
      <c r="E206" s="32"/>
      <c r="F206" s="205"/>
      <c r="G206" s="33"/>
      <c r="H206" s="33"/>
      <c r="I206" s="3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6" x14ac:dyDescent="0.3">
      <c r="A207" s="6"/>
      <c r="B207" s="171"/>
      <c r="C207" s="33"/>
      <c r="D207" s="33"/>
      <c r="E207" s="32"/>
      <c r="F207" s="205"/>
      <c r="G207" s="33"/>
      <c r="H207" s="33"/>
      <c r="I207" s="3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6" x14ac:dyDescent="0.3">
      <c r="A208" s="6"/>
      <c r="B208" s="171"/>
      <c r="C208" s="33"/>
      <c r="D208" s="33"/>
      <c r="E208" s="32"/>
      <c r="F208" s="205"/>
      <c r="G208" s="33"/>
      <c r="H208" s="33"/>
      <c r="I208" s="3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6" x14ac:dyDescent="0.3">
      <c r="A209" s="6"/>
      <c r="B209" s="171"/>
      <c r="C209" s="33"/>
      <c r="D209" s="33"/>
      <c r="E209" s="32"/>
      <c r="F209" s="205"/>
      <c r="G209" s="33"/>
      <c r="H209" s="33"/>
      <c r="I209" s="3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6" x14ac:dyDescent="0.3">
      <c r="A210" s="6"/>
      <c r="B210" s="171"/>
      <c r="C210" s="33"/>
      <c r="D210" s="33"/>
      <c r="E210" s="32"/>
      <c r="F210" s="205"/>
      <c r="G210" s="33"/>
      <c r="H210" s="33"/>
      <c r="I210" s="3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6" x14ac:dyDescent="0.3">
      <c r="A211" s="6"/>
      <c r="B211" s="171"/>
      <c r="C211" s="33"/>
      <c r="D211" s="33"/>
      <c r="E211" s="32"/>
      <c r="F211" s="205"/>
      <c r="G211" s="33"/>
      <c r="H211" s="33"/>
      <c r="I211" s="3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6" x14ac:dyDescent="0.3">
      <c r="A212" s="6"/>
      <c r="B212" s="171"/>
      <c r="C212" s="33"/>
      <c r="D212" s="33"/>
      <c r="E212" s="32"/>
      <c r="F212" s="205"/>
      <c r="G212" s="33"/>
      <c r="H212" s="33"/>
      <c r="I212" s="3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6" x14ac:dyDescent="0.3">
      <c r="A213" s="6"/>
      <c r="B213" s="171"/>
      <c r="C213" s="33"/>
      <c r="D213" s="33"/>
      <c r="E213" s="32"/>
      <c r="F213" s="205"/>
      <c r="G213" s="33"/>
      <c r="H213" s="33"/>
      <c r="I213" s="3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6" x14ac:dyDescent="0.3">
      <c r="A214" s="6"/>
      <c r="B214" s="171"/>
      <c r="C214" s="33"/>
      <c r="D214" s="33"/>
      <c r="E214" s="32"/>
      <c r="F214" s="205"/>
      <c r="G214" s="33"/>
      <c r="H214" s="33"/>
      <c r="I214" s="3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6" x14ac:dyDescent="0.3">
      <c r="A215" s="6"/>
      <c r="B215" s="171"/>
      <c r="C215" s="33"/>
      <c r="D215" s="33"/>
      <c r="E215" s="32"/>
      <c r="F215" s="205"/>
      <c r="G215" s="33"/>
      <c r="H215" s="33"/>
      <c r="I215" s="3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6" x14ac:dyDescent="0.3">
      <c r="A216" s="6"/>
      <c r="B216" s="171"/>
      <c r="C216" s="33"/>
      <c r="D216" s="33"/>
      <c r="E216" s="32"/>
      <c r="F216" s="205"/>
      <c r="G216" s="33"/>
      <c r="H216" s="33"/>
      <c r="I216" s="3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6" x14ac:dyDescent="0.3">
      <c r="A217" s="6"/>
      <c r="B217" s="171"/>
      <c r="C217" s="33"/>
      <c r="D217" s="33"/>
      <c r="E217" s="32"/>
      <c r="F217" s="205"/>
      <c r="G217" s="33"/>
      <c r="H217" s="33"/>
      <c r="I217" s="3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6" x14ac:dyDescent="0.3">
      <c r="A218" s="6"/>
      <c r="B218" s="171"/>
      <c r="C218" s="33"/>
      <c r="D218" s="33"/>
      <c r="E218" s="32"/>
      <c r="F218" s="205"/>
      <c r="G218" s="33"/>
      <c r="H218" s="33"/>
      <c r="I218" s="3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6" x14ac:dyDescent="0.3">
      <c r="A219" s="6"/>
      <c r="B219" s="171"/>
      <c r="C219" s="33"/>
      <c r="D219" s="33"/>
      <c r="E219" s="32"/>
      <c r="F219" s="205"/>
      <c r="G219" s="33"/>
      <c r="H219" s="33"/>
      <c r="I219" s="3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6" x14ac:dyDescent="0.3">
      <c r="A220" s="6"/>
      <c r="B220" s="171"/>
      <c r="C220" s="33"/>
      <c r="D220" s="33"/>
      <c r="E220" s="32"/>
      <c r="F220" s="205"/>
      <c r="G220" s="33"/>
      <c r="H220" s="33"/>
      <c r="I220" s="3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6" x14ac:dyDescent="0.3">
      <c r="A221" s="6"/>
      <c r="B221" s="171"/>
      <c r="C221" s="33"/>
      <c r="D221" s="33"/>
      <c r="E221" s="32"/>
      <c r="F221" s="205"/>
      <c r="G221" s="33"/>
      <c r="H221" s="33"/>
      <c r="I221" s="3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6" x14ac:dyDescent="0.3">
      <c r="A222" s="6"/>
      <c r="B222" s="171"/>
      <c r="C222" s="33"/>
      <c r="D222" s="33"/>
      <c r="E222" s="32"/>
      <c r="F222" s="205"/>
      <c r="G222" s="33"/>
      <c r="H222" s="33"/>
      <c r="I222" s="3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6" x14ac:dyDescent="0.3">
      <c r="A223" s="6"/>
      <c r="B223" s="171"/>
      <c r="C223" s="33"/>
      <c r="D223" s="33"/>
      <c r="E223" s="32"/>
      <c r="F223" s="205"/>
      <c r="G223" s="33"/>
      <c r="H223" s="33"/>
      <c r="I223" s="3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6" x14ac:dyDescent="0.3">
      <c r="A224" s="6"/>
      <c r="B224" s="171"/>
      <c r="C224" s="33"/>
      <c r="D224" s="33"/>
      <c r="E224" s="32"/>
      <c r="F224" s="205"/>
      <c r="G224" s="33"/>
      <c r="H224" s="33"/>
      <c r="I224" s="3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6" x14ac:dyDescent="0.3">
      <c r="A225" s="6"/>
      <c r="B225" s="171"/>
      <c r="C225" s="33"/>
      <c r="D225" s="33"/>
      <c r="E225" s="32"/>
      <c r="F225" s="205"/>
      <c r="G225" s="33"/>
      <c r="H225" s="33"/>
      <c r="I225" s="3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6" x14ac:dyDescent="0.3">
      <c r="A226" s="6"/>
      <c r="B226" s="171"/>
      <c r="C226" s="33"/>
      <c r="D226" s="33"/>
      <c r="E226" s="32"/>
      <c r="F226" s="205"/>
      <c r="G226" s="33"/>
      <c r="H226" s="33"/>
      <c r="I226" s="3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6" x14ac:dyDescent="0.3">
      <c r="A227" s="6"/>
      <c r="B227" s="171"/>
      <c r="C227" s="33"/>
      <c r="D227" s="33"/>
      <c r="E227" s="32"/>
      <c r="F227" s="205"/>
      <c r="G227" s="33"/>
      <c r="H227" s="33"/>
      <c r="I227" s="3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6" x14ac:dyDescent="0.3">
      <c r="A228" s="6"/>
      <c r="B228" s="171"/>
      <c r="C228" s="33"/>
      <c r="D228" s="33"/>
      <c r="E228" s="32"/>
      <c r="F228" s="205"/>
      <c r="G228" s="33"/>
      <c r="H228" s="33"/>
      <c r="I228" s="3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6" x14ac:dyDescent="0.3">
      <c r="A229" s="6"/>
      <c r="B229" s="171"/>
      <c r="C229" s="33"/>
      <c r="D229" s="33"/>
      <c r="E229" s="32"/>
      <c r="F229" s="205"/>
      <c r="G229" s="33"/>
      <c r="H229" s="33"/>
      <c r="I229" s="3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6" x14ac:dyDescent="0.3">
      <c r="A230" s="6"/>
      <c r="B230" s="171"/>
      <c r="C230" s="33"/>
      <c r="D230" s="33"/>
      <c r="E230" s="32"/>
      <c r="F230" s="205"/>
      <c r="G230" s="33"/>
      <c r="H230" s="33"/>
      <c r="I230" s="3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6" x14ac:dyDescent="0.3">
      <c r="A231" s="6"/>
      <c r="B231" s="171"/>
      <c r="C231" s="33"/>
      <c r="D231" s="33"/>
      <c r="E231" s="32"/>
      <c r="F231" s="205"/>
      <c r="G231" s="33"/>
      <c r="H231" s="33"/>
      <c r="I231" s="3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6" x14ac:dyDescent="0.3">
      <c r="A232" s="6"/>
      <c r="B232" s="171"/>
      <c r="C232" s="33"/>
      <c r="D232" s="33"/>
      <c r="E232" s="32"/>
      <c r="F232" s="205"/>
      <c r="G232" s="33"/>
      <c r="H232" s="33"/>
      <c r="I232" s="3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6" x14ac:dyDescent="0.3">
      <c r="A233" s="6"/>
      <c r="B233" s="171"/>
      <c r="C233" s="33"/>
      <c r="D233" s="33"/>
      <c r="E233" s="32"/>
      <c r="F233" s="205"/>
      <c r="G233" s="33"/>
      <c r="H233" s="33"/>
      <c r="I233" s="3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6" x14ac:dyDescent="0.3">
      <c r="A234" s="6"/>
      <c r="B234" s="171"/>
      <c r="C234" s="33"/>
      <c r="D234" s="33"/>
      <c r="E234" s="32"/>
      <c r="F234" s="205"/>
      <c r="G234" s="33"/>
      <c r="H234" s="33"/>
      <c r="I234" s="3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6" x14ac:dyDescent="0.3">
      <c r="A235" s="6"/>
      <c r="B235" s="171"/>
      <c r="C235" s="33"/>
      <c r="D235" s="33"/>
      <c r="E235" s="32"/>
      <c r="F235" s="205"/>
      <c r="G235" s="33"/>
      <c r="H235" s="33"/>
      <c r="I235" s="3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6" x14ac:dyDescent="0.3">
      <c r="A236" s="6"/>
      <c r="B236" s="171"/>
      <c r="C236" s="33"/>
      <c r="D236" s="33"/>
      <c r="E236" s="32"/>
      <c r="F236" s="205"/>
      <c r="G236" s="33"/>
      <c r="H236" s="33"/>
      <c r="I236" s="3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6" x14ac:dyDescent="0.3">
      <c r="A237" s="6"/>
      <c r="B237" s="171"/>
      <c r="C237" s="33"/>
      <c r="D237" s="33"/>
      <c r="E237" s="32"/>
      <c r="F237" s="205"/>
      <c r="G237" s="33"/>
      <c r="H237" s="33"/>
      <c r="I237" s="3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6" x14ac:dyDescent="0.3">
      <c r="A238" s="6"/>
      <c r="B238" s="171"/>
      <c r="C238" s="33"/>
      <c r="D238" s="33"/>
      <c r="E238" s="32"/>
      <c r="F238" s="205"/>
      <c r="G238" s="33"/>
      <c r="H238" s="33"/>
      <c r="I238" s="3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6" x14ac:dyDescent="0.3">
      <c r="A239" s="6"/>
      <c r="B239" s="171"/>
      <c r="C239" s="33"/>
      <c r="D239" s="33"/>
      <c r="E239" s="32"/>
      <c r="F239" s="205"/>
      <c r="G239" s="33"/>
      <c r="H239" s="33"/>
      <c r="I239" s="3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6" x14ac:dyDescent="0.3">
      <c r="E240" s="32"/>
      <c r="F240" s="205"/>
      <c r="G240" s="33"/>
      <c r="H240" s="33"/>
      <c r="I240" s="3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5:36" ht="15.6" x14ac:dyDescent="0.3">
      <c r="E241" s="32"/>
      <c r="F241" s="205"/>
      <c r="G241" s="33"/>
      <c r="H241" s="33"/>
      <c r="I241" s="3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5:36" ht="15.6" x14ac:dyDescent="0.3">
      <c r="E242" s="32"/>
      <c r="F242" s="205"/>
      <c r="G242" s="33"/>
      <c r="H242" s="33"/>
      <c r="I242" s="3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5:36" ht="15.6" x14ac:dyDescent="0.3">
      <c r="E243" s="32"/>
      <c r="F243" s="205"/>
      <c r="G243" s="33"/>
      <c r="H243" s="33"/>
      <c r="I243" s="3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5:36" ht="15.6" x14ac:dyDescent="0.3">
      <c r="E244" s="32"/>
      <c r="F244" s="205"/>
      <c r="G244" s="33"/>
      <c r="H244" s="33"/>
      <c r="I244" s="3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5:36" ht="15.6" x14ac:dyDescent="0.3">
      <c r="E245" s="32"/>
      <c r="F245" s="205"/>
      <c r="G245" s="33"/>
      <c r="H245" s="33"/>
      <c r="I245" s="3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5:36" ht="15.6" x14ac:dyDescent="0.3">
      <c r="E246" s="32"/>
      <c r="F246" s="205"/>
      <c r="G246" s="33"/>
      <c r="H246" s="33"/>
      <c r="I246" s="3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5:36" ht="15.6" x14ac:dyDescent="0.3">
      <c r="E247" s="32"/>
      <c r="F247" s="205"/>
      <c r="G247" s="33"/>
      <c r="H247" s="33"/>
      <c r="I247" s="3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5:36" ht="15.6" x14ac:dyDescent="0.3">
      <c r="E248" s="32"/>
      <c r="F248" s="205"/>
      <c r="G248" s="33"/>
      <c r="H248" s="33"/>
      <c r="I248" s="3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5:36" ht="15.6" x14ac:dyDescent="0.3">
      <c r="E249" s="32"/>
      <c r="F249" s="205"/>
      <c r="G249" s="33"/>
      <c r="H249" s="33"/>
      <c r="I249" s="3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5:36" ht="15.6" x14ac:dyDescent="0.3">
      <c r="E250" s="32"/>
      <c r="F250" s="205"/>
      <c r="G250" s="33"/>
      <c r="H250" s="33"/>
      <c r="I250" s="3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5:36" ht="15.6" x14ac:dyDescent="0.3">
      <c r="E251" s="32"/>
      <c r="F251" s="205"/>
      <c r="G251" s="33"/>
      <c r="H251" s="33"/>
      <c r="I251" s="3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5:36" ht="15.6" x14ac:dyDescent="0.3">
      <c r="E252" s="32"/>
      <c r="F252" s="205"/>
      <c r="G252" s="33"/>
      <c r="H252" s="33"/>
      <c r="I252" s="3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5:36" ht="15.6" x14ac:dyDescent="0.3">
      <c r="E253" s="32"/>
      <c r="F253" s="205"/>
      <c r="G253" s="33"/>
      <c r="H253" s="33"/>
      <c r="I253" s="3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5:36" ht="15.6" x14ac:dyDescent="0.3">
      <c r="E254" s="32"/>
      <c r="F254" s="205"/>
      <c r="G254" s="33"/>
      <c r="H254" s="33"/>
      <c r="I254" s="3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5:36" ht="15.6" x14ac:dyDescent="0.3">
      <c r="E255" s="32"/>
      <c r="F255" s="205"/>
      <c r="G255" s="33"/>
      <c r="H255" s="33"/>
      <c r="I255" s="3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5:36" ht="15.6" x14ac:dyDescent="0.3">
      <c r="E256" s="32"/>
      <c r="F256" s="205"/>
      <c r="G256" s="33"/>
      <c r="H256" s="33"/>
      <c r="I256" s="3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5:36" ht="15.6" x14ac:dyDescent="0.3">
      <c r="E257" s="32"/>
      <c r="F257" s="205"/>
      <c r="G257" s="33"/>
      <c r="H257" s="33"/>
      <c r="I257" s="3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5:36" ht="15.6" x14ac:dyDescent="0.3">
      <c r="E258" s="32"/>
      <c r="F258" s="205"/>
      <c r="G258" s="33"/>
      <c r="H258" s="33"/>
      <c r="I258" s="3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5:36" ht="15.6" x14ac:dyDescent="0.3">
      <c r="E259" s="32"/>
      <c r="F259" s="205"/>
      <c r="G259" s="33"/>
      <c r="H259" s="33"/>
      <c r="I259" s="3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5:36" ht="15.6" x14ac:dyDescent="0.3">
      <c r="E260" s="32"/>
      <c r="F260" s="205"/>
      <c r="G260" s="33"/>
      <c r="H260" s="33"/>
      <c r="I260" s="3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5:36" ht="15.6" x14ac:dyDescent="0.3">
      <c r="E261" s="32"/>
      <c r="F261" s="205"/>
      <c r="G261" s="33"/>
      <c r="H261" s="33"/>
      <c r="I261" s="3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5:36" ht="15.6" x14ac:dyDescent="0.3">
      <c r="E262" s="32"/>
      <c r="F262" s="205"/>
      <c r="G262" s="33"/>
      <c r="H262" s="33"/>
      <c r="I262" s="3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5:36" ht="15.6" x14ac:dyDescent="0.3">
      <c r="E263" s="32"/>
      <c r="F263" s="205"/>
      <c r="G263" s="33"/>
      <c r="H263" s="33"/>
      <c r="I263" s="3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5:36" ht="15.6" x14ac:dyDescent="0.3">
      <c r="E264" s="32"/>
      <c r="F264" s="205"/>
      <c r="G264" s="33"/>
      <c r="H264" s="33"/>
      <c r="I264" s="3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</sheetData>
  <sheetProtection algorithmName="SHA-512" hashValue="3ODhEcSc5+53s6BnRyCc5D2TQ0dAeVEP++9Qm6uu3s/XM6IIag2zZNit3yRAEMEdOoTtLNInJHpsLRr+qOMJlw==" saltValue="uvdiXD2F9hgaccLeHDkSN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9CCFF"/>
  </sheetPr>
  <dimension ref="A1:AJ61"/>
  <sheetViews>
    <sheetView tabSelected="1" zoomScaleNormal="100" workbookViewId="0">
      <pane xSplit="7" ySplit="12" topLeftCell="AE13" activePane="bottomRight" state="frozen"/>
      <selection activeCell="AH13" sqref="AH13"/>
      <selection pane="topRight" activeCell="AH13" sqref="AH13"/>
      <selection pane="bottomLeft" activeCell="AH13" sqref="AH13"/>
      <selection pane="bottomRight" activeCell="A24" sqref="A24:XFD24"/>
    </sheetView>
  </sheetViews>
  <sheetFormatPr defaultColWidth="9.109375" defaultRowHeight="14.4" x14ac:dyDescent="0.3"/>
  <cols>
    <col min="1" max="1" width="9.109375" style="2"/>
    <col min="2" max="2" width="29.44140625" style="2" bestFit="1" customWidth="1"/>
    <col min="3" max="3" width="17.6640625" style="2" customWidth="1"/>
    <col min="4" max="4" width="19.6640625" style="183" customWidth="1"/>
    <col min="5" max="5" width="15.109375" style="7" customWidth="1"/>
    <col min="6" max="6" width="15.44140625" style="2" customWidth="1"/>
    <col min="7" max="7" width="15.109375" style="2" customWidth="1"/>
    <col min="8" max="34" width="15.6640625" style="2" customWidth="1"/>
    <col min="35" max="35" width="11.6640625" style="2" customWidth="1"/>
    <col min="36" max="36" width="18.5546875" style="2" customWidth="1"/>
    <col min="37" max="16384" width="9.109375" style="2"/>
  </cols>
  <sheetData>
    <row r="1" spans="1:36" ht="21" x14ac:dyDescent="0.35">
      <c r="A1" s="10" t="s">
        <v>0</v>
      </c>
      <c r="B1" s="11"/>
      <c r="C1" s="12" t="s">
        <v>392</v>
      </c>
      <c r="D1" s="172"/>
      <c r="E1" s="12"/>
      <c r="F1" s="10"/>
      <c r="G1" s="13"/>
      <c r="H1" s="14"/>
      <c r="I1" s="14"/>
      <c r="J1" s="12" t="str">
        <f>C1</f>
        <v>Title III-A SAI Formula</v>
      </c>
      <c r="K1" s="12"/>
      <c r="L1" s="10"/>
      <c r="M1" s="10"/>
      <c r="N1" s="13"/>
      <c r="O1" s="13"/>
      <c r="P1" s="101" t="str">
        <f>C1</f>
        <v>Title III-A SAI Formula</v>
      </c>
      <c r="Q1" s="14"/>
      <c r="R1" s="12"/>
      <c r="S1" s="12"/>
      <c r="T1" s="10"/>
      <c r="U1" s="10"/>
      <c r="V1" s="101" t="str">
        <f>C1</f>
        <v>Title III-A SAI Formula</v>
      </c>
      <c r="W1" s="13"/>
      <c r="X1" s="14"/>
      <c r="Y1" s="14"/>
      <c r="Z1" s="12"/>
      <c r="AA1" s="12"/>
      <c r="AB1" s="101" t="str">
        <f>C1</f>
        <v>Title III-A SAI Formula</v>
      </c>
      <c r="AC1" s="10"/>
      <c r="AD1" s="13"/>
      <c r="AE1" s="13"/>
      <c r="AF1" s="14"/>
      <c r="AG1" s="101" t="str">
        <f>C1</f>
        <v>Title III-A SAI Formula</v>
      </c>
      <c r="AH1" s="12"/>
    </row>
    <row r="2" spans="1:36" ht="15.75" x14ac:dyDescent="0.25">
      <c r="A2" s="15" t="s">
        <v>1</v>
      </c>
      <c r="B2" s="11"/>
      <c r="C2" s="16">
        <v>84.364999999999995</v>
      </c>
      <c r="D2" s="182"/>
      <c r="E2" s="16"/>
      <c r="F2" s="15"/>
      <c r="G2" s="17"/>
      <c r="H2" s="14"/>
      <c r="I2" s="14"/>
      <c r="J2" s="15" t="str">
        <f>"FY"&amp;C4</f>
        <v>FY2016-17</v>
      </c>
      <c r="K2" s="15"/>
      <c r="L2" s="107"/>
      <c r="M2" s="18"/>
      <c r="N2" s="17"/>
      <c r="O2" s="17"/>
      <c r="P2" s="104" t="str">
        <f>"FY"&amp;C4</f>
        <v>FY2016-17</v>
      </c>
      <c r="Q2" s="17"/>
      <c r="R2" s="15"/>
      <c r="S2" s="15"/>
      <c r="T2" s="18"/>
      <c r="U2" s="18"/>
      <c r="V2" s="104" t="str">
        <f>"FY"&amp;C4</f>
        <v>FY2016-17</v>
      </c>
      <c r="W2" s="17"/>
      <c r="X2" s="17"/>
      <c r="Y2" s="17"/>
      <c r="Z2" s="15"/>
      <c r="AA2" s="15"/>
      <c r="AB2" s="104" t="str">
        <f>"FY"&amp;C4</f>
        <v>FY2016-17</v>
      </c>
      <c r="AC2" s="18"/>
      <c r="AD2" s="17"/>
      <c r="AE2" s="17"/>
      <c r="AF2" s="17"/>
      <c r="AG2" s="104" t="str">
        <f>"FY"&amp;C4</f>
        <v>FY2016-17</v>
      </c>
      <c r="AH2" s="15"/>
    </row>
    <row r="3" spans="1:36" ht="15.75" x14ac:dyDescent="0.25">
      <c r="A3" s="15" t="s">
        <v>3</v>
      </c>
      <c r="B3" s="11"/>
      <c r="C3" s="18">
        <v>7365</v>
      </c>
      <c r="D3" s="173"/>
      <c r="E3" s="18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6" ht="21" x14ac:dyDescent="0.35">
      <c r="A4" s="15" t="s">
        <v>2</v>
      </c>
      <c r="B4" s="11"/>
      <c r="C4" s="101" t="s">
        <v>593</v>
      </c>
      <c r="D4" s="173"/>
      <c r="E4" s="18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6" ht="15.75" x14ac:dyDescent="0.25">
      <c r="A5" s="15" t="s">
        <v>406</v>
      </c>
      <c r="B5" s="11"/>
      <c r="C5" s="97" t="s">
        <v>645</v>
      </c>
      <c r="D5" s="173"/>
      <c r="E5" s="15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6" ht="15.75" x14ac:dyDescent="0.25">
      <c r="A6" s="15" t="s">
        <v>4</v>
      </c>
      <c r="B6" s="11"/>
      <c r="C6" s="97" t="s">
        <v>366</v>
      </c>
      <c r="D6" s="173"/>
      <c r="E6" s="15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6" s="7" customFormat="1" ht="15.75" x14ac:dyDescent="0.25">
      <c r="A7" s="15"/>
      <c r="B7" s="11"/>
      <c r="C7" s="97" t="s">
        <v>410</v>
      </c>
      <c r="D7" s="163"/>
      <c r="E7" s="26"/>
      <c r="F7" s="15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6" ht="15.75" x14ac:dyDescent="0.25">
      <c r="A8" s="15"/>
      <c r="B8" s="11"/>
      <c r="C8" s="15"/>
      <c r="D8" s="173"/>
      <c r="E8" s="15"/>
      <c r="F8" s="15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6" ht="15.75" x14ac:dyDescent="0.25">
      <c r="A9" s="15" t="s">
        <v>380</v>
      </c>
      <c r="B9" s="11"/>
      <c r="C9" s="104" t="s">
        <v>643</v>
      </c>
      <c r="D9" s="173"/>
      <c r="E9" s="15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6" ht="15.75" x14ac:dyDescent="0.25">
      <c r="A10" s="15" t="s">
        <v>381</v>
      </c>
      <c r="B10" s="11"/>
      <c r="C10" s="15" t="s">
        <v>382</v>
      </c>
      <c r="D10" s="173"/>
      <c r="E10" s="15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6" s="7" customFormat="1" ht="16.2" thickBot="1" x14ac:dyDescent="0.35">
      <c r="A11" s="15" t="s">
        <v>407</v>
      </c>
      <c r="B11" s="11"/>
      <c r="C11" s="104" t="s">
        <v>597</v>
      </c>
      <c r="D11" s="173"/>
      <c r="E11" s="15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6" s="4" customFormat="1" ht="32.25" customHeight="1" thickBot="1" x14ac:dyDescent="0.35">
      <c r="A12" s="63" t="s">
        <v>367</v>
      </c>
      <c r="B12" s="64" t="s">
        <v>368</v>
      </c>
      <c r="C12" s="67" t="s">
        <v>369</v>
      </c>
      <c r="D12" s="167" t="s">
        <v>386</v>
      </c>
      <c r="E12" s="69" t="s">
        <v>403</v>
      </c>
      <c r="F12" s="66" t="s">
        <v>370</v>
      </c>
      <c r="G12" s="85" t="s">
        <v>371</v>
      </c>
      <c r="H12" s="149" t="s">
        <v>598</v>
      </c>
      <c r="I12" s="149" t="s">
        <v>599</v>
      </c>
      <c r="J12" s="149" t="s">
        <v>600</v>
      </c>
      <c r="K12" s="149" t="s">
        <v>601</v>
      </c>
      <c r="L12" s="149" t="s">
        <v>602</v>
      </c>
      <c r="M12" s="149" t="s">
        <v>603</v>
      </c>
      <c r="N12" s="149" t="s">
        <v>604</v>
      </c>
      <c r="O12" s="149" t="s">
        <v>605</v>
      </c>
      <c r="P12" s="149" t="s">
        <v>606</v>
      </c>
      <c r="Q12" s="150" t="s">
        <v>607</v>
      </c>
      <c r="R12" s="149" t="s">
        <v>608</v>
      </c>
      <c r="S12" s="149" t="s">
        <v>609</v>
      </c>
      <c r="T12" s="149" t="s">
        <v>610</v>
      </c>
      <c r="U12" s="149" t="s">
        <v>611</v>
      </c>
      <c r="V12" s="149" t="s">
        <v>612</v>
      </c>
      <c r="W12" s="149" t="s">
        <v>613</v>
      </c>
      <c r="X12" s="149" t="s">
        <v>614</v>
      </c>
      <c r="Y12" s="149" t="s">
        <v>615</v>
      </c>
      <c r="Z12" s="149" t="s">
        <v>616</v>
      </c>
      <c r="AA12" s="149" t="s">
        <v>617</v>
      </c>
      <c r="AB12" s="149" t="s">
        <v>618</v>
      </c>
      <c r="AC12" s="149" t="s">
        <v>619</v>
      </c>
      <c r="AD12" s="149" t="s">
        <v>620</v>
      </c>
      <c r="AE12" s="149" t="s">
        <v>621</v>
      </c>
      <c r="AF12" s="149" t="s">
        <v>622</v>
      </c>
      <c r="AG12" s="149" t="s">
        <v>623</v>
      </c>
      <c r="AH12" s="149" t="s">
        <v>624</v>
      </c>
      <c r="AI12" s="149" t="s">
        <v>649</v>
      </c>
      <c r="AJ12" s="311" t="s">
        <v>654</v>
      </c>
    </row>
    <row r="13" spans="1:36" s="7" customFormat="1" ht="18" customHeight="1" thickBot="1" x14ac:dyDescent="0.35">
      <c r="A13" s="127" t="s">
        <v>7</v>
      </c>
      <c r="B13" s="127" t="s">
        <v>185</v>
      </c>
      <c r="C13" s="127">
        <v>20368</v>
      </c>
      <c r="D13" s="192" t="s">
        <v>587</v>
      </c>
      <c r="E13" s="127"/>
      <c r="F13" s="127">
        <f>SUM(H13:AI13)</f>
        <v>20368</v>
      </c>
      <c r="G13" s="127">
        <f t="shared" ref="G13:G49" si="0">IF(ISBLANK(E13),C13-F13,C13-E13)</f>
        <v>0</v>
      </c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>
        <v>150</v>
      </c>
      <c r="S13" s="194">
        <v>3186</v>
      </c>
      <c r="T13" s="194">
        <v>3668</v>
      </c>
      <c r="U13" s="194">
        <v>2056</v>
      </c>
      <c r="V13" s="194"/>
      <c r="W13" s="194"/>
      <c r="X13" s="194"/>
      <c r="Y13" s="194"/>
      <c r="Z13" s="194"/>
      <c r="AA13" s="194"/>
      <c r="AB13" s="194"/>
      <c r="AC13" s="194"/>
      <c r="AD13" s="194">
        <v>2418</v>
      </c>
      <c r="AE13" s="194">
        <v>1532</v>
      </c>
      <c r="AF13" s="194"/>
      <c r="AG13" s="194"/>
      <c r="AH13" s="194"/>
      <c r="AI13" s="7">
        <v>7358</v>
      </c>
    </row>
    <row r="14" spans="1:36" ht="18" customHeight="1" thickBot="1" x14ac:dyDescent="0.3">
      <c r="A14" s="127" t="s">
        <v>9</v>
      </c>
      <c r="B14" s="127" t="s">
        <v>187</v>
      </c>
      <c r="C14" s="127">
        <v>2494</v>
      </c>
      <c r="D14" s="192" t="s">
        <v>587</v>
      </c>
      <c r="E14" s="127"/>
      <c r="F14" s="188">
        <f t="shared" ref="F14:F49" si="1">SUM(H14:AI14)</f>
        <v>0</v>
      </c>
      <c r="G14" s="188">
        <f t="shared" si="0"/>
        <v>2494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1:36" ht="18" customHeight="1" thickBot="1" x14ac:dyDescent="0.3">
      <c r="A15" s="127" t="s">
        <v>10</v>
      </c>
      <c r="B15" s="127" t="s">
        <v>411</v>
      </c>
      <c r="C15" s="127">
        <v>1663</v>
      </c>
      <c r="D15" s="192" t="s">
        <v>587</v>
      </c>
      <c r="E15" s="127"/>
      <c r="F15" s="188">
        <f t="shared" si="1"/>
        <v>1663</v>
      </c>
      <c r="G15" s="188">
        <f t="shared" si="0"/>
        <v>0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>
        <v>305</v>
      </c>
      <c r="AC15" s="194"/>
      <c r="AD15" s="194"/>
      <c r="AE15" s="194">
        <v>1358</v>
      </c>
      <c r="AF15" s="194"/>
      <c r="AG15" s="194"/>
      <c r="AH15" s="194"/>
    </row>
    <row r="16" spans="1:36" ht="18" customHeight="1" thickBot="1" x14ac:dyDescent="0.3">
      <c r="A16" s="127" t="s">
        <v>13</v>
      </c>
      <c r="B16" s="127" t="s">
        <v>191</v>
      </c>
      <c r="C16" s="127">
        <v>11223</v>
      </c>
      <c r="D16" s="192" t="s">
        <v>587</v>
      </c>
      <c r="E16" s="127"/>
      <c r="F16" s="188">
        <f t="shared" si="1"/>
        <v>7764</v>
      </c>
      <c r="G16" s="188">
        <f t="shared" si="0"/>
        <v>3459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>
        <v>2625</v>
      </c>
      <c r="AB16" s="194">
        <f>47+2457</f>
        <v>2504</v>
      </c>
      <c r="AC16" s="194">
        <v>1299</v>
      </c>
      <c r="AD16" s="194">
        <v>330</v>
      </c>
      <c r="AE16" s="194">
        <v>270</v>
      </c>
      <c r="AF16" s="194"/>
      <c r="AG16" s="194"/>
      <c r="AH16" s="194">
        <f>13+723</f>
        <v>736</v>
      </c>
    </row>
    <row r="17" spans="1:35" ht="18" customHeight="1" thickBot="1" x14ac:dyDescent="0.3">
      <c r="A17" s="127" t="s">
        <v>19</v>
      </c>
      <c r="B17" s="127" t="s">
        <v>197</v>
      </c>
      <c r="C17" s="127">
        <v>5819</v>
      </c>
      <c r="D17" s="192" t="s">
        <v>587</v>
      </c>
      <c r="E17" s="127"/>
      <c r="F17" s="188">
        <f t="shared" si="1"/>
        <v>49</v>
      </c>
      <c r="G17" s="188">
        <f t="shared" si="0"/>
        <v>5770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>
        <v>49</v>
      </c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</row>
    <row r="18" spans="1:35" ht="18" customHeight="1" thickBot="1" x14ac:dyDescent="0.3">
      <c r="A18" s="127" t="s">
        <v>35</v>
      </c>
      <c r="B18" s="127" t="s">
        <v>213</v>
      </c>
      <c r="C18" s="127">
        <v>416</v>
      </c>
      <c r="D18" s="192" t="s">
        <v>372</v>
      </c>
      <c r="E18" s="127">
        <f>IF(ISBLANK(D18),,C18)</f>
        <v>416</v>
      </c>
      <c r="F18" s="188">
        <f t="shared" si="1"/>
        <v>0</v>
      </c>
      <c r="G18" s="188">
        <f t="shared" si="0"/>
        <v>0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</row>
    <row r="19" spans="1:35" ht="18" customHeight="1" thickBot="1" x14ac:dyDescent="0.3">
      <c r="A19" s="127" t="s">
        <v>46</v>
      </c>
      <c r="B19" s="127" t="s">
        <v>224</v>
      </c>
      <c r="C19" s="127">
        <v>19952</v>
      </c>
      <c r="D19" s="164" t="s">
        <v>587</v>
      </c>
      <c r="E19" s="127"/>
      <c r="F19" s="188">
        <f t="shared" si="1"/>
        <v>19952</v>
      </c>
      <c r="G19" s="188">
        <f t="shared" si="0"/>
        <v>0</v>
      </c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v>19952</v>
      </c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</row>
    <row r="20" spans="1:35" ht="18" customHeight="1" thickBot="1" x14ac:dyDescent="0.3">
      <c r="A20" s="127" t="s">
        <v>49</v>
      </c>
      <c r="B20" s="127" t="s">
        <v>466</v>
      </c>
      <c r="C20" s="127">
        <v>29928</v>
      </c>
      <c r="D20" s="164" t="s">
        <v>587</v>
      </c>
      <c r="E20" s="127"/>
      <c r="F20" s="188">
        <f t="shared" si="1"/>
        <v>29928</v>
      </c>
      <c r="G20" s="188">
        <f t="shared" si="0"/>
        <v>0</v>
      </c>
      <c r="H20" s="194"/>
      <c r="I20" s="194"/>
      <c r="J20" s="194"/>
      <c r="K20" s="194"/>
      <c r="L20" s="194">
        <v>583</v>
      </c>
      <c r="M20" s="194"/>
      <c r="N20" s="194"/>
      <c r="O20" s="194">
        <v>583</v>
      </c>
      <c r="P20" s="194"/>
      <c r="Q20" s="194">
        <v>583</v>
      </c>
      <c r="R20" s="194"/>
      <c r="S20" s="194">
        <v>28179</v>
      </c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</row>
    <row r="21" spans="1:35" ht="18" customHeight="1" thickBot="1" x14ac:dyDescent="0.3">
      <c r="A21" s="127" t="s">
        <v>56</v>
      </c>
      <c r="B21" s="127" t="s">
        <v>234</v>
      </c>
      <c r="C21" s="127">
        <v>20368</v>
      </c>
      <c r="D21" s="164" t="s">
        <v>587</v>
      </c>
      <c r="E21" s="127"/>
      <c r="F21" s="188">
        <f t="shared" si="1"/>
        <v>8256</v>
      </c>
      <c r="G21" s="188">
        <f t="shared" si="0"/>
        <v>12112</v>
      </c>
      <c r="H21" s="194"/>
      <c r="I21" s="194"/>
      <c r="J21" s="194"/>
      <c r="K21" s="194"/>
      <c r="L21" s="194">
        <v>1674</v>
      </c>
      <c r="M21" s="194">
        <v>2095</v>
      </c>
      <c r="N21" s="194">
        <v>3043</v>
      </c>
      <c r="O21" s="194"/>
      <c r="P21" s="194">
        <v>341</v>
      </c>
      <c r="Q21" s="194">
        <v>895</v>
      </c>
      <c r="R21" s="194"/>
      <c r="S21" s="194"/>
      <c r="T21" s="194"/>
      <c r="U21" s="194"/>
      <c r="V21" s="194"/>
      <c r="W21" s="194"/>
      <c r="X21" s="194"/>
      <c r="Y21" s="194"/>
      <c r="Z21" s="194">
        <v>208</v>
      </c>
      <c r="AA21" s="194"/>
      <c r="AB21" s="194"/>
      <c r="AC21" s="194"/>
      <c r="AD21" s="194"/>
      <c r="AE21" s="194"/>
      <c r="AF21" s="194"/>
      <c r="AG21" s="194"/>
      <c r="AH21" s="194"/>
    </row>
    <row r="22" spans="1:35" ht="18" customHeight="1" thickBot="1" x14ac:dyDescent="0.3">
      <c r="A22" s="127" t="s">
        <v>57</v>
      </c>
      <c r="B22" s="127" t="s">
        <v>235</v>
      </c>
      <c r="C22" s="127">
        <v>23277</v>
      </c>
      <c r="D22" s="164" t="s">
        <v>587</v>
      </c>
      <c r="E22" s="127"/>
      <c r="F22" s="188">
        <f t="shared" si="1"/>
        <v>0</v>
      </c>
      <c r="G22" s="188">
        <f t="shared" si="0"/>
        <v>23277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</row>
    <row r="23" spans="1:35" ht="18" customHeight="1" thickBot="1" x14ac:dyDescent="0.3">
      <c r="A23" s="127" t="s">
        <v>59</v>
      </c>
      <c r="B23" s="127" t="s">
        <v>237</v>
      </c>
      <c r="C23" s="127">
        <v>110983</v>
      </c>
      <c r="D23" s="164" t="s">
        <v>587</v>
      </c>
      <c r="E23" s="127"/>
      <c r="F23" s="188">
        <f t="shared" si="1"/>
        <v>110983</v>
      </c>
      <c r="G23" s="188">
        <f t="shared" si="0"/>
        <v>0</v>
      </c>
      <c r="H23" s="194"/>
      <c r="I23" s="194"/>
      <c r="J23" s="194"/>
      <c r="K23" s="194"/>
      <c r="L23" s="194"/>
      <c r="M23" s="194">
        <v>353</v>
      </c>
      <c r="N23" s="194">
        <v>858</v>
      </c>
      <c r="O23" s="194">
        <v>1649</v>
      </c>
      <c r="P23" s="194">
        <v>1342</v>
      </c>
      <c r="Q23" s="194">
        <v>2411</v>
      </c>
      <c r="R23" s="194">
        <v>3621</v>
      </c>
      <c r="S23" s="194">
        <v>8429</v>
      </c>
      <c r="T23" s="194"/>
      <c r="U23" s="194"/>
      <c r="V23" s="194">
        <v>48503</v>
      </c>
      <c r="W23" s="194"/>
      <c r="X23" s="194">
        <f>3140+1203</f>
        <v>4343</v>
      </c>
      <c r="Y23" s="194">
        <v>3742</v>
      </c>
      <c r="Z23" s="194">
        <v>6100</v>
      </c>
      <c r="AA23" s="194"/>
      <c r="AB23" s="194">
        <v>6695</v>
      </c>
      <c r="AC23" s="194">
        <v>6209</v>
      </c>
      <c r="AD23" s="194">
        <v>6397</v>
      </c>
      <c r="AE23" s="194">
        <v>6530</v>
      </c>
      <c r="AF23" s="194"/>
      <c r="AG23" s="194"/>
      <c r="AH23" s="194">
        <v>3801</v>
      </c>
    </row>
    <row r="24" spans="1:35" ht="18" customHeight="1" thickBot="1" x14ac:dyDescent="0.35">
      <c r="A24" s="127" t="s">
        <v>62</v>
      </c>
      <c r="B24" s="127" t="s">
        <v>240</v>
      </c>
      <c r="C24" s="127">
        <v>86875</v>
      </c>
      <c r="D24" s="164" t="s">
        <v>587</v>
      </c>
      <c r="E24" s="127"/>
      <c r="F24" s="188">
        <f t="shared" si="1"/>
        <v>64362</v>
      </c>
      <c r="G24" s="188">
        <f t="shared" si="0"/>
        <v>22513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>
        <v>1924</v>
      </c>
      <c r="Y24" s="194"/>
      <c r="Z24" s="194"/>
      <c r="AA24" s="194">
        <v>13898</v>
      </c>
      <c r="AB24" s="194"/>
      <c r="AC24" s="194"/>
      <c r="AD24" s="194">
        <v>14633</v>
      </c>
      <c r="AE24" s="194"/>
      <c r="AF24" s="194">
        <f>25406</f>
        <v>25406</v>
      </c>
      <c r="AG24" s="194">
        <v>2614</v>
      </c>
      <c r="AH24" s="194">
        <v>3578</v>
      </c>
      <c r="AI24" s="211">
        <v>2309</v>
      </c>
    </row>
    <row r="25" spans="1:35" ht="18" customHeight="1" thickBot="1" x14ac:dyDescent="0.3">
      <c r="A25" s="127" t="s">
        <v>63</v>
      </c>
      <c r="B25" s="127" t="s">
        <v>241</v>
      </c>
      <c r="C25" s="127">
        <v>831</v>
      </c>
      <c r="D25" s="164" t="s">
        <v>372</v>
      </c>
      <c r="E25" s="188">
        <f>IF(ISBLANK(D25),,C25)</f>
        <v>831</v>
      </c>
      <c r="F25" s="188">
        <f t="shared" si="1"/>
        <v>0</v>
      </c>
      <c r="G25" s="188">
        <f t="shared" si="0"/>
        <v>0</v>
      </c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1:35" ht="18" customHeight="1" thickBot="1" x14ac:dyDescent="0.3">
      <c r="A26" s="127" t="s">
        <v>67</v>
      </c>
      <c r="B26" s="127" t="s">
        <v>245</v>
      </c>
      <c r="C26" s="127">
        <v>7066</v>
      </c>
      <c r="D26" s="164" t="s">
        <v>587</v>
      </c>
      <c r="E26" s="127"/>
      <c r="F26" s="188">
        <f t="shared" si="1"/>
        <v>7066</v>
      </c>
      <c r="G26" s="188">
        <f t="shared" si="0"/>
        <v>0</v>
      </c>
      <c r="H26" s="194"/>
      <c r="I26" s="194"/>
      <c r="J26" s="194"/>
      <c r="K26" s="194"/>
      <c r="L26" s="194"/>
      <c r="M26" s="194">
        <v>217</v>
      </c>
      <c r="N26" s="194">
        <v>325</v>
      </c>
      <c r="O26" s="194"/>
      <c r="P26" s="194"/>
      <c r="Q26" s="194"/>
      <c r="R26" s="194"/>
      <c r="S26" s="194">
        <v>708</v>
      </c>
      <c r="T26" s="194"/>
      <c r="U26" s="194">
        <v>3389</v>
      </c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>
        <v>2427</v>
      </c>
      <c r="AH26" s="194"/>
    </row>
    <row r="27" spans="1:35" ht="18" customHeight="1" thickBot="1" x14ac:dyDescent="0.3">
      <c r="A27" s="127" t="s">
        <v>73</v>
      </c>
      <c r="B27" s="127" t="s">
        <v>478</v>
      </c>
      <c r="C27" s="127">
        <v>9145</v>
      </c>
      <c r="D27" s="164" t="s">
        <v>587</v>
      </c>
      <c r="E27" s="127"/>
      <c r="F27" s="188">
        <f t="shared" si="1"/>
        <v>0</v>
      </c>
      <c r="G27" s="188">
        <f t="shared" si="0"/>
        <v>9145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</row>
    <row r="28" spans="1:35" ht="18" customHeight="1" thickBot="1" x14ac:dyDescent="0.35">
      <c r="A28" s="127" t="s">
        <v>74</v>
      </c>
      <c r="B28" s="127" t="s">
        <v>480</v>
      </c>
      <c r="C28" s="127">
        <v>1247</v>
      </c>
      <c r="D28" s="164" t="s">
        <v>587</v>
      </c>
      <c r="E28" s="127"/>
      <c r="F28" s="188">
        <f t="shared" si="1"/>
        <v>1247</v>
      </c>
      <c r="G28" s="188">
        <f t="shared" si="0"/>
        <v>0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>
        <v>1247</v>
      </c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35" ht="18" customHeight="1" thickBot="1" x14ac:dyDescent="0.35">
      <c r="A29" s="127" t="s">
        <v>75</v>
      </c>
      <c r="B29" s="127" t="s">
        <v>253</v>
      </c>
      <c r="C29" s="127">
        <v>416</v>
      </c>
      <c r="D29" s="164" t="s">
        <v>587</v>
      </c>
      <c r="E29" s="127"/>
      <c r="F29" s="188">
        <f t="shared" si="1"/>
        <v>0</v>
      </c>
      <c r="G29" s="188">
        <f t="shared" si="0"/>
        <v>416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</row>
    <row r="30" spans="1:35" ht="18" customHeight="1" thickBot="1" x14ac:dyDescent="0.35">
      <c r="A30" s="127" t="s">
        <v>78</v>
      </c>
      <c r="B30" s="127" t="s">
        <v>256</v>
      </c>
      <c r="C30" s="127">
        <v>1247</v>
      </c>
      <c r="D30" s="164" t="s">
        <v>375</v>
      </c>
      <c r="E30" s="188">
        <f>IF(ISBLANK(D30),,C30)</f>
        <v>1247</v>
      </c>
      <c r="F30" s="188">
        <f t="shared" si="1"/>
        <v>0</v>
      </c>
      <c r="G30" s="188">
        <f t="shared" si="0"/>
        <v>0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</row>
    <row r="31" spans="1:35" ht="18" customHeight="1" thickBot="1" x14ac:dyDescent="0.35">
      <c r="A31" s="127" t="s">
        <v>84</v>
      </c>
      <c r="B31" s="127" t="s">
        <v>262</v>
      </c>
      <c r="C31" s="127">
        <v>17458</v>
      </c>
      <c r="D31" s="164" t="s">
        <v>587</v>
      </c>
      <c r="E31" s="127"/>
      <c r="F31" s="188">
        <f t="shared" si="1"/>
        <v>17458</v>
      </c>
      <c r="G31" s="188">
        <f t="shared" si="0"/>
        <v>0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>
        <v>3756</v>
      </c>
      <c r="Z31" s="194"/>
      <c r="AA31" s="194">
        <v>5235</v>
      </c>
      <c r="AB31" s="194">
        <v>3735</v>
      </c>
      <c r="AC31" s="194">
        <v>3787</v>
      </c>
      <c r="AD31" s="194">
        <v>945</v>
      </c>
      <c r="AE31" s="194"/>
      <c r="AF31" s="194"/>
      <c r="AG31" s="194"/>
      <c r="AH31" s="194"/>
    </row>
    <row r="32" spans="1:35" ht="18" customHeight="1" thickBot="1" x14ac:dyDescent="0.35">
      <c r="A32" s="127" t="s">
        <v>90</v>
      </c>
      <c r="B32" s="127" t="s">
        <v>268</v>
      </c>
      <c r="C32" s="127">
        <v>2910</v>
      </c>
      <c r="D32" s="164" t="s">
        <v>372</v>
      </c>
      <c r="E32" s="188">
        <f>IF(ISBLANK(D32),,C32)</f>
        <v>2910</v>
      </c>
      <c r="F32" s="188">
        <f t="shared" si="1"/>
        <v>0</v>
      </c>
      <c r="G32" s="188">
        <f t="shared" si="0"/>
        <v>0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</row>
    <row r="33" spans="1:36" ht="18" customHeight="1" thickBot="1" x14ac:dyDescent="0.35">
      <c r="A33" s="127" t="s">
        <v>92</v>
      </c>
      <c r="B33" s="127" t="s">
        <v>270</v>
      </c>
      <c r="C33" s="127">
        <v>1663</v>
      </c>
      <c r="D33" s="164" t="s">
        <v>587</v>
      </c>
      <c r="E33" s="127"/>
      <c r="F33" s="188">
        <f t="shared" si="1"/>
        <v>1663</v>
      </c>
      <c r="G33" s="188">
        <f t="shared" si="0"/>
        <v>0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>
        <v>1663</v>
      </c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</row>
    <row r="34" spans="1:36" ht="18" customHeight="1" thickBot="1" x14ac:dyDescent="0.35">
      <c r="A34" s="269" t="s">
        <v>94</v>
      </c>
      <c r="B34" s="269" t="s">
        <v>501</v>
      </c>
      <c r="C34" s="269">
        <v>831</v>
      </c>
      <c r="D34" s="270" t="s">
        <v>587</v>
      </c>
      <c r="E34" s="269"/>
      <c r="F34" s="269">
        <f t="shared" si="1"/>
        <v>831</v>
      </c>
      <c r="G34" s="269">
        <f t="shared" si="0"/>
        <v>0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>
        <v>831</v>
      </c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1:36" ht="18" customHeight="1" thickBot="1" x14ac:dyDescent="0.35">
      <c r="A35" s="127" t="s">
        <v>96</v>
      </c>
      <c r="B35" s="127" t="s">
        <v>274</v>
      </c>
      <c r="C35" s="127">
        <v>4157</v>
      </c>
      <c r="D35" s="164" t="s">
        <v>587</v>
      </c>
      <c r="E35" s="127"/>
      <c r="F35" s="188">
        <f t="shared" si="1"/>
        <v>508</v>
      </c>
      <c r="G35" s="188">
        <f t="shared" si="0"/>
        <v>3649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>
        <v>486</v>
      </c>
      <c r="V35" s="194"/>
      <c r="W35" s="194">
        <v>22</v>
      </c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</row>
    <row r="36" spans="1:36" ht="18" customHeight="1" thickBot="1" x14ac:dyDescent="0.35">
      <c r="A36" s="127" t="s">
        <v>108</v>
      </c>
      <c r="B36" s="127" t="s">
        <v>511</v>
      </c>
      <c r="C36" s="127">
        <v>416</v>
      </c>
      <c r="D36" s="164" t="s">
        <v>373</v>
      </c>
      <c r="E36" s="188">
        <f>IF(ISBLANK(D36),,C36)</f>
        <v>416</v>
      </c>
      <c r="F36" s="188">
        <f t="shared" si="1"/>
        <v>0</v>
      </c>
      <c r="G36" s="188">
        <f t="shared" si="0"/>
        <v>0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1:36" ht="18" customHeight="1" thickBot="1" x14ac:dyDescent="0.35">
      <c r="A37" s="127" t="s">
        <v>123</v>
      </c>
      <c r="B37" s="127" t="s">
        <v>531</v>
      </c>
      <c r="C37" s="127">
        <v>19952</v>
      </c>
      <c r="D37" s="164" t="s">
        <v>587</v>
      </c>
      <c r="E37" s="127"/>
      <c r="F37" s="188">
        <f>SUM(H37:AJ37)</f>
        <v>19735</v>
      </c>
      <c r="G37" s="188">
        <f t="shared" si="0"/>
        <v>217</v>
      </c>
      <c r="H37" s="194"/>
      <c r="I37" s="194"/>
      <c r="J37" s="194"/>
      <c r="K37" s="194">
        <v>40</v>
      </c>
      <c r="L37" s="194">
        <v>2116</v>
      </c>
      <c r="M37" s="194">
        <v>1614</v>
      </c>
      <c r="N37" s="194">
        <v>1298</v>
      </c>
      <c r="O37" s="194">
        <v>1395</v>
      </c>
      <c r="P37" s="194">
        <v>1909</v>
      </c>
      <c r="Q37" s="194">
        <v>1571</v>
      </c>
      <c r="R37" s="194">
        <v>1391</v>
      </c>
      <c r="S37" s="194">
        <v>1533</v>
      </c>
      <c r="T37" s="194">
        <v>1136</v>
      </c>
      <c r="U37" s="194"/>
      <c r="V37" s="194"/>
      <c r="W37" s="194"/>
      <c r="X37" s="194">
        <f>303+659+458</f>
        <v>1420</v>
      </c>
      <c r="Y37" s="194">
        <v>599</v>
      </c>
      <c r="Z37" s="194">
        <v>510</v>
      </c>
      <c r="AA37" s="194">
        <v>331</v>
      </c>
      <c r="AB37" s="194">
        <v>662</v>
      </c>
      <c r="AC37" s="194">
        <v>541</v>
      </c>
      <c r="AD37" s="194">
        <v>452</v>
      </c>
      <c r="AE37" s="194">
        <v>661</v>
      </c>
      <c r="AF37" s="194">
        <v>211</v>
      </c>
      <c r="AG37" s="194"/>
      <c r="AH37" s="194"/>
      <c r="AI37" s="211">
        <v>102</v>
      </c>
      <c r="AJ37" s="211">
        <v>243</v>
      </c>
    </row>
    <row r="38" spans="1:36" ht="18" customHeight="1" thickBot="1" x14ac:dyDescent="0.35">
      <c r="A38" s="127" t="s">
        <v>139</v>
      </c>
      <c r="B38" s="127" t="s">
        <v>542</v>
      </c>
      <c r="C38" s="127">
        <v>416</v>
      </c>
      <c r="D38" s="164" t="s">
        <v>416</v>
      </c>
      <c r="E38" s="188">
        <f>IF(ISBLANK(D38),,C38)</f>
        <v>416</v>
      </c>
      <c r="F38" s="188">
        <f t="shared" si="1"/>
        <v>0</v>
      </c>
      <c r="G38" s="188">
        <f t="shared" si="0"/>
        <v>0</v>
      </c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</row>
    <row r="39" spans="1:36" ht="18" customHeight="1" thickBot="1" x14ac:dyDescent="0.35">
      <c r="A39" s="127" t="s">
        <v>140</v>
      </c>
      <c r="B39" s="127" t="s">
        <v>544</v>
      </c>
      <c r="C39" s="127">
        <v>416</v>
      </c>
      <c r="D39" s="164" t="s">
        <v>587</v>
      </c>
      <c r="E39" s="127"/>
      <c r="F39" s="188">
        <f t="shared" si="1"/>
        <v>0</v>
      </c>
      <c r="G39" s="188">
        <f t="shared" si="0"/>
        <v>416</v>
      </c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</row>
    <row r="40" spans="1:36" ht="18" customHeight="1" thickBot="1" x14ac:dyDescent="0.35">
      <c r="A40" s="127" t="s">
        <v>155</v>
      </c>
      <c r="B40" s="127" t="s">
        <v>560</v>
      </c>
      <c r="C40" s="127">
        <v>5404</v>
      </c>
      <c r="D40" s="164" t="s">
        <v>587</v>
      </c>
      <c r="E40" s="127"/>
      <c r="F40" s="188">
        <f t="shared" si="1"/>
        <v>3627</v>
      </c>
      <c r="G40" s="188">
        <f t="shared" si="0"/>
        <v>1777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>
        <v>3627</v>
      </c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</row>
    <row r="41" spans="1:36" ht="18" customHeight="1" thickBot="1" x14ac:dyDescent="0.35">
      <c r="A41" s="127" t="s">
        <v>156</v>
      </c>
      <c r="B41" s="127" t="s">
        <v>334</v>
      </c>
      <c r="C41" s="127">
        <v>416</v>
      </c>
      <c r="D41" s="164" t="s">
        <v>587</v>
      </c>
      <c r="E41" s="127"/>
      <c r="F41" s="188">
        <f t="shared" si="1"/>
        <v>416</v>
      </c>
      <c r="G41" s="188">
        <f t="shared" si="0"/>
        <v>0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>
        <v>416</v>
      </c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</row>
    <row r="42" spans="1:36" ht="18" customHeight="1" thickBot="1" x14ac:dyDescent="0.35">
      <c r="A42" s="127" t="s">
        <v>171</v>
      </c>
      <c r="B42" s="127" t="s">
        <v>413</v>
      </c>
      <c r="C42" s="127">
        <v>1247</v>
      </c>
      <c r="D42" s="164" t="s">
        <v>587</v>
      </c>
      <c r="E42" s="127"/>
      <c r="F42" s="188">
        <f t="shared" si="1"/>
        <v>1247</v>
      </c>
      <c r="G42" s="188">
        <f t="shared" si="0"/>
        <v>0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>
        <v>1247</v>
      </c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</row>
    <row r="43" spans="1:36" ht="18" customHeight="1" thickBot="1" x14ac:dyDescent="0.35">
      <c r="A43" s="127" t="s">
        <v>174</v>
      </c>
      <c r="B43" s="127" t="s">
        <v>350</v>
      </c>
      <c r="C43" s="127">
        <v>22862</v>
      </c>
      <c r="D43" s="164" t="s">
        <v>587</v>
      </c>
      <c r="E43" s="127"/>
      <c r="F43" s="188">
        <f t="shared" si="1"/>
        <v>20261</v>
      </c>
      <c r="G43" s="188">
        <f t="shared" si="0"/>
        <v>2601</v>
      </c>
      <c r="H43" s="194"/>
      <c r="I43" s="194"/>
      <c r="J43" s="194"/>
      <c r="K43" s="194"/>
      <c r="L43" s="194">
        <v>1421</v>
      </c>
      <c r="M43" s="194">
        <v>2126</v>
      </c>
      <c r="N43" s="194"/>
      <c r="O43" s="194">
        <v>2897</v>
      </c>
      <c r="P43" s="194">
        <v>1925</v>
      </c>
      <c r="Q43" s="194">
        <v>1623</v>
      </c>
      <c r="R43" s="194">
        <v>1548</v>
      </c>
      <c r="S43" s="194">
        <v>99</v>
      </c>
      <c r="T43" s="194">
        <v>3070</v>
      </c>
      <c r="U43" s="194"/>
      <c r="V43" s="194"/>
      <c r="W43" s="194"/>
      <c r="X43" s="194"/>
      <c r="Y43" s="194">
        <v>804</v>
      </c>
      <c r="Z43" s="194">
        <v>894</v>
      </c>
      <c r="AA43" s="194"/>
      <c r="AB43" s="194"/>
      <c r="AC43" s="194"/>
      <c r="AD43" s="194">
        <v>38</v>
      </c>
      <c r="AE43" s="194">
        <v>1594</v>
      </c>
      <c r="AF43" s="194"/>
      <c r="AG43" s="194"/>
      <c r="AH43" s="194"/>
      <c r="AI43" s="2">
        <v>2222</v>
      </c>
    </row>
    <row r="44" spans="1:36" ht="18" customHeight="1" thickBot="1" x14ac:dyDescent="0.35">
      <c r="A44" s="127" t="s">
        <v>183</v>
      </c>
      <c r="B44" s="127" t="s">
        <v>585</v>
      </c>
      <c r="C44" s="127">
        <v>1247</v>
      </c>
      <c r="D44" s="164" t="s">
        <v>372</v>
      </c>
      <c r="E44" s="188">
        <f>IF(ISBLANK(D44),,C44)</f>
        <v>1247</v>
      </c>
      <c r="F44" s="188">
        <f t="shared" si="1"/>
        <v>0</v>
      </c>
      <c r="G44" s="188">
        <f t="shared" si="0"/>
        <v>0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</row>
    <row r="45" spans="1:36" ht="18" customHeight="1" thickBot="1" x14ac:dyDescent="0.35">
      <c r="A45" s="127" t="s">
        <v>417</v>
      </c>
      <c r="B45" s="127" t="s">
        <v>586</v>
      </c>
      <c r="C45" s="127">
        <v>12470</v>
      </c>
      <c r="D45" s="164" t="s">
        <v>587</v>
      </c>
      <c r="E45" s="127"/>
      <c r="F45" s="188">
        <f t="shared" si="1"/>
        <v>12470</v>
      </c>
      <c r="G45" s="188">
        <f t="shared" si="0"/>
        <v>0</v>
      </c>
      <c r="H45" s="194"/>
      <c r="I45" s="194"/>
      <c r="J45" s="194"/>
      <c r="K45" s="194"/>
      <c r="L45" s="194"/>
      <c r="M45" s="194">
        <v>176</v>
      </c>
      <c r="N45" s="194">
        <v>1797</v>
      </c>
      <c r="O45" s="194"/>
      <c r="P45" s="194">
        <v>840</v>
      </c>
      <c r="Q45" s="194">
        <v>2472</v>
      </c>
      <c r="R45" s="194">
        <v>1080</v>
      </c>
      <c r="S45" s="194">
        <v>4224</v>
      </c>
      <c r="T45" s="194">
        <f>1079+145</f>
        <v>1224</v>
      </c>
      <c r="U45" s="194"/>
      <c r="V45" s="194"/>
      <c r="W45" s="194"/>
      <c r="X45" s="194"/>
      <c r="Y45" s="194"/>
      <c r="Z45" s="194">
        <v>657</v>
      </c>
      <c r="AA45" s="194"/>
      <c r="AB45" s="194"/>
      <c r="AC45" s="194"/>
      <c r="AD45" s="194"/>
      <c r="AE45" s="194"/>
      <c r="AF45" s="194"/>
      <c r="AG45" s="194"/>
      <c r="AH45" s="194"/>
    </row>
    <row r="46" spans="1:36" s="184" customFormat="1" ht="18" customHeight="1" thickBot="1" x14ac:dyDescent="0.35">
      <c r="A46" s="157" t="s">
        <v>372</v>
      </c>
      <c r="B46" s="185" t="s">
        <v>376</v>
      </c>
      <c r="C46" s="189">
        <f>SUMIF(D:D,A46,E:E)</f>
        <v>5404</v>
      </c>
      <c r="D46" s="164" t="s">
        <v>587</v>
      </c>
      <c r="E46" s="188"/>
      <c r="F46" s="188">
        <f t="shared" si="1"/>
        <v>5384</v>
      </c>
      <c r="G46" s="188">
        <f t="shared" si="0"/>
        <v>20</v>
      </c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>
        <v>5170</v>
      </c>
      <c r="T46" s="194">
        <v>117</v>
      </c>
      <c r="U46" s="194">
        <v>97</v>
      </c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</row>
    <row r="47" spans="1:36" s="184" customFormat="1" ht="18" customHeight="1" thickBot="1" x14ac:dyDescent="0.35">
      <c r="A47" s="157" t="s">
        <v>373</v>
      </c>
      <c r="B47" s="185" t="s">
        <v>633</v>
      </c>
      <c r="C47" s="189">
        <f t="shared" ref="C47:C49" si="2">SUMIF(D:D,A47,E:E)</f>
        <v>416</v>
      </c>
      <c r="D47" s="164" t="s">
        <v>587</v>
      </c>
      <c r="E47" s="188"/>
      <c r="F47" s="188">
        <f t="shared" si="1"/>
        <v>0</v>
      </c>
      <c r="G47" s="188">
        <f t="shared" si="0"/>
        <v>416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</row>
    <row r="48" spans="1:36" s="184" customFormat="1" ht="18" customHeight="1" thickBot="1" x14ac:dyDescent="0.35">
      <c r="A48" s="157" t="s">
        <v>416</v>
      </c>
      <c r="B48" s="186" t="s">
        <v>405</v>
      </c>
      <c r="C48" s="189">
        <f t="shared" si="2"/>
        <v>416</v>
      </c>
      <c r="D48" s="164" t="s">
        <v>587</v>
      </c>
      <c r="E48" s="188"/>
      <c r="F48" s="188">
        <f t="shared" si="1"/>
        <v>416</v>
      </c>
      <c r="G48" s="188">
        <f t="shared" si="0"/>
        <v>0</v>
      </c>
      <c r="H48" s="194"/>
      <c r="I48" s="194"/>
      <c r="J48" s="194"/>
      <c r="K48" s="194"/>
      <c r="L48" s="194"/>
      <c r="M48" s="194">
        <v>416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</row>
    <row r="49" spans="1:35" s="184" customFormat="1" ht="18" customHeight="1" thickBot="1" x14ac:dyDescent="0.35">
      <c r="A49" s="157" t="s">
        <v>375</v>
      </c>
      <c r="B49" s="185" t="s">
        <v>634</v>
      </c>
      <c r="C49" s="189">
        <f t="shared" si="2"/>
        <v>1247</v>
      </c>
      <c r="D49" s="164" t="s">
        <v>587</v>
      </c>
      <c r="E49" s="188"/>
      <c r="F49" s="188">
        <f t="shared" si="1"/>
        <v>1247</v>
      </c>
      <c r="G49" s="188">
        <f t="shared" si="0"/>
        <v>0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>
        <v>1247</v>
      </c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</row>
    <row r="50" spans="1:35" s="1" customFormat="1" ht="18" customHeight="1" thickBot="1" x14ac:dyDescent="0.35">
      <c r="A50" s="146"/>
      <c r="B50" s="146"/>
      <c r="C50" s="146"/>
      <c r="D50" s="165"/>
      <c r="E50" s="127"/>
      <c r="F50" s="127"/>
      <c r="G50" s="127"/>
      <c r="H50" s="11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117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5" s="1" customFormat="1" ht="18" customHeight="1" thickBot="1" x14ac:dyDescent="0.35">
      <c r="A51" s="111" t="s">
        <v>590</v>
      </c>
      <c r="B51" s="111"/>
      <c r="C51" s="130">
        <f>SUM(C13:C49)-E51</f>
        <v>445183</v>
      </c>
      <c r="D51" s="191"/>
      <c r="E51" s="191">
        <f>SUM(E13:E49)</f>
        <v>7483</v>
      </c>
      <c r="F51" s="191">
        <f>SUM(F13:F50)</f>
        <v>356901</v>
      </c>
      <c r="G51" s="191">
        <f>SUM(G13:G49)</f>
        <v>88282</v>
      </c>
      <c r="H51" s="129">
        <f>SUM(H13:H49)</f>
        <v>0</v>
      </c>
      <c r="I51" s="190">
        <f t="shared" ref="I51:AI51" si="3">SUM(I13:I49)</f>
        <v>0</v>
      </c>
      <c r="J51" s="190">
        <f t="shared" si="3"/>
        <v>0</v>
      </c>
      <c r="K51" s="190">
        <f t="shared" si="3"/>
        <v>40</v>
      </c>
      <c r="L51" s="190">
        <f t="shared" si="3"/>
        <v>5794</v>
      </c>
      <c r="M51" s="190">
        <f t="shared" si="3"/>
        <v>6997</v>
      </c>
      <c r="N51" s="190">
        <f t="shared" si="3"/>
        <v>7321</v>
      </c>
      <c r="O51" s="190">
        <f t="shared" si="3"/>
        <v>6524</v>
      </c>
      <c r="P51" s="190">
        <f t="shared" si="3"/>
        <v>6357</v>
      </c>
      <c r="Q51" s="190">
        <f t="shared" si="3"/>
        <v>10802</v>
      </c>
      <c r="R51" s="190">
        <f t="shared" si="3"/>
        <v>7790</v>
      </c>
      <c r="S51" s="190">
        <f t="shared" si="3"/>
        <v>74390</v>
      </c>
      <c r="T51" s="190">
        <f t="shared" si="3"/>
        <v>13722</v>
      </c>
      <c r="U51" s="190">
        <f t="shared" si="3"/>
        <v>6028</v>
      </c>
      <c r="V51" s="190">
        <f t="shared" si="3"/>
        <v>50166</v>
      </c>
      <c r="W51" s="190">
        <f t="shared" si="3"/>
        <v>22</v>
      </c>
      <c r="X51" s="190">
        <f t="shared" si="3"/>
        <v>7687</v>
      </c>
      <c r="Y51" s="190">
        <f t="shared" si="3"/>
        <v>8901</v>
      </c>
      <c r="Z51" s="190">
        <f t="shared" si="3"/>
        <v>8369</v>
      </c>
      <c r="AA51" s="190">
        <f t="shared" si="3"/>
        <v>22089</v>
      </c>
      <c r="AB51" s="190">
        <f t="shared" si="3"/>
        <v>13901</v>
      </c>
      <c r="AC51" s="190">
        <f t="shared" si="3"/>
        <v>11836</v>
      </c>
      <c r="AD51" s="190">
        <f t="shared" si="3"/>
        <v>25213</v>
      </c>
      <c r="AE51" s="190">
        <f t="shared" si="3"/>
        <v>11945</v>
      </c>
      <c r="AF51" s="190">
        <f t="shared" si="3"/>
        <v>25617</v>
      </c>
      <c r="AG51" s="190">
        <f t="shared" si="3"/>
        <v>5041</v>
      </c>
      <c r="AH51" s="190">
        <f t="shared" si="3"/>
        <v>8115</v>
      </c>
      <c r="AI51" s="190">
        <f t="shared" si="3"/>
        <v>11991</v>
      </c>
    </row>
    <row r="52" spans="1:35" x14ac:dyDescent="0.3">
      <c r="M52" s="195"/>
    </row>
    <row r="54" spans="1:35" x14ac:dyDescent="0.3">
      <c r="Z54" s="195"/>
    </row>
    <row r="61" spans="1:35" x14ac:dyDescent="0.3">
      <c r="G61" s="195">
        <f>F51-354044</f>
        <v>2857</v>
      </c>
    </row>
  </sheetData>
  <sheetProtection algorithmName="SHA-512" hashValue="o8Jbu1auA2CanAUB2Kx5k87Zv06wHKW6ip3TjWvO2P+WOBR70sslI5J+whVkAxMzQnu1IAY4rjakECcv+PKoVg==" saltValue="TbtUG/U933LqmiWY9RjBBw==" spinCount="100000" sheet="1" objects="1" scenarios="1"/>
  <sortState ref="A169:AH202">
    <sortCondition ref="A1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66CCFF"/>
  </sheetPr>
  <dimension ref="A1:AG197"/>
  <sheetViews>
    <sheetView workbookViewId="0">
      <pane xSplit="5" ySplit="12" topLeftCell="AG13" activePane="bottomRight" state="frozen"/>
      <selection pane="topRight" activeCell="F1" sqref="F1"/>
      <selection pane="bottomLeft" activeCell="A13" sqref="A13"/>
      <selection pane="bottomRight" activeCell="A20" sqref="A20"/>
    </sheetView>
  </sheetViews>
  <sheetFormatPr defaultColWidth="9.109375" defaultRowHeight="14.4" x14ac:dyDescent="0.3"/>
  <cols>
    <col min="1" max="1" width="9.109375" style="2"/>
    <col min="2" max="2" width="36.6640625" style="2" customWidth="1"/>
    <col min="3" max="3" width="20.88671875" style="2" customWidth="1"/>
    <col min="4" max="4" width="18.88671875" style="2" customWidth="1"/>
    <col min="5" max="5" width="17" style="2" customWidth="1"/>
    <col min="6" max="32" width="15.6640625" style="2" customWidth="1"/>
    <col min="33" max="33" width="11.21875" style="2" customWidth="1"/>
    <col min="34" max="16384" width="9.109375" style="2"/>
  </cols>
  <sheetData>
    <row r="1" spans="1:33" ht="21" x14ac:dyDescent="0.35">
      <c r="A1" s="10" t="s">
        <v>0</v>
      </c>
      <c r="B1" s="11"/>
      <c r="C1" s="12" t="s">
        <v>398</v>
      </c>
      <c r="D1" s="10"/>
      <c r="E1" s="13"/>
      <c r="F1" s="14"/>
      <c r="G1" s="14"/>
      <c r="H1" s="12" t="str">
        <f>C1</f>
        <v>Title VI Rural Low Income Formula</v>
      </c>
      <c r="I1" s="12"/>
      <c r="J1" s="10"/>
      <c r="K1" s="10"/>
      <c r="L1" s="13"/>
      <c r="M1" s="13"/>
      <c r="N1" s="14"/>
      <c r="O1" s="14"/>
      <c r="P1" s="101" t="str">
        <f>C1</f>
        <v>Title VI Rural Low Income Formula</v>
      </c>
      <c r="Q1" s="12"/>
      <c r="R1" s="10"/>
      <c r="S1" s="10"/>
      <c r="T1" s="13"/>
      <c r="U1" s="13"/>
      <c r="V1" s="14"/>
      <c r="W1" s="101" t="str">
        <f>C1</f>
        <v>Title VI Rural Low Income Formula</v>
      </c>
      <c r="X1" s="103"/>
      <c r="Y1" s="12"/>
      <c r="Z1" s="10"/>
      <c r="AA1" s="10"/>
      <c r="AB1" s="13"/>
      <c r="AC1" s="13"/>
      <c r="AD1" s="101" t="str">
        <f>C1</f>
        <v>Title VI Rural Low Income Formula</v>
      </c>
      <c r="AE1" s="103"/>
      <c r="AF1" s="12"/>
    </row>
    <row r="2" spans="1:33" ht="21" x14ac:dyDescent="0.35">
      <c r="A2" s="15" t="s">
        <v>1</v>
      </c>
      <c r="B2" s="11"/>
      <c r="C2" s="16">
        <v>84.358000000000004</v>
      </c>
      <c r="D2" s="15"/>
      <c r="E2" s="17"/>
      <c r="F2" s="14"/>
      <c r="G2" s="14"/>
      <c r="H2" s="15" t="str">
        <f>"FY"&amp;C4</f>
        <v>FYFY16-17</v>
      </c>
      <c r="I2" s="12"/>
      <c r="J2" s="12" t="s">
        <v>387</v>
      </c>
      <c r="K2" s="18"/>
      <c r="L2" s="17"/>
      <c r="M2" s="17"/>
      <c r="N2" s="17"/>
      <c r="O2" s="17"/>
      <c r="P2" s="104" t="str">
        <f>"FY"&amp;C4</f>
        <v>FYFY16-17</v>
      </c>
      <c r="Q2" s="12"/>
      <c r="R2" s="18"/>
      <c r="S2" s="18"/>
      <c r="T2" s="17"/>
      <c r="U2" s="17"/>
      <c r="V2" s="17"/>
      <c r="W2" s="104" t="str">
        <f>"FY"&amp;C4</f>
        <v>FYFY16-17</v>
      </c>
      <c r="X2" s="103"/>
      <c r="Y2" s="12"/>
      <c r="Z2" s="18" t="s">
        <v>387</v>
      </c>
      <c r="AA2" s="18"/>
      <c r="AB2" s="17"/>
      <c r="AC2" s="17"/>
      <c r="AD2" s="104" t="str">
        <f>"FY"&amp;C4</f>
        <v>FYFY16-17</v>
      </c>
      <c r="AE2" s="103"/>
      <c r="AF2" s="15"/>
    </row>
    <row r="3" spans="1:33" ht="15.75" x14ac:dyDescent="0.25">
      <c r="A3" s="15" t="s">
        <v>3</v>
      </c>
      <c r="B3" s="11"/>
      <c r="C3" s="18">
        <v>6358</v>
      </c>
      <c r="D3" s="15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3" ht="21" x14ac:dyDescent="0.35">
      <c r="A4" s="15" t="s">
        <v>2</v>
      </c>
      <c r="B4" s="11"/>
      <c r="C4" s="12" t="s">
        <v>653</v>
      </c>
      <c r="D4" s="17"/>
      <c r="E4" s="1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3" ht="15.75" x14ac:dyDescent="0.25">
      <c r="A5" s="15" t="s">
        <v>406</v>
      </c>
      <c r="B5" s="11"/>
      <c r="C5" s="97" t="s">
        <v>646</v>
      </c>
      <c r="D5" s="15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5.75" x14ac:dyDescent="0.25">
      <c r="A6" s="15" t="s">
        <v>4</v>
      </c>
      <c r="B6" s="11"/>
      <c r="C6" s="97" t="s">
        <v>366</v>
      </c>
      <c r="D6" s="15"/>
      <c r="E6" s="19"/>
      <c r="F6" s="19"/>
      <c r="G6" s="19"/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s="7" customFormat="1" ht="15.75" x14ac:dyDescent="0.25">
      <c r="A7" s="15"/>
      <c r="B7" s="11"/>
      <c r="C7" s="97" t="s">
        <v>410</v>
      </c>
      <c r="D7" s="15"/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3" ht="15.75" x14ac:dyDescent="0.25">
      <c r="A8" s="15"/>
      <c r="B8" s="11"/>
      <c r="C8" s="15"/>
      <c r="D8" s="15"/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3" ht="15.75" x14ac:dyDescent="0.25">
      <c r="A9" s="15" t="s">
        <v>380</v>
      </c>
      <c r="B9" s="11"/>
      <c r="C9" s="104" t="s">
        <v>644</v>
      </c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3" ht="15.75" x14ac:dyDescent="0.25">
      <c r="A10" s="113" t="s">
        <v>381</v>
      </c>
      <c r="B10" s="114"/>
      <c r="C10" s="113" t="s">
        <v>382</v>
      </c>
      <c r="D10" s="115"/>
      <c r="E10" s="116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3" s="7" customFormat="1" ht="16.2" thickBot="1" x14ac:dyDescent="0.35">
      <c r="A11" s="113" t="s">
        <v>407</v>
      </c>
      <c r="B11" s="114"/>
      <c r="C11" s="113" t="s">
        <v>597</v>
      </c>
      <c r="D11" s="115"/>
      <c r="E11" s="116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</row>
    <row r="12" spans="1:33" s="4" customFormat="1" ht="32.25" customHeight="1" thickBot="1" x14ac:dyDescent="0.35">
      <c r="A12" s="110" t="s">
        <v>367</v>
      </c>
      <c r="B12" s="110" t="s">
        <v>368</v>
      </c>
      <c r="C12" s="110" t="s">
        <v>369</v>
      </c>
      <c r="D12" s="110" t="s">
        <v>370</v>
      </c>
      <c r="E12" s="44" t="s">
        <v>371</v>
      </c>
      <c r="F12" s="149" t="s">
        <v>598</v>
      </c>
      <c r="G12" s="149" t="s">
        <v>599</v>
      </c>
      <c r="H12" s="149" t="s">
        <v>600</v>
      </c>
      <c r="I12" s="149" t="s">
        <v>601</v>
      </c>
      <c r="J12" s="149" t="s">
        <v>602</v>
      </c>
      <c r="K12" s="149" t="s">
        <v>603</v>
      </c>
      <c r="L12" s="149" t="s">
        <v>604</v>
      </c>
      <c r="M12" s="149" t="s">
        <v>605</v>
      </c>
      <c r="N12" s="149" t="s">
        <v>606</v>
      </c>
      <c r="O12" s="150" t="s">
        <v>607</v>
      </c>
      <c r="P12" s="149" t="s">
        <v>608</v>
      </c>
      <c r="Q12" s="149" t="s">
        <v>609</v>
      </c>
      <c r="R12" s="149" t="s">
        <v>610</v>
      </c>
      <c r="S12" s="149" t="s">
        <v>611</v>
      </c>
      <c r="T12" s="149" t="s">
        <v>612</v>
      </c>
      <c r="U12" s="149" t="s">
        <v>613</v>
      </c>
      <c r="V12" s="149" t="s">
        <v>614</v>
      </c>
      <c r="W12" s="149" t="s">
        <v>615</v>
      </c>
      <c r="X12" s="149" t="s">
        <v>616</v>
      </c>
      <c r="Y12" s="149" t="s">
        <v>617</v>
      </c>
      <c r="Z12" s="149" t="s">
        <v>618</v>
      </c>
      <c r="AA12" s="149" t="s">
        <v>619</v>
      </c>
      <c r="AB12" s="149" t="s">
        <v>620</v>
      </c>
      <c r="AC12" s="149" t="s">
        <v>621</v>
      </c>
      <c r="AD12" s="149" t="s">
        <v>622</v>
      </c>
      <c r="AE12" s="149" t="s">
        <v>623</v>
      </c>
      <c r="AF12" s="149" t="s">
        <v>624</v>
      </c>
      <c r="AG12" s="149" t="s">
        <v>649</v>
      </c>
    </row>
    <row r="13" spans="1:33" ht="18" hidden="1" customHeight="1" thickBot="1" x14ac:dyDescent="0.3">
      <c r="A13" s="127" t="s">
        <v>7</v>
      </c>
      <c r="B13" s="127" t="s">
        <v>185</v>
      </c>
      <c r="C13" s="127">
        <v>0</v>
      </c>
      <c r="D13" s="127">
        <f t="shared" ref="D13:D50" si="0">SUM(F13:AF13)</f>
        <v>0</v>
      </c>
      <c r="E13" s="127">
        <f t="shared" ref="E13:E192" si="1">C13-D13</f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3" ht="18" hidden="1" customHeight="1" thickBot="1" x14ac:dyDescent="0.3">
      <c r="A14" s="127" t="s">
        <v>8</v>
      </c>
      <c r="B14" s="127" t="s">
        <v>428</v>
      </c>
      <c r="C14" s="127">
        <v>0</v>
      </c>
      <c r="D14" s="127">
        <f t="shared" si="0"/>
        <v>0</v>
      </c>
      <c r="E14" s="127">
        <f t="shared" si="1"/>
        <v>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3" ht="18" hidden="1" customHeight="1" thickBot="1" x14ac:dyDescent="0.3">
      <c r="A15" s="127" t="s">
        <v>9</v>
      </c>
      <c r="B15" s="127" t="s">
        <v>187</v>
      </c>
      <c r="C15" s="127">
        <v>0</v>
      </c>
      <c r="D15" s="127">
        <f t="shared" si="0"/>
        <v>0</v>
      </c>
      <c r="E15" s="127">
        <f t="shared" si="1"/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3" ht="18" hidden="1" customHeight="1" thickBot="1" x14ac:dyDescent="0.3">
      <c r="A16" s="127" t="s">
        <v>10</v>
      </c>
      <c r="B16" s="127" t="s">
        <v>411</v>
      </c>
      <c r="C16" s="127">
        <v>0</v>
      </c>
      <c r="D16" s="127">
        <f t="shared" si="0"/>
        <v>0</v>
      </c>
      <c r="E16" s="127">
        <f t="shared" si="1"/>
        <v>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7" customFormat="1" ht="18" hidden="1" customHeight="1" thickBot="1" x14ac:dyDescent="0.3">
      <c r="A17" s="127" t="s">
        <v>11</v>
      </c>
      <c r="B17" s="127" t="s">
        <v>189</v>
      </c>
      <c r="C17" s="127">
        <v>0</v>
      </c>
      <c r="D17" s="127">
        <f t="shared" si="0"/>
        <v>0</v>
      </c>
      <c r="E17" s="127">
        <f t="shared" si="1"/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8" hidden="1" customHeight="1" thickBot="1" x14ac:dyDescent="0.3">
      <c r="A18" s="127" t="s">
        <v>12</v>
      </c>
      <c r="B18" s="127" t="s">
        <v>190</v>
      </c>
      <c r="C18" s="127">
        <v>0</v>
      </c>
      <c r="D18" s="127">
        <f t="shared" si="0"/>
        <v>0</v>
      </c>
      <c r="E18" s="127">
        <f t="shared" si="1"/>
        <v>0</v>
      </c>
      <c r="F18" s="52"/>
      <c r="G18" s="52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8" hidden="1" customHeight="1" thickBot="1" x14ac:dyDescent="0.3">
      <c r="A19" s="127" t="s">
        <v>13</v>
      </c>
      <c r="B19" s="127" t="s">
        <v>191</v>
      </c>
      <c r="C19" s="127">
        <v>0</v>
      </c>
      <c r="D19" s="127">
        <f t="shared" si="0"/>
        <v>0</v>
      </c>
      <c r="E19" s="127">
        <f t="shared" si="1"/>
        <v>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8" customHeight="1" thickBot="1" x14ac:dyDescent="0.35">
      <c r="A20" s="127" t="s">
        <v>14</v>
      </c>
      <c r="B20" s="127" t="s">
        <v>429</v>
      </c>
      <c r="C20" s="127">
        <v>43168</v>
      </c>
      <c r="D20" s="127">
        <f t="shared" si="0"/>
        <v>43168</v>
      </c>
      <c r="E20" s="127">
        <f t="shared" si="1"/>
        <v>0</v>
      </c>
      <c r="F20" s="51"/>
      <c r="G20" s="51"/>
      <c r="H20" s="51"/>
      <c r="I20" s="51">
        <v>574</v>
      </c>
      <c r="J20" s="51">
        <v>3821</v>
      </c>
      <c r="K20" s="51">
        <v>3822</v>
      </c>
      <c r="L20" s="51">
        <v>3821</v>
      </c>
      <c r="M20" s="51">
        <v>4022</v>
      </c>
      <c r="N20" s="51">
        <v>4023</v>
      </c>
      <c r="O20" s="51">
        <v>3848</v>
      </c>
      <c r="P20" s="51">
        <v>3847</v>
      </c>
      <c r="Q20" s="51">
        <v>3498</v>
      </c>
      <c r="R20" s="51">
        <v>6261</v>
      </c>
      <c r="S20" s="51">
        <v>3870</v>
      </c>
      <c r="T20" s="51">
        <v>1761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7" customFormat="1" ht="18" hidden="1" customHeight="1" thickBot="1" x14ac:dyDescent="0.3">
      <c r="A21" s="127" t="s">
        <v>15</v>
      </c>
      <c r="B21" s="127" t="s">
        <v>431</v>
      </c>
      <c r="C21" s="127">
        <v>0</v>
      </c>
      <c r="D21" s="188">
        <f t="shared" si="0"/>
        <v>0</v>
      </c>
      <c r="E21" s="127">
        <f t="shared" si="1"/>
        <v>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8" hidden="1" customHeight="1" thickBot="1" x14ac:dyDescent="0.3">
      <c r="A22" s="127" t="s">
        <v>16</v>
      </c>
      <c r="B22" s="127" t="s">
        <v>194</v>
      </c>
      <c r="C22" s="127">
        <v>0</v>
      </c>
      <c r="D22" s="188">
        <f t="shared" si="0"/>
        <v>0</v>
      </c>
      <c r="E22" s="127">
        <f t="shared" si="1"/>
        <v>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8" hidden="1" customHeight="1" thickBot="1" x14ac:dyDescent="0.3">
      <c r="A23" s="127" t="s">
        <v>17</v>
      </c>
      <c r="B23" s="127" t="s">
        <v>195</v>
      </c>
      <c r="C23" s="127">
        <v>0</v>
      </c>
      <c r="D23" s="188">
        <f t="shared" si="0"/>
        <v>0</v>
      </c>
      <c r="E23" s="127">
        <f t="shared" si="1"/>
        <v>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8" hidden="1" customHeight="1" thickBot="1" x14ac:dyDescent="0.3">
      <c r="A24" s="127" t="s">
        <v>18</v>
      </c>
      <c r="B24" s="127" t="s">
        <v>196</v>
      </c>
      <c r="C24" s="127">
        <v>0</v>
      </c>
      <c r="D24" s="188">
        <f t="shared" si="0"/>
        <v>0</v>
      </c>
      <c r="E24" s="127">
        <f t="shared" si="1"/>
        <v>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8" hidden="1" customHeight="1" thickBot="1" x14ac:dyDescent="0.3">
      <c r="A25" s="127" t="s">
        <v>19</v>
      </c>
      <c r="B25" s="127" t="s">
        <v>197</v>
      </c>
      <c r="C25" s="127">
        <v>0</v>
      </c>
      <c r="D25" s="188">
        <f t="shared" si="0"/>
        <v>0</v>
      </c>
      <c r="E25" s="127">
        <f t="shared" si="1"/>
        <v>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s="81" customFormat="1" ht="18" hidden="1" customHeight="1" thickBot="1" x14ac:dyDescent="0.3">
      <c r="A26" s="127" t="s">
        <v>20</v>
      </c>
      <c r="B26" s="127" t="s">
        <v>198</v>
      </c>
      <c r="C26" s="127">
        <v>0</v>
      </c>
      <c r="D26" s="188">
        <f t="shared" si="0"/>
        <v>0</v>
      </c>
      <c r="E26" s="127">
        <f t="shared" si="1"/>
        <v>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8" hidden="1" customHeight="1" thickBot="1" x14ac:dyDescent="0.3">
      <c r="A27" s="127" t="s">
        <v>21</v>
      </c>
      <c r="B27" s="127" t="s">
        <v>199</v>
      </c>
      <c r="C27" s="127">
        <v>0</v>
      </c>
      <c r="D27" s="188">
        <f t="shared" si="0"/>
        <v>0</v>
      </c>
      <c r="E27" s="127">
        <f t="shared" si="1"/>
        <v>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8" hidden="1" customHeight="1" thickBot="1" x14ac:dyDescent="0.3">
      <c r="A28" s="127" t="s">
        <v>22</v>
      </c>
      <c r="B28" s="127" t="s">
        <v>200</v>
      </c>
      <c r="C28" s="127">
        <v>0</v>
      </c>
      <c r="D28" s="188">
        <f t="shared" si="0"/>
        <v>0</v>
      </c>
      <c r="E28" s="127">
        <f t="shared" si="1"/>
        <v>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ht="18" hidden="1" customHeight="1" thickBot="1" x14ac:dyDescent="0.3">
      <c r="A29" s="127" t="s">
        <v>23</v>
      </c>
      <c r="B29" s="127" t="s">
        <v>433</v>
      </c>
      <c r="C29" s="127">
        <v>0</v>
      </c>
      <c r="D29" s="188">
        <f t="shared" si="0"/>
        <v>0</v>
      </c>
      <c r="E29" s="127">
        <f t="shared" si="1"/>
        <v>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ht="18" hidden="1" customHeight="1" thickBot="1" x14ac:dyDescent="0.3">
      <c r="A30" s="127" t="s">
        <v>24</v>
      </c>
      <c r="B30" s="127" t="s">
        <v>435</v>
      </c>
      <c r="C30" s="127">
        <v>0</v>
      </c>
      <c r="D30" s="188">
        <f t="shared" si="0"/>
        <v>0</v>
      </c>
      <c r="E30" s="127">
        <f t="shared" si="1"/>
        <v>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8" hidden="1" customHeight="1" thickBot="1" x14ac:dyDescent="0.3">
      <c r="A31" s="127" t="s">
        <v>25</v>
      </c>
      <c r="B31" s="127" t="s">
        <v>437</v>
      </c>
      <c r="C31" s="127">
        <v>0</v>
      </c>
      <c r="D31" s="188">
        <f t="shared" si="0"/>
        <v>0</v>
      </c>
      <c r="E31" s="127">
        <f t="shared" si="1"/>
        <v>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8" hidden="1" customHeight="1" thickBot="1" x14ac:dyDescent="0.3">
      <c r="A32" s="127" t="s">
        <v>26</v>
      </c>
      <c r="B32" s="127" t="s">
        <v>438</v>
      </c>
      <c r="C32" s="127">
        <v>0</v>
      </c>
      <c r="D32" s="188">
        <f t="shared" si="0"/>
        <v>0</v>
      </c>
      <c r="E32" s="127">
        <f t="shared" si="1"/>
        <v>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ht="18" hidden="1" customHeight="1" thickBot="1" x14ac:dyDescent="0.3">
      <c r="A33" s="127" t="s">
        <v>27</v>
      </c>
      <c r="B33" s="127" t="s">
        <v>439</v>
      </c>
      <c r="C33" s="127">
        <v>0</v>
      </c>
      <c r="D33" s="188">
        <f t="shared" si="0"/>
        <v>0</v>
      </c>
      <c r="E33" s="127">
        <f t="shared" si="1"/>
        <v>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ht="18" hidden="1" customHeight="1" thickBot="1" x14ac:dyDescent="0.3">
      <c r="A34" s="127" t="s">
        <v>28</v>
      </c>
      <c r="B34" s="127" t="s">
        <v>440</v>
      </c>
      <c r="C34" s="127">
        <v>0</v>
      </c>
      <c r="D34" s="188">
        <f t="shared" si="0"/>
        <v>0</v>
      </c>
      <c r="E34" s="127">
        <f t="shared" si="1"/>
        <v>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8" hidden="1" customHeight="1" thickBot="1" x14ac:dyDescent="0.3">
      <c r="A35" s="127" t="s">
        <v>29</v>
      </c>
      <c r="B35" s="127" t="s">
        <v>441</v>
      </c>
      <c r="C35" s="127">
        <v>0</v>
      </c>
      <c r="D35" s="188">
        <f t="shared" si="0"/>
        <v>0</v>
      </c>
      <c r="E35" s="127">
        <f t="shared" si="1"/>
        <v>0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8" hidden="1" customHeight="1" thickBot="1" x14ac:dyDescent="0.3">
      <c r="A36" s="127" t="s">
        <v>30</v>
      </c>
      <c r="B36" s="127" t="s">
        <v>443</v>
      </c>
      <c r="C36" s="127">
        <v>0</v>
      </c>
      <c r="D36" s="188">
        <f t="shared" si="0"/>
        <v>0</v>
      </c>
      <c r="E36" s="127">
        <f t="shared" si="1"/>
        <v>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8" hidden="1" customHeight="1" thickBot="1" x14ac:dyDescent="0.3">
      <c r="A37" s="127" t="s">
        <v>31</v>
      </c>
      <c r="B37" s="127" t="s">
        <v>444</v>
      </c>
      <c r="C37" s="127">
        <v>0</v>
      </c>
      <c r="D37" s="188">
        <f t="shared" si="0"/>
        <v>0</v>
      </c>
      <c r="E37" s="127">
        <f t="shared" si="1"/>
        <v>0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8" hidden="1" customHeight="1" thickBot="1" x14ac:dyDescent="0.3">
      <c r="A38" s="127" t="s">
        <v>32</v>
      </c>
      <c r="B38" s="127" t="s">
        <v>446</v>
      </c>
      <c r="C38" s="127">
        <v>0</v>
      </c>
      <c r="D38" s="188">
        <f t="shared" si="0"/>
        <v>0</v>
      </c>
      <c r="E38" s="127">
        <f t="shared" si="1"/>
        <v>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8" customHeight="1" thickBot="1" x14ac:dyDescent="0.3">
      <c r="A39" s="127" t="s">
        <v>33</v>
      </c>
      <c r="B39" s="127" t="s">
        <v>211</v>
      </c>
      <c r="C39" s="127">
        <v>18849</v>
      </c>
      <c r="D39" s="188">
        <f t="shared" si="0"/>
        <v>18849</v>
      </c>
      <c r="E39" s="127">
        <f t="shared" si="1"/>
        <v>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>
        <v>18849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8" hidden="1" customHeight="1" thickBot="1" x14ac:dyDescent="0.3">
      <c r="A40" s="127" t="s">
        <v>34</v>
      </c>
      <c r="B40" s="127" t="s">
        <v>212</v>
      </c>
      <c r="C40" s="127">
        <v>0</v>
      </c>
      <c r="D40" s="188">
        <f t="shared" si="0"/>
        <v>0</v>
      </c>
      <c r="E40" s="127">
        <f t="shared" si="1"/>
        <v>0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8" hidden="1" customHeight="1" thickBot="1" x14ac:dyDescent="0.3">
      <c r="A41" s="127" t="s">
        <v>35</v>
      </c>
      <c r="B41" s="127" t="s">
        <v>213</v>
      </c>
      <c r="C41" s="127">
        <v>0</v>
      </c>
      <c r="D41" s="188">
        <f t="shared" si="0"/>
        <v>0</v>
      </c>
      <c r="E41" s="127">
        <f t="shared" si="1"/>
        <v>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8" hidden="1" customHeight="1" thickBot="1" x14ac:dyDescent="0.3">
      <c r="A42" s="127" t="s">
        <v>36</v>
      </c>
      <c r="B42" s="127" t="s">
        <v>449</v>
      </c>
      <c r="C42" s="127">
        <v>0</v>
      </c>
      <c r="D42" s="188">
        <f t="shared" si="0"/>
        <v>0</v>
      </c>
      <c r="E42" s="127">
        <f t="shared" si="1"/>
        <v>0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8" hidden="1" customHeight="1" thickBot="1" x14ac:dyDescent="0.3">
      <c r="A43" s="127" t="s">
        <v>37</v>
      </c>
      <c r="B43" s="127" t="s">
        <v>450</v>
      </c>
      <c r="C43" s="127">
        <v>0</v>
      </c>
      <c r="D43" s="188">
        <f t="shared" si="0"/>
        <v>0</v>
      </c>
      <c r="E43" s="127">
        <f t="shared" si="1"/>
        <v>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8" hidden="1" customHeight="1" thickBot="1" x14ac:dyDescent="0.3">
      <c r="A44" s="127" t="s">
        <v>38</v>
      </c>
      <c r="B44" s="127" t="s">
        <v>452</v>
      </c>
      <c r="C44" s="127">
        <v>0</v>
      </c>
      <c r="D44" s="188">
        <f t="shared" si="0"/>
        <v>0</v>
      </c>
      <c r="E44" s="127">
        <f t="shared" si="1"/>
        <v>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8" hidden="1" customHeight="1" thickBot="1" x14ac:dyDescent="0.3">
      <c r="A45" s="127" t="s">
        <v>39</v>
      </c>
      <c r="B45" s="127" t="s">
        <v>217</v>
      </c>
      <c r="C45" s="127">
        <v>0</v>
      </c>
      <c r="D45" s="188">
        <f t="shared" si="0"/>
        <v>0</v>
      </c>
      <c r="E45" s="127">
        <f t="shared" si="1"/>
        <v>0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8" hidden="1" customHeight="1" thickBot="1" x14ac:dyDescent="0.3">
      <c r="A46" s="127" t="s">
        <v>40</v>
      </c>
      <c r="B46" s="127" t="s">
        <v>454</v>
      </c>
      <c r="C46" s="127">
        <v>0</v>
      </c>
      <c r="D46" s="188">
        <f t="shared" si="0"/>
        <v>0</v>
      </c>
      <c r="E46" s="127">
        <f t="shared" si="1"/>
        <v>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8" hidden="1" customHeight="1" thickBot="1" x14ac:dyDescent="0.3">
      <c r="A47" s="127" t="s">
        <v>41</v>
      </c>
      <c r="B47" s="127" t="s">
        <v>219</v>
      </c>
      <c r="C47" s="127">
        <v>0</v>
      </c>
      <c r="D47" s="188">
        <f t="shared" si="0"/>
        <v>0</v>
      </c>
      <c r="E47" s="127">
        <f t="shared" si="1"/>
        <v>0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8" hidden="1" customHeight="1" thickBot="1" x14ac:dyDescent="0.3">
      <c r="A48" s="127" t="s">
        <v>42</v>
      </c>
      <c r="B48" s="127" t="s">
        <v>220</v>
      </c>
      <c r="C48" s="127">
        <v>0</v>
      </c>
      <c r="D48" s="188">
        <f t="shared" si="0"/>
        <v>0</v>
      </c>
      <c r="E48" s="127">
        <f t="shared" si="1"/>
        <v>0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3" ht="18" hidden="1" customHeight="1" thickBot="1" x14ac:dyDescent="0.3">
      <c r="A49" s="127" t="s">
        <v>43</v>
      </c>
      <c r="B49" s="127" t="s">
        <v>456</v>
      </c>
      <c r="C49" s="127">
        <v>0</v>
      </c>
      <c r="D49" s="188">
        <f t="shared" si="0"/>
        <v>0</v>
      </c>
      <c r="E49" s="127">
        <f t="shared" si="1"/>
        <v>0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3" ht="18" hidden="1" customHeight="1" thickBot="1" x14ac:dyDescent="0.3">
      <c r="A50" s="127" t="s">
        <v>44</v>
      </c>
      <c r="B50" s="127" t="s">
        <v>458</v>
      </c>
      <c r="C50" s="127">
        <v>0</v>
      </c>
      <c r="D50" s="188">
        <f t="shared" si="0"/>
        <v>0</v>
      </c>
      <c r="E50" s="127">
        <f t="shared" si="1"/>
        <v>0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3" ht="18" customHeight="1" thickBot="1" x14ac:dyDescent="0.3">
      <c r="A51" s="127" t="s">
        <v>45</v>
      </c>
      <c r="B51" s="127" t="s">
        <v>223</v>
      </c>
      <c r="C51" s="127">
        <v>103346</v>
      </c>
      <c r="D51" s="188">
        <f>SUM(F51:AG51)</f>
        <v>103346</v>
      </c>
      <c r="E51" s="127">
        <f t="shared" si="1"/>
        <v>0</v>
      </c>
      <c r="F51" s="51"/>
      <c r="G51" s="51"/>
      <c r="H51" s="51"/>
      <c r="I51" s="51"/>
      <c r="J51" s="51"/>
      <c r="K51" s="51"/>
      <c r="L51" s="51"/>
      <c r="M51" s="51"/>
      <c r="N51" s="51">
        <v>15230</v>
      </c>
      <c r="O51" s="51"/>
      <c r="P51" s="51">
        <f>369+3550</f>
        <v>3919</v>
      </c>
      <c r="Q51" s="51"/>
      <c r="R51" s="51"/>
      <c r="S51" s="51"/>
      <c r="T51" s="51"/>
      <c r="U51" s="51">
        <f>1105+6949</f>
        <v>8054</v>
      </c>
      <c r="V51" s="51"/>
      <c r="W51" s="51"/>
      <c r="X51" s="51"/>
      <c r="Y51" s="51"/>
      <c r="Z51" s="51"/>
      <c r="AA51" s="51">
        <v>20593</v>
      </c>
      <c r="AB51" s="51"/>
      <c r="AC51" s="51">
        <v>3654</v>
      </c>
      <c r="AD51" s="51">
        <f>44518+3654</f>
        <v>48172</v>
      </c>
      <c r="AE51" s="51"/>
      <c r="AF51" s="51">
        <v>3724</v>
      </c>
      <c r="AG51" s="2">
        <v>0</v>
      </c>
    </row>
    <row r="52" spans="1:33" ht="18" hidden="1" customHeight="1" thickBot="1" x14ac:dyDescent="0.3">
      <c r="A52" s="127" t="s">
        <v>46</v>
      </c>
      <c r="B52" s="127" t="s">
        <v>224</v>
      </c>
      <c r="C52" s="127">
        <v>0</v>
      </c>
      <c r="D52" s="188">
        <f t="shared" ref="D52:D115" si="2">SUM(F52:AG52)</f>
        <v>0</v>
      </c>
      <c r="E52" s="127">
        <f t="shared" si="1"/>
        <v>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3" ht="18" hidden="1" customHeight="1" thickBot="1" x14ac:dyDescent="0.3">
      <c r="A53" s="127" t="s">
        <v>47</v>
      </c>
      <c r="B53" s="127" t="s">
        <v>462</v>
      </c>
      <c r="C53" s="127">
        <v>0</v>
      </c>
      <c r="D53" s="188">
        <f t="shared" si="2"/>
        <v>0</v>
      </c>
      <c r="E53" s="127">
        <f t="shared" si="1"/>
        <v>0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3" ht="18" hidden="1" customHeight="1" thickBot="1" x14ac:dyDescent="0.3">
      <c r="A54" s="127" t="s">
        <v>48</v>
      </c>
      <c r="B54" s="127" t="s">
        <v>464</v>
      </c>
      <c r="C54" s="127">
        <v>0</v>
      </c>
      <c r="D54" s="188">
        <f t="shared" si="2"/>
        <v>0</v>
      </c>
      <c r="E54" s="127">
        <f t="shared" si="1"/>
        <v>0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3" ht="18" hidden="1" customHeight="1" thickBot="1" x14ac:dyDescent="0.3">
      <c r="A55" s="127" t="s">
        <v>49</v>
      </c>
      <c r="B55" s="127" t="s">
        <v>466</v>
      </c>
      <c r="C55" s="127">
        <v>0</v>
      </c>
      <c r="D55" s="188">
        <f t="shared" si="2"/>
        <v>0</v>
      </c>
      <c r="E55" s="127">
        <f t="shared" si="1"/>
        <v>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3" ht="18" hidden="1" customHeight="1" thickBot="1" x14ac:dyDescent="0.3">
      <c r="A56" s="127" t="s">
        <v>50</v>
      </c>
      <c r="B56" s="127" t="s">
        <v>228</v>
      </c>
      <c r="C56" s="127">
        <v>0</v>
      </c>
      <c r="D56" s="188">
        <f t="shared" si="2"/>
        <v>0</v>
      </c>
      <c r="E56" s="127">
        <f t="shared" si="1"/>
        <v>0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3" ht="18" hidden="1" customHeight="1" thickBot="1" x14ac:dyDescent="0.3">
      <c r="A57" s="127" t="s">
        <v>51</v>
      </c>
      <c r="B57" s="127" t="s">
        <v>229</v>
      </c>
      <c r="C57" s="127">
        <v>0</v>
      </c>
      <c r="D57" s="188">
        <f t="shared" si="2"/>
        <v>0</v>
      </c>
      <c r="E57" s="127">
        <f t="shared" si="1"/>
        <v>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3" ht="18" hidden="1" customHeight="1" thickBot="1" x14ac:dyDescent="0.3">
      <c r="A58" s="127" t="s">
        <v>52</v>
      </c>
      <c r="B58" s="127" t="s">
        <v>230</v>
      </c>
      <c r="C58" s="127">
        <v>0</v>
      </c>
      <c r="D58" s="188">
        <f t="shared" si="2"/>
        <v>0</v>
      </c>
      <c r="E58" s="127">
        <f t="shared" si="1"/>
        <v>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3" ht="18" hidden="1" customHeight="1" thickBot="1" x14ac:dyDescent="0.3">
      <c r="A59" s="127" t="s">
        <v>53</v>
      </c>
      <c r="B59" s="127" t="s">
        <v>231</v>
      </c>
      <c r="C59" s="127">
        <v>0</v>
      </c>
      <c r="D59" s="188">
        <f t="shared" si="2"/>
        <v>0</v>
      </c>
      <c r="E59" s="127">
        <f t="shared" si="1"/>
        <v>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3" ht="18" hidden="1" customHeight="1" thickBot="1" x14ac:dyDescent="0.3">
      <c r="A60" s="127" t="s">
        <v>54</v>
      </c>
      <c r="B60" s="127" t="s">
        <v>232</v>
      </c>
      <c r="C60" s="127">
        <v>0</v>
      </c>
      <c r="D60" s="188">
        <f t="shared" si="2"/>
        <v>0</v>
      </c>
      <c r="E60" s="127">
        <f t="shared" si="1"/>
        <v>0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3" ht="18" hidden="1" customHeight="1" thickBot="1" x14ac:dyDescent="0.3">
      <c r="A61" s="127" t="s">
        <v>55</v>
      </c>
      <c r="B61" s="127" t="s">
        <v>469</v>
      </c>
      <c r="C61" s="127">
        <v>0</v>
      </c>
      <c r="D61" s="188">
        <f t="shared" si="2"/>
        <v>0</v>
      </c>
      <c r="E61" s="127">
        <f t="shared" si="1"/>
        <v>0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3" ht="18" hidden="1" customHeight="1" thickBot="1" x14ac:dyDescent="0.3">
      <c r="A62" s="127" t="s">
        <v>56</v>
      </c>
      <c r="B62" s="127" t="s">
        <v>234</v>
      </c>
      <c r="C62" s="127">
        <v>0</v>
      </c>
      <c r="D62" s="188">
        <f t="shared" si="2"/>
        <v>0</v>
      </c>
      <c r="E62" s="127">
        <f t="shared" si="1"/>
        <v>0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3" ht="18" hidden="1" customHeight="1" thickBot="1" x14ac:dyDescent="0.3">
      <c r="A63" s="127" t="s">
        <v>57</v>
      </c>
      <c r="B63" s="127" t="s">
        <v>235</v>
      </c>
      <c r="C63" s="127">
        <v>0</v>
      </c>
      <c r="D63" s="188">
        <f t="shared" si="2"/>
        <v>0</v>
      </c>
      <c r="E63" s="127">
        <f t="shared" si="1"/>
        <v>0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3" ht="18" hidden="1" customHeight="1" thickBot="1" x14ac:dyDescent="0.3">
      <c r="A64" s="127" t="s">
        <v>58</v>
      </c>
      <c r="B64" s="127" t="s">
        <v>236</v>
      </c>
      <c r="C64" s="127">
        <v>0</v>
      </c>
      <c r="D64" s="188">
        <f t="shared" si="2"/>
        <v>0</v>
      </c>
      <c r="E64" s="127">
        <f t="shared" si="1"/>
        <v>0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18" hidden="1" customHeight="1" thickBot="1" x14ac:dyDescent="0.3">
      <c r="A65" s="127" t="s">
        <v>59</v>
      </c>
      <c r="B65" s="127" t="s">
        <v>237</v>
      </c>
      <c r="C65" s="127">
        <v>0</v>
      </c>
      <c r="D65" s="188">
        <f t="shared" si="2"/>
        <v>0</v>
      </c>
      <c r="E65" s="127">
        <f t="shared" si="1"/>
        <v>0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8" hidden="1" customHeight="1" thickBot="1" x14ac:dyDescent="0.3">
      <c r="A66" s="127" t="s">
        <v>60</v>
      </c>
      <c r="B66" s="127" t="s">
        <v>238</v>
      </c>
      <c r="C66" s="127">
        <v>0</v>
      </c>
      <c r="D66" s="188">
        <f t="shared" si="2"/>
        <v>0</v>
      </c>
      <c r="E66" s="127">
        <f t="shared" si="1"/>
        <v>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 ht="18" hidden="1" customHeight="1" thickBot="1" x14ac:dyDescent="0.3">
      <c r="A67" s="127" t="s">
        <v>61</v>
      </c>
      <c r="B67" s="127" t="s">
        <v>239</v>
      </c>
      <c r="C67" s="127">
        <v>0</v>
      </c>
      <c r="D67" s="188">
        <f t="shared" si="2"/>
        <v>0</v>
      </c>
      <c r="E67" s="127">
        <f t="shared" si="1"/>
        <v>0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 ht="18" hidden="1" customHeight="1" thickBot="1" x14ac:dyDescent="0.3">
      <c r="A68" s="127" t="s">
        <v>62</v>
      </c>
      <c r="B68" s="127" t="s">
        <v>240</v>
      </c>
      <c r="C68" s="127">
        <v>0</v>
      </c>
      <c r="D68" s="188">
        <f t="shared" si="2"/>
        <v>0</v>
      </c>
      <c r="E68" s="127">
        <f t="shared" si="1"/>
        <v>0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 ht="18" hidden="1" customHeight="1" thickBot="1" x14ac:dyDescent="0.3">
      <c r="A69" s="127" t="s">
        <v>63</v>
      </c>
      <c r="B69" s="127" t="s">
        <v>241</v>
      </c>
      <c r="C69" s="127">
        <v>0</v>
      </c>
      <c r="D69" s="188">
        <f t="shared" si="2"/>
        <v>0</v>
      </c>
      <c r="E69" s="127">
        <f t="shared" si="1"/>
        <v>0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 ht="18" hidden="1" customHeight="1" thickBot="1" x14ac:dyDescent="0.3">
      <c r="A70" s="127" t="s">
        <v>64</v>
      </c>
      <c r="B70" s="127" t="s">
        <v>471</v>
      </c>
      <c r="C70" s="127">
        <v>0</v>
      </c>
      <c r="D70" s="188">
        <f t="shared" si="2"/>
        <v>0</v>
      </c>
      <c r="E70" s="127">
        <f t="shared" si="1"/>
        <v>0</v>
      </c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 ht="18" hidden="1" customHeight="1" thickBot="1" x14ac:dyDescent="0.3">
      <c r="A71" s="127" t="s">
        <v>65</v>
      </c>
      <c r="B71" s="127" t="s">
        <v>243</v>
      </c>
      <c r="C71" s="127">
        <v>0</v>
      </c>
      <c r="D71" s="188">
        <f t="shared" si="2"/>
        <v>0</v>
      </c>
      <c r="E71" s="127">
        <f t="shared" si="1"/>
        <v>0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ht="18" hidden="1" customHeight="1" thickBot="1" x14ac:dyDescent="0.3">
      <c r="A72" s="127" t="s">
        <v>66</v>
      </c>
      <c r="B72" s="127" t="s">
        <v>244</v>
      </c>
      <c r="C72" s="127">
        <v>0</v>
      </c>
      <c r="D72" s="188">
        <f t="shared" si="2"/>
        <v>0</v>
      </c>
      <c r="E72" s="127">
        <f t="shared" si="1"/>
        <v>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 ht="18" hidden="1" customHeight="1" thickBot="1" x14ac:dyDescent="0.3">
      <c r="A73" s="127" t="s">
        <v>67</v>
      </c>
      <c r="B73" s="127" t="s">
        <v>245</v>
      </c>
      <c r="C73" s="127">
        <v>0</v>
      </c>
      <c r="D73" s="188">
        <f t="shared" si="2"/>
        <v>0</v>
      </c>
      <c r="E73" s="127">
        <f t="shared" si="1"/>
        <v>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 ht="18" hidden="1" customHeight="1" thickBot="1" x14ac:dyDescent="0.3">
      <c r="A74" s="127" t="s">
        <v>68</v>
      </c>
      <c r="B74" s="127" t="s">
        <v>472</v>
      </c>
      <c r="C74" s="127">
        <v>0</v>
      </c>
      <c r="D74" s="188">
        <f t="shared" si="2"/>
        <v>0</v>
      </c>
      <c r="E74" s="127">
        <f t="shared" si="1"/>
        <v>0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 ht="18" hidden="1" customHeight="1" thickBot="1" x14ac:dyDescent="0.3">
      <c r="A75" s="127" t="s">
        <v>69</v>
      </c>
      <c r="B75" s="127" t="s">
        <v>473</v>
      </c>
      <c r="C75" s="127">
        <v>0</v>
      </c>
      <c r="D75" s="188">
        <f t="shared" si="2"/>
        <v>0</v>
      </c>
      <c r="E75" s="127">
        <f t="shared" si="1"/>
        <v>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 ht="18" customHeight="1" thickBot="1" x14ac:dyDescent="0.3">
      <c r="A76" s="127" t="s">
        <v>70</v>
      </c>
      <c r="B76" s="127" t="s">
        <v>474</v>
      </c>
      <c r="C76" s="127">
        <v>73312</v>
      </c>
      <c r="D76" s="188">
        <f t="shared" si="2"/>
        <v>73312</v>
      </c>
      <c r="E76" s="127">
        <f t="shared" si="1"/>
        <v>0</v>
      </c>
      <c r="F76" s="51"/>
      <c r="G76" s="51"/>
      <c r="H76" s="51"/>
      <c r="I76" s="51"/>
      <c r="J76" s="51"/>
      <c r="K76" s="51">
        <v>3835</v>
      </c>
      <c r="L76" s="51"/>
      <c r="M76" s="51"/>
      <c r="N76" s="51">
        <v>7133</v>
      </c>
      <c r="O76" s="51"/>
      <c r="P76" s="51"/>
      <c r="Q76" s="51">
        <v>23013</v>
      </c>
      <c r="R76" s="51"/>
      <c r="S76" s="51">
        <v>23322</v>
      </c>
      <c r="T76" s="51"/>
      <c r="U76" s="51"/>
      <c r="V76" s="51"/>
      <c r="W76" s="51"/>
      <c r="X76" s="51"/>
      <c r="Y76" s="51"/>
      <c r="Z76" s="51">
        <v>16009</v>
      </c>
      <c r="AA76" s="51"/>
      <c r="AB76" s="51"/>
      <c r="AC76" s="51"/>
      <c r="AD76" s="51"/>
      <c r="AE76" s="51"/>
      <c r="AF76" s="51"/>
    </row>
    <row r="77" spans="1:32" ht="18" hidden="1" customHeight="1" thickBot="1" x14ac:dyDescent="0.3">
      <c r="A77" s="127" t="s">
        <v>71</v>
      </c>
      <c r="B77" s="127" t="s">
        <v>476</v>
      </c>
      <c r="C77" s="127">
        <v>0</v>
      </c>
      <c r="D77" s="188">
        <f t="shared" si="2"/>
        <v>0</v>
      </c>
      <c r="E77" s="127">
        <f t="shared" si="1"/>
        <v>0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8" hidden="1" customHeight="1" thickBot="1" x14ac:dyDescent="0.3">
      <c r="A78" s="127" t="s">
        <v>72</v>
      </c>
      <c r="B78" s="127" t="s">
        <v>477</v>
      </c>
      <c r="C78" s="127">
        <v>0</v>
      </c>
      <c r="D78" s="188">
        <f t="shared" si="2"/>
        <v>0</v>
      </c>
      <c r="E78" s="127">
        <f t="shared" si="1"/>
        <v>0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 ht="18" hidden="1" customHeight="1" thickBot="1" x14ac:dyDescent="0.3">
      <c r="A79" s="127" t="s">
        <v>73</v>
      </c>
      <c r="B79" s="127" t="s">
        <v>478</v>
      </c>
      <c r="C79" s="127">
        <v>0</v>
      </c>
      <c r="D79" s="188">
        <f t="shared" si="2"/>
        <v>0</v>
      </c>
      <c r="E79" s="127">
        <f t="shared" si="1"/>
        <v>0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ht="18" hidden="1" customHeight="1" thickBot="1" x14ac:dyDescent="0.3">
      <c r="A80" s="127" t="s">
        <v>74</v>
      </c>
      <c r="B80" s="127" t="s">
        <v>480</v>
      </c>
      <c r="C80" s="127">
        <v>0</v>
      </c>
      <c r="D80" s="188">
        <f t="shared" si="2"/>
        <v>0</v>
      </c>
      <c r="E80" s="127">
        <f t="shared" si="1"/>
        <v>0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ht="18" customHeight="1" thickBot="1" x14ac:dyDescent="0.3">
      <c r="A81" s="127" t="s">
        <v>75</v>
      </c>
      <c r="B81" s="127" t="s">
        <v>253</v>
      </c>
      <c r="C81" s="127">
        <v>20820</v>
      </c>
      <c r="D81" s="188">
        <f t="shared" si="2"/>
        <v>20820</v>
      </c>
      <c r="E81" s="127">
        <f t="shared" si="1"/>
        <v>0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>
        <v>20820</v>
      </c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 ht="18" hidden="1" customHeight="1" thickBot="1" x14ac:dyDescent="0.3">
      <c r="A82" s="127" t="s">
        <v>76</v>
      </c>
      <c r="B82" s="127" t="s">
        <v>481</v>
      </c>
      <c r="C82" s="127">
        <v>0</v>
      </c>
      <c r="D82" s="188">
        <f t="shared" si="2"/>
        <v>0</v>
      </c>
      <c r="E82" s="127">
        <f t="shared" si="1"/>
        <v>0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ht="18" hidden="1" customHeight="1" thickBot="1" x14ac:dyDescent="0.3">
      <c r="A83" s="127" t="s">
        <v>77</v>
      </c>
      <c r="B83" s="127" t="s">
        <v>483</v>
      </c>
      <c r="C83" s="127">
        <v>0</v>
      </c>
      <c r="D83" s="188">
        <f t="shared" si="2"/>
        <v>0</v>
      </c>
      <c r="E83" s="127">
        <f t="shared" si="1"/>
        <v>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ht="18" hidden="1" customHeight="1" thickBot="1" x14ac:dyDescent="0.3">
      <c r="A84" s="127" t="s">
        <v>78</v>
      </c>
      <c r="B84" s="127" t="s">
        <v>256</v>
      </c>
      <c r="C84" s="127">
        <v>0</v>
      </c>
      <c r="D84" s="188">
        <f t="shared" si="2"/>
        <v>0</v>
      </c>
      <c r="E84" s="127">
        <f t="shared" si="1"/>
        <v>0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 ht="18" hidden="1" customHeight="1" thickBot="1" x14ac:dyDescent="0.3">
      <c r="A85" s="127" t="s">
        <v>79</v>
      </c>
      <c r="B85" s="127" t="s">
        <v>485</v>
      </c>
      <c r="C85" s="127">
        <v>0</v>
      </c>
      <c r="D85" s="188">
        <f t="shared" si="2"/>
        <v>0</v>
      </c>
      <c r="E85" s="127">
        <f t="shared" si="1"/>
        <v>0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ht="18" hidden="1" customHeight="1" thickBot="1" x14ac:dyDescent="0.3">
      <c r="A86" s="127" t="s">
        <v>80</v>
      </c>
      <c r="B86" s="127" t="s">
        <v>632</v>
      </c>
      <c r="C86" s="127">
        <v>0</v>
      </c>
      <c r="D86" s="188">
        <f t="shared" si="2"/>
        <v>0</v>
      </c>
      <c r="E86" s="127">
        <f t="shared" si="1"/>
        <v>0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 ht="18" hidden="1" customHeight="1" thickBot="1" x14ac:dyDescent="0.3">
      <c r="A87" s="127" t="s">
        <v>81</v>
      </c>
      <c r="B87" s="127" t="s">
        <v>489</v>
      </c>
      <c r="C87" s="127">
        <v>0</v>
      </c>
      <c r="D87" s="188">
        <f t="shared" si="2"/>
        <v>0</v>
      </c>
      <c r="E87" s="127">
        <f t="shared" si="1"/>
        <v>0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ht="18" hidden="1" customHeight="1" thickBot="1" x14ac:dyDescent="0.3">
      <c r="A88" s="127" t="s">
        <v>82</v>
      </c>
      <c r="B88" s="127" t="s">
        <v>491</v>
      </c>
      <c r="C88" s="127">
        <v>0</v>
      </c>
      <c r="D88" s="188">
        <f t="shared" si="2"/>
        <v>0</v>
      </c>
      <c r="E88" s="127">
        <f t="shared" si="1"/>
        <v>0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ht="18" hidden="1" customHeight="1" thickBot="1" x14ac:dyDescent="0.3">
      <c r="A89" s="127" t="s">
        <v>83</v>
      </c>
      <c r="B89" s="127" t="s">
        <v>261</v>
      </c>
      <c r="C89" s="127">
        <v>0</v>
      </c>
      <c r="D89" s="188">
        <f t="shared" si="2"/>
        <v>0</v>
      </c>
      <c r="E89" s="127">
        <f t="shared" si="1"/>
        <v>0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ht="18" hidden="1" customHeight="1" thickBot="1" x14ac:dyDescent="0.3">
      <c r="A90" s="127" t="s">
        <v>84</v>
      </c>
      <c r="B90" s="127" t="s">
        <v>262</v>
      </c>
      <c r="C90" s="127">
        <v>0</v>
      </c>
      <c r="D90" s="188">
        <f t="shared" si="2"/>
        <v>0</v>
      </c>
      <c r="E90" s="127">
        <f t="shared" si="1"/>
        <v>0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ht="18" hidden="1" customHeight="1" thickBot="1" x14ac:dyDescent="0.3">
      <c r="A91" s="127" t="s">
        <v>85</v>
      </c>
      <c r="B91" s="127" t="s">
        <v>494</v>
      </c>
      <c r="C91" s="127">
        <v>0</v>
      </c>
      <c r="D91" s="188">
        <f t="shared" si="2"/>
        <v>0</v>
      </c>
      <c r="E91" s="127">
        <f t="shared" si="1"/>
        <v>0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  <row r="92" spans="1:32" ht="18" hidden="1" customHeight="1" thickBot="1" x14ac:dyDescent="0.3">
      <c r="A92" s="127" t="s">
        <v>86</v>
      </c>
      <c r="B92" s="127" t="s">
        <v>496</v>
      </c>
      <c r="C92" s="127">
        <v>0</v>
      </c>
      <c r="D92" s="188">
        <f t="shared" si="2"/>
        <v>0</v>
      </c>
      <c r="E92" s="127">
        <f t="shared" si="1"/>
        <v>0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ht="18" hidden="1" customHeight="1" thickBot="1" x14ac:dyDescent="0.3">
      <c r="A93" s="127" t="s">
        <v>87</v>
      </c>
      <c r="B93" s="127" t="s">
        <v>265</v>
      </c>
      <c r="C93" s="127">
        <v>0</v>
      </c>
      <c r="D93" s="188">
        <f t="shared" si="2"/>
        <v>0</v>
      </c>
      <c r="E93" s="127">
        <f t="shared" si="1"/>
        <v>0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ht="18" hidden="1" customHeight="1" thickBot="1" x14ac:dyDescent="0.3">
      <c r="A94" s="127" t="s">
        <v>88</v>
      </c>
      <c r="B94" s="127" t="s">
        <v>266</v>
      </c>
      <c r="C94" s="127">
        <v>0</v>
      </c>
      <c r="D94" s="188">
        <f t="shared" si="2"/>
        <v>0</v>
      </c>
      <c r="E94" s="127">
        <f t="shared" si="1"/>
        <v>0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 ht="18" hidden="1" customHeight="1" thickBot="1" x14ac:dyDescent="0.3">
      <c r="A95" s="127" t="s">
        <v>89</v>
      </c>
      <c r="B95" s="127" t="s">
        <v>267</v>
      </c>
      <c r="C95" s="127">
        <v>0</v>
      </c>
      <c r="D95" s="188">
        <f t="shared" si="2"/>
        <v>0</v>
      </c>
      <c r="E95" s="127">
        <f t="shared" si="1"/>
        <v>0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ht="18" hidden="1" customHeight="1" thickBot="1" x14ac:dyDescent="0.3">
      <c r="A96" s="127" t="s">
        <v>90</v>
      </c>
      <c r="B96" s="127" t="s">
        <v>268</v>
      </c>
      <c r="C96" s="127">
        <v>0</v>
      </c>
      <c r="D96" s="188">
        <f t="shared" si="2"/>
        <v>0</v>
      </c>
      <c r="E96" s="127">
        <f t="shared" si="1"/>
        <v>0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2" ht="18" hidden="1" customHeight="1" thickBot="1" x14ac:dyDescent="0.3">
      <c r="A97" s="127" t="s">
        <v>91</v>
      </c>
      <c r="B97" s="127" t="s">
        <v>498</v>
      </c>
      <c r="C97" s="127">
        <v>0</v>
      </c>
      <c r="D97" s="188">
        <f t="shared" si="2"/>
        <v>0</v>
      </c>
      <c r="E97" s="127">
        <f t="shared" si="1"/>
        <v>0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1:32" ht="18" customHeight="1" thickBot="1" x14ac:dyDescent="0.3">
      <c r="A98" s="127" t="s">
        <v>92</v>
      </c>
      <c r="B98" s="127" t="s">
        <v>270</v>
      </c>
      <c r="C98" s="127">
        <v>19402</v>
      </c>
      <c r="D98" s="188">
        <f t="shared" si="2"/>
        <v>19402</v>
      </c>
      <c r="E98" s="127">
        <f t="shared" si="1"/>
        <v>0</v>
      </c>
      <c r="F98" s="51"/>
      <c r="G98" s="51"/>
      <c r="H98" s="51"/>
      <c r="I98" s="51"/>
      <c r="J98" s="51"/>
      <c r="K98" s="51">
        <v>5893</v>
      </c>
      <c r="L98" s="51">
        <v>1987</v>
      </c>
      <c r="M98" s="51">
        <v>1841</v>
      </c>
      <c r="N98" s="51"/>
      <c r="O98" s="51">
        <v>2370</v>
      </c>
      <c r="P98" s="51"/>
      <c r="Q98" s="51">
        <v>1159</v>
      </c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>
        <v>370</v>
      </c>
      <c r="AE98" s="51"/>
      <c r="AF98" s="51">
        <v>5782</v>
      </c>
    </row>
    <row r="99" spans="1:32" ht="18" hidden="1" customHeight="1" thickBot="1" x14ac:dyDescent="0.3">
      <c r="A99" s="127" t="s">
        <v>93</v>
      </c>
      <c r="B99" s="127" t="s">
        <v>271</v>
      </c>
      <c r="C99" s="127">
        <v>0</v>
      </c>
      <c r="D99" s="188">
        <f t="shared" si="2"/>
        <v>0</v>
      </c>
      <c r="E99" s="127">
        <f t="shared" si="1"/>
        <v>0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2" ht="18" hidden="1" customHeight="1" thickBot="1" x14ac:dyDescent="0.3">
      <c r="A100" s="127" t="s">
        <v>94</v>
      </c>
      <c r="B100" s="127" t="s">
        <v>501</v>
      </c>
      <c r="C100" s="127">
        <v>0</v>
      </c>
      <c r="D100" s="188">
        <f t="shared" si="2"/>
        <v>0</v>
      </c>
      <c r="E100" s="127">
        <f t="shared" si="1"/>
        <v>0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2" ht="18" hidden="1" customHeight="1" thickBot="1" x14ac:dyDescent="0.3">
      <c r="A101" s="127" t="s">
        <v>95</v>
      </c>
      <c r="B101" s="127" t="s">
        <v>502</v>
      </c>
      <c r="C101" s="127">
        <v>0</v>
      </c>
      <c r="D101" s="188">
        <f t="shared" si="2"/>
        <v>0</v>
      </c>
      <c r="E101" s="127">
        <f t="shared" si="1"/>
        <v>0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</row>
    <row r="102" spans="1:32" ht="18" hidden="1" customHeight="1" thickBot="1" x14ac:dyDescent="0.3">
      <c r="A102" s="127" t="s">
        <v>96</v>
      </c>
      <c r="B102" s="127" t="s">
        <v>274</v>
      </c>
      <c r="C102" s="127">
        <v>0</v>
      </c>
      <c r="D102" s="188">
        <f t="shared" si="2"/>
        <v>0</v>
      </c>
      <c r="E102" s="127">
        <f t="shared" si="1"/>
        <v>0</v>
      </c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 ht="18" hidden="1" customHeight="1" thickBot="1" x14ac:dyDescent="0.3">
      <c r="A103" s="127" t="s">
        <v>97</v>
      </c>
      <c r="B103" s="127" t="s">
        <v>504</v>
      </c>
      <c r="C103" s="127">
        <v>0</v>
      </c>
      <c r="D103" s="188">
        <f t="shared" si="2"/>
        <v>0</v>
      </c>
      <c r="E103" s="127">
        <f t="shared" si="1"/>
        <v>0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 ht="18" hidden="1" customHeight="1" thickBot="1" x14ac:dyDescent="0.3">
      <c r="A104" s="127" t="s">
        <v>98</v>
      </c>
      <c r="B104" s="127" t="s">
        <v>505</v>
      </c>
      <c r="C104" s="127">
        <v>0</v>
      </c>
      <c r="D104" s="188">
        <f t="shared" si="2"/>
        <v>0</v>
      </c>
      <c r="E104" s="127">
        <f t="shared" si="1"/>
        <v>0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 ht="18" hidden="1" customHeight="1" thickBot="1" x14ac:dyDescent="0.3">
      <c r="A105" s="127" t="s">
        <v>99</v>
      </c>
      <c r="B105" s="127" t="s">
        <v>277</v>
      </c>
      <c r="C105" s="127">
        <v>0</v>
      </c>
      <c r="D105" s="188">
        <f t="shared" si="2"/>
        <v>0</v>
      </c>
      <c r="E105" s="127">
        <f t="shared" si="1"/>
        <v>0</v>
      </c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 ht="18" hidden="1" customHeight="1" thickBot="1" x14ac:dyDescent="0.3">
      <c r="A106" s="127" t="s">
        <v>100</v>
      </c>
      <c r="B106" s="127" t="s">
        <v>278</v>
      </c>
      <c r="C106" s="127">
        <v>0</v>
      </c>
      <c r="D106" s="188">
        <f t="shared" si="2"/>
        <v>0</v>
      </c>
      <c r="E106" s="127">
        <f t="shared" si="1"/>
        <v>0</v>
      </c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</row>
    <row r="107" spans="1:32" ht="18" hidden="1" customHeight="1" thickBot="1" x14ac:dyDescent="0.3">
      <c r="A107" s="127" t="s">
        <v>101</v>
      </c>
      <c r="B107" s="127" t="s">
        <v>279</v>
      </c>
      <c r="C107" s="127">
        <v>0</v>
      </c>
      <c r="D107" s="188">
        <f t="shared" si="2"/>
        <v>0</v>
      </c>
      <c r="E107" s="127">
        <f t="shared" si="1"/>
        <v>0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 ht="18" hidden="1" customHeight="1" thickBot="1" x14ac:dyDescent="0.3">
      <c r="A108" s="127" t="s">
        <v>102</v>
      </c>
      <c r="B108" s="127" t="s">
        <v>507</v>
      </c>
      <c r="C108" s="127">
        <v>0</v>
      </c>
      <c r="D108" s="188">
        <f t="shared" si="2"/>
        <v>0</v>
      </c>
      <c r="E108" s="127">
        <f t="shared" si="1"/>
        <v>0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 ht="18" hidden="1" customHeight="1" thickBot="1" x14ac:dyDescent="0.3">
      <c r="A109" s="127" t="s">
        <v>103</v>
      </c>
      <c r="B109" s="127" t="s">
        <v>281</v>
      </c>
      <c r="C109" s="127">
        <v>0</v>
      </c>
      <c r="D109" s="188">
        <f t="shared" si="2"/>
        <v>0</v>
      </c>
      <c r="E109" s="127">
        <f t="shared" si="1"/>
        <v>0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2" ht="18" hidden="1" customHeight="1" thickBot="1" x14ac:dyDescent="0.3">
      <c r="A110" s="127" t="s">
        <v>104</v>
      </c>
      <c r="B110" s="127" t="s">
        <v>282</v>
      </c>
      <c r="C110" s="127">
        <v>0</v>
      </c>
      <c r="D110" s="188">
        <f t="shared" si="2"/>
        <v>0</v>
      </c>
      <c r="E110" s="127">
        <f t="shared" si="1"/>
        <v>0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2" ht="18" hidden="1" customHeight="1" thickBot="1" x14ac:dyDescent="0.3">
      <c r="A111" s="127" t="s">
        <v>105</v>
      </c>
      <c r="B111" s="127" t="s">
        <v>283</v>
      </c>
      <c r="C111" s="127">
        <v>0</v>
      </c>
      <c r="D111" s="188">
        <f t="shared" si="2"/>
        <v>0</v>
      </c>
      <c r="E111" s="127">
        <f t="shared" si="1"/>
        <v>0</v>
      </c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</row>
    <row r="112" spans="1:32" ht="18" hidden="1" customHeight="1" thickBot="1" x14ac:dyDescent="0.3">
      <c r="A112" s="127" t="s">
        <v>106</v>
      </c>
      <c r="B112" s="127" t="s">
        <v>509</v>
      </c>
      <c r="C112" s="127">
        <v>0</v>
      </c>
      <c r="D112" s="188">
        <f t="shared" si="2"/>
        <v>0</v>
      </c>
      <c r="E112" s="127">
        <f t="shared" si="1"/>
        <v>0</v>
      </c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</row>
    <row r="113" spans="1:33" ht="18" hidden="1" customHeight="1" thickBot="1" x14ac:dyDescent="0.3">
      <c r="A113" s="127" t="s">
        <v>107</v>
      </c>
      <c r="B113" s="127" t="s">
        <v>510</v>
      </c>
      <c r="C113" s="127">
        <v>0</v>
      </c>
      <c r="D113" s="188">
        <f t="shared" si="2"/>
        <v>0</v>
      </c>
      <c r="E113" s="127">
        <f t="shared" si="1"/>
        <v>0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3" ht="18" hidden="1" customHeight="1" thickBot="1" x14ac:dyDescent="0.3">
      <c r="A114" s="127" t="s">
        <v>108</v>
      </c>
      <c r="B114" s="127" t="s">
        <v>511</v>
      </c>
      <c r="C114" s="127">
        <v>0</v>
      </c>
      <c r="D114" s="188">
        <f t="shared" si="2"/>
        <v>0</v>
      </c>
      <c r="E114" s="127">
        <f t="shared" si="1"/>
        <v>0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</row>
    <row r="115" spans="1:33" ht="18" hidden="1" customHeight="1" thickBot="1" x14ac:dyDescent="0.3">
      <c r="A115" s="127" t="s">
        <v>109</v>
      </c>
      <c r="B115" s="127" t="s">
        <v>513</v>
      </c>
      <c r="C115" s="127">
        <v>0</v>
      </c>
      <c r="D115" s="188">
        <f t="shared" si="2"/>
        <v>0</v>
      </c>
      <c r="E115" s="127">
        <f t="shared" si="1"/>
        <v>0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3" ht="18" hidden="1" customHeight="1" thickBot="1" x14ac:dyDescent="0.3">
      <c r="A116" s="127" t="s">
        <v>110</v>
      </c>
      <c r="B116" s="127" t="s">
        <v>514</v>
      </c>
      <c r="C116" s="127">
        <v>0</v>
      </c>
      <c r="D116" s="188">
        <f t="shared" ref="D116:D179" si="3">SUM(F116:AG116)</f>
        <v>0</v>
      </c>
      <c r="E116" s="127">
        <f t="shared" si="1"/>
        <v>0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</row>
    <row r="117" spans="1:33" ht="18" hidden="1" customHeight="1" thickBot="1" x14ac:dyDescent="0.3">
      <c r="A117" s="127" t="s">
        <v>111</v>
      </c>
      <c r="B117" s="127" t="s">
        <v>515</v>
      </c>
      <c r="C117" s="127">
        <v>0</v>
      </c>
      <c r="D117" s="188">
        <f t="shared" si="3"/>
        <v>0</v>
      </c>
      <c r="E117" s="127">
        <f t="shared" si="1"/>
        <v>0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3" ht="18" hidden="1" customHeight="1" thickBot="1" x14ac:dyDescent="0.3">
      <c r="A118" s="127" t="s">
        <v>112</v>
      </c>
      <c r="B118" s="127" t="s">
        <v>516</v>
      </c>
      <c r="C118" s="127">
        <v>0</v>
      </c>
      <c r="D118" s="188">
        <f t="shared" si="3"/>
        <v>0</v>
      </c>
      <c r="E118" s="127">
        <f t="shared" si="1"/>
        <v>0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</row>
    <row r="119" spans="1:33" ht="18" hidden="1" customHeight="1" thickBot="1" x14ac:dyDescent="0.3">
      <c r="A119" s="127" t="s">
        <v>113</v>
      </c>
      <c r="B119" s="127" t="s">
        <v>291</v>
      </c>
      <c r="C119" s="127">
        <v>0</v>
      </c>
      <c r="D119" s="188">
        <f t="shared" si="3"/>
        <v>0</v>
      </c>
      <c r="E119" s="127">
        <f t="shared" si="1"/>
        <v>0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3" ht="18" hidden="1" customHeight="1" thickBot="1" x14ac:dyDescent="0.3">
      <c r="A120" s="127" t="s">
        <v>114</v>
      </c>
      <c r="B120" s="127" t="s">
        <v>292</v>
      </c>
      <c r="C120" s="127">
        <v>0</v>
      </c>
      <c r="D120" s="188">
        <f t="shared" si="3"/>
        <v>0</v>
      </c>
      <c r="E120" s="127">
        <f t="shared" si="1"/>
        <v>0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  <row r="121" spans="1:33" ht="18" hidden="1" customHeight="1" thickBot="1" x14ac:dyDescent="0.3">
      <c r="A121" s="127" t="s">
        <v>115</v>
      </c>
      <c r="B121" s="127" t="s">
        <v>518</v>
      </c>
      <c r="C121" s="127">
        <v>0</v>
      </c>
      <c r="D121" s="188">
        <f t="shared" si="3"/>
        <v>0</v>
      </c>
      <c r="E121" s="127">
        <f t="shared" si="1"/>
        <v>0</v>
      </c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3" ht="18" hidden="1" customHeight="1" thickBot="1" x14ac:dyDescent="0.3">
      <c r="A122" s="127" t="s">
        <v>116</v>
      </c>
      <c r="B122" s="127" t="s">
        <v>520</v>
      </c>
      <c r="C122" s="127">
        <v>0</v>
      </c>
      <c r="D122" s="188">
        <f t="shared" si="3"/>
        <v>0</v>
      </c>
      <c r="E122" s="127">
        <f t="shared" si="1"/>
        <v>0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</row>
    <row r="123" spans="1:33" ht="18" customHeight="1" thickBot="1" x14ac:dyDescent="0.3">
      <c r="A123" s="127" t="s">
        <v>117</v>
      </c>
      <c r="B123" s="127" t="s">
        <v>522</v>
      </c>
      <c r="C123" s="127">
        <v>55305</v>
      </c>
      <c r="D123" s="188">
        <f t="shared" si="3"/>
        <v>55304</v>
      </c>
      <c r="E123" s="127">
        <f t="shared" si="1"/>
        <v>1</v>
      </c>
      <c r="F123" s="51"/>
      <c r="G123" s="51"/>
      <c r="H123" s="51"/>
      <c r="I123" s="51"/>
      <c r="J123" s="51"/>
      <c r="K123" s="51"/>
      <c r="L123" s="51">
        <v>6351</v>
      </c>
      <c r="M123" s="51">
        <v>4882</v>
      </c>
      <c r="N123" s="51">
        <v>5150</v>
      </c>
      <c r="O123" s="51">
        <v>4147</v>
      </c>
      <c r="P123" s="51">
        <v>5387</v>
      </c>
      <c r="Q123" s="51">
        <v>8866</v>
      </c>
      <c r="R123" s="51">
        <v>3673</v>
      </c>
      <c r="S123" s="51">
        <v>3548</v>
      </c>
      <c r="T123" s="51">
        <v>49</v>
      </c>
      <c r="U123" s="51"/>
      <c r="V123" s="51"/>
      <c r="W123" s="51">
        <v>9876</v>
      </c>
      <c r="X123" s="51">
        <v>3375</v>
      </c>
      <c r="Y123" s="51"/>
      <c r="Z123" s="51"/>
      <c r="AA123" s="51"/>
      <c r="AB123" s="51"/>
      <c r="AC123" s="51"/>
      <c r="AD123" s="51"/>
      <c r="AE123" s="51"/>
      <c r="AF123" s="51"/>
      <c r="AG123" s="2">
        <v>0</v>
      </c>
    </row>
    <row r="124" spans="1:33" ht="18" customHeight="1" thickBot="1" x14ac:dyDescent="0.3">
      <c r="A124" s="127" t="s">
        <v>118</v>
      </c>
      <c r="B124" s="127" t="s">
        <v>524</v>
      </c>
      <c r="C124" s="127">
        <v>15371</v>
      </c>
      <c r="D124" s="188">
        <f t="shared" si="3"/>
        <v>15303</v>
      </c>
      <c r="E124" s="127">
        <f t="shared" si="1"/>
        <v>68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>
        <v>8637</v>
      </c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>
        <v>4738</v>
      </c>
      <c r="AD124" s="51"/>
      <c r="AE124" s="51"/>
      <c r="AF124" s="51"/>
      <c r="AG124" s="2">
        <v>1928</v>
      </c>
    </row>
    <row r="125" spans="1:33" ht="18" hidden="1" customHeight="1" thickBot="1" x14ac:dyDescent="0.3">
      <c r="A125" s="127" t="s">
        <v>119</v>
      </c>
      <c r="B125" s="127" t="s">
        <v>525</v>
      </c>
      <c r="C125" s="127">
        <v>0</v>
      </c>
      <c r="D125" s="188">
        <f t="shared" si="3"/>
        <v>0</v>
      </c>
      <c r="E125" s="127">
        <f t="shared" si="1"/>
        <v>0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</row>
    <row r="126" spans="1:33" ht="18" customHeight="1" thickBot="1" x14ac:dyDescent="0.3">
      <c r="A126" s="127" t="s">
        <v>120</v>
      </c>
      <c r="B126" s="127" t="s">
        <v>526</v>
      </c>
      <c r="C126" s="127">
        <v>123346</v>
      </c>
      <c r="D126" s="188">
        <f t="shared" si="3"/>
        <v>123346</v>
      </c>
      <c r="E126" s="127">
        <f t="shared" si="1"/>
        <v>0</v>
      </c>
      <c r="F126" s="51"/>
      <c r="G126" s="51"/>
      <c r="H126" s="51"/>
      <c r="I126" s="51"/>
      <c r="J126" s="51">
        <f>13868+3363</f>
        <v>17231</v>
      </c>
      <c r="K126" s="51">
        <v>15900</v>
      </c>
      <c r="L126" s="51">
        <v>5798</v>
      </c>
      <c r="M126" s="51">
        <v>3370</v>
      </c>
      <c r="N126" s="51">
        <v>3369</v>
      </c>
      <c r="O126" s="51">
        <v>3416</v>
      </c>
      <c r="P126" s="51">
        <v>3416</v>
      </c>
      <c r="Q126" s="51">
        <v>1803</v>
      </c>
      <c r="R126" s="51">
        <v>3416</v>
      </c>
      <c r="S126" s="51">
        <v>55832</v>
      </c>
      <c r="T126" s="51"/>
      <c r="U126" s="51">
        <v>6418</v>
      </c>
      <c r="V126" s="51">
        <v>3377</v>
      </c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</row>
    <row r="127" spans="1:33" ht="18" hidden="1" customHeight="1" thickBot="1" x14ac:dyDescent="0.3">
      <c r="A127" s="127" t="s">
        <v>121</v>
      </c>
      <c r="B127" s="127" t="s">
        <v>528</v>
      </c>
      <c r="C127" s="127">
        <v>0</v>
      </c>
      <c r="D127" s="188">
        <f t="shared" si="3"/>
        <v>0</v>
      </c>
      <c r="E127" s="127">
        <f t="shared" si="1"/>
        <v>0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</row>
    <row r="128" spans="1:33" ht="18" hidden="1" customHeight="1" thickBot="1" x14ac:dyDescent="0.3">
      <c r="A128" s="127" t="s">
        <v>122</v>
      </c>
      <c r="B128" s="127" t="s">
        <v>529</v>
      </c>
      <c r="C128" s="127">
        <v>0</v>
      </c>
      <c r="D128" s="188">
        <f t="shared" si="3"/>
        <v>0</v>
      </c>
      <c r="E128" s="127">
        <f t="shared" si="1"/>
        <v>0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</row>
    <row r="129" spans="1:32" ht="18" hidden="1" customHeight="1" thickBot="1" x14ac:dyDescent="0.3">
      <c r="A129" s="127" t="s">
        <v>123</v>
      </c>
      <c r="B129" s="127" t="s">
        <v>531</v>
      </c>
      <c r="C129" s="127">
        <v>0</v>
      </c>
      <c r="D129" s="188">
        <f t="shared" si="3"/>
        <v>0</v>
      </c>
      <c r="E129" s="127">
        <f t="shared" si="1"/>
        <v>0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2" ht="18" hidden="1" customHeight="1" thickBot="1" x14ac:dyDescent="0.3">
      <c r="A130" s="127" t="s">
        <v>124</v>
      </c>
      <c r="B130" s="127" t="s">
        <v>532</v>
      </c>
      <c r="C130" s="127">
        <v>0</v>
      </c>
      <c r="D130" s="188">
        <f t="shared" si="3"/>
        <v>0</v>
      </c>
      <c r="E130" s="127">
        <f t="shared" si="1"/>
        <v>0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2" ht="18" hidden="1" customHeight="1" thickBot="1" x14ac:dyDescent="0.3">
      <c r="A131" s="127" t="s">
        <v>125</v>
      </c>
      <c r="B131" s="127" t="s">
        <v>533</v>
      </c>
      <c r="C131" s="127">
        <v>0</v>
      </c>
      <c r="D131" s="188">
        <f t="shared" si="3"/>
        <v>0</v>
      </c>
      <c r="E131" s="127">
        <f t="shared" si="1"/>
        <v>0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</row>
    <row r="132" spans="1:32" ht="18" customHeight="1" thickBot="1" x14ac:dyDescent="0.3">
      <c r="A132" s="127" t="s">
        <v>126</v>
      </c>
      <c r="B132" s="127" t="s">
        <v>304</v>
      </c>
      <c r="C132" s="127">
        <v>26512</v>
      </c>
      <c r="D132" s="188">
        <f t="shared" si="3"/>
        <v>25855</v>
      </c>
      <c r="E132" s="127">
        <f t="shared" si="1"/>
        <v>657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>
        <v>25792</v>
      </c>
      <c r="Q132" s="51"/>
      <c r="R132" s="51"/>
      <c r="S132" s="51"/>
      <c r="T132" s="51"/>
      <c r="U132" s="51"/>
      <c r="V132" s="51"/>
      <c r="W132" s="51"/>
      <c r="X132" s="51">
        <v>63</v>
      </c>
      <c r="Y132" s="51"/>
      <c r="Z132" s="51"/>
      <c r="AA132" s="51"/>
      <c r="AB132" s="51"/>
      <c r="AC132" s="51"/>
      <c r="AD132" s="51"/>
      <c r="AE132" s="51"/>
      <c r="AF132" s="51"/>
    </row>
    <row r="133" spans="1:32" ht="18" customHeight="1" thickBot="1" x14ac:dyDescent="0.3">
      <c r="A133" s="127" t="s">
        <v>127</v>
      </c>
      <c r="B133" s="127" t="s">
        <v>305</v>
      </c>
      <c r="C133" s="127">
        <v>17431</v>
      </c>
      <c r="D133" s="188">
        <f t="shared" si="3"/>
        <v>17431</v>
      </c>
      <c r="E133" s="127">
        <f t="shared" si="1"/>
        <v>0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>
        <v>8036</v>
      </c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>
        <v>9395</v>
      </c>
      <c r="AC133" s="51"/>
      <c r="AD133" s="51"/>
      <c r="AE133" s="51"/>
      <c r="AF133" s="51"/>
    </row>
    <row r="134" spans="1:32" ht="18" hidden="1" customHeight="1" thickBot="1" x14ac:dyDescent="0.3">
      <c r="A134" s="127" t="s">
        <v>128</v>
      </c>
      <c r="B134" s="127" t="s">
        <v>306</v>
      </c>
      <c r="C134" s="127">
        <v>0</v>
      </c>
      <c r="D134" s="188">
        <f t="shared" si="3"/>
        <v>0</v>
      </c>
      <c r="E134" s="127">
        <f t="shared" si="1"/>
        <v>0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</row>
    <row r="135" spans="1:32" ht="18" hidden="1" customHeight="1" thickBot="1" x14ac:dyDescent="0.3">
      <c r="A135" s="127" t="s">
        <v>129</v>
      </c>
      <c r="B135" s="127" t="s">
        <v>307</v>
      </c>
      <c r="C135" s="127">
        <v>0</v>
      </c>
      <c r="D135" s="188">
        <f t="shared" si="3"/>
        <v>0</v>
      </c>
      <c r="E135" s="127">
        <f t="shared" si="1"/>
        <v>0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</row>
    <row r="136" spans="1:32" ht="18" hidden="1" customHeight="1" thickBot="1" x14ac:dyDescent="0.3">
      <c r="A136" s="127" t="s">
        <v>130</v>
      </c>
      <c r="B136" s="127" t="s">
        <v>308</v>
      </c>
      <c r="C136" s="127">
        <v>0</v>
      </c>
      <c r="D136" s="188">
        <f t="shared" si="3"/>
        <v>0</v>
      </c>
      <c r="E136" s="127">
        <f t="shared" si="1"/>
        <v>0</v>
      </c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2" ht="18" hidden="1" customHeight="1" thickBot="1" x14ac:dyDescent="0.3">
      <c r="A137" s="127" t="s">
        <v>131</v>
      </c>
      <c r="B137" s="127" t="s">
        <v>309</v>
      </c>
      <c r="C137" s="127">
        <v>0</v>
      </c>
      <c r="D137" s="188">
        <f t="shared" si="3"/>
        <v>0</v>
      </c>
      <c r="E137" s="127">
        <f t="shared" si="1"/>
        <v>0</v>
      </c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</row>
    <row r="138" spans="1:32" ht="18" hidden="1" customHeight="1" thickBot="1" x14ac:dyDescent="0.3">
      <c r="A138" s="127" t="s">
        <v>132</v>
      </c>
      <c r="B138" s="127" t="s">
        <v>310</v>
      </c>
      <c r="C138" s="127">
        <v>0</v>
      </c>
      <c r="D138" s="188">
        <f t="shared" si="3"/>
        <v>0</v>
      </c>
      <c r="E138" s="127">
        <f t="shared" si="1"/>
        <v>0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ht="18" hidden="1" customHeight="1" thickBot="1" x14ac:dyDescent="0.3">
      <c r="A139" s="127" t="s">
        <v>133</v>
      </c>
      <c r="B139" s="127" t="s">
        <v>311</v>
      </c>
      <c r="C139" s="127">
        <v>0</v>
      </c>
      <c r="D139" s="188">
        <f t="shared" si="3"/>
        <v>0</v>
      </c>
      <c r="E139" s="127">
        <f t="shared" si="1"/>
        <v>0</v>
      </c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 ht="18" hidden="1" customHeight="1" thickBot="1" x14ac:dyDescent="0.3">
      <c r="A140" s="127" t="s">
        <v>134</v>
      </c>
      <c r="B140" s="127" t="s">
        <v>312</v>
      </c>
      <c r="C140" s="127">
        <v>0</v>
      </c>
      <c r="D140" s="188">
        <f t="shared" si="3"/>
        <v>0</v>
      </c>
      <c r="E140" s="127">
        <f t="shared" si="1"/>
        <v>0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ht="18" hidden="1" customHeight="1" thickBot="1" x14ac:dyDescent="0.3">
      <c r="A141" s="127" t="s">
        <v>135</v>
      </c>
      <c r="B141" s="127" t="s">
        <v>537</v>
      </c>
      <c r="C141" s="127">
        <v>0</v>
      </c>
      <c r="D141" s="188">
        <f t="shared" si="3"/>
        <v>0</v>
      </c>
      <c r="E141" s="127">
        <f t="shared" si="1"/>
        <v>0</v>
      </c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</row>
    <row r="142" spans="1:32" ht="18" hidden="1" customHeight="1" thickBot="1" x14ac:dyDescent="0.3">
      <c r="A142" s="127" t="s">
        <v>136</v>
      </c>
      <c r="B142" s="127" t="s">
        <v>538</v>
      </c>
      <c r="C142" s="127">
        <v>0</v>
      </c>
      <c r="D142" s="188">
        <f t="shared" si="3"/>
        <v>0</v>
      </c>
      <c r="E142" s="127">
        <f t="shared" si="1"/>
        <v>0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ht="18" hidden="1" customHeight="1" thickBot="1" x14ac:dyDescent="0.3">
      <c r="A143" s="127" t="s">
        <v>137</v>
      </c>
      <c r="B143" s="127" t="s">
        <v>540</v>
      </c>
      <c r="C143" s="127">
        <v>0</v>
      </c>
      <c r="D143" s="188">
        <f t="shared" si="3"/>
        <v>0</v>
      </c>
      <c r="E143" s="127">
        <f t="shared" si="1"/>
        <v>0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</row>
    <row r="144" spans="1:32" ht="18" hidden="1" customHeight="1" thickBot="1" x14ac:dyDescent="0.3">
      <c r="A144" s="127" t="s">
        <v>138</v>
      </c>
      <c r="B144" s="127" t="s">
        <v>316</v>
      </c>
      <c r="C144" s="127">
        <v>0</v>
      </c>
      <c r="D144" s="188">
        <f t="shared" si="3"/>
        <v>0</v>
      </c>
      <c r="E144" s="127">
        <f t="shared" si="1"/>
        <v>0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3" ht="18" hidden="1" customHeight="1" thickBot="1" x14ac:dyDescent="0.3">
      <c r="A145" s="127" t="s">
        <v>139</v>
      </c>
      <c r="B145" s="127" t="s">
        <v>542</v>
      </c>
      <c r="C145" s="127">
        <v>0</v>
      </c>
      <c r="D145" s="188">
        <f t="shared" si="3"/>
        <v>0</v>
      </c>
      <c r="E145" s="127">
        <f t="shared" si="1"/>
        <v>0</v>
      </c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</row>
    <row r="146" spans="1:33" ht="18" hidden="1" customHeight="1" thickBot="1" x14ac:dyDescent="0.3">
      <c r="A146" s="127" t="s">
        <v>140</v>
      </c>
      <c r="B146" s="127" t="s">
        <v>544</v>
      </c>
      <c r="C146" s="127">
        <v>0</v>
      </c>
      <c r="D146" s="188">
        <f t="shared" si="3"/>
        <v>0</v>
      </c>
      <c r="E146" s="127">
        <f t="shared" si="1"/>
        <v>0</v>
      </c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3" ht="18" hidden="1" customHeight="1" thickBot="1" x14ac:dyDescent="0.3">
      <c r="A147" s="127" t="s">
        <v>141</v>
      </c>
      <c r="B147" s="127" t="s">
        <v>545</v>
      </c>
      <c r="C147" s="127">
        <v>0</v>
      </c>
      <c r="D147" s="188">
        <f t="shared" si="3"/>
        <v>0</v>
      </c>
      <c r="E147" s="127">
        <f t="shared" si="1"/>
        <v>0</v>
      </c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</row>
    <row r="148" spans="1:33" ht="18" hidden="1" customHeight="1" thickBot="1" x14ac:dyDescent="0.3">
      <c r="A148" s="127" t="s">
        <v>142</v>
      </c>
      <c r="B148" s="127" t="s">
        <v>546</v>
      </c>
      <c r="C148" s="127">
        <v>0</v>
      </c>
      <c r="D148" s="188">
        <f t="shared" si="3"/>
        <v>0</v>
      </c>
      <c r="E148" s="127">
        <f t="shared" si="1"/>
        <v>0</v>
      </c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3" ht="18" hidden="1" customHeight="1" thickBot="1" x14ac:dyDescent="0.3">
      <c r="A149" s="127" t="s">
        <v>143</v>
      </c>
      <c r="B149" s="127" t="s">
        <v>321</v>
      </c>
      <c r="C149" s="127">
        <v>0</v>
      </c>
      <c r="D149" s="188">
        <f t="shared" si="3"/>
        <v>0</v>
      </c>
      <c r="E149" s="127">
        <f t="shared" si="1"/>
        <v>0</v>
      </c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</row>
    <row r="150" spans="1:33" ht="18" hidden="1" customHeight="1" thickBot="1" x14ac:dyDescent="0.3">
      <c r="A150" s="127" t="s">
        <v>144</v>
      </c>
      <c r="B150" s="127" t="s">
        <v>548</v>
      </c>
      <c r="C150" s="127">
        <v>0</v>
      </c>
      <c r="D150" s="188">
        <f t="shared" si="3"/>
        <v>0</v>
      </c>
      <c r="E150" s="127">
        <f t="shared" si="1"/>
        <v>0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</row>
    <row r="151" spans="1:33" ht="18" hidden="1" customHeight="1" thickBot="1" x14ac:dyDescent="0.3">
      <c r="A151" s="127" t="s">
        <v>145</v>
      </c>
      <c r="B151" s="127" t="s">
        <v>549</v>
      </c>
      <c r="C151" s="127">
        <v>0</v>
      </c>
      <c r="D151" s="188">
        <f t="shared" si="3"/>
        <v>0</v>
      </c>
      <c r="E151" s="127">
        <f t="shared" si="1"/>
        <v>0</v>
      </c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</row>
    <row r="152" spans="1:33" ht="18" hidden="1" customHeight="1" thickBot="1" x14ac:dyDescent="0.3">
      <c r="A152" s="127" t="s">
        <v>146</v>
      </c>
      <c r="B152" s="127" t="s">
        <v>551</v>
      </c>
      <c r="C152" s="127">
        <v>0</v>
      </c>
      <c r="D152" s="188">
        <f t="shared" si="3"/>
        <v>0</v>
      </c>
      <c r="E152" s="127">
        <f t="shared" si="1"/>
        <v>0</v>
      </c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</row>
    <row r="153" spans="1:33" ht="18" hidden="1" customHeight="1" thickBot="1" x14ac:dyDescent="0.3">
      <c r="A153" s="127" t="s">
        <v>147</v>
      </c>
      <c r="B153" s="127" t="s">
        <v>325</v>
      </c>
      <c r="C153" s="127">
        <v>0</v>
      </c>
      <c r="D153" s="188">
        <f t="shared" si="3"/>
        <v>0</v>
      </c>
      <c r="E153" s="127">
        <f t="shared" si="1"/>
        <v>0</v>
      </c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</row>
    <row r="154" spans="1:33" ht="18" customHeight="1" thickBot="1" x14ac:dyDescent="0.3">
      <c r="A154" s="127" t="s">
        <v>148</v>
      </c>
      <c r="B154" s="127" t="s">
        <v>326</v>
      </c>
      <c r="C154" s="127">
        <v>22282</v>
      </c>
      <c r="D154" s="188">
        <f t="shared" si="3"/>
        <v>22282</v>
      </c>
      <c r="E154" s="127">
        <f t="shared" si="1"/>
        <v>0</v>
      </c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>
        <v>0</v>
      </c>
      <c r="S154" s="51"/>
      <c r="T154" s="51"/>
      <c r="U154" s="51"/>
      <c r="V154" s="51"/>
      <c r="W154" s="51"/>
      <c r="X154" s="51">
        <v>11213</v>
      </c>
      <c r="Y154" s="51">
        <v>2760</v>
      </c>
      <c r="Z154" s="51">
        <v>2757</v>
      </c>
      <c r="AA154" s="51">
        <v>719</v>
      </c>
      <c r="AB154" s="51"/>
      <c r="AC154" s="51"/>
      <c r="AD154" s="51">
        <v>2879</v>
      </c>
      <c r="AE154" s="51"/>
      <c r="AF154" s="51"/>
      <c r="AG154" s="2">
        <v>1954</v>
      </c>
    </row>
    <row r="155" spans="1:33" ht="18" hidden="1" customHeight="1" thickBot="1" x14ac:dyDescent="0.3">
      <c r="A155" s="127" t="s">
        <v>149</v>
      </c>
      <c r="B155" s="127" t="s">
        <v>553</v>
      </c>
      <c r="C155" s="127">
        <v>0</v>
      </c>
      <c r="D155" s="188">
        <f t="shared" si="3"/>
        <v>0</v>
      </c>
      <c r="E155" s="127">
        <f t="shared" si="1"/>
        <v>0</v>
      </c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</row>
    <row r="156" spans="1:33" ht="18" hidden="1" customHeight="1" thickBot="1" x14ac:dyDescent="0.3">
      <c r="A156" s="127" t="s">
        <v>150</v>
      </c>
      <c r="B156" s="127" t="s">
        <v>554</v>
      </c>
      <c r="C156" s="127">
        <v>0</v>
      </c>
      <c r="D156" s="188">
        <f t="shared" si="3"/>
        <v>0</v>
      </c>
      <c r="E156" s="127">
        <f t="shared" si="1"/>
        <v>0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</row>
    <row r="157" spans="1:33" ht="18" hidden="1" customHeight="1" thickBot="1" x14ac:dyDescent="0.3">
      <c r="A157" s="127" t="s">
        <v>151</v>
      </c>
      <c r="B157" s="127" t="s">
        <v>556</v>
      </c>
      <c r="C157" s="127">
        <v>0</v>
      </c>
      <c r="D157" s="188">
        <f t="shared" si="3"/>
        <v>0</v>
      </c>
      <c r="E157" s="127">
        <f t="shared" si="1"/>
        <v>0</v>
      </c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</row>
    <row r="158" spans="1:33" ht="18" hidden="1" customHeight="1" thickBot="1" x14ac:dyDescent="0.3">
      <c r="A158" s="127" t="s">
        <v>152</v>
      </c>
      <c r="B158" s="127" t="s">
        <v>557</v>
      </c>
      <c r="C158" s="127">
        <v>0</v>
      </c>
      <c r="D158" s="188">
        <f t="shared" si="3"/>
        <v>0</v>
      </c>
      <c r="E158" s="127">
        <f t="shared" si="1"/>
        <v>0</v>
      </c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</row>
    <row r="159" spans="1:33" ht="18" hidden="1" customHeight="1" thickBot="1" x14ac:dyDescent="0.3">
      <c r="A159" s="127" t="s">
        <v>153</v>
      </c>
      <c r="B159" s="127" t="s">
        <v>558</v>
      </c>
      <c r="C159" s="127">
        <v>0</v>
      </c>
      <c r="D159" s="188">
        <f t="shared" si="3"/>
        <v>0</v>
      </c>
      <c r="E159" s="127">
        <f t="shared" si="1"/>
        <v>0</v>
      </c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</row>
    <row r="160" spans="1:33" ht="18" hidden="1" customHeight="1" thickBot="1" x14ac:dyDescent="0.3">
      <c r="A160" s="127" t="s">
        <v>154</v>
      </c>
      <c r="B160" s="127" t="s">
        <v>332</v>
      </c>
      <c r="C160" s="127">
        <v>0</v>
      </c>
      <c r="D160" s="188">
        <f t="shared" si="3"/>
        <v>0</v>
      </c>
      <c r="E160" s="127">
        <f t="shared" si="1"/>
        <v>0</v>
      </c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</row>
    <row r="161" spans="1:32" ht="18" hidden="1" customHeight="1" thickBot="1" x14ac:dyDescent="0.3">
      <c r="A161" s="127" t="s">
        <v>155</v>
      </c>
      <c r="B161" s="127" t="s">
        <v>560</v>
      </c>
      <c r="C161" s="127">
        <v>0</v>
      </c>
      <c r="D161" s="188">
        <f t="shared" si="3"/>
        <v>0</v>
      </c>
      <c r="E161" s="127">
        <f t="shared" si="1"/>
        <v>0</v>
      </c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</row>
    <row r="162" spans="1:32" ht="18" hidden="1" customHeight="1" thickBot="1" x14ac:dyDescent="0.3">
      <c r="A162" s="127" t="s">
        <v>156</v>
      </c>
      <c r="B162" s="127" t="s">
        <v>334</v>
      </c>
      <c r="C162" s="127">
        <v>0</v>
      </c>
      <c r="D162" s="188">
        <f t="shared" si="3"/>
        <v>0</v>
      </c>
      <c r="E162" s="127">
        <f t="shared" si="1"/>
        <v>0</v>
      </c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</row>
    <row r="163" spans="1:32" ht="18" hidden="1" customHeight="1" thickBot="1" x14ac:dyDescent="0.3">
      <c r="A163" s="127" t="s">
        <v>157</v>
      </c>
      <c r="B163" s="127" t="s">
        <v>335</v>
      </c>
      <c r="C163" s="127">
        <v>0</v>
      </c>
      <c r="D163" s="188">
        <f t="shared" si="3"/>
        <v>0</v>
      </c>
      <c r="E163" s="127">
        <f t="shared" si="1"/>
        <v>0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2" ht="18" hidden="1" customHeight="1" thickBot="1" x14ac:dyDescent="0.3">
      <c r="A164" s="127" t="s">
        <v>158</v>
      </c>
      <c r="B164" s="127" t="s">
        <v>336</v>
      </c>
      <c r="C164" s="127">
        <v>0</v>
      </c>
      <c r="D164" s="188">
        <f t="shared" si="3"/>
        <v>0</v>
      </c>
      <c r="E164" s="127">
        <f t="shared" si="1"/>
        <v>0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</row>
    <row r="165" spans="1:32" ht="18" hidden="1" customHeight="1" thickBot="1" x14ac:dyDescent="0.3">
      <c r="A165" s="127" t="s">
        <v>159</v>
      </c>
      <c r="B165" s="127" t="s">
        <v>563</v>
      </c>
      <c r="C165" s="127">
        <v>0</v>
      </c>
      <c r="D165" s="188">
        <f t="shared" si="3"/>
        <v>0</v>
      </c>
      <c r="E165" s="127">
        <f t="shared" si="1"/>
        <v>0</v>
      </c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2" ht="18" hidden="1" customHeight="1" thickBot="1" x14ac:dyDescent="0.3">
      <c r="A166" s="127" t="s">
        <v>160</v>
      </c>
      <c r="B166" s="127" t="s">
        <v>412</v>
      </c>
      <c r="C166" s="127">
        <v>0</v>
      </c>
      <c r="D166" s="188">
        <f t="shared" si="3"/>
        <v>0</v>
      </c>
      <c r="E166" s="127">
        <f t="shared" si="1"/>
        <v>0</v>
      </c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</row>
    <row r="167" spans="1:32" ht="18" hidden="1" customHeight="1" thickBot="1" x14ac:dyDescent="0.3">
      <c r="A167" s="127" t="s">
        <v>161</v>
      </c>
      <c r="B167" s="127" t="s">
        <v>566</v>
      </c>
      <c r="C167" s="127">
        <v>0</v>
      </c>
      <c r="D167" s="188">
        <f t="shared" si="3"/>
        <v>0</v>
      </c>
      <c r="E167" s="127">
        <f t="shared" si="1"/>
        <v>0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2" ht="18" hidden="1" customHeight="1" thickBot="1" x14ac:dyDescent="0.3">
      <c r="A168" s="127" t="s">
        <v>162</v>
      </c>
      <c r="B168" s="127" t="s">
        <v>568</v>
      </c>
      <c r="C168" s="127">
        <v>0</v>
      </c>
      <c r="D168" s="188">
        <f t="shared" si="3"/>
        <v>0</v>
      </c>
      <c r="E168" s="127">
        <f t="shared" si="1"/>
        <v>0</v>
      </c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</row>
    <row r="169" spans="1:32" ht="18" hidden="1" customHeight="1" thickBot="1" x14ac:dyDescent="0.3">
      <c r="A169" s="127" t="s">
        <v>163</v>
      </c>
      <c r="B169" s="127" t="s">
        <v>570</v>
      </c>
      <c r="C169" s="127">
        <v>0</v>
      </c>
      <c r="D169" s="188">
        <f t="shared" si="3"/>
        <v>0</v>
      </c>
      <c r="E169" s="127">
        <f t="shared" si="1"/>
        <v>0</v>
      </c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2" ht="18" hidden="1" customHeight="1" thickBot="1" x14ac:dyDescent="0.3">
      <c r="A170" s="127" t="s">
        <v>164</v>
      </c>
      <c r="B170" s="127" t="s">
        <v>341</v>
      </c>
      <c r="C170" s="127">
        <v>0</v>
      </c>
      <c r="D170" s="188">
        <f t="shared" si="3"/>
        <v>0</v>
      </c>
      <c r="E170" s="127">
        <f t="shared" si="1"/>
        <v>0</v>
      </c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</row>
    <row r="171" spans="1:32" ht="18" hidden="1" customHeight="1" thickBot="1" x14ac:dyDescent="0.3">
      <c r="A171" s="127" t="s">
        <v>165</v>
      </c>
      <c r="B171" s="127" t="s">
        <v>342</v>
      </c>
      <c r="C171" s="127">
        <v>0</v>
      </c>
      <c r="D171" s="188">
        <f t="shared" si="3"/>
        <v>0</v>
      </c>
      <c r="E171" s="127">
        <f t="shared" si="1"/>
        <v>0</v>
      </c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2" ht="18" hidden="1" customHeight="1" thickBot="1" x14ac:dyDescent="0.3">
      <c r="A172" s="127" t="s">
        <v>166</v>
      </c>
      <c r="B172" s="127" t="s">
        <v>343</v>
      </c>
      <c r="C172" s="127">
        <v>0</v>
      </c>
      <c r="D172" s="188">
        <f t="shared" si="3"/>
        <v>0</v>
      </c>
      <c r="E172" s="127">
        <f t="shared" si="1"/>
        <v>0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</row>
    <row r="173" spans="1:32" ht="18" hidden="1" customHeight="1" thickBot="1" x14ac:dyDescent="0.3">
      <c r="A173" s="127" t="s">
        <v>167</v>
      </c>
      <c r="B173" s="127" t="s">
        <v>344</v>
      </c>
      <c r="C173" s="127">
        <v>0</v>
      </c>
      <c r="D173" s="188">
        <f t="shared" si="3"/>
        <v>0</v>
      </c>
      <c r="E173" s="127">
        <f t="shared" si="1"/>
        <v>0</v>
      </c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2" ht="18" hidden="1" customHeight="1" thickBot="1" x14ac:dyDescent="0.3">
      <c r="A174" s="127" t="s">
        <v>168</v>
      </c>
      <c r="B174" s="127" t="s">
        <v>345</v>
      </c>
      <c r="C174" s="127">
        <v>0</v>
      </c>
      <c r="D174" s="188">
        <f t="shared" si="3"/>
        <v>0</v>
      </c>
      <c r="E174" s="127">
        <f t="shared" si="1"/>
        <v>0</v>
      </c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2" ht="18" hidden="1" customHeight="1" thickBot="1" x14ac:dyDescent="0.3">
      <c r="A175" s="127" t="s">
        <v>169</v>
      </c>
      <c r="B175" s="127" t="s">
        <v>572</v>
      </c>
      <c r="C175" s="127">
        <v>0</v>
      </c>
      <c r="D175" s="188">
        <f t="shared" si="3"/>
        <v>0</v>
      </c>
      <c r="E175" s="127">
        <f t="shared" si="1"/>
        <v>0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</row>
    <row r="176" spans="1:32" ht="18" hidden="1" customHeight="1" thickBot="1" x14ac:dyDescent="0.3">
      <c r="A176" s="127" t="s">
        <v>170</v>
      </c>
      <c r="B176" s="127" t="s">
        <v>574</v>
      </c>
      <c r="C176" s="127">
        <v>0</v>
      </c>
      <c r="D176" s="188">
        <f t="shared" si="3"/>
        <v>0</v>
      </c>
      <c r="E176" s="127">
        <f t="shared" si="1"/>
        <v>0</v>
      </c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</row>
    <row r="177" spans="1:32" ht="18" hidden="1" customHeight="1" thickBot="1" x14ac:dyDescent="0.3">
      <c r="A177" s="127" t="s">
        <v>171</v>
      </c>
      <c r="B177" s="127" t="s">
        <v>413</v>
      </c>
      <c r="C177" s="127">
        <v>0</v>
      </c>
      <c r="D177" s="188">
        <f t="shared" si="3"/>
        <v>0</v>
      </c>
      <c r="E177" s="127">
        <f t="shared" si="1"/>
        <v>0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2" ht="18" hidden="1" customHeight="1" thickBot="1" x14ac:dyDescent="0.3">
      <c r="A178" s="127" t="s">
        <v>172</v>
      </c>
      <c r="B178" s="127" t="s">
        <v>575</v>
      </c>
      <c r="C178" s="127">
        <v>0</v>
      </c>
      <c r="D178" s="188">
        <f t="shared" si="3"/>
        <v>0</v>
      </c>
      <c r="E178" s="127">
        <f t="shared" si="1"/>
        <v>0</v>
      </c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</row>
    <row r="179" spans="1:32" ht="18" hidden="1" customHeight="1" thickBot="1" x14ac:dyDescent="0.3">
      <c r="A179" s="127" t="s">
        <v>173</v>
      </c>
      <c r="B179" s="127" t="s">
        <v>576</v>
      </c>
      <c r="C179" s="127">
        <v>0</v>
      </c>
      <c r="D179" s="188">
        <f t="shared" si="3"/>
        <v>0</v>
      </c>
      <c r="E179" s="127">
        <f t="shared" si="1"/>
        <v>0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1:32" ht="18" hidden="1" customHeight="1" thickBot="1" x14ac:dyDescent="0.3">
      <c r="A180" s="127" t="s">
        <v>174</v>
      </c>
      <c r="B180" s="127" t="s">
        <v>350</v>
      </c>
      <c r="C180" s="127">
        <v>0</v>
      </c>
      <c r="D180" s="188">
        <f t="shared" ref="D180:D191" si="4">SUM(F180:AG180)</f>
        <v>0</v>
      </c>
      <c r="E180" s="127">
        <f t="shared" si="1"/>
        <v>0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</row>
    <row r="181" spans="1:32" ht="18" hidden="1" customHeight="1" thickBot="1" x14ac:dyDescent="0.3">
      <c r="A181" s="127" t="s">
        <v>175</v>
      </c>
      <c r="B181" s="127" t="s">
        <v>577</v>
      </c>
      <c r="C181" s="127">
        <v>0</v>
      </c>
      <c r="D181" s="188">
        <f t="shared" si="4"/>
        <v>0</v>
      </c>
      <c r="E181" s="127">
        <f t="shared" si="1"/>
        <v>0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</row>
    <row r="182" spans="1:32" ht="18" hidden="1" customHeight="1" thickBot="1" x14ac:dyDescent="0.3">
      <c r="A182" s="127" t="s">
        <v>176</v>
      </c>
      <c r="B182" s="127" t="s">
        <v>578</v>
      </c>
      <c r="C182" s="127">
        <v>0</v>
      </c>
      <c r="D182" s="188">
        <f t="shared" si="4"/>
        <v>0</v>
      </c>
      <c r="E182" s="127">
        <f t="shared" si="1"/>
        <v>0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</row>
    <row r="183" spans="1:32" ht="18" hidden="1" customHeight="1" thickBot="1" x14ac:dyDescent="0.3">
      <c r="A183" s="127" t="s">
        <v>177</v>
      </c>
      <c r="B183" s="127" t="s">
        <v>579</v>
      </c>
      <c r="C183" s="127">
        <v>0</v>
      </c>
      <c r="D183" s="188">
        <f t="shared" si="4"/>
        <v>0</v>
      </c>
      <c r="E183" s="127">
        <f t="shared" si="1"/>
        <v>0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</row>
    <row r="184" spans="1:32" ht="18" hidden="1" customHeight="1" thickBot="1" x14ac:dyDescent="0.3">
      <c r="A184" s="127" t="s">
        <v>178</v>
      </c>
      <c r="B184" s="127" t="s">
        <v>580</v>
      </c>
      <c r="C184" s="127">
        <v>0</v>
      </c>
      <c r="D184" s="188">
        <f t="shared" si="4"/>
        <v>0</v>
      </c>
      <c r="E184" s="127">
        <f t="shared" si="1"/>
        <v>0</v>
      </c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</row>
    <row r="185" spans="1:32" ht="18" hidden="1" customHeight="1" thickBot="1" x14ac:dyDescent="0.3">
      <c r="A185" s="127" t="s">
        <v>179</v>
      </c>
      <c r="B185" s="127" t="s">
        <v>581</v>
      </c>
      <c r="C185" s="127">
        <v>0</v>
      </c>
      <c r="D185" s="188">
        <f t="shared" si="4"/>
        <v>0</v>
      </c>
      <c r="E185" s="127">
        <f t="shared" si="1"/>
        <v>0</v>
      </c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</row>
    <row r="186" spans="1:32" ht="18" hidden="1" customHeight="1" thickBot="1" x14ac:dyDescent="0.3">
      <c r="A186" s="127" t="s">
        <v>180</v>
      </c>
      <c r="B186" s="127" t="s">
        <v>582</v>
      </c>
      <c r="C186" s="127">
        <v>0</v>
      </c>
      <c r="D186" s="188">
        <f t="shared" si="4"/>
        <v>0</v>
      </c>
      <c r="E186" s="127">
        <f t="shared" si="1"/>
        <v>0</v>
      </c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</row>
    <row r="187" spans="1:32" ht="18" hidden="1" customHeight="1" thickBot="1" x14ac:dyDescent="0.3">
      <c r="A187" s="127" t="s">
        <v>181</v>
      </c>
      <c r="B187" s="127" t="s">
        <v>357</v>
      </c>
      <c r="C187" s="127">
        <v>0</v>
      </c>
      <c r="D187" s="188">
        <f t="shared" si="4"/>
        <v>0</v>
      </c>
      <c r="E187" s="127">
        <f t="shared" si="1"/>
        <v>0</v>
      </c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</row>
    <row r="188" spans="1:32" ht="18" hidden="1" customHeight="1" thickBot="1" x14ac:dyDescent="0.3">
      <c r="A188" s="127" t="s">
        <v>182</v>
      </c>
      <c r="B188" s="127" t="s">
        <v>584</v>
      </c>
      <c r="C188" s="127">
        <v>0</v>
      </c>
      <c r="D188" s="188">
        <f t="shared" si="4"/>
        <v>0</v>
      </c>
      <c r="E188" s="127">
        <f t="shared" si="1"/>
        <v>0</v>
      </c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ht="18" hidden="1" customHeight="1" thickBot="1" x14ac:dyDescent="0.3">
      <c r="A189" s="127" t="s">
        <v>183</v>
      </c>
      <c r="B189" s="127" t="s">
        <v>585</v>
      </c>
      <c r="C189" s="127">
        <v>0</v>
      </c>
      <c r="D189" s="188">
        <f t="shared" si="4"/>
        <v>0</v>
      </c>
      <c r="E189" s="127">
        <f t="shared" si="1"/>
        <v>0</v>
      </c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</row>
    <row r="190" spans="1:32" ht="18" hidden="1" customHeight="1" thickBot="1" x14ac:dyDescent="0.3">
      <c r="A190" s="127" t="s">
        <v>184</v>
      </c>
      <c r="B190" s="127" t="s">
        <v>360</v>
      </c>
      <c r="C190" s="127">
        <v>0</v>
      </c>
      <c r="D190" s="188">
        <f t="shared" si="4"/>
        <v>0</v>
      </c>
      <c r="E190" s="127">
        <f t="shared" si="1"/>
        <v>0</v>
      </c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ht="18" hidden="1" customHeight="1" thickBot="1" x14ac:dyDescent="0.3">
      <c r="A191" s="127" t="s">
        <v>417</v>
      </c>
      <c r="B191" s="127" t="s">
        <v>586</v>
      </c>
      <c r="C191" s="127">
        <v>0</v>
      </c>
      <c r="D191" s="188">
        <f t="shared" si="4"/>
        <v>0</v>
      </c>
      <c r="E191" s="127">
        <f t="shared" si="1"/>
        <v>0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</row>
    <row r="192" spans="1:32" ht="18" customHeight="1" thickBot="1" x14ac:dyDescent="0.35">
      <c r="A192" s="120"/>
      <c r="B192" s="109"/>
      <c r="C192" s="53"/>
      <c r="D192" s="127"/>
      <c r="E192" s="127">
        <f t="shared" si="1"/>
        <v>0</v>
      </c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</row>
    <row r="193" spans="1:33" ht="18" customHeight="1" thickBot="1" x14ac:dyDescent="0.35">
      <c r="A193" s="82" t="s">
        <v>590</v>
      </c>
      <c r="B193" s="76"/>
      <c r="C193" s="130">
        <f>SUM(C13:C191)</f>
        <v>539144</v>
      </c>
      <c r="D193" s="130">
        <f>SUM(D13:D191)</f>
        <v>538418</v>
      </c>
      <c r="E193" s="130">
        <f>SUM(E13:E191)</f>
        <v>726</v>
      </c>
      <c r="F193" s="148">
        <f>SUM(F13:F191)</f>
        <v>0</v>
      </c>
      <c r="G193" s="148">
        <f t="shared" ref="G193:AG193" si="5">SUM(G13:G191)</f>
        <v>0</v>
      </c>
      <c r="H193" s="148">
        <f t="shared" si="5"/>
        <v>0</v>
      </c>
      <c r="I193" s="148">
        <f t="shared" si="5"/>
        <v>574</v>
      </c>
      <c r="J193" s="148">
        <f t="shared" si="5"/>
        <v>21052</v>
      </c>
      <c r="K193" s="148">
        <f t="shared" si="5"/>
        <v>29450</v>
      </c>
      <c r="L193" s="148">
        <f t="shared" si="5"/>
        <v>17957</v>
      </c>
      <c r="M193" s="148">
        <f t="shared" si="5"/>
        <v>14115</v>
      </c>
      <c r="N193" s="148">
        <f t="shared" si="5"/>
        <v>34905</v>
      </c>
      <c r="O193" s="148">
        <f t="shared" si="5"/>
        <v>13781</v>
      </c>
      <c r="P193" s="148">
        <f t="shared" si="5"/>
        <v>82030</v>
      </c>
      <c r="Q193" s="148">
        <f t="shared" si="5"/>
        <v>55012</v>
      </c>
      <c r="R193" s="148">
        <f t="shared" si="5"/>
        <v>13350</v>
      </c>
      <c r="S193" s="148">
        <f t="shared" si="5"/>
        <v>86572</v>
      </c>
      <c r="T193" s="148">
        <f t="shared" si="5"/>
        <v>1810</v>
      </c>
      <c r="U193" s="148">
        <f t="shared" si="5"/>
        <v>14472</v>
      </c>
      <c r="V193" s="148">
        <f t="shared" si="5"/>
        <v>3377</v>
      </c>
      <c r="W193" s="148">
        <f t="shared" si="5"/>
        <v>9876</v>
      </c>
      <c r="X193" s="148">
        <f t="shared" si="5"/>
        <v>14651</v>
      </c>
      <c r="Y193" s="148">
        <f t="shared" si="5"/>
        <v>2760</v>
      </c>
      <c r="Z193" s="148">
        <f t="shared" si="5"/>
        <v>18766</v>
      </c>
      <c r="AA193" s="148">
        <f t="shared" si="5"/>
        <v>21312</v>
      </c>
      <c r="AB193" s="148">
        <f t="shared" si="5"/>
        <v>9395</v>
      </c>
      <c r="AC193" s="148">
        <f t="shared" si="5"/>
        <v>8392</v>
      </c>
      <c r="AD193" s="148">
        <f t="shared" si="5"/>
        <v>51421</v>
      </c>
      <c r="AE193" s="148">
        <f t="shared" si="5"/>
        <v>0</v>
      </c>
      <c r="AF193" s="148">
        <f t="shared" si="5"/>
        <v>9506</v>
      </c>
      <c r="AG193" s="148">
        <f t="shared" si="5"/>
        <v>3882</v>
      </c>
    </row>
    <row r="194" spans="1:33" x14ac:dyDescent="0.3">
      <c r="I194" s="7"/>
    </row>
    <row r="197" spans="1:33" x14ac:dyDescent="0.3">
      <c r="T197" s="100"/>
    </row>
  </sheetData>
  <sheetProtection algorithmName="SHA-512" hashValue="3JKZ0NiY4IvaG12j/RxEyOGAQsMHodI6RcBZKyvgwitMNNV69b2MnCns852MOQ8RRQt35v+D8NPhTYflRMV5Cw==" saltValue="jVQCFNpXx+Q9/FdZUOrUlg==" spinCount="100000" sheet="1" objects="1" scenarios="1"/>
  <sortState ref="A180:AF198">
    <sortCondition ref="A12"/>
  </sortState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NCLB Title IA Formula</vt:lpstr>
      <vt:lpstr>NCLB Title I-C Migrant</vt:lpstr>
      <vt:lpstr>NCLB Title I-Delinquent</vt:lpstr>
      <vt:lpstr>StateAgenciesTitle I-Delinquent</vt:lpstr>
      <vt:lpstr>NCLB Title II-A Formula</vt:lpstr>
      <vt:lpstr>NCLB Title III-A </vt:lpstr>
      <vt:lpstr>NCLB Title III SAI</vt:lpstr>
      <vt:lpstr>NCLB Title VI Rural LI</vt:lpstr>
      <vt:lpstr>NCLB Allocations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Mueller, Pam</cp:lastModifiedBy>
  <cp:lastPrinted>2015-04-03T16:53:01Z</cp:lastPrinted>
  <dcterms:created xsi:type="dcterms:W3CDTF">2011-11-14T17:06:02Z</dcterms:created>
  <dcterms:modified xsi:type="dcterms:W3CDTF">2018-11-26T21:28:16Z</dcterms:modified>
</cp:coreProperties>
</file>